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ason\Documents\SBEW\Models and Reports for download\Accounting System\AUS - FINAL VERSIONS\"/>
    </mc:Choice>
  </mc:AlternateContent>
  <xr:revisionPtr revIDLastSave="0" documentId="13_ncr:1_{A3020119-4869-434B-A4F4-176DB247E346}" xr6:coauthVersionLast="46" xr6:coauthVersionMax="46" xr10:uidLastSave="{00000000-0000-0000-0000-000000000000}"/>
  <workbookProtection workbookAlgorithmName="SHA-512" workbookHashValue="Pps7tBNEqhSPR6YvuQZ+wOuDqeBBR9a2wyq4onX4p0jFuiMHKgB7PJSquezKXCI8/SMmiVeYPgRF44idVe2OtA==" workbookSaltValue="4Im4/zFQwdS772WpH1AiJQ==" workbookSpinCount="100000" lockStructure="1"/>
  <bookViews>
    <workbookView xWindow="-120" yWindow="-120" windowWidth="20730" windowHeight="11160" tabRatio="765" xr2:uid="{69585303-CDB9-4173-BB31-F61FFFF228F3}"/>
  </bookViews>
  <sheets>
    <sheet name="Overview" sheetId="21" r:id="rId1"/>
    <sheet name="Terms of use" sheetId="8" r:id="rId2"/>
    <sheet name="Business Info" sheetId="17" r:id="rId3"/>
    <sheet name="Instructions" sheetId="9" r:id="rId4"/>
    <sheet name="PAYROLL" sheetId="6" r:id="rId5"/>
    <sheet name="Basic payroll data" sheetId="11" r:id="rId6"/>
    <sheet name="Notes - ordinary hours" sheetId="18" state="hidden" r:id="rId7"/>
    <sheet name="Employee information" sheetId="2" r:id="rId8"/>
    <sheet name="Part time AL calc" sheetId="10" state="hidden" r:id="rId9"/>
    <sheet name="PAYG worksheet" sheetId="1" r:id="rId10"/>
    <sheet name="Monthly payrun timesheet" sheetId="19" r:id="rId11"/>
    <sheet name="New starters &amp; terminations" sheetId="20" r:id="rId12"/>
    <sheet name="Employee pay advice &amp; report" sheetId="4" r:id="rId13"/>
    <sheet name="Payroll journal template" sheetId="12" state="hidden" r:id="rId14"/>
    <sheet name="Tax scales - NAT 1004" sheetId="13" state="hidden" r:id="rId15"/>
    <sheet name="Tax scales - NAT 3539" sheetId="15" state="hidden" r:id="rId16"/>
    <sheet name="Ref table" sheetId="7" state="hidden" r:id="rId17"/>
  </sheets>
  <definedNames>
    <definedName name="_xlnm._FilterDatabase" localSheetId="10" hidden="1">'Monthly payrun timesheet'!$A$6:$V$383</definedName>
    <definedName name="_xlnm._FilterDatabase" localSheetId="9" hidden="1">'PAYG worksheet'!$C$1:$C$783</definedName>
    <definedName name="AL_loading_perc">'Basic payroll data'!$D$10</definedName>
    <definedName name="FT_entitlement">'Basic payroll data'!$D$6</definedName>
    <definedName name="_xlnm.Print_Area" localSheetId="12">'Employee pay advice &amp; report'!$A$4:$L$37</definedName>
    <definedName name="SL_entitlement">'Basic payroll data'!$D$8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0" l="1"/>
  <c r="BL754" i="1" l="1"/>
  <c r="BL753" i="1"/>
  <c r="BL752" i="1"/>
  <c r="BL751" i="1"/>
  <c r="BL750" i="1"/>
  <c r="BL749" i="1"/>
  <c r="BL748" i="1"/>
  <c r="BL747" i="1"/>
  <c r="BL746" i="1"/>
  <c r="BL745" i="1"/>
  <c r="BL744" i="1"/>
  <c r="BL743" i="1"/>
  <c r="BL725" i="1"/>
  <c r="BL724" i="1"/>
  <c r="BL723" i="1"/>
  <c r="BL722" i="1"/>
  <c r="BL721" i="1"/>
  <c r="BL720" i="1"/>
  <c r="BL719" i="1"/>
  <c r="BL718" i="1"/>
  <c r="BL717" i="1"/>
  <c r="BL716" i="1"/>
  <c r="BL715" i="1"/>
  <c r="BL714" i="1"/>
  <c r="BL696" i="1"/>
  <c r="BL695" i="1"/>
  <c r="BL694" i="1"/>
  <c r="BL693" i="1"/>
  <c r="BL692" i="1"/>
  <c r="BL691" i="1"/>
  <c r="BL690" i="1"/>
  <c r="BL689" i="1"/>
  <c r="BL688" i="1"/>
  <c r="BL687" i="1"/>
  <c r="BL686" i="1"/>
  <c r="BL685" i="1"/>
  <c r="BL667" i="1"/>
  <c r="BL666" i="1"/>
  <c r="BL665" i="1"/>
  <c r="BL664" i="1"/>
  <c r="BL663" i="1"/>
  <c r="BL662" i="1"/>
  <c r="BL661" i="1"/>
  <c r="BL660" i="1"/>
  <c r="BL659" i="1"/>
  <c r="BL658" i="1"/>
  <c r="BL657" i="1"/>
  <c r="BL656" i="1"/>
  <c r="BL638" i="1"/>
  <c r="BL637" i="1"/>
  <c r="BL636" i="1"/>
  <c r="BL635" i="1"/>
  <c r="BL634" i="1"/>
  <c r="BL633" i="1"/>
  <c r="BL632" i="1"/>
  <c r="BL631" i="1"/>
  <c r="BL630" i="1"/>
  <c r="BL629" i="1"/>
  <c r="BL628" i="1"/>
  <c r="BL627" i="1"/>
  <c r="BL609" i="1"/>
  <c r="BL608" i="1"/>
  <c r="BL607" i="1"/>
  <c r="BL606" i="1"/>
  <c r="BL605" i="1"/>
  <c r="BL604" i="1"/>
  <c r="BL603" i="1"/>
  <c r="BL602" i="1"/>
  <c r="BL601" i="1"/>
  <c r="BL600" i="1"/>
  <c r="BL599" i="1"/>
  <c r="BL598" i="1"/>
  <c r="BL580" i="1"/>
  <c r="BL579" i="1"/>
  <c r="BL578" i="1"/>
  <c r="BL577" i="1"/>
  <c r="BL576" i="1"/>
  <c r="BL575" i="1"/>
  <c r="BL574" i="1"/>
  <c r="BL573" i="1"/>
  <c r="BL572" i="1"/>
  <c r="BL571" i="1"/>
  <c r="BL570" i="1"/>
  <c r="BL569" i="1"/>
  <c r="BL551" i="1"/>
  <c r="BL550" i="1"/>
  <c r="BL549" i="1"/>
  <c r="BL548" i="1"/>
  <c r="BL547" i="1"/>
  <c r="BL546" i="1"/>
  <c r="BL545" i="1"/>
  <c r="BL544" i="1"/>
  <c r="BL543" i="1"/>
  <c r="BL542" i="1"/>
  <c r="BL541" i="1"/>
  <c r="BL540" i="1"/>
  <c r="BL522" i="1"/>
  <c r="BL521" i="1"/>
  <c r="BL520" i="1"/>
  <c r="BL519" i="1"/>
  <c r="BL518" i="1"/>
  <c r="BL517" i="1"/>
  <c r="BL516" i="1"/>
  <c r="BL515" i="1"/>
  <c r="BL514" i="1"/>
  <c r="BL513" i="1"/>
  <c r="BL512" i="1"/>
  <c r="BL511" i="1"/>
  <c r="BL493" i="1"/>
  <c r="BL492" i="1"/>
  <c r="BL491" i="1"/>
  <c r="BL490" i="1"/>
  <c r="BL489" i="1"/>
  <c r="BL488" i="1"/>
  <c r="BL487" i="1"/>
  <c r="BL486" i="1"/>
  <c r="BL485" i="1"/>
  <c r="BL484" i="1"/>
  <c r="BL483" i="1"/>
  <c r="BL482" i="1"/>
  <c r="BL464" i="1"/>
  <c r="BL463" i="1"/>
  <c r="BL462" i="1"/>
  <c r="BL461" i="1"/>
  <c r="BL460" i="1"/>
  <c r="BL459" i="1"/>
  <c r="BL458" i="1"/>
  <c r="BL457" i="1"/>
  <c r="BL456" i="1"/>
  <c r="BL455" i="1"/>
  <c r="BL454" i="1"/>
  <c r="BL453" i="1"/>
  <c r="BL435" i="1"/>
  <c r="BL434" i="1"/>
  <c r="BL433" i="1"/>
  <c r="BL432" i="1"/>
  <c r="BL431" i="1"/>
  <c r="BL430" i="1"/>
  <c r="BL429" i="1"/>
  <c r="BL428" i="1"/>
  <c r="BL427" i="1"/>
  <c r="BL426" i="1"/>
  <c r="BL425" i="1"/>
  <c r="BL424" i="1"/>
  <c r="BL406" i="1"/>
  <c r="BL405" i="1"/>
  <c r="BL404" i="1"/>
  <c r="BL403" i="1"/>
  <c r="BL402" i="1"/>
  <c r="BL401" i="1"/>
  <c r="BL400" i="1"/>
  <c r="BL399" i="1"/>
  <c r="BL398" i="1"/>
  <c r="BL397" i="1"/>
  <c r="BL396" i="1"/>
  <c r="BL395" i="1"/>
  <c r="BL377" i="1"/>
  <c r="BL376" i="1"/>
  <c r="BL375" i="1"/>
  <c r="BL374" i="1"/>
  <c r="BL373" i="1"/>
  <c r="BL372" i="1"/>
  <c r="BL371" i="1"/>
  <c r="BL370" i="1"/>
  <c r="BL369" i="1"/>
  <c r="BL368" i="1"/>
  <c r="BL367" i="1"/>
  <c r="BL366" i="1"/>
  <c r="BL348" i="1"/>
  <c r="BL347" i="1"/>
  <c r="BL346" i="1"/>
  <c r="BL345" i="1"/>
  <c r="BL344" i="1"/>
  <c r="BL343" i="1"/>
  <c r="BL342" i="1"/>
  <c r="BL341" i="1"/>
  <c r="BL340" i="1"/>
  <c r="BL339" i="1"/>
  <c r="BL338" i="1"/>
  <c r="BL337" i="1"/>
  <c r="BL319" i="1"/>
  <c r="BL318" i="1"/>
  <c r="BL317" i="1"/>
  <c r="BL316" i="1"/>
  <c r="BL315" i="1"/>
  <c r="BL314" i="1"/>
  <c r="BL313" i="1"/>
  <c r="BL312" i="1"/>
  <c r="BL311" i="1"/>
  <c r="BL310" i="1"/>
  <c r="BL309" i="1"/>
  <c r="BL308" i="1"/>
  <c r="BL290" i="1"/>
  <c r="BL289" i="1"/>
  <c r="BL288" i="1"/>
  <c r="BL287" i="1"/>
  <c r="BL286" i="1"/>
  <c r="BL285" i="1"/>
  <c r="BL284" i="1"/>
  <c r="BL283" i="1"/>
  <c r="BL282" i="1"/>
  <c r="BL281" i="1"/>
  <c r="BL280" i="1"/>
  <c r="BL279" i="1"/>
  <c r="BL261" i="1"/>
  <c r="BL260" i="1"/>
  <c r="BL259" i="1"/>
  <c r="BL258" i="1"/>
  <c r="BL257" i="1"/>
  <c r="BL256" i="1"/>
  <c r="BL255" i="1"/>
  <c r="BL254" i="1"/>
  <c r="BL253" i="1"/>
  <c r="BL252" i="1"/>
  <c r="BL251" i="1"/>
  <c r="BL250" i="1"/>
  <c r="BL232" i="1"/>
  <c r="BL231" i="1"/>
  <c r="BL230" i="1"/>
  <c r="BL229" i="1"/>
  <c r="BL228" i="1"/>
  <c r="BL227" i="1"/>
  <c r="BL226" i="1"/>
  <c r="BL225" i="1"/>
  <c r="BL224" i="1"/>
  <c r="BL223" i="1"/>
  <c r="BL222" i="1"/>
  <c r="BL221" i="1"/>
  <c r="BL203" i="1"/>
  <c r="BL202" i="1"/>
  <c r="BL201" i="1"/>
  <c r="BL200" i="1"/>
  <c r="BL199" i="1"/>
  <c r="BL198" i="1"/>
  <c r="BL197" i="1"/>
  <c r="BL196" i="1"/>
  <c r="BL195" i="1"/>
  <c r="BL194" i="1"/>
  <c r="BL193" i="1"/>
  <c r="BL192" i="1"/>
  <c r="BL174" i="1"/>
  <c r="BL173" i="1"/>
  <c r="BL172" i="1"/>
  <c r="BL171" i="1"/>
  <c r="BL170" i="1"/>
  <c r="BL169" i="1"/>
  <c r="BL168" i="1"/>
  <c r="BL167" i="1"/>
  <c r="BL166" i="1"/>
  <c r="BL165" i="1"/>
  <c r="BL164" i="1"/>
  <c r="BL163" i="1"/>
  <c r="BL145" i="1"/>
  <c r="BL144" i="1"/>
  <c r="BL143" i="1"/>
  <c r="BL142" i="1"/>
  <c r="BL141" i="1"/>
  <c r="BL140" i="1"/>
  <c r="BL139" i="1"/>
  <c r="BL138" i="1"/>
  <c r="BL137" i="1"/>
  <c r="BL136" i="1"/>
  <c r="BL135" i="1"/>
  <c r="BL134" i="1"/>
  <c r="BL116" i="1"/>
  <c r="BL115" i="1"/>
  <c r="BL114" i="1"/>
  <c r="BL113" i="1"/>
  <c r="BL112" i="1"/>
  <c r="BL111" i="1"/>
  <c r="BL110" i="1"/>
  <c r="BL109" i="1"/>
  <c r="BL108" i="1"/>
  <c r="BL107" i="1"/>
  <c r="BL106" i="1"/>
  <c r="BL105" i="1"/>
  <c r="BL87" i="1"/>
  <c r="BL86" i="1"/>
  <c r="BL85" i="1"/>
  <c r="BL84" i="1"/>
  <c r="BL83" i="1"/>
  <c r="BL82" i="1"/>
  <c r="BL81" i="1"/>
  <c r="BL80" i="1"/>
  <c r="BL79" i="1"/>
  <c r="BL78" i="1"/>
  <c r="BL77" i="1"/>
  <c r="BL76" i="1"/>
  <c r="BL58" i="1"/>
  <c r="BL57" i="1"/>
  <c r="BL56" i="1"/>
  <c r="BL55" i="1"/>
  <c r="BL54" i="1"/>
  <c r="BL53" i="1"/>
  <c r="BL52" i="1"/>
  <c r="BL51" i="1"/>
  <c r="BL50" i="1"/>
  <c r="BL49" i="1"/>
  <c r="BL48" i="1"/>
  <c r="BL47" i="1"/>
  <c r="C11" i="20"/>
  <c r="AB7" i="2"/>
  <c r="AB9" i="2"/>
  <c r="AB12" i="2"/>
  <c r="AB13" i="2"/>
  <c r="AB14" i="2"/>
  <c r="AB15" i="2"/>
  <c r="AB16" i="2"/>
  <c r="AB17" i="2"/>
  <c r="AB18" i="2"/>
  <c r="AB19" i="2"/>
  <c r="AB20" i="2"/>
  <c r="AB21" i="2"/>
  <c r="AB22" i="2"/>
  <c r="AB23" i="2"/>
  <c r="AB24" i="2"/>
  <c r="AB25" i="2"/>
  <c r="AB26" i="2"/>
  <c r="AB27" i="2"/>
  <c r="AB28" i="2"/>
  <c r="AB29" i="2"/>
  <c r="AB30" i="2"/>
  <c r="AB31" i="2"/>
  <c r="AB32" i="2"/>
  <c r="AB33" i="2"/>
  <c r="V7" i="2"/>
  <c r="V9" i="2"/>
  <c r="V12" i="2"/>
  <c r="V13" i="2"/>
  <c r="V14" i="2"/>
  <c r="V15" i="2"/>
  <c r="V16" i="2"/>
  <c r="V17" i="2"/>
  <c r="V18" i="2"/>
  <c r="V19" i="2"/>
  <c r="V20" i="2"/>
  <c r="V21" i="2"/>
  <c r="V22" i="2"/>
  <c r="V23" i="2"/>
  <c r="V24" i="2"/>
  <c r="V25" i="2"/>
  <c r="V26" i="2"/>
  <c r="V27" i="2"/>
  <c r="V28" i="2"/>
  <c r="V29" i="2"/>
  <c r="V30" i="2"/>
  <c r="V31" i="2"/>
  <c r="V32" i="2"/>
  <c r="V33" i="2"/>
  <c r="E389" i="19" l="1"/>
  <c r="F389" i="19"/>
  <c r="G389" i="19"/>
  <c r="H389" i="19"/>
  <c r="I389" i="19"/>
  <c r="J389" i="19"/>
  <c r="K389" i="19"/>
  <c r="L389" i="19"/>
  <c r="M389" i="19"/>
  <c r="N389" i="19"/>
  <c r="O389" i="19"/>
  <c r="P389" i="19"/>
  <c r="Q389" i="19"/>
  <c r="R389" i="19"/>
  <c r="S389" i="19"/>
  <c r="T389" i="19"/>
  <c r="U389" i="19"/>
  <c r="V389" i="19"/>
  <c r="D389" i="19"/>
  <c r="E383" i="19"/>
  <c r="F383" i="19"/>
  <c r="G383" i="19"/>
  <c r="H383" i="19"/>
  <c r="I383" i="19"/>
  <c r="J383" i="19"/>
  <c r="K383" i="19"/>
  <c r="L383" i="19"/>
  <c r="M383" i="19"/>
  <c r="N383" i="19"/>
  <c r="O383" i="19"/>
  <c r="P383" i="19"/>
  <c r="Q383" i="19"/>
  <c r="R383" i="19"/>
  <c r="S383" i="19"/>
  <c r="T383" i="19"/>
  <c r="U383" i="19"/>
  <c r="V383" i="19"/>
  <c r="D383" i="19"/>
  <c r="E352" i="19"/>
  <c r="F352" i="19"/>
  <c r="G352" i="19"/>
  <c r="H352" i="19"/>
  <c r="I352" i="19"/>
  <c r="J352" i="19"/>
  <c r="K352" i="19"/>
  <c r="L352" i="19"/>
  <c r="M352" i="19"/>
  <c r="N352" i="19"/>
  <c r="O352" i="19"/>
  <c r="P352" i="19"/>
  <c r="Q352" i="19"/>
  <c r="R352" i="19"/>
  <c r="S352" i="19"/>
  <c r="T352" i="19"/>
  <c r="U352" i="19"/>
  <c r="V352" i="19"/>
  <c r="D352" i="19"/>
  <c r="E320" i="19"/>
  <c r="F320" i="19"/>
  <c r="G320" i="19"/>
  <c r="H320" i="19"/>
  <c r="I320" i="19"/>
  <c r="J320" i="19"/>
  <c r="K320" i="19"/>
  <c r="L320" i="19"/>
  <c r="M320" i="19"/>
  <c r="N320" i="19"/>
  <c r="O320" i="19"/>
  <c r="P320" i="19"/>
  <c r="Q320" i="19"/>
  <c r="R320" i="19"/>
  <c r="S320" i="19"/>
  <c r="T320" i="19"/>
  <c r="U320" i="19"/>
  <c r="V320" i="19"/>
  <c r="D320" i="19"/>
  <c r="E289" i="19"/>
  <c r="F289" i="19"/>
  <c r="G289" i="19"/>
  <c r="H289" i="19"/>
  <c r="I289" i="19"/>
  <c r="J289" i="19"/>
  <c r="K289" i="19"/>
  <c r="L289" i="19"/>
  <c r="M289" i="19"/>
  <c r="N289" i="19"/>
  <c r="O289" i="19"/>
  <c r="P289" i="19"/>
  <c r="Q289" i="19"/>
  <c r="R289" i="19"/>
  <c r="S289" i="19"/>
  <c r="T289" i="19"/>
  <c r="U289" i="19"/>
  <c r="V289" i="19"/>
  <c r="D289" i="19"/>
  <c r="E257" i="19"/>
  <c r="F257" i="19"/>
  <c r="G257" i="19"/>
  <c r="H257" i="19"/>
  <c r="I257" i="19"/>
  <c r="J257" i="19"/>
  <c r="K257" i="19"/>
  <c r="L257" i="19"/>
  <c r="M257" i="19"/>
  <c r="N257" i="19"/>
  <c r="O257" i="19"/>
  <c r="P257" i="19"/>
  <c r="Q257" i="19"/>
  <c r="R257" i="19"/>
  <c r="S257" i="19"/>
  <c r="T257" i="19"/>
  <c r="U257" i="19"/>
  <c r="V257" i="19"/>
  <c r="D257" i="19"/>
  <c r="E228" i="19"/>
  <c r="F228" i="19"/>
  <c r="G228" i="19"/>
  <c r="H228" i="19"/>
  <c r="I228" i="19"/>
  <c r="J228" i="19"/>
  <c r="K228" i="19"/>
  <c r="L228" i="19"/>
  <c r="M228" i="19"/>
  <c r="N228" i="19"/>
  <c r="O228" i="19"/>
  <c r="P228" i="19"/>
  <c r="Q228" i="19"/>
  <c r="R228" i="19"/>
  <c r="S228" i="19"/>
  <c r="T228" i="19"/>
  <c r="U228" i="19"/>
  <c r="V228" i="19"/>
  <c r="D228" i="19"/>
  <c r="E196" i="19"/>
  <c r="F196" i="19"/>
  <c r="G196" i="19"/>
  <c r="H196" i="19"/>
  <c r="I196" i="19"/>
  <c r="J196" i="19"/>
  <c r="K196" i="19"/>
  <c r="L196" i="19"/>
  <c r="M196" i="19"/>
  <c r="N196" i="19"/>
  <c r="O196" i="19"/>
  <c r="P196" i="19"/>
  <c r="Q196" i="19"/>
  <c r="R196" i="19"/>
  <c r="S196" i="19"/>
  <c r="T196" i="19"/>
  <c r="U196" i="19"/>
  <c r="V196" i="19"/>
  <c r="D196" i="19"/>
  <c r="E164" i="19"/>
  <c r="F164" i="19"/>
  <c r="G164" i="19"/>
  <c r="H164" i="19"/>
  <c r="I164" i="19"/>
  <c r="J164" i="19"/>
  <c r="K164" i="19"/>
  <c r="L164" i="19"/>
  <c r="M164" i="19"/>
  <c r="N164" i="19"/>
  <c r="O164" i="19"/>
  <c r="P164" i="19"/>
  <c r="Q164" i="19"/>
  <c r="R164" i="19"/>
  <c r="S164" i="19"/>
  <c r="T164" i="19"/>
  <c r="U164" i="19"/>
  <c r="V164" i="19"/>
  <c r="D164" i="19"/>
  <c r="E133" i="19"/>
  <c r="F133" i="19"/>
  <c r="G133" i="19"/>
  <c r="H133" i="19"/>
  <c r="I133" i="19"/>
  <c r="J133" i="19"/>
  <c r="K133" i="19"/>
  <c r="L133" i="19"/>
  <c r="M133" i="19"/>
  <c r="N133" i="19"/>
  <c r="O133" i="19"/>
  <c r="P133" i="19"/>
  <c r="Q133" i="19"/>
  <c r="R133" i="19"/>
  <c r="S133" i="19"/>
  <c r="T133" i="19"/>
  <c r="U133" i="19"/>
  <c r="V133" i="19"/>
  <c r="D133" i="19"/>
  <c r="E101" i="19"/>
  <c r="F101" i="19"/>
  <c r="G101" i="19"/>
  <c r="H101" i="19"/>
  <c r="I101" i="19"/>
  <c r="J101" i="19"/>
  <c r="K101" i="19"/>
  <c r="L101" i="19"/>
  <c r="M101" i="19"/>
  <c r="N101" i="19"/>
  <c r="O101" i="19"/>
  <c r="P101" i="19"/>
  <c r="Q101" i="19"/>
  <c r="R101" i="19"/>
  <c r="S101" i="19"/>
  <c r="T101" i="19"/>
  <c r="U101" i="19"/>
  <c r="V101" i="19"/>
  <c r="D101" i="19"/>
  <c r="T38" i="19"/>
  <c r="U38" i="19"/>
  <c r="U385" i="19" s="1"/>
  <c r="V38" i="19"/>
  <c r="E70" i="19"/>
  <c r="F70" i="19"/>
  <c r="G70" i="19"/>
  <c r="H70" i="19"/>
  <c r="I70" i="19"/>
  <c r="J70" i="19"/>
  <c r="K70" i="19"/>
  <c r="L70" i="19"/>
  <c r="M70" i="19"/>
  <c r="N70" i="19"/>
  <c r="O70" i="19"/>
  <c r="P70" i="19"/>
  <c r="Q70" i="19"/>
  <c r="R70" i="19"/>
  <c r="S70" i="19"/>
  <c r="T70" i="19"/>
  <c r="U70" i="19"/>
  <c r="V70" i="19"/>
  <c r="D70" i="19"/>
  <c r="C12" i="20"/>
  <c r="C16" i="20" s="1"/>
  <c r="T385" i="19" l="1"/>
  <c r="V385" i="19"/>
  <c r="C18" i="20"/>
  <c r="C22" i="20" s="1"/>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7" i="19"/>
  <c r="C198" i="19"/>
  <c r="C199" i="19"/>
  <c r="C200" i="19"/>
  <c r="C201" i="19"/>
  <c r="C202" i="19"/>
  <c r="C203" i="19"/>
  <c r="C204" i="19"/>
  <c r="C205" i="19"/>
  <c r="C206" i="19"/>
  <c r="C207" i="19"/>
  <c r="C208" i="19"/>
  <c r="C209" i="19"/>
  <c r="C210" i="19"/>
  <c r="C211" i="19"/>
  <c r="C212" i="19"/>
  <c r="C213" i="19"/>
  <c r="C214" i="19"/>
  <c r="C215" i="19"/>
  <c r="C216" i="19"/>
  <c r="C217" i="19"/>
  <c r="C218" i="19"/>
  <c r="C219" i="19"/>
  <c r="C220" i="19"/>
  <c r="C221" i="19"/>
  <c r="C222" i="19"/>
  <c r="C223" i="19"/>
  <c r="C224" i="19"/>
  <c r="C225" i="19"/>
  <c r="C226" i="19"/>
  <c r="C227"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7" i="19"/>
  <c r="E38" i="19"/>
  <c r="E385" i="19" s="1"/>
  <c r="F38" i="19"/>
  <c r="F385" i="19" s="1"/>
  <c r="G38" i="19"/>
  <c r="G385" i="19" s="1"/>
  <c r="H38" i="19"/>
  <c r="H385" i="19" s="1"/>
  <c r="I38" i="19"/>
  <c r="I385" i="19" s="1"/>
  <c r="J38" i="19"/>
  <c r="J385" i="19" s="1"/>
  <c r="K38" i="19"/>
  <c r="K385" i="19" s="1"/>
  <c r="L38" i="19"/>
  <c r="L385" i="19" s="1"/>
  <c r="M38" i="19"/>
  <c r="M385" i="19" s="1"/>
  <c r="N38" i="19"/>
  <c r="N385" i="19" s="1"/>
  <c r="O38" i="19"/>
  <c r="O385" i="19" s="1"/>
  <c r="P38" i="19"/>
  <c r="P385" i="19" s="1"/>
  <c r="Q38" i="19"/>
  <c r="Q385" i="19" s="1"/>
  <c r="R38" i="19"/>
  <c r="R385" i="19" s="1"/>
  <c r="S38" i="19"/>
  <c r="S385" i="19" s="1"/>
  <c r="D38" i="19"/>
  <c r="D385" i="19" s="1"/>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7" i="19"/>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A2"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 i="19"/>
  <c r="G12" i="4" l="1"/>
  <c r="L5" i="4"/>
  <c r="J5" i="4"/>
  <c r="AK755" i="1"/>
  <c r="AK726" i="1"/>
  <c r="AK697" i="1"/>
  <c r="AK668" i="1"/>
  <c r="AK639" i="1"/>
  <c r="AK610" i="1"/>
  <c r="AK581" i="1"/>
  <c r="AK552" i="1"/>
  <c r="AK523" i="1"/>
  <c r="AK494" i="1"/>
  <c r="AK465" i="1"/>
  <c r="AK436" i="1"/>
  <c r="AK407" i="1"/>
  <c r="AK378" i="1"/>
  <c r="AK349" i="1"/>
  <c r="AK320" i="1"/>
  <c r="AK291" i="1"/>
  <c r="AK262" i="1"/>
  <c r="AK233" i="1"/>
  <c r="AK204" i="1"/>
  <c r="AK175" i="1"/>
  <c r="AK146" i="1"/>
  <c r="AK117" i="1"/>
  <c r="AK88" i="1"/>
  <c r="AK59" i="1"/>
  <c r="AK30" i="1"/>
  <c r="AZ47" i="1" l="1"/>
  <c r="AZ48" i="1"/>
  <c r="AZ49" i="1"/>
  <c r="AZ50" i="1"/>
  <c r="AZ51" i="1"/>
  <c r="AZ52" i="1"/>
  <c r="AZ53" i="1"/>
  <c r="AZ54" i="1"/>
  <c r="AZ55" i="1"/>
  <c r="AZ56" i="1"/>
  <c r="AZ57" i="1"/>
  <c r="AZ58" i="1"/>
  <c r="AZ743" i="1"/>
  <c r="AZ744" i="1"/>
  <c r="AZ745" i="1"/>
  <c r="AZ746" i="1"/>
  <c r="AZ747" i="1"/>
  <c r="AZ748" i="1"/>
  <c r="AZ749" i="1"/>
  <c r="AZ750" i="1"/>
  <c r="AZ751" i="1"/>
  <c r="AZ752" i="1"/>
  <c r="AZ753" i="1"/>
  <c r="AZ754" i="1"/>
  <c r="AZ714" i="1"/>
  <c r="AZ715" i="1"/>
  <c r="AZ716" i="1"/>
  <c r="AZ717" i="1"/>
  <c r="AZ718" i="1"/>
  <c r="AZ719" i="1"/>
  <c r="AZ720" i="1"/>
  <c r="AZ721" i="1"/>
  <c r="AZ722" i="1"/>
  <c r="AZ723" i="1"/>
  <c r="AZ724" i="1"/>
  <c r="AZ725" i="1"/>
  <c r="AZ685" i="1"/>
  <c r="AZ686" i="1"/>
  <c r="AZ687" i="1"/>
  <c r="AZ688" i="1"/>
  <c r="AZ689" i="1"/>
  <c r="AZ690" i="1"/>
  <c r="AZ691" i="1"/>
  <c r="AZ692" i="1"/>
  <c r="AZ693" i="1"/>
  <c r="AZ694" i="1"/>
  <c r="AZ695" i="1"/>
  <c r="AZ696" i="1"/>
  <c r="AZ656" i="1"/>
  <c r="AZ657" i="1"/>
  <c r="AZ658" i="1"/>
  <c r="AZ659" i="1"/>
  <c r="AZ660" i="1"/>
  <c r="AZ661" i="1"/>
  <c r="AZ662" i="1"/>
  <c r="AZ663" i="1"/>
  <c r="AZ664" i="1"/>
  <c r="AZ665" i="1"/>
  <c r="AZ666" i="1"/>
  <c r="AZ667" i="1"/>
  <c r="AZ627" i="1"/>
  <c r="AZ628" i="1"/>
  <c r="AZ629" i="1"/>
  <c r="AZ630" i="1"/>
  <c r="AZ631" i="1"/>
  <c r="AZ632" i="1"/>
  <c r="AZ633" i="1"/>
  <c r="AZ634" i="1"/>
  <c r="AZ635" i="1"/>
  <c r="AZ636" i="1"/>
  <c r="AZ637" i="1"/>
  <c r="AZ638" i="1"/>
  <c r="AZ598" i="1"/>
  <c r="AZ599" i="1"/>
  <c r="AZ600" i="1"/>
  <c r="AZ601" i="1"/>
  <c r="AZ602" i="1"/>
  <c r="AZ603" i="1"/>
  <c r="AZ604" i="1"/>
  <c r="AZ605" i="1"/>
  <c r="AZ606" i="1"/>
  <c r="AZ607" i="1"/>
  <c r="AZ608" i="1"/>
  <c r="AZ609" i="1"/>
  <c r="AZ569" i="1"/>
  <c r="AZ570" i="1"/>
  <c r="AZ571" i="1"/>
  <c r="AZ572" i="1"/>
  <c r="AZ573" i="1"/>
  <c r="AZ574" i="1"/>
  <c r="AZ575" i="1"/>
  <c r="AZ576" i="1"/>
  <c r="AZ577" i="1"/>
  <c r="AZ578" i="1"/>
  <c r="AZ579" i="1"/>
  <c r="AZ580" i="1"/>
  <c r="AZ540" i="1"/>
  <c r="AZ541" i="1"/>
  <c r="AZ542" i="1"/>
  <c r="AZ543" i="1"/>
  <c r="AZ544" i="1"/>
  <c r="AZ545" i="1"/>
  <c r="AZ546" i="1"/>
  <c r="AZ547" i="1"/>
  <c r="AZ548" i="1"/>
  <c r="AZ549" i="1"/>
  <c r="AZ550" i="1"/>
  <c r="AZ551" i="1"/>
  <c r="AZ511" i="1"/>
  <c r="AZ512" i="1"/>
  <c r="AZ513" i="1"/>
  <c r="AZ514" i="1"/>
  <c r="AZ515" i="1"/>
  <c r="AZ516" i="1"/>
  <c r="AZ517" i="1"/>
  <c r="AZ518" i="1"/>
  <c r="AZ519" i="1"/>
  <c r="AZ520" i="1"/>
  <c r="AZ521" i="1"/>
  <c r="AZ522" i="1"/>
  <c r="AZ482" i="1"/>
  <c r="AZ483" i="1"/>
  <c r="AZ484" i="1"/>
  <c r="AZ485" i="1"/>
  <c r="AZ486" i="1"/>
  <c r="AZ487" i="1"/>
  <c r="AZ488" i="1"/>
  <c r="AZ489" i="1"/>
  <c r="AZ490" i="1"/>
  <c r="AZ491" i="1"/>
  <c r="AZ492" i="1"/>
  <c r="AZ493" i="1"/>
  <c r="AZ453" i="1"/>
  <c r="AZ454" i="1"/>
  <c r="AZ455" i="1"/>
  <c r="AZ456" i="1"/>
  <c r="AZ457" i="1"/>
  <c r="AZ458" i="1"/>
  <c r="AZ459" i="1"/>
  <c r="AZ460" i="1"/>
  <c r="AZ461" i="1"/>
  <c r="AZ462" i="1"/>
  <c r="AZ463" i="1"/>
  <c r="AZ464" i="1"/>
  <c r="AZ424" i="1"/>
  <c r="AZ425" i="1"/>
  <c r="AZ426" i="1"/>
  <c r="AZ427" i="1"/>
  <c r="AZ428" i="1"/>
  <c r="AZ429" i="1"/>
  <c r="AZ430" i="1"/>
  <c r="AZ431" i="1"/>
  <c r="AZ432" i="1"/>
  <c r="AZ433" i="1"/>
  <c r="AZ434" i="1"/>
  <c r="AZ435" i="1"/>
  <c r="AZ395" i="1"/>
  <c r="AZ396" i="1"/>
  <c r="AZ397" i="1"/>
  <c r="AZ398" i="1"/>
  <c r="AZ399" i="1"/>
  <c r="AZ400" i="1"/>
  <c r="AZ401" i="1"/>
  <c r="AZ402" i="1"/>
  <c r="AZ403" i="1"/>
  <c r="AZ404" i="1"/>
  <c r="AZ405" i="1"/>
  <c r="AZ406" i="1"/>
  <c r="AZ366" i="1"/>
  <c r="AZ367" i="1"/>
  <c r="AZ368" i="1"/>
  <c r="AZ369" i="1"/>
  <c r="AZ370" i="1"/>
  <c r="AZ371" i="1"/>
  <c r="AZ372" i="1"/>
  <c r="AZ373" i="1"/>
  <c r="AZ374" i="1"/>
  <c r="AZ375" i="1"/>
  <c r="AZ376" i="1"/>
  <c r="AZ377" i="1"/>
  <c r="AZ337" i="1"/>
  <c r="AZ338" i="1"/>
  <c r="AZ339" i="1"/>
  <c r="AZ340" i="1"/>
  <c r="AZ341" i="1"/>
  <c r="AZ342" i="1"/>
  <c r="AZ343" i="1"/>
  <c r="AZ344" i="1"/>
  <c r="AZ345" i="1"/>
  <c r="AZ346" i="1"/>
  <c r="AZ347" i="1"/>
  <c r="AZ348" i="1"/>
  <c r="AZ308" i="1"/>
  <c r="AZ309" i="1"/>
  <c r="AZ310" i="1"/>
  <c r="AZ311" i="1"/>
  <c r="AZ312" i="1"/>
  <c r="AZ313" i="1"/>
  <c r="AZ314" i="1"/>
  <c r="AZ315" i="1"/>
  <c r="AZ316" i="1"/>
  <c r="AZ317" i="1"/>
  <c r="AZ318" i="1"/>
  <c r="AZ319" i="1"/>
  <c r="AZ18" i="1"/>
  <c r="AZ19" i="1"/>
  <c r="AZ20" i="1"/>
  <c r="AZ21" i="1"/>
  <c r="AZ22" i="1"/>
  <c r="AZ23" i="1"/>
  <c r="AZ24" i="1"/>
  <c r="AZ25" i="1"/>
  <c r="AZ26" i="1"/>
  <c r="AZ27" i="1"/>
  <c r="AZ28" i="1"/>
  <c r="AZ29" i="1"/>
  <c r="AZ279" i="1"/>
  <c r="AZ280" i="1"/>
  <c r="AZ281" i="1"/>
  <c r="AZ282" i="1"/>
  <c r="AZ283" i="1"/>
  <c r="AZ284" i="1"/>
  <c r="AZ285" i="1"/>
  <c r="AZ286" i="1"/>
  <c r="AZ287" i="1"/>
  <c r="AZ288" i="1"/>
  <c r="AZ289" i="1"/>
  <c r="AZ290" i="1"/>
  <c r="AZ250" i="1"/>
  <c r="AZ251" i="1"/>
  <c r="AZ252" i="1"/>
  <c r="AZ253" i="1"/>
  <c r="AZ254" i="1"/>
  <c r="AZ255" i="1"/>
  <c r="AZ256" i="1"/>
  <c r="AZ257" i="1"/>
  <c r="AZ258" i="1"/>
  <c r="AZ259" i="1"/>
  <c r="AZ260" i="1"/>
  <c r="AZ261" i="1"/>
  <c r="AZ221" i="1"/>
  <c r="AZ222" i="1"/>
  <c r="AZ223" i="1"/>
  <c r="AZ224" i="1"/>
  <c r="AZ225" i="1"/>
  <c r="AZ226" i="1"/>
  <c r="AZ227" i="1"/>
  <c r="AZ228" i="1"/>
  <c r="AZ229" i="1"/>
  <c r="AZ230" i="1"/>
  <c r="AZ231" i="1"/>
  <c r="AZ232" i="1"/>
  <c r="AZ192" i="1"/>
  <c r="AZ193" i="1"/>
  <c r="AZ194" i="1"/>
  <c r="AZ195" i="1"/>
  <c r="AZ196" i="1"/>
  <c r="AZ197" i="1"/>
  <c r="AZ198" i="1"/>
  <c r="AZ199" i="1"/>
  <c r="AZ200" i="1"/>
  <c r="AZ201" i="1"/>
  <c r="AZ202" i="1"/>
  <c r="AZ203" i="1"/>
  <c r="AZ163" i="1"/>
  <c r="AZ164" i="1"/>
  <c r="AZ165" i="1"/>
  <c r="AZ166" i="1"/>
  <c r="AZ167" i="1"/>
  <c r="AZ168" i="1"/>
  <c r="AZ169" i="1"/>
  <c r="AZ170" i="1"/>
  <c r="AZ171" i="1"/>
  <c r="AZ172" i="1"/>
  <c r="AZ173" i="1"/>
  <c r="AZ174" i="1"/>
  <c r="AZ134" i="1"/>
  <c r="AZ135" i="1"/>
  <c r="AZ136" i="1"/>
  <c r="AZ137" i="1"/>
  <c r="AZ138" i="1"/>
  <c r="AZ139" i="1"/>
  <c r="AZ140" i="1"/>
  <c r="AZ141" i="1"/>
  <c r="AZ142" i="1"/>
  <c r="AZ143" i="1"/>
  <c r="AZ144" i="1"/>
  <c r="AZ145" i="1"/>
  <c r="AZ105" i="1"/>
  <c r="AZ106" i="1"/>
  <c r="AZ107" i="1"/>
  <c r="AZ108" i="1"/>
  <c r="AZ109" i="1"/>
  <c r="AZ110" i="1"/>
  <c r="AZ111" i="1"/>
  <c r="AZ112" i="1"/>
  <c r="AZ113" i="1"/>
  <c r="AZ114" i="1"/>
  <c r="AZ115" i="1"/>
  <c r="AZ116" i="1"/>
  <c r="AZ76" i="1"/>
  <c r="AZ77" i="1"/>
  <c r="AZ78" i="1"/>
  <c r="AZ79" i="1"/>
  <c r="AZ80" i="1"/>
  <c r="AZ81" i="1"/>
  <c r="AZ82" i="1"/>
  <c r="AZ83" i="1"/>
  <c r="AZ84" i="1"/>
  <c r="AZ85" i="1"/>
  <c r="AZ86" i="1"/>
  <c r="AZ87" i="1"/>
  <c r="BA755" i="1"/>
  <c r="AJ755" i="1"/>
  <c r="AG755" i="1"/>
  <c r="AC755" i="1"/>
  <c r="U755" i="1"/>
  <c r="T755" i="1"/>
  <c r="H755" i="1"/>
  <c r="G755" i="1"/>
  <c r="F755" i="1"/>
  <c r="BM754" i="1"/>
  <c r="BK754" i="1"/>
  <c r="BJ754" i="1"/>
  <c r="BI754" i="1"/>
  <c r="BH754" i="1"/>
  <c r="BG754" i="1"/>
  <c r="BF754" i="1"/>
  <c r="BE754" i="1"/>
  <c r="AY754" i="1"/>
  <c r="AX754" i="1"/>
  <c r="AW754" i="1"/>
  <c r="AV754" i="1"/>
  <c r="AU754" i="1"/>
  <c r="AT754" i="1"/>
  <c r="AS754" i="1"/>
  <c r="AR754" i="1"/>
  <c r="AQ754" i="1"/>
  <c r="AP754" i="1"/>
  <c r="AO754" i="1"/>
  <c r="AI754" i="1"/>
  <c r="AF754" i="1"/>
  <c r="AE754" i="1"/>
  <c r="AA754" i="1"/>
  <c r="Y754" i="1"/>
  <c r="X754" i="1"/>
  <c r="W754" i="1"/>
  <c r="V754" i="1"/>
  <c r="R754" i="1"/>
  <c r="M754" i="1"/>
  <c r="E754" i="1"/>
  <c r="BM753" i="1"/>
  <c r="BK753" i="1"/>
  <c r="BJ753" i="1"/>
  <c r="BI753" i="1"/>
  <c r="BH753" i="1"/>
  <c r="BG753" i="1"/>
  <c r="BF753" i="1"/>
  <c r="BE753" i="1"/>
  <c r="AY753" i="1"/>
  <c r="AX753" i="1"/>
  <c r="AW753" i="1"/>
  <c r="AV753" i="1"/>
  <c r="AU753" i="1"/>
  <c r="AT753" i="1"/>
  <c r="AS753" i="1"/>
  <c r="AR753" i="1"/>
  <c r="AQ753" i="1"/>
  <c r="AP753" i="1"/>
  <c r="AO753" i="1"/>
  <c r="AI753" i="1"/>
  <c r="AF753" i="1"/>
  <c r="AE753" i="1"/>
  <c r="AA753" i="1"/>
  <c r="Y753" i="1"/>
  <c r="X753" i="1"/>
  <c r="W753" i="1"/>
  <c r="V753" i="1"/>
  <c r="R753" i="1"/>
  <c r="M753" i="1"/>
  <c r="E753" i="1"/>
  <c r="BM752" i="1"/>
  <c r="BK752" i="1"/>
  <c r="BJ752" i="1"/>
  <c r="BI752" i="1"/>
  <c r="BH752" i="1"/>
  <c r="BG752" i="1"/>
  <c r="BF752" i="1"/>
  <c r="BE752" i="1"/>
  <c r="AY752" i="1"/>
  <c r="AX752" i="1"/>
  <c r="AW752" i="1"/>
  <c r="AV752" i="1"/>
  <c r="AU752" i="1"/>
  <c r="AT752" i="1"/>
  <c r="AS752" i="1"/>
  <c r="AR752" i="1"/>
  <c r="AQ752" i="1"/>
  <c r="AP752" i="1"/>
  <c r="AO752" i="1"/>
  <c r="AI752" i="1"/>
  <c r="AF752" i="1"/>
  <c r="AE752" i="1"/>
  <c r="AA752" i="1"/>
  <c r="Y752" i="1"/>
  <c r="X752" i="1"/>
  <c r="W752" i="1"/>
  <c r="V752" i="1"/>
  <c r="R752" i="1"/>
  <c r="M752" i="1"/>
  <c r="E752" i="1"/>
  <c r="BM751" i="1"/>
  <c r="BK751" i="1"/>
  <c r="BJ751" i="1"/>
  <c r="BI751" i="1"/>
  <c r="BH751" i="1"/>
  <c r="BG751" i="1"/>
  <c r="BF751" i="1"/>
  <c r="BE751" i="1"/>
  <c r="AY751" i="1"/>
  <c r="AX751" i="1"/>
  <c r="AW751" i="1"/>
  <c r="AV751" i="1"/>
  <c r="AU751" i="1"/>
  <c r="AT751" i="1"/>
  <c r="AS751" i="1"/>
  <c r="AR751" i="1"/>
  <c r="AQ751" i="1"/>
  <c r="AP751" i="1"/>
  <c r="AO751" i="1"/>
  <c r="AI751" i="1"/>
  <c r="AF751" i="1"/>
  <c r="AE751" i="1"/>
  <c r="AA751" i="1"/>
  <c r="Y751" i="1"/>
  <c r="X751" i="1"/>
  <c r="W751" i="1"/>
  <c r="V751" i="1"/>
  <c r="R751" i="1"/>
  <c r="M751" i="1"/>
  <c r="E751" i="1"/>
  <c r="BM750" i="1"/>
  <c r="BK750" i="1"/>
  <c r="BJ750" i="1"/>
  <c r="BI750" i="1"/>
  <c r="BH750" i="1"/>
  <c r="BG750" i="1"/>
  <c r="BF750" i="1"/>
  <c r="BE750" i="1"/>
  <c r="AY750" i="1"/>
  <c r="AX750" i="1"/>
  <c r="AW750" i="1"/>
  <c r="AV750" i="1"/>
  <c r="AU750" i="1"/>
  <c r="AT750" i="1"/>
  <c r="AS750" i="1"/>
  <c r="AR750" i="1"/>
  <c r="AQ750" i="1"/>
  <c r="AP750" i="1"/>
  <c r="AO750" i="1"/>
  <c r="AI750" i="1"/>
  <c r="AF750" i="1"/>
  <c r="AE750" i="1"/>
  <c r="AA750" i="1"/>
  <c r="Y750" i="1"/>
  <c r="X750" i="1"/>
  <c r="W750" i="1"/>
  <c r="V750" i="1"/>
  <c r="R750" i="1"/>
  <c r="M750" i="1"/>
  <c r="E750" i="1"/>
  <c r="BM749" i="1"/>
  <c r="BK749" i="1"/>
  <c r="BJ749" i="1"/>
  <c r="BI749" i="1"/>
  <c r="BH749" i="1"/>
  <c r="BG749" i="1"/>
  <c r="BF749" i="1"/>
  <c r="BE749" i="1"/>
  <c r="AY749" i="1"/>
  <c r="AX749" i="1"/>
  <c r="AW749" i="1"/>
  <c r="AV749" i="1"/>
  <c r="AU749" i="1"/>
  <c r="AT749" i="1"/>
  <c r="AS749" i="1"/>
  <c r="AR749" i="1"/>
  <c r="AQ749" i="1"/>
  <c r="AP749" i="1"/>
  <c r="AO749" i="1"/>
  <c r="AI749" i="1"/>
  <c r="AF749" i="1"/>
  <c r="AE749" i="1"/>
  <c r="AA749" i="1"/>
  <c r="Y749" i="1"/>
  <c r="X749" i="1"/>
  <c r="W749" i="1"/>
  <c r="V749" i="1"/>
  <c r="R749" i="1"/>
  <c r="M749" i="1"/>
  <c r="E749" i="1"/>
  <c r="BM748" i="1"/>
  <c r="BK748" i="1"/>
  <c r="BJ748" i="1"/>
  <c r="BI748" i="1"/>
  <c r="BH748" i="1"/>
  <c r="BG748" i="1"/>
  <c r="BF748" i="1"/>
  <c r="BE748" i="1"/>
  <c r="AY748" i="1"/>
  <c r="AX748" i="1"/>
  <c r="AW748" i="1"/>
  <c r="AV748" i="1"/>
  <c r="AU748" i="1"/>
  <c r="AT748" i="1"/>
  <c r="AS748" i="1"/>
  <c r="AR748" i="1"/>
  <c r="AQ748" i="1"/>
  <c r="AP748" i="1"/>
  <c r="AO748" i="1"/>
  <c r="AI748" i="1"/>
  <c r="AF748" i="1"/>
  <c r="AE748" i="1"/>
  <c r="AA748" i="1"/>
  <c r="Y748" i="1"/>
  <c r="X748" i="1"/>
  <c r="W748" i="1"/>
  <c r="V748" i="1"/>
  <c r="R748" i="1"/>
  <c r="M748" i="1"/>
  <c r="E748" i="1"/>
  <c r="BM747" i="1"/>
  <c r="BK747" i="1"/>
  <c r="BJ747" i="1"/>
  <c r="BI747" i="1"/>
  <c r="BH747" i="1"/>
  <c r="BG747" i="1"/>
  <c r="BF747" i="1"/>
  <c r="BE747" i="1"/>
  <c r="AY747" i="1"/>
  <c r="AX747" i="1"/>
  <c r="AW747" i="1"/>
  <c r="AV747" i="1"/>
  <c r="AU747" i="1"/>
  <c r="AT747" i="1"/>
  <c r="AS747" i="1"/>
  <c r="AR747" i="1"/>
  <c r="AQ747" i="1"/>
  <c r="AP747" i="1"/>
  <c r="AO747" i="1"/>
  <c r="AI747" i="1"/>
  <c r="AF747" i="1"/>
  <c r="AE747" i="1"/>
  <c r="AA747" i="1"/>
  <c r="Y747" i="1"/>
  <c r="X747" i="1"/>
  <c r="W747" i="1"/>
  <c r="V747" i="1"/>
  <c r="R747" i="1"/>
  <c r="M747" i="1"/>
  <c r="E747" i="1"/>
  <c r="BM746" i="1"/>
  <c r="BK746" i="1"/>
  <c r="BJ746" i="1"/>
  <c r="BI746" i="1"/>
  <c r="BH746" i="1"/>
  <c r="BG746" i="1"/>
  <c r="BF746" i="1"/>
  <c r="BE746" i="1"/>
  <c r="AY746" i="1"/>
  <c r="AX746" i="1"/>
  <c r="AW746" i="1"/>
  <c r="AV746" i="1"/>
  <c r="AU746" i="1"/>
  <c r="AT746" i="1"/>
  <c r="AS746" i="1"/>
  <c r="AR746" i="1"/>
  <c r="AQ746" i="1"/>
  <c r="AP746" i="1"/>
  <c r="AO746" i="1"/>
  <c r="AI746" i="1"/>
  <c r="AF746" i="1"/>
  <c r="AE746" i="1"/>
  <c r="AA746" i="1"/>
  <c r="Y746" i="1"/>
  <c r="X746" i="1"/>
  <c r="W746" i="1"/>
  <c r="V746" i="1"/>
  <c r="R746" i="1"/>
  <c r="M746" i="1"/>
  <c r="E746" i="1"/>
  <c r="BM745" i="1"/>
  <c r="BK745" i="1"/>
  <c r="BJ745" i="1"/>
  <c r="BI745" i="1"/>
  <c r="BH745" i="1"/>
  <c r="BG745" i="1"/>
  <c r="BF745" i="1"/>
  <c r="BE745" i="1"/>
  <c r="AY745" i="1"/>
  <c r="AX745" i="1"/>
  <c r="AW745" i="1"/>
  <c r="AV745" i="1"/>
  <c r="AU745" i="1"/>
  <c r="AT745" i="1"/>
  <c r="AS745" i="1"/>
  <c r="AR745" i="1"/>
  <c r="AQ745" i="1"/>
  <c r="AP745" i="1"/>
  <c r="AO745" i="1"/>
  <c r="AI745" i="1"/>
  <c r="AF745" i="1"/>
  <c r="AE745" i="1"/>
  <c r="AA745" i="1"/>
  <c r="Y745" i="1"/>
  <c r="X745" i="1"/>
  <c r="W745" i="1"/>
  <c r="V745" i="1"/>
  <c r="R745" i="1"/>
  <c r="M745" i="1"/>
  <c r="E745" i="1"/>
  <c r="BM744" i="1"/>
  <c r="BK744" i="1"/>
  <c r="BJ744" i="1"/>
  <c r="BI744" i="1"/>
  <c r="BH744" i="1"/>
  <c r="BG744" i="1"/>
  <c r="BF744" i="1"/>
  <c r="BE744" i="1"/>
  <c r="AY744" i="1"/>
  <c r="AX744" i="1"/>
  <c r="AW744" i="1"/>
  <c r="AV744" i="1"/>
  <c r="AU744" i="1"/>
  <c r="AT744" i="1"/>
  <c r="AS744" i="1"/>
  <c r="AR744" i="1"/>
  <c r="AQ744" i="1"/>
  <c r="AP744" i="1"/>
  <c r="AO744" i="1"/>
  <c r="AI744" i="1"/>
  <c r="AF744" i="1"/>
  <c r="AE744" i="1"/>
  <c r="AA744" i="1"/>
  <c r="Y744" i="1"/>
  <c r="X744" i="1"/>
  <c r="W744" i="1"/>
  <c r="V744" i="1"/>
  <c r="R744" i="1"/>
  <c r="M744" i="1"/>
  <c r="E744" i="1"/>
  <c r="BM743" i="1"/>
  <c r="BK743" i="1"/>
  <c r="BJ743" i="1"/>
  <c r="BI743" i="1"/>
  <c r="BH743" i="1"/>
  <c r="BG743" i="1"/>
  <c r="BF743" i="1"/>
  <c r="BE743" i="1"/>
  <c r="AY743" i="1"/>
  <c r="AX743" i="1"/>
  <c r="AW743" i="1"/>
  <c r="AV743" i="1"/>
  <c r="AU743" i="1"/>
  <c r="AT743" i="1"/>
  <c r="AS743" i="1"/>
  <c r="AR743" i="1"/>
  <c r="AQ743" i="1"/>
  <c r="AP743" i="1"/>
  <c r="AO743" i="1"/>
  <c r="AI743" i="1"/>
  <c r="AF743" i="1"/>
  <c r="AE743" i="1"/>
  <c r="AA743" i="1"/>
  <c r="Y743" i="1"/>
  <c r="X743" i="1"/>
  <c r="W743" i="1"/>
  <c r="V743" i="1"/>
  <c r="R743" i="1"/>
  <c r="M743" i="1"/>
  <c r="E743" i="1"/>
  <c r="AI742" i="1"/>
  <c r="AF742" i="1"/>
  <c r="AE742" i="1"/>
  <c r="AA742" i="1"/>
  <c r="W742" i="1"/>
  <c r="V742" i="1"/>
  <c r="E742" i="1"/>
  <c r="AI741" i="1"/>
  <c r="AF741" i="1"/>
  <c r="AE741" i="1"/>
  <c r="AA741" i="1"/>
  <c r="W741" i="1"/>
  <c r="V741" i="1"/>
  <c r="E741" i="1"/>
  <c r="AI740" i="1"/>
  <c r="AF740" i="1"/>
  <c r="AE740" i="1"/>
  <c r="AA740" i="1"/>
  <c r="W740" i="1"/>
  <c r="V740" i="1"/>
  <c r="E740" i="1"/>
  <c r="AI739" i="1"/>
  <c r="AF739" i="1"/>
  <c r="AE739" i="1"/>
  <c r="AA739" i="1"/>
  <c r="W739" i="1"/>
  <c r="V739" i="1"/>
  <c r="E739" i="1"/>
  <c r="AI738" i="1"/>
  <c r="AF738" i="1"/>
  <c r="AE738" i="1"/>
  <c r="AA738" i="1"/>
  <c r="W738" i="1"/>
  <c r="V738" i="1"/>
  <c r="E738" i="1"/>
  <c r="AI737" i="1"/>
  <c r="AF737" i="1"/>
  <c r="AE737" i="1"/>
  <c r="AA737" i="1"/>
  <c r="W737" i="1"/>
  <c r="V737" i="1"/>
  <c r="E737" i="1"/>
  <c r="AI736" i="1"/>
  <c r="AF736" i="1"/>
  <c r="AE736" i="1"/>
  <c r="AA736" i="1"/>
  <c r="W736" i="1"/>
  <c r="V736" i="1"/>
  <c r="E736" i="1"/>
  <c r="BA726" i="1"/>
  <c r="AJ726" i="1"/>
  <c r="AG726" i="1"/>
  <c r="AC726" i="1"/>
  <c r="U726" i="1"/>
  <c r="T726" i="1"/>
  <c r="H726" i="1"/>
  <c r="G726" i="1"/>
  <c r="F726" i="1"/>
  <c r="BM725" i="1"/>
  <c r="BK725" i="1"/>
  <c r="BJ725" i="1"/>
  <c r="BI725" i="1"/>
  <c r="BH725" i="1"/>
  <c r="BG725" i="1"/>
  <c r="BF725" i="1"/>
  <c r="BE725" i="1"/>
  <c r="AY725" i="1"/>
  <c r="AX725" i="1"/>
  <c r="AW725" i="1"/>
  <c r="AV725" i="1"/>
  <c r="AU725" i="1"/>
  <c r="AT725" i="1"/>
  <c r="AS725" i="1"/>
  <c r="AR725" i="1"/>
  <c r="AQ725" i="1"/>
  <c r="AP725" i="1"/>
  <c r="AO725" i="1"/>
  <c r="AI725" i="1"/>
  <c r="AF725" i="1"/>
  <c r="AE725" i="1"/>
  <c r="AA725" i="1"/>
  <c r="Y725" i="1"/>
  <c r="X725" i="1"/>
  <c r="W725" i="1"/>
  <c r="V725" i="1"/>
  <c r="R725" i="1"/>
  <c r="M725" i="1"/>
  <c r="E725" i="1"/>
  <c r="BM724" i="1"/>
  <c r="BK724" i="1"/>
  <c r="BJ724" i="1"/>
  <c r="BI724" i="1"/>
  <c r="BH724" i="1"/>
  <c r="BG724" i="1"/>
  <c r="BF724" i="1"/>
  <c r="BE724" i="1"/>
  <c r="AY724" i="1"/>
  <c r="AX724" i="1"/>
  <c r="AW724" i="1"/>
  <c r="AV724" i="1"/>
  <c r="AU724" i="1"/>
  <c r="AT724" i="1"/>
  <c r="AS724" i="1"/>
  <c r="AR724" i="1"/>
  <c r="AQ724" i="1"/>
  <c r="AP724" i="1"/>
  <c r="AO724" i="1"/>
  <c r="AI724" i="1"/>
  <c r="AF724" i="1"/>
  <c r="AE724" i="1"/>
  <c r="AA724" i="1"/>
  <c r="Y724" i="1"/>
  <c r="X724" i="1"/>
  <c r="W724" i="1"/>
  <c r="V724" i="1"/>
  <c r="R724" i="1"/>
  <c r="M724" i="1"/>
  <c r="E724" i="1"/>
  <c r="BM723" i="1"/>
  <c r="BK723" i="1"/>
  <c r="BJ723" i="1"/>
  <c r="BI723" i="1"/>
  <c r="BH723" i="1"/>
  <c r="BG723" i="1"/>
  <c r="BF723" i="1"/>
  <c r="BE723" i="1"/>
  <c r="AY723" i="1"/>
  <c r="AX723" i="1"/>
  <c r="AW723" i="1"/>
  <c r="AV723" i="1"/>
  <c r="AU723" i="1"/>
  <c r="AT723" i="1"/>
  <c r="AS723" i="1"/>
  <c r="AR723" i="1"/>
  <c r="AQ723" i="1"/>
  <c r="AP723" i="1"/>
  <c r="AO723" i="1"/>
  <c r="AI723" i="1"/>
  <c r="AF723" i="1"/>
  <c r="AE723" i="1"/>
  <c r="AA723" i="1"/>
  <c r="Y723" i="1"/>
  <c r="X723" i="1"/>
  <c r="W723" i="1"/>
  <c r="V723" i="1"/>
  <c r="R723" i="1"/>
  <c r="M723" i="1"/>
  <c r="E723" i="1"/>
  <c r="BM722" i="1"/>
  <c r="BK722" i="1"/>
  <c r="BJ722" i="1"/>
  <c r="BI722" i="1"/>
  <c r="BH722" i="1"/>
  <c r="BG722" i="1"/>
  <c r="BF722" i="1"/>
  <c r="BE722" i="1"/>
  <c r="AY722" i="1"/>
  <c r="AX722" i="1"/>
  <c r="AW722" i="1"/>
  <c r="AV722" i="1"/>
  <c r="AU722" i="1"/>
  <c r="AT722" i="1"/>
  <c r="AS722" i="1"/>
  <c r="AR722" i="1"/>
  <c r="AQ722" i="1"/>
  <c r="AP722" i="1"/>
  <c r="AO722" i="1"/>
  <c r="AI722" i="1"/>
  <c r="AF722" i="1"/>
  <c r="AE722" i="1"/>
  <c r="AA722" i="1"/>
  <c r="Y722" i="1"/>
  <c r="X722" i="1"/>
  <c r="W722" i="1"/>
  <c r="V722" i="1"/>
  <c r="R722" i="1"/>
  <c r="M722" i="1"/>
  <c r="E722" i="1"/>
  <c r="BM721" i="1"/>
  <c r="BK721" i="1"/>
  <c r="BJ721" i="1"/>
  <c r="BI721" i="1"/>
  <c r="BH721" i="1"/>
  <c r="BG721" i="1"/>
  <c r="BF721" i="1"/>
  <c r="BE721" i="1"/>
  <c r="AY721" i="1"/>
  <c r="AX721" i="1"/>
  <c r="AW721" i="1"/>
  <c r="AV721" i="1"/>
  <c r="AU721" i="1"/>
  <c r="AT721" i="1"/>
  <c r="AS721" i="1"/>
  <c r="AR721" i="1"/>
  <c r="AQ721" i="1"/>
  <c r="AP721" i="1"/>
  <c r="AO721" i="1"/>
  <c r="AI721" i="1"/>
  <c r="AF721" i="1"/>
  <c r="AE721" i="1"/>
  <c r="AA721" i="1"/>
  <c r="Y721" i="1"/>
  <c r="X721" i="1"/>
  <c r="W721" i="1"/>
  <c r="V721" i="1"/>
  <c r="R721" i="1"/>
  <c r="M721" i="1"/>
  <c r="E721" i="1"/>
  <c r="BM720" i="1"/>
  <c r="BK720" i="1"/>
  <c r="BJ720" i="1"/>
  <c r="BI720" i="1"/>
  <c r="BH720" i="1"/>
  <c r="BG720" i="1"/>
  <c r="BF720" i="1"/>
  <c r="BE720" i="1"/>
  <c r="AY720" i="1"/>
  <c r="AX720" i="1"/>
  <c r="AW720" i="1"/>
  <c r="AV720" i="1"/>
  <c r="AU720" i="1"/>
  <c r="AT720" i="1"/>
  <c r="AS720" i="1"/>
  <c r="AR720" i="1"/>
  <c r="AQ720" i="1"/>
  <c r="AP720" i="1"/>
  <c r="AO720" i="1"/>
  <c r="AI720" i="1"/>
  <c r="AF720" i="1"/>
  <c r="AE720" i="1"/>
  <c r="AA720" i="1"/>
  <c r="Y720" i="1"/>
  <c r="X720" i="1"/>
  <c r="W720" i="1"/>
  <c r="V720" i="1"/>
  <c r="R720" i="1"/>
  <c r="M720" i="1"/>
  <c r="E720" i="1"/>
  <c r="BM719" i="1"/>
  <c r="BK719" i="1"/>
  <c r="BJ719" i="1"/>
  <c r="BI719" i="1"/>
  <c r="BH719" i="1"/>
  <c r="BG719" i="1"/>
  <c r="BF719" i="1"/>
  <c r="BE719" i="1"/>
  <c r="AY719" i="1"/>
  <c r="AX719" i="1"/>
  <c r="AW719" i="1"/>
  <c r="AV719" i="1"/>
  <c r="AU719" i="1"/>
  <c r="AT719" i="1"/>
  <c r="AS719" i="1"/>
  <c r="AR719" i="1"/>
  <c r="AQ719" i="1"/>
  <c r="AP719" i="1"/>
  <c r="AO719" i="1"/>
  <c r="AI719" i="1"/>
  <c r="AF719" i="1"/>
  <c r="AE719" i="1"/>
  <c r="AA719" i="1"/>
  <c r="Y719" i="1"/>
  <c r="X719" i="1"/>
  <c r="W719" i="1"/>
  <c r="V719" i="1"/>
  <c r="R719" i="1"/>
  <c r="M719" i="1"/>
  <c r="E719" i="1"/>
  <c r="BM718" i="1"/>
  <c r="BK718" i="1"/>
  <c r="BJ718" i="1"/>
  <c r="BI718" i="1"/>
  <c r="BH718" i="1"/>
  <c r="BG718" i="1"/>
  <c r="BF718" i="1"/>
  <c r="BE718" i="1"/>
  <c r="AY718" i="1"/>
  <c r="AX718" i="1"/>
  <c r="AW718" i="1"/>
  <c r="AV718" i="1"/>
  <c r="AU718" i="1"/>
  <c r="AT718" i="1"/>
  <c r="AS718" i="1"/>
  <c r="AR718" i="1"/>
  <c r="AQ718" i="1"/>
  <c r="AP718" i="1"/>
  <c r="AO718" i="1"/>
  <c r="AI718" i="1"/>
  <c r="AF718" i="1"/>
  <c r="AE718" i="1"/>
  <c r="AA718" i="1"/>
  <c r="Y718" i="1"/>
  <c r="X718" i="1"/>
  <c r="W718" i="1"/>
  <c r="V718" i="1"/>
  <c r="R718" i="1"/>
  <c r="M718" i="1"/>
  <c r="E718" i="1"/>
  <c r="BM717" i="1"/>
  <c r="BK717" i="1"/>
  <c r="BJ717" i="1"/>
  <c r="BI717" i="1"/>
  <c r="BH717" i="1"/>
  <c r="BG717" i="1"/>
  <c r="BF717" i="1"/>
  <c r="BE717" i="1"/>
  <c r="AY717" i="1"/>
  <c r="AX717" i="1"/>
  <c r="AW717" i="1"/>
  <c r="AV717" i="1"/>
  <c r="AU717" i="1"/>
  <c r="AT717" i="1"/>
  <c r="AS717" i="1"/>
  <c r="AR717" i="1"/>
  <c r="AQ717" i="1"/>
  <c r="AP717" i="1"/>
  <c r="AO717" i="1"/>
  <c r="AI717" i="1"/>
  <c r="AF717" i="1"/>
  <c r="AE717" i="1"/>
  <c r="AA717" i="1"/>
  <c r="Y717" i="1"/>
  <c r="X717" i="1"/>
  <c r="W717" i="1"/>
  <c r="V717" i="1"/>
  <c r="R717" i="1"/>
  <c r="M717" i="1"/>
  <c r="E717" i="1"/>
  <c r="BM716" i="1"/>
  <c r="BK716" i="1"/>
  <c r="BJ716" i="1"/>
  <c r="BI716" i="1"/>
  <c r="BH716" i="1"/>
  <c r="BG716" i="1"/>
  <c r="BF716" i="1"/>
  <c r="BE716" i="1"/>
  <c r="AY716" i="1"/>
  <c r="AX716" i="1"/>
  <c r="AW716" i="1"/>
  <c r="AV716" i="1"/>
  <c r="AU716" i="1"/>
  <c r="AT716" i="1"/>
  <c r="AS716" i="1"/>
  <c r="AR716" i="1"/>
  <c r="AQ716" i="1"/>
  <c r="AP716" i="1"/>
  <c r="AO716" i="1"/>
  <c r="AI716" i="1"/>
  <c r="AF716" i="1"/>
  <c r="AE716" i="1"/>
  <c r="AA716" i="1"/>
  <c r="Y716" i="1"/>
  <c r="X716" i="1"/>
  <c r="W716" i="1"/>
  <c r="V716" i="1"/>
  <c r="R716" i="1"/>
  <c r="M716" i="1"/>
  <c r="E716" i="1"/>
  <c r="BM715" i="1"/>
  <c r="BK715" i="1"/>
  <c r="BJ715" i="1"/>
  <c r="BI715" i="1"/>
  <c r="BH715" i="1"/>
  <c r="BG715" i="1"/>
  <c r="BF715" i="1"/>
  <c r="BE715" i="1"/>
  <c r="AY715" i="1"/>
  <c r="AX715" i="1"/>
  <c r="AW715" i="1"/>
  <c r="AV715" i="1"/>
  <c r="AU715" i="1"/>
  <c r="AT715" i="1"/>
  <c r="AS715" i="1"/>
  <c r="AR715" i="1"/>
  <c r="AQ715" i="1"/>
  <c r="AP715" i="1"/>
  <c r="AO715" i="1"/>
  <c r="AI715" i="1"/>
  <c r="AF715" i="1"/>
  <c r="AE715" i="1"/>
  <c r="AA715" i="1"/>
  <c r="Y715" i="1"/>
  <c r="X715" i="1"/>
  <c r="W715" i="1"/>
  <c r="V715" i="1"/>
  <c r="R715" i="1"/>
  <c r="M715" i="1"/>
  <c r="E715" i="1"/>
  <c r="BM714" i="1"/>
  <c r="BK714" i="1"/>
  <c r="BJ714" i="1"/>
  <c r="BI714" i="1"/>
  <c r="BH714" i="1"/>
  <c r="BG714" i="1"/>
  <c r="BF714" i="1"/>
  <c r="BE714" i="1"/>
  <c r="AY714" i="1"/>
  <c r="AX714" i="1"/>
  <c r="AW714" i="1"/>
  <c r="AV714" i="1"/>
  <c r="AU714" i="1"/>
  <c r="AT714" i="1"/>
  <c r="AS714" i="1"/>
  <c r="AR714" i="1"/>
  <c r="AQ714" i="1"/>
  <c r="AP714" i="1"/>
  <c r="AO714" i="1"/>
  <c r="AI714" i="1"/>
  <c r="AF714" i="1"/>
  <c r="AE714" i="1"/>
  <c r="AA714" i="1"/>
  <c r="Y714" i="1"/>
  <c r="X714" i="1"/>
  <c r="W714" i="1"/>
  <c r="V714" i="1"/>
  <c r="R714" i="1"/>
  <c r="M714" i="1"/>
  <c r="E714" i="1"/>
  <c r="AI713" i="1"/>
  <c r="AF713" i="1"/>
  <c r="AE713" i="1"/>
  <c r="AA713" i="1"/>
  <c r="W713" i="1"/>
  <c r="V713" i="1"/>
  <c r="E713" i="1"/>
  <c r="AI712" i="1"/>
  <c r="AF712" i="1"/>
  <c r="AE712" i="1"/>
  <c r="AA712" i="1"/>
  <c r="W712" i="1"/>
  <c r="V712" i="1"/>
  <c r="E712" i="1"/>
  <c r="AI711" i="1"/>
  <c r="AF711" i="1"/>
  <c r="AE711" i="1"/>
  <c r="AA711" i="1"/>
  <c r="W711" i="1"/>
  <c r="V711" i="1"/>
  <c r="E711" i="1"/>
  <c r="AI710" i="1"/>
  <c r="AF710" i="1"/>
  <c r="AE710" i="1"/>
  <c r="AA710" i="1"/>
  <c r="W710" i="1"/>
  <c r="V710" i="1"/>
  <c r="E710" i="1"/>
  <c r="AI709" i="1"/>
  <c r="AF709" i="1"/>
  <c r="AE709" i="1"/>
  <c r="AA709" i="1"/>
  <c r="W709" i="1"/>
  <c r="V709" i="1"/>
  <c r="E709" i="1"/>
  <c r="AI708" i="1"/>
  <c r="AF708" i="1"/>
  <c r="AE708" i="1"/>
  <c r="AA708" i="1"/>
  <c r="W708" i="1"/>
  <c r="V708" i="1"/>
  <c r="E708" i="1"/>
  <c r="AI707" i="1"/>
  <c r="AF707" i="1"/>
  <c r="AE707" i="1"/>
  <c r="AA707" i="1"/>
  <c r="W707" i="1"/>
  <c r="V707" i="1"/>
  <c r="E707" i="1"/>
  <c r="BA697" i="1"/>
  <c r="AJ697" i="1"/>
  <c r="AG697" i="1"/>
  <c r="AC697" i="1"/>
  <c r="U697" i="1"/>
  <c r="T697" i="1"/>
  <c r="H697" i="1"/>
  <c r="G697" i="1"/>
  <c r="F697" i="1"/>
  <c r="BM696" i="1"/>
  <c r="BK696" i="1"/>
  <c r="BJ696" i="1"/>
  <c r="BI696" i="1"/>
  <c r="BH696" i="1"/>
  <c r="BG696" i="1"/>
  <c r="BF696" i="1"/>
  <c r="BE696" i="1"/>
  <c r="AY696" i="1"/>
  <c r="AX696" i="1"/>
  <c r="AW696" i="1"/>
  <c r="AV696" i="1"/>
  <c r="AU696" i="1"/>
  <c r="AT696" i="1"/>
  <c r="AS696" i="1"/>
  <c r="AR696" i="1"/>
  <c r="AQ696" i="1"/>
  <c r="AP696" i="1"/>
  <c r="AO696" i="1"/>
  <c r="AI696" i="1"/>
  <c r="AF696" i="1"/>
  <c r="AE696" i="1"/>
  <c r="AA696" i="1"/>
  <c r="Y696" i="1"/>
  <c r="X696" i="1"/>
  <c r="W696" i="1"/>
  <c r="V696" i="1"/>
  <c r="R696" i="1"/>
  <c r="M696" i="1"/>
  <c r="E696" i="1"/>
  <c r="BM695" i="1"/>
  <c r="BK695" i="1"/>
  <c r="BJ695" i="1"/>
  <c r="BI695" i="1"/>
  <c r="BH695" i="1"/>
  <c r="BG695" i="1"/>
  <c r="BF695" i="1"/>
  <c r="BE695" i="1"/>
  <c r="AY695" i="1"/>
  <c r="AX695" i="1"/>
  <c r="AW695" i="1"/>
  <c r="AV695" i="1"/>
  <c r="AU695" i="1"/>
  <c r="AT695" i="1"/>
  <c r="AS695" i="1"/>
  <c r="AR695" i="1"/>
  <c r="AQ695" i="1"/>
  <c r="AP695" i="1"/>
  <c r="AO695" i="1"/>
  <c r="AI695" i="1"/>
  <c r="AF695" i="1"/>
  <c r="AE695" i="1"/>
  <c r="AA695" i="1"/>
  <c r="Y695" i="1"/>
  <c r="X695" i="1"/>
  <c r="W695" i="1"/>
  <c r="V695" i="1"/>
  <c r="R695" i="1"/>
  <c r="M695" i="1"/>
  <c r="E695" i="1"/>
  <c r="BM694" i="1"/>
  <c r="BK694" i="1"/>
  <c r="BJ694" i="1"/>
  <c r="BI694" i="1"/>
  <c r="BH694" i="1"/>
  <c r="BG694" i="1"/>
  <c r="BF694" i="1"/>
  <c r="BE694" i="1"/>
  <c r="AY694" i="1"/>
  <c r="AX694" i="1"/>
  <c r="AW694" i="1"/>
  <c r="AV694" i="1"/>
  <c r="AU694" i="1"/>
  <c r="AT694" i="1"/>
  <c r="AS694" i="1"/>
  <c r="AR694" i="1"/>
  <c r="AQ694" i="1"/>
  <c r="AP694" i="1"/>
  <c r="AO694" i="1"/>
  <c r="AI694" i="1"/>
  <c r="AF694" i="1"/>
  <c r="AE694" i="1"/>
  <c r="AA694" i="1"/>
  <c r="Y694" i="1"/>
  <c r="X694" i="1"/>
  <c r="W694" i="1"/>
  <c r="V694" i="1"/>
  <c r="R694" i="1"/>
  <c r="M694" i="1"/>
  <c r="E694" i="1"/>
  <c r="BM693" i="1"/>
  <c r="BK693" i="1"/>
  <c r="BJ693" i="1"/>
  <c r="BI693" i="1"/>
  <c r="BH693" i="1"/>
  <c r="BG693" i="1"/>
  <c r="BF693" i="1"/>
  <c r="BE693" i="1"/>
  <c r="AY693" i="1"/>
  <c r="AX693" i="1"/>
  <c r="AW693" i="1"/>
  <c r="AV693" i="1"/>
  <c r="AU693" i="1"/>
  <c r="AT693" i="1"/>
  <c r="AS693" i="1"/>
  <c r="AR693" i="1"/>
  <c r="AQ693" i="1"/>
  <c r="AP693" i="1"/>
  <c r="AO693" i="1"/>
  <c r="AI693" i="1"/>
  <c r="AF693" i="1"/>
  <c r="AE693" i="1"/>
  <c r="AA693" i="1"/>
  <c r="Y693" i="1"/>
  <c r="X693" i="1"/>
  <c r="W693" i="1"/>
  <c r="V693" i="1"/>
  <c r="R693" i="1"/>
  <c r="M693" i="1"/>
  <c r="E693" i="1"/>
  <c r="BM692" i="1"/>
  <c r="BK692" i="1"/>
  <c r="BJ692" i="1"/>
  <c r="BI692" i="1"/>
  <c r="BH692" i="1"/>
  <c r="BG692" i="1"/>
  <c r="BF692" i="1"/>
  <c r="BE692" i="1"/>
  <c r="AY692" i="1"/>
  <c r="AX692" i="1"/>
  <c r="AW692" i="1"/>
  <c r="AV692" i="1"/>
  <c r="AU692" i="1"/>
  <c r="AT692" i="1"/>
  <c r="AS692" i="1"/>
  <c r="AR692" i="1"/>
  <c r="AQ692" i="1"/>
  <c r="AP692" i="1"/>
  <c r="AO692" i="1"/>
  <c r="AI692" i="1"/>
  <c r="AF692" i="1"/>
  <c r="AE692" i="1"/>
  <c r="AA692" i="1"/>
  <c r="Y692" i="1"/>
  <c r="X692" i="1"/>
  <c r="W692" i="1"/>
  <c r="V692" i="1"/>
  <c r="R692" i="1"/>
  <c r="M692" i="1"/>
  <c r="E692" i="1"/>
  <c r="BM691" i="1"/>
  <c r="BK691" i="1"/>
  <c r="BJ691" i="1"/>
  <c r="BI691" i="1"/>
  <c r="BH691" i="1"/>
  <c r="BG691" i="1"/>
  <c r="BF691" i="1"/>
  <c r="BE691" i="1"/>
  <c r="AY691" i="1"/>
  <c r="AX691" i="1"/>
  <c r="AW691" i="1"/>
  <c r="AV691" i="1"/>
  <c r="AU691" i="1"/>
  <c r="AT691" i="1"/>
  <c r="AS691" i="1"/>
  <c r="AR691" i="1"/>
  <c r="AQ691" i="1"/>
  <c r="AP691" i="1"/>
  <c r="AO691" i="1"/>
  <c r="AI691" i="1"/>
  <c r="AF691" i="1"/>
  <c r="AE691" i="1"/>
  <c r="AA691" i="1"/>
  <c r="Y691" i="1"/>
  <c r="X691" i="1"/>
  <c r="W691" i="1"/>
  <c r="V691" i="1"/>
  <c r="R691" i="1"/>
  <c r="M691" i="1"/>
  <c r="E691" i="1"/>
  <c r="BM690" i="1"/>
  <c r="BK690" i="1"/>
  <c r="BJ690" i="1"/>
  <c r="BI690" i="1"/>
  <c r="BH690" i="1"/>
  <c r="BG690" i="1"/>
  <c r="BF690" i="1"/>
  <c r="BE690" i="1"/>
  <c r="AY690" i="1"/>
  <c r="AX690" i="1"/>
  <c r="AW690" i="1"/>
  <c r="AV690" i="1"/>
  <c r="AU690" i="1"/>
  <c r="AT690" i="1"/>
  <c r="AS690" i="1"/>
  <c r="AR690" i="1"/>
  <c r="AQ690" i="1"/>
  <c r="AP690" i="1"/>
  <c r="AO690" i="1"/>
  <c r="AI690" i="1"/>
  <c r="AF690" i="1"/>
  <c r="AE690" i="1"/>
  <c r="AA690" i="1"/>
  <c r="Y690" i="1"/>
  <c r="X690" i="1"/>
  <c r="W690" i="1"/>
  <c r="V690" i="1"/>
  <c r="R690" i="1"/>
  <c r="M690" i="1"/>
  <c r="E690" i="1"/>
  <c r="BM689" i="1"/>
  <c r="BK689" i="1"/>
  <c r="BJ689" i="1"/>
  <c r="BI689" i="1"/>
  <c r="BH689" i="1"/>
  <c r="BG689" i="1"/>
  <c r="BF689" i="1"/>
  <c r="BE689" i="1"/>
  <c r="AY689" i="1"/>
  <c r="AX689" i="1"/>
  <c r="AW689" i="1"/>
  <c r="AV689" i="1"/>
  <c r="AU689" i="1"/>
  <c r="AT689" i="1"/>
  <c r="AS689" i="1"/>
  <c r="AR689" i="1"/>
  <c r="AQ689" i="1"/>
  <c r="AP689" i="1"/>
  <c r="AO689" i="1"/>
  <c r="AI689" i="1"/>
  <c r="AF689" i="1"/>
  <c r="AE689" i="1"/>
  <c r="AA689" i="1"/>
  <c r="Y689" i="1"/>
  <c r="X689" i="1"/>
  <c r="W689" i="1"/>
  <c r="V689" i="1"/>
  <c r="R689" i="1"/>
  <c r="M689" i="1"/>
  <c r="E689" i="1"/>
  <c r="BM688" i="1"/>
  <c r="BK688" i="1"/>
  <c r="BJ688" i="1"/>
  <c r="BI688" i="1"/>
  <c r="BH688" i="1"/>
  <c r="BG688" i="1"/>
  <c r="BF688" i="1"/>
  <c r="BE688" i="1"/>
  <c r="AY688" i="1"/>
  <c r="AX688" i="1"/>
  <c r="AW688" i="1"/>
  <c r="AV688" i="1"/>
  <c r="AU688" i="1"/>
  <c r="AT688" i="1"/>
  <c r="AS688" i="1"/>
  <c r="AR688" i="1"/>
  <c r="AQ688" i="1"/>
  <c r="AP688" i="1"/>
  <c r="AO688" i="1"/>
  <c r="AI688" i="1"/>
  <c r="AF688" i="1"/>
  <c r="AE688" i="1"/>
  <c r="AA688" i="1"/>
  <c r="Y688" i="1"/>
  <c r="X688" i="1"/>
  <c r="W688" i="1"/>
  <c r="V688" i="1"/>
  <c r="R688" i="1"/>
  <c r="M688" i="1"/>
  <c r="E688" i="1"/>
  <c r="BM687" i="1"/>
  <c r="BK687" i="1"/>
  <c r="BJ687" i="1"/>
  <c r="BI687" i="1"/>
  <c r="BH687" i="1"/>
  <c r="BG687" i="1"/>
  <c r="BF687" i="1"/>
  <c r="BE687" i="1"/>
  <c r="AY687" i="1"/>
  <c r="AX687" i="1"/>
  <c r="AW687" i="1"/>
  <c r="AV687" i="1"/>
  <c r="AU687" i="1"/>
  <c r="AT687" i="1"/>
  <c r="AS687" i="1"/>
  <c r="AR687" i="1"/>
  <c r="AQ687" i="1"/>
  <c r="AP687" i="1"/>
  <c r="AO687" i="1"/>
  <c r="AI687" i="1"/>
  <c r="AF687" i="1"/>
  <c r="AE687" i="1"/>
  <c r="AA687" i="1"/>
  <c r="Y687" i="1"/>
  <c r="X687" i="1"/>
  <c r="W687" i="1"/>
  <c r="V687" i="1"/>
  <c r="R687" i="1"/>
  <c r="M687" i="1"/>
  <c r="E687" i="1"/>
  <c r="BM686" i="1"/>
  <c r="BK686" i="1"/>
  <c r="BJ686" i="1"/>
  <c r="BI686" i="1"/>
  <c r="BH686" i="1"/>
  <c r="BG686" i="1"/>
  <c r="BF686" i="1"/>
  <c r="BE686" i="1"/>
  <c r="AY686" i="1"/>
  <c r="AX686" i="1"/>
  <c r="AW686" i="1"/>
  <c r="AV686" i="1"/>
  <c r="AU686" i="1"/>
  <c r="AT686" i="1"/>
  <c r="AS686" i="1"/>
  <c r="AR686" i="1"/>
  <c r="AQ686" i="1"/>
  <c r="AP686" i="1"/>
  <c r="AO686" i="1"/>
  <c r="AI686" i="1"/>
  <c r="AF686" i="1"/>
  <c r="AE686" i="1"/>
  <c r="AA686" i="1"/>
  <c r="Y686" i="1"/>
  <c r="X686" i="1"/>
  <c r="W686" i="1"/>
  <c r="V686" i="1"/>
  <c r="R686" i="1"/>
  <c r="M686" i="1"/>
  <c r="E686" i="1"/>
  <c r="BM685" i="1"/>
  <c r="BK685" i="1"/>
  <c r="BJ685" i="1"/>
  <c r="BI685" i="1"/>
  <c r="BH685" i="1"/>
  <c r="BG685" i="1"/>
  <c r="BF685" i="1"/>
  <c r="BE685" i="1"/>
  <c r="AY685" i="1"/>
  <c r="AX685" i="1"/>
  <c r="AW685" i="1"/>
  <c r="AV685" i="1"/>
  <c r="AU685" i="1"/>
  <c r="AT685" i="1"/>
  <c r="AS685" i="1"/>
  <c r="AR685" i="1"/>
  <c r="AQ685" i="1"/>
  <c r="AP685" i="1"/>
  <c r="AO685" i="1"/>
  <c r="AI685" i="1"/>
  <c r="AF685" i="1"/>
  <c r="AE685" i="1"/>
  <c r="AA685" i="1"/>
  <c r="Y685" i="1"/>
  <c r="X685" i="1"/>
  <c r="W685" i="1"/>
  <c r="V685" i="1"/>
  <c r="R685" i="1"/>
  <c r="M685" i="1"/>
  <c r="E685" i="1"/>
  <c r="AI684" i="1"/>
  <c r="AF684" i="1"/>
  <c r="AE684" i="1"/>
  <c r="AA684" i="1"/>
  <c r="W684" i="1"/>
  <c r="V684" i="1"/>
  <c r="E684" i="1"/>
  <c r="AI683" i="1"/>
  <c r="AF683" i="1"/>
  <c r="AE683" i="1"/>
  <c r="AA683" i="1"/>
  <c r="W683" i="1"/>
  <c r="V683" i="1"/>
  <c r="E683" i="1"/>
  <c r="AI682" i="1"/>
  <c r="AF682" i="1"/>
  <c r="AE682" i="1"/>
  <c r="AA682" i="1"/>
  <c r="W682" i="1"/>
  <c r="V682" i="1"/>
  <c r="E682" i="1"/>
  <c r="AI681" i="1"/>
  <c r="AF681" i="1"/>
  <c r="AE681" i="1"/>
  <c r="AA681" i="1"/>
  <c r="W681" i="1"/>
  <c r="V681" i="1"/>
  <c r="E681" i="1"/>
  <c r="AI680" i="1"/>
  <c r="AF680" i="1"/>
  <c r="AE680" i="1"/>
  <c r="AA680" i="1"/>
  <c r="W680" i="1"/>
  <c r="V680" i="1"/>
  <c r="E680" i="1"/>
  <c r="AI679" i="1"/>
  <c r="AF679" i="1"/>
  <c r="AE679" i="1"/>
  <c r="AA679" i="1"/>
  <c r="W679" i="1"/>
  <c r="V679" i="1"/>
  <c r="E679" i="1"/>
  <c r="AI678" i="1"/>
  <c r="AF678" i="1"/>
  <c r="AE678" i="1"/>
  <c r="AA678" i="1"/>
  <c r="W678" i="1"/>
  <c r="V678" i="1"/>
  <c r="E678" i="1"/>
  <c r="BA668" i="1"/>
  <c r="AJ668" i="1"/>
  <c r="AG668" i="1"/>
  <c r="AC668" i="1"/>
  <c r="U668" i="1"/>
  <c r="T668" i="1"/>
  <c r="H668" i="1"/>
  <c r="G668" i="1"/>
  <c r="F668" i="1"/>
  <c r="BM667" i="1"/>
  <c r="BK667" i="1"/>
  <c r="BJ667" i="1"/>
  <c r="BI667" i="1"/>
  <c r="BH667" i="1"/>
  <c r="BG667" i="1"/>
  <c r="BF667" i="1"/>
  <c r="BE667" i="1"/>
  <c r="AY667" i="1"/>
  <c r="AX667" i="1"/>
  <c r="AW667" i="1"/>
  <c r="AV667" i="1"/>
  <c r="AU667" i="1"/>
  <c r="AT667" i="1"/>
  <c r="AS667" i="1"/>
  <c r="AR667" i="1"/>
  <c r="AQ667" i="1"/>
  <c r="AP667" i="1"/>
  <c r="AO667" i="1"/>
  <c r="AI667" i="1"/>
  <c r="AF667" i="1"/>
  <c r="AE667" i="1"/>
  <c r="AA667" i="1"/>
  <c r="Y667" i="1"/>
  <c r="X667" i="1"/>
  <c r="W667" i="1"/>
  <c r="V667" i="1"/>
  <c r="R667" i="1"/>
  <c r="M667" i="1"/>
  <c r="E667" i="1"/>
  <c r="BM666" i="1"/>
  <c r="BK666" i="1"/>
  <c r="BJ666" i="1"/>
  <c r="BI666" i="1"/>
  <c r="BH666" i="1"/>
  <c r="BG666" i="1"/>
  <c r="BF666" i="1"/>
  <c r="BE666" i="1"/>
  <c r="AY666" i="1"/>
  <c r="AX666" i="1"/>
  <c r="AW666" i="1"/>
  <c r="AV666" i="1"/>
  <c r="AU666" i="1"/>
  <c r="AT666" i="1"/>
  <c r="AS666" i="1"/>
  <c r="AR666" i="1"/>
  <c r="AQ666" i="1"/>
  <c r="AP666" i="1"/>
  <c r="AO666" i="1"/>
  <c r="AI666" i="1"/>
  <c r="AF666" i="1"/>
  <c r="AE666" i="1"/>
  <c r="AA666" i="1"/>
  <c r="Y666" i="1"/>
  <c r="X666" i="1"/>
  <c r="W666" i="1"/>
  <c r="V666" i="1"/>
  <c r="R666" i="1"/>
  <c r="M666" i="1"/>
  <c r="E666" i="1"/>
  <c r="BM665" i="1"/>
  <c r="BK665" i="1"/>
  <c r="BJ665" i="1"/>
  <c r="BI665" i="1"/>
  <c r="BH665" i="1"/>
  <c r="BG665" i="1"/>
  <c r="BF665" i="1"/>
  <c r="BE665" i="1"/>
  <c r="AY665" i="1"/>
  <c r="AX665" i="1"/>
  <c r="AW665" i="1"/>
  <c r="AV665" i="1"/>
  <c r="AU665" i="1"/>
  <c r="AT665" i="1"/>
  <c r="AS665" i="1"/>
  <c r="AR665" i="1"/>
  <c r="AQ665" i="1"/>
  <c r="AP665" i="1"/>
  <c r="AO665" i="1"/>
  <c r="AI665" i="1"/>
  <c r="AF665" i="1"/>
  <c r="AE665" i="1"/>
  <c r="AA665" i="1"/>
  <c r="Y665" i="1"/>
  <c r="X665" i="1"/>
  <c r="W665" i="1"/>
  <c r="V665" i="1"/>
  <c r="R665" i="1"/>
  <c r="M665" i="1"/>
  <c r="E665" i="1"/>
  <c r="BM664" i="1"/>
  <c r="BK664" i="1"/>
  <c r="BJ664" i="1"/>
  <c r="BI664" i="1"/>
  <c r="BH664" i="1"/>
  <c r="BG664" i="1"/>
  <c r="BF664" i="1"/>
  <c r="BE664" i="1"/>
  <c r="AY664" i="1"/>
  <c r="AX664" i="1"/>
  <c r="AW664" i="1"/>
  <c r="AV664" i="1"/>
  <c r="AU664" i="1"/>
  <c r="AT664" i="1"/>
  <c r="AS664" i="1"/>
  <c r="AR664" i="1"/>
  <c r="AQ664" i="1"/>
  <c r="AP664" i="1"/>
  <c r="AO664" i="1"/>
  <c r="AI664" i="1"/>
  <c r="AF664" i="1"/>
  <c r="AE664" i="1"/>
  <c r="AA664" i="1"/>
  <c r="Y664" i="1"/>
  <c r="X664" i="1"/>
  <c r="W664" i="1"/>
  <c r="V664" i="1"/>
  <c r="R664" i="1"/>
  <c r="M664" i="1"/>
  <c r="E664" i="1"/>
  <c r="BM663" i="1"/>
  <c r="BK663" i="1"/>
  <c r="BJ663" i="1"/>
  <c r="BI663" i="1"/>
  <c r="BH663" i="1"/>
  <c r="BG663" i="1"/>
  <c r="BF663" i="1"/>
  <c r="BE663" i="1"/>
  <c r="AY663" i="1"/>
  <c r="AX663" i="1"/>
  <c r="AW663" i="1"/>
  <c r="AV663" i="1"/>
  <c r="AU663" i="1"/>
  <c r="AT663" i="1"/>
  <c r="AS663" i="1"/>
  <c r="AR663" i="1"/>
  <c r="AQ663" i="1"/>
  <c r="AP663" i="1"/>
  <c r="AO663" i="1"/>
  <c r="AI663" i="1"/>
  <c r="AF663" i="1"/>
  <c r="AE663" i="1"/>
  <c r="AA663" i="1"/>
  <c r="Y663" i="1"/>
  <c r="X663" i="1"/>
  <c r="W663" i="1"/>
  <c r="V663" i="1"/>
  <c r="R663" i="1"/>
  <c r="M663" i="1"/>
  <c r="E663" i="1"/>
  <c r="BM662" i="1"/>
  <c r="BK662" i="1"/>
  <c r="BJ662" i="1"/>
  <c r="BI662" i="1"/>
  <c r="BH662" i="1"/>
  <c r="BG662" i="1"/>
  <c r="BF662" i="1"/>
  <c r="BE662" i="1"/>
  <c r="AY662" i="1"/>
  <c r="AX662" i="1"/>
  <c r="AW662" i="1"/>
  <c r="AV662" i="1"/>
  <c r="AU662" i="1"/>
  <c r="AT662" i="1"/>
  <c r="AS662" i="1"/>
  <c r="AR662" i="1"/>
  <c r="AQ662" i="1"/>
  <c r="AP662" i="1"/>
  <c r="AO662" i="1"/>
  <c r="AI662" i="1"/>
  <c r="AF662" i="1"/>
  <c r="AE662" i="1"/>
  <c r="AA662" i="1"/>
  <c r="Y662" i="1"/>
  <c r="X662" i="1"/>
  <c r="W662" i="1"/>
  <c r="V662" i="1"/>
  <c r="R662" i="1"/>
  <c r="M662" i="1"/>
  <c r="E662" i="1"/>
  <c r="BM661" i="1"/>
  <c r="BK661" i="1"/>
  <c r="BJ661" i="1"/>
  <c r="BI661" i="1"/>
  <c r="BH661" i="1"/>
  <c r="BG661" i="1"/>
  <c r="BF661" i="1"/>
  <c r="BE661" i="1"/>
  <c r="AY661" i="1"/>
  <c r="AX661" i="1"/>
  <c r="AW661" i="1"/>
  <c r="AV661" i="1"/>
  <c r="AU661" i="1"/>
  <c r="AT661" i="1"/>
  <c r="AS661" i="1"/>
  <c r="AR661" i="1"/>
  <c r="AQ661" i="1"/>
  <c r="AP661" i="1"/>
  <c r="AO661" i="1"/>
  <c r="AI661" i="1"/>
  <c r="AF661" i="1"/>
  <c r="AE661" i="1"/>
  <c r="AA661" i="1"/>
  <c r="Y661" i="1"/>
  <c r="X661" i="1"/>
  <c r="W661" i="1"/>
  <c r="V661" i="1"/>
  <c r="R661" i="1"/>
  <c r="M661" i="1"/>
  <c r="E661" i="1"/>
  <c r="BM660" i="1"/>
  <c r="BK660" i="1"/>
  <c r="BJ660" i="1"/>
  <c r="BI660" i="1"/>
  <c r="BH660" i="1"/>
  <c r="BG660" i="1"/>
  <c r="BF660" i="1"/>
  <c r="BE660" i="1"/>
  <c r="AY660" i="1"/>
  <c r="AX660" i="1"/>
  <c r="AW660" i="1"/>
  <c r="AV660" i="1"/>
  <c r="AU660" i="1"/>
  <c r="AT660" i="1"/>
  <c r="AS660" i="1"/>
  <c r="AR660" i="1"/>
  <c r="AQ660" i="1"/>
  <c r="AP660" i="1"/>
  <c r="AO660" i="1"/>
  <c r="AI660" i="1"/>
  <c r="AF660" i="1"/>
  <c r="AE660" i="1"/>
  <c r="AA660" i="1"/>
  <c r="Y660" i="1"/>
  <c r="X660" i="1"/>
  <c r="W660" i="1"/>
  <c r="V660" i="1"/>
  <c r="R660" i="1"/>
  <c r="M660" i="1"/>
  <c r="E660" i="1"/>
  <c r="BM659" i="1"/>
  <c r="BK659" i="1"/>
  <c r="BJ659" i="1"/>
  <c r="BI659" i="1"/>
  <c r="BH659" i="1"/>
  <c r="BG659" i="1"/>
  <c r="BF659" i="1"/>
  <c r="BE659" i="1"/>
  <c r="AY659" i="1"/>
  <c r="AX659" i="1"/>
  <c r="AW659" i="1"/>
  <c r="AV659" i="1"/>
  <c r="AU659" i="1"/>
  <c r="AT659" i="1"/>
  <c r="AS659" i="1"/>
  <c r="AR659" i="1"/>
  <c r="AQ659" i="1"/>
  <c r="AP659" i="1"/>
  <c r="AO659" i="1"/>
  <c r="AI659" i="1"/>
  <c r="AF659" i="1"/>
  <c r="AE659" i="1"/>
  <c r="AA659" i="1"/>
  <c r="Y659" i="1"/>
  <c r="X659" i="1"/>
  <c r="W659" i="1"/>
  <c r="V659" i="1"/>
  <c r="R659" i="1"/>
  <c r="M659" i="1"/>
  <c r="E659" i="1"/>
  <c r="BM658" i="1"/>
  <c r="BK658" i="1"/>
  <c r="BJ658" i="1"/>
  <c r="BI658" i="1"/>
  <c r="BH658" i="1"/>
  <c r="BG658" i="1"/>
  <c r="BF658" i="1"/>
  <c r="BE658" i="1"/>
  <c r="AY658" i="1"/>
  <c r="AX658" i="1"/>
  <c r="AW658" i="1"/>
  <c r="AV658" i="1"/>
  <c r="AU658" i="1"/>
  <c r="AT658" i="1"/>
  <c r="AS658" i="1"/>
  <c r="AR658" i="1"/>
  <c r="AQ658" i="1"/>
  <c r="AP658" i="1"/>
  <c r="AO658" i="1"/>
  <c r="AI658" i="1"/>
  <c r="AF658" i="1"/>
  <c r="AE658" i="1"/>
  <c r="AA658" i="1"/>
  <c r="Y658" i="1"/>
  <c r="X658" i="1"/>
  <c r="W658" i="1"/>
  <c r="V658" i="1"/>
  <c r="R658" i="1"/>
  <c r="M658" i="1"/>
  <c r="E658" i="1"/>
  <c r="BM657" i="1"/>
  <c r="BK657" i="1"/>
  <c r="BJ657" i="1"/>
  <c r="BI657" i="1"/>
  <c r="BH657" i="1"/>
  <c r="BG657" i="1"/>
  <c r="BF657" i="1"/>
  <c r="BE657" i="1"/>
  <c r="AY657" i="1"/>
  <c r="AX657" i="1"/>
  <c r="AW657" i="1"/>
  <c r="AV657" i="1"/>
  <c r="AU657" i="1"/>
  <c r="AT657" i="1"/>
  <c r="AS657" i="1"/>
  <c r="AR657" i="1"/>
  <c r="AQ657" i="1"/>
  <c r="AP657" i="1"/>
  <c r="AO657" i="1"/>
  <c r="AI657" i="1"/>
  <c r="AF657" i="1"/>
  <c r="AE657" i="1"/>
  <c r="AA657" i="1"/>
  <c r="Y657" i="1"/>
  <c r="X657" i="1"/>
  <c r="W657" i="1"/>
  <c r="V657" i="1"/>
  <c r="R657" i="1"/>
  <c r="M657" i="1"/>
  <c r="E657" i="1"/>
  <c r="BM656" i="1"/>
  <c r="BK656" i="1"/>
  <c r="BJ656" i="1"/>
  <c r="BI656" i="1"/>
  <c r="BH656" i="1"/>
  <c r="BG656" i="1"/>
  <c r="BF656" i="1"/>
  <c r="BE656" i="1"/>
  <c r="AY656" i="1"/>
  <c r="AX656" i="1"/>
  <c r="AW656" i="1"/>
  <c r="AV656" i="1"/>
  <c r="AU656" i="1"/>
  <c r="AT656" i="1"/>
  <c r="AS656" i="1"/>
  <c r="AR656" i="1"/>
  <c r="AQ656" i="1"/>
  <c r="AP656" i="1"/>
  <c r="AO656" i="1"/>
  <c r="AI656" i="1"/>
  <c r="AF656" i="1"/>
  <c r="AE656" i="1"/>
  <c r="AA656" i="1"/>
  <c r="Y656" i="1"/>
  <c r="X656" i="1"/>
  <c r="W656" i="1"/>
  <c r="V656" i="1"/>
  <c r="R656" i="1"/>
  <c r="M656" i="1"/>
  <c r="E656" i="1"/>
  <c r="AI655" i="1"/>
  <c r="AF655" i="1"/>
  <c r="AE655" i="1"/>
  <c r="AA655" i="1"/>
  <c r="W655" i="1"/>
  <c r="V655" i="1"/>
  <c r="E655" i="1"/>
  <c r="AI654" i="1"/>
  <c r="AF654" i="1"/>
  <c r="AE654" i="1"/>
  <c r="AA654" i="1"/>
  <c r="W654" i="1"/>
  <c r="V654" i="1"/>
  <c r="E654" i="1"/>
  <c r="AI653" i="1"/>
  <c r="AF653" i="1"/>
  <c r="AE653" i="1"/>
  <c r="AA653" i="1"/>
  <c r="W653" i="1"/>
  <c r="V653" i="1"/>
  <c r="E653" i="1"/>
  <c r="AI652" i="1"/>
  <c r="AF652" i="1"/>
  <c r="AE652" i="1"/>
  <c r="AA652" i="1"/>
  <c r="W652" i="1"/>
  <c r="V652" i="1"/>
  <c r="E652" i="1"/>
  <c r="AI651" i="1"/>
  <c r="AF651" i="1"/>
  <c r="AE651" i="1"/>
  <c r="AA651" i="1"/>
  <c r="W651" i="1"/>
  <c r="V651" i="1"/>
  <c r="E651" i="1"/>
  <c r="AI650" i="1"/>
  <c r="AF650" i="1"/>
  <c r="AE650" i="1"/>
  <c r="AA650" i="1"/>
  <c r="W650" i="1"/>
  <c r="V650" i="1"/>
  <c r="E650" i="1"/>
  <c r="AI649" i="1"/>
  <c r="AF649" i="1"/>
  <c r="AE649" i="1"/>
  <c r="AA649" i="1"/>
  <c r="W649" i="1"/>
  <c r="V649" i="1"/>
  <c r="E649" i="1"/>
  <c r="BA639" i="1"/>
  <c r="AJ639" i="1"/>
  <c r="AG639" i="1"/>
  <c r="AC639" i="1"/>
  <c r="U639" i="1"/>
  <c r="T639" i="1"/>
  <c r="H639" i="1"/>
  <c r="G639" i="1"/>
  <c r="F639" i="1"/>
  <c r="BM638" i="1"/>
  <c r="BK638" i="1"/>
  <c r="BJ638" i="1"/>
  <c r="BI638" i="1"/>
  <c r="BH638" i="1"/>
  <c r="BG638" i="1"/>
  <c r="BF638" i="1"/>
  <c r="BE638" i="1"/>
  <c r="AY638" i="1"/>
  <c r="AX638" i="1"/>
  <c r="AW638" i="1"/>
  <c r="AV638" i="1"/>
  <c r="AU638" i="1"/>
  <c r="AT638" i="1"/>
  <c r="AS638" i="1"/>
  <c r="AR638" i="1"/>
  <c r="AQ638" i="1"/>
  <c r="AP638" i="1"/>
  <c r="AO638" i="1"/>
  <c r="AI638" i="1"/>
  <c r="AF638" i="1"/>
  <c r="AE638" i="1"/>
  <c r="AA638" i="1"/>
  <c r="Y638" i="1"/>
  <c r="X638" i="1"/>
  <c r="W638" i="1"/>
  <c r="V638" i="1"/>
  <c r="R638" i="1"/>
  <c r="M638" i="1"/>
  <c r="E638" i="1"/>
  <c r="BM637" i="1"/>
  <c r="BK637" i="1"/>
  <c r="BJ637" i="1"/>
  <c r="BI637" i="1"/>
  <c r="BH637" i="1"/>
  <c r="BG637" i="1"/>
  <c r="BF637" i="1"/>
  <c r="BE637" i="1"/>
  <c r="AY637" i="1"/>
  <c r="AX637" i="1"/>
  <c r="AW637" i="1"/>
  <c r="AV637" i="1"/>
  <c r="AU637" i="1"/>
  <c r="AT637" i="1"/>
  <c r="AS637" i="1"/>
  <c r="AR637" i="1"/>
  <c r="AQ637" i="1"/>
  <c r="AP637" i="1"/>
  <c r="AO637" i="1"/>
  <c r="AI637" i="1"/>
  <c r="AF637" i="1"/>
  <c r="AE637" i="1"/>
  <c r="AA637" i="1"/>
  <c r="Y637" i="1"/>
  <c r="X637" i="1"/>
  <c r="W637" i="1"/>
  <c r="V637" i="1"/>
  <c r="R637" i="1"/>
  <c r="M637" i="1"/>
  <c r="E637" i="1"/>
  <c r="BM636" i="1"/>
  <c r="BK636" i="1"/>
  <c r="BJ636" i="1"/>
  <c r="BI636" i="1"/>
  <c r="BH636" i="1"/>
  <c r="BG636" i="1"/>
  <c r="BF636" i="1"/>
  <c r="BE636" i="1"/>
  <c r="AY636" i="1"/>
  <c r="AX636" i="1"/>
  <c r="AW636" i="1"/>
  <c r="AV636" i="1"/>
  <c r="AU636" i="1"/>
  <c r="AT636" i="1"/>
  <c r="AS636" i="1"/>
  <c r="AR636" i="1"/>
  <c r="AQ636" i="1"/>
  <c r="AP636" i="1"/>
  <c r="AO636" i="1"/>
  <c r="AI636" i="1"/>
  <c r="AF636" i="1"/>
  <c r="AE636" i="1"/>
  <c r="AA636" i="1"/>
  <c r="Y636" i="1"/>
  <c r="X636" i="1"/>
  <c r="W636" i="1"/>
  <c r="V636" i="1"/>
  <c r="R636" i="1"/>
  <c r="M636" i="1"/>
  <c r="E636" i="1"/>
  <c r="BM635" i="1"/>
  <c r="BK635" i="1"/>
  <c r="BJ635" i="1"/>
  <c r="BI635" i="1"/>
  <c r="BH635" i="1"/>
  <c r="BG635" i="1"/>
  <c r="BF635" i="1"/>
  <c r="BE635" i="1"/>
  <c r="AY635" i="1"/>
  <c r="AX635" i="1"/>
  <c r="AW635" i="1"/>
  <c r="AV635" i="1"/>
  <c r="AU635" i="1"/>
  <c r="AT635" i="1"/>
  <c r="AS635" i="1"/>
  <c r="AR635" i="1"/>
  <c r="AQ635" i="1"/>
  <c r="AP635" i="1"/>
  <c r="AO635" i="1"/>
  <c r="AI635" i="1"/>
  <c r="AF635" i="1"/>
  <c r="AE635" i="1"/>
  <c r="AA635" i="1"/>
  <c r="Y635" i="1"/>
  <c r="X635" i="1"/>
  <c r="W635" i="1"/>
  <c r="V635" i="1"/>
  <c r="R635" i="1"/>
  <c r="M635" i="1"/>
  <c r="E635" i="1"/>
  <c r="BM634" i="1"/>
  <c r="BK634" i="1"/>
  <c r="BJ634" i="1"/>
  <c r="BI634" i="1"/>
  <c r="BH634" i="1"/>
  <c r="BG634" i="1"/>
  <c r="BF634" i="1"/>
  <c r="BE634" i="1"/>
  <c r="AY634" i="1"/>
  <c r="AX634" i="1"/>
  <c r="AW634" i="1"/>
  <c r="AV634" i="1"/>
  <c r="AU634" i="1"/>
  <c r="AT634" i="1"/>
  <c r="AS634" i="1"/>
  <c r="AR634" i="1"/>
  <c r="AQ634" i="1"/>
  <c r="AP634" i="1"/>
  <c r="AO634" i="1"/>
  <c r="AI634" i="1"/>
  <c r="AF634" i="1"/>
  <c r="AE634" i="1"/>
  <c r="AA634" i="1"/>
  <c r="Y634" i="1"/>
  <c r="X634" i="1"/>
  <c r="W634" i="1"/>
  <c r="V634" i="1"/>
  <c r="R634" i="1"/>
  <c r="M634" i="1"/>
  <c r="E634" i="1"/>
  <c r="BM633" i="1"/>
  <c r="BK633" i="1"/>
  <c r="BJ633" i="1"/>
  <c r="BI633" i="1"/>
  <c r="BH633" i="1"/>
  <c r="BG633" i="1"/>
  <c r="BF633" i="1"/>
  <c r="BE633" i="1"/>
  <c r="AY633" i="1"/>
  <c r="AX633" i="1"/>
  <c r="AW633" i="1"/>
  <c r="AV633" i="1"/>
  <c r="AU633" i="1"/>
  <c r="AT633" i="1"/>
  <c r="AS633" i="1"/>
  <c r="AR633" i="1"/>
  <c r="AQ633" i="1"/>
  <c r="AP633" i="1"/>
  <c r="AO633" i="1"/>
  <c r="AI633" i="1"/>
  <c r="AF633" i="1"/>
  <c r="AE633" i="1"/>
  <c r="AA633" i="1"/>
  <c r="Y633" i="1"/>
  <c r="X633" i="1"/>
  <c r="W633" i="1"/>
  <c r="V633" i="1"/>
  <c r="R633" i="1"/>
  <c r="M633" i="1"/>
  <c r="E633" i="1"/>
  <c r="BM632" i="1"/>
  <c r="BK632" i="1"/>
  <c r="BJ632" i="1"/>
  <c r="BI632" i="1"/>
  <c r="BH632" i="1"/>
  <c r="BG632" i="1"/>
  <c r="BF632" i="1"/>
  <c r="BE632" i="1"/>
  <c r="AY632" i="1"/>
  <c r="AX632" i="1"/>
  <c r="AW632" i="1"/>
  <c r="AV632" i="1"/>
  <c r="AU632" i="1"/>
  <c r="AT632" i="1"/>
  <c r="AS632" i="1"/>
  <c r="AR632" i="1"/>
  <c r="AQ632" i="1"/>
  <c r="AP632" i="1"/>
  <c r="AO632" i="1"/>
  <c r="AI632" i="1"/>
  <c r="AF632" i="1"/>
  <c r="AE632" i="1"/>
  <c r="AA632" i="1"/>
  <c r="Y632" i="1"/>
  <c r="X632" i="1"/>
  <c r="W632" i="1"/>
  <c r="V632" i="1"/>
  <c r="R632" i="1"/>
  <c r="M632" i="1"/>
  <c r="E632" i="1"/>
  <c r="BM631" i="1"/>
  <c r="BK631" i="1"/>
  <c r="BJ631" i="1"/>
  <c r="BI631" i="1"/>
  <c r="BH631" i="1"/>
  <c r="BG631" i="1"/>
  <c r="BF631" i="1"/>
  <c r="BE631" i="1"/>
  <c r="AY631" i="1"/>
  <c r="AX631" i="1"/>
  <c r="AW631" i="1"/>
  <c r="AV631" i="1"/>
  <c r="AU631" i="1"/>
  <c r="AT631" i="1"/>
  <c r="AS631" i="1"/>
  <c r="AR631" i="1"/>
  <c r="AQ631" i="1"/>
  <c r="AP631" i="1"/>
  <c r="AO631" i="1"/>
  <c r="AI631" i="1"/>
  <c r="AF631" i="1"/>
  <c r="AE631" i="1"/>
  <c r="AA631" i="1"/>
  <c r="Y631" i="1"/>
  <c r="X631" i="1"/>
  <c r="W631" i="1"/>
  <c r="V631" i="1"/>
  <c r="R631" i="1"/>
  <c r="M631" i="1"/>
  <c r="E631" i="1"/>
  <c r="BM630" i="1"/>
  <c r="BK630" i="1"/>
  <c r="BJ630" i="1"/>
  <c r="BI630" i="1"/>
  <c r="BH630" i="1"/>
  <c r="BG630" i="1"/>
  <c r="BF630" i="1"/>
  <c r="BE630" i="1"/>
  <c r="AY630" i="1"/>
  <c r="AX630" i="1"/>
  <c r="AW630" i="1"/>
  <c r="AV630" i="1"/>
  <c r="AU630" i="1"/>
  <c r="AT630" i="1"/>
  <c r="AS630" i="1"/>
  <c r="AR630" i="1"/>
  <c r="AQ630" i="1"/>
  <c r="AP630" i="1"/>
  <c r="AO630" i="1"/>
  <c r="AI630" i="1"/>
  <c r="AF630" i="1"/>
  <c r="AE630" i="1"/>
  <c r="AA630" i="1"/>
  <c r="Y630" i="1"/>
  <c r="X630" i="1"/>
  <c r="W630" i="1"/>
  <c r="V630" i="1"/>
  <c r="R630" i="1"/>
  <c r="M630" i="1"/>
  <c r="E630" i="1"/>
  <c r="BM629" i="1"/>
  <c r="BK629" i="1"/>
  <c r="BJ629" i="1"/>
  <c r="BI629" i="1"/>
  <c r="BH629" i="1"/>
  <c r="BG629" i="1"/>
  <c r="BF629" i="1"/>
  <c r="BE629" i="1"/>
  <c r="AY629" i="1"/>
  <c r="AX629" i="1"/>
  <c r="AW629" i="1"/>
  <c r="AV629" i="1"/>
  <c r="AU629" i="1"/>
  <c r="AT629" i="1"/>
  <c r="AS629" i="1"/>
  <c r="AR629" i="1"/>
  <c r="AQ629" i="1"/>
  <c r="AP629" i="1"/>
  <c r="AO629" i="1"/>
  <c r="AI629" i="1"/>
  <c r="AF629" i="1"/>
  <c r="AE629" i="1"/>
  <c r="AA629" i="1"/>
  <c r="Y629" i="1"/>
  <c r="X629" i="1"/>
  <c r="W629" i="1"/>
  <c r="V629" i="1"/>
  <c r="R629" i="1"/>
  <c r="M629" i="1"/>
  <c r="E629" i="1"/>
  <c r="BM628" i="1"/>
  <c r="BK628" i="1"/>
  <c r="BJ628" i="1"/>
  <c r="BI628" i="1"/>
  <c r="BH628" i="1"/>
  <c r="BG628" i="1"/>
  <c r="BF628" i="1"/>
  <c r="BE628" i="1"/>
  <c r="AY628" i="1"/>
  <c r="AX628" i="1"/>
  <c r="AW628" i="1"/>
  <c r="AV628" i="1"/>
  <c r="AU628" i="1"/>
  <c r="AT628" i="1"/>
  <c r="AS628" i="1"/>
  <c r="AR628" i="1"/>
  <c r="AQ628" i="1"/>
  <c r="AP628" i="1"/>
  <c r="AO628" i="1"/>
  <c r="AI628" i="1"/>
  <c r="AF628" i="1"/>
  <c r="AE628" i="1"/>
  <c r="AA628" i="1"/>
  <c r="Y628" i="1"/>
  <c r="X628" i="1"/>
  <c r="W628" i="1"/>
  <c r="V628" i="1"/>
  <c r="R628" i="1"/>
  <c r="M628" i="1"/>
  <c r="E628" i="1"/>
  <c r="BM627" i="1"/>
  <c r="BK627" i="1"/>
  <c r="BJ627" i="1"/>
  <c r="BI627" i="1"/>
  <c r="BH627" i="1"/>
  <c r="BG627" i="1"/>
  <c r="BF627" i="1"/>
  <c r="BE627" i="1"/>
  <c r="AY627" i="1"/>
  <c r="AX627" i="1"/>
  <c r="AW627" i="1"/>
  <c r="AV627" i="1"/>
  <c r="AU627" i="1"/>
  <c r="AT627" i="1"/>
  <c r="AS627" i="1"/>
  <c r="AR627" i="1"/>
  <c r="AQ627" i="1"/>
  <c r="AP627" i="1"/>
  <c r="AO627" i="1"/>
  <c r="AI627" i="1"/>
  <c r="AF627" i="1"/>
  <c r="AE627" i="1"/>
  <c r="AA627" i="1"/>
  <c r="Y627" i="1"/>
  <c r="X627" i="1"/>
  <c r="W627" i="1"/>
  <c r="V627" i="1"/>
  <c r="R627" i="1"/>
  <c r="M627" i="1"/>
  <c r="E627" i="1"/>
  <c r="AI626" i="1"/>
  <c r="AF626" i="1"/>
  <c r="AE626" i="1"/>
  <c r="AA626" i="1"/>
  <c r="W626" i="1"/>
  <c r="V626" i="1"/>
  <c r="E626" i="1"/>
  <c r="AI625" i="1"/>
  <c r="AF625" i="1"/>
  <c r="AE625" i="1"/>
  <c r="AA625" i="1"/>
  <c r="W625" i="1"/>
  <c r="V625" i="1"/>
  <c r="E625" i="1"/>
  <c r="AI624" i="1"/>
  <c r="AF624" i="1"/>
  <c r="AE624" i="1"/>
  <c r="AA624" i="1"/>
  <c r="W624" i="1"/>
  <c r="V624" i="1"/>
  <c r="E624" i="1"/>
  <c r="AI623" i="1"/>
  <c r="AF623" i="1"/>
  <c r="AE623" i="1"/>
  <c r="AA623" i="1"/>
  <c r="W623" i="1"/>
  <c r="V623" i="1"/>
  <c r="E623" i="1"/>
  <c r="AI622" i="1"/>
  <c r="AF622" i="1"/>
  <c r="AE622" i="1"/>
  <c r="AA622" i="1"/>
  <c r="W622" i="1"/>
  <c r="V622" i="1"/>
  <c r="E622" i="1"/>
  <c r="AI621" i="1"/>
  <c r="AF621" i="1"/>
  <c r="AE621" i="1"/>
  <c r="AA621" i="1"/>
  <c r="W621" i="1"/>
  <c r="V621" i="1"/>
  <c r="E621" i="1"/>
  <c r="AI620" i="1"/>
  <c r="AF620" i="1"/>
  <c r="AE620" i="1"/>
  <c r="AA620" i="1"/>
  <c r="W620" i="1"/>
  <c r="V620" i="1"/>
  <c r="E620" i="1"/>
  <c r="BA610" i="1"/>
  <c r="AJ610" i="1"/>
  <c r="AG610" i="1"/>
  <c r="AC610" i="1"/>
  <c r="U610" i="1"/>
  <c r="T610" i="1"/>
  <c r="H610" i="1"/>
  <c r="G610" i="1"/>
  <c r="F610" i="1"/>
  <c r="BM609" i="1"/>
  <c r="BK609" i="1"/>
  <c r="BJ609" i="1"/>
  <c r="BI609" i="1"/>
  <c r="BH609" i="1"/>
  <c r="BG609" i="1"/>
  <c r="BF609" i="1"/>
  <c r="BE609" i="1"/>
  <c r="AY609" i="1"/>
  <c r="AX609" i="1"/>
  <c r="AW609" i="1"/>
  <c r="AV609" i="1"/>
  <c r="AU609" i="1"/>
  <c r="AT609" i="1"/>
  <c r="AS609" i="1"/>
  <c r="AR609" i="1"/>
  <c r="AQ609" i="1"/>
  <c r="AP609" i="1"/>
  <c r="AO609" i="1"/>
  <c r="AI609" i="1"/>
  <c r="AF609" i="1"/>
  <c r="AE609" i="1"/>
  <c r="AA609" i="1"/>
  <c r="Y609" i="1"/>
  <c r="X609" i="1"/>
  <c r="W609" i="1"/>
  <c r="V609" i="1"/>
  <c r="R609" i="1"/>
  <c r="M609" i="1"/>
  <c r="E609" i="1"/>
  <c r="BM608" i="1"/>
  <c r="BK608" i="1"/>
  <c r="BJ608" i="1"/>
  <c r="BI608" i="1"/>
  <c r="BH608" i="1"/>
  <c r="BG608" i="1"/>
  <c r="BF608" i="1"/>
  <c r="BE608" i="1"/>
  <c r="AY608" i="1"/>
  <c r="AX608" i="1"/>
  <c r="AW608" i="1"/>
  <c r="AV608" i="1"/>
  <c r="AU608" i="1"/>
  <c r="AT608" i="1"/>
  <c r="AS608" i="1"/>
  <c r="AR608" i="1"/>
  <c r="AQ608" i="1"/>
  <c r="AP608" i="1"/>
  <c r="AO608" i="1"/>
  <c r="AI608" i="1"/>
  <c r="AF608" i="1"/>
  <c r="AE608" i="1"/>
  <c r="AA608" i="1"/>
  <c r="Y608" i="1"/>
  <c r="X608" i="1"/>
  <c r="W608" i="1"/>
  <c r="V608" i="1"/>
  <c r="R608" i="1"/>
  <c r="M608" i="1"/>
  <c r="E608" i="1"/>
  <c r="BM607" i="1"/>
  <c r="BK607" i="1"/>
  <c r="BJ607" i="1"/>
  <c r="BI607" i="1"/>
  <c r="BH607" i="1"/>
  <c r="BG607" i="1"/>
  <c r="BF607" i="1"/>
  <c r="BE607" i="1"/>
  <c r="AY607" i="1"/>
  <c r="AX607" i="1"/>
  <c r="AW607" i="1"/>
  <c r="AV607" i="1"/>
  <c r="AU607" i="1"/>
  <c r="AT607" i="1"/>
  <c r="AS607" i="1"/>
  <c r="AR607" i="1"/>
  <c r="AQ607" i="1"/>
  <c r="AP607" i="1"/>
  <c r="AO607" i="1"/>
  <c r="AI607" i="1"/>
  <c r="AF607" i="1"/>
  <c r="AE607" i="1"/>
  <c r="AA607" i="1"/>
  <c r="Y607" i="1"/>
  <c r="X607" i="1"/>
  <c r="W607" i="1"/>
  <c r="V607" i="1"/>
  <c r="R607" i="1"/>
  <c r="M607" i="1"/>
  <c r="E607" i="1"/>
  <c r="BM606" i="1"/>
  <c r="BK606" i="1"/>
  <c r="BJ606" i="1"/>
  <c r="BI606" i="1"/>
  <c r="BH606" i="1"/>
  <c r="BG606" i="1"/>
  <c r="BF606" i="1"/>
  <c r="BE606" i="1"/>
  <c r="AY606" i="1"/>
  <c r="AX606" i="1"/>
  <c r="AW606" i="1"/>
  <c r="AV606" i="1"/>
  <c r="AU606" i="1"/>
  <c r="AT606" i="1"/>
  <c r="AS606" i="1"/>
  <c r="AR606" i="1"/>
  <c r="AQ606" i="1"/>
  <c r="AP606" i="1"/>
  <c r="AO606" i="1"/>
  <c r="AI606" i="1"/>
  <c r="AF606" i="1"/>
  <c r="AE606" i="1"/>
  <c r="AA606" i="1"/>
  <c r="Y606" i="1"/>
  <c r="X606" i="1"/>
  <c r="W606" i="1"/>
  <c r="V606" i="1"/>
  <c r="R606" i="1"/>
  <c r="M606" i="1"/>
  <c r="E606" i="1"/>
  <c r="BM605" i="1"/>
  <c r="BK605" i="1"/>
  <c r="BJ605" i="1"/>
  <c r="BI605" i="1"/>
  <c r="BH605" i="1"/>
  <c r="BG605" i="1"/>
  <c r="BF605" i="1"/>
  <c r="BE605" i="1"/>
  <c r="AY605" i="1"/>
  <c r="AX605" i="1"/>
  <c r="AW605" i="1"/>
  <c r="AV605" i="1"/>
  <c r="AU605" i="1"/>
  <c r="AT605" i="1"/>
  <c r="AS605" i="1"/>
  <c r="AR605" i="1"/>
  <c r="AQ605" i="1"/>
  <c r="AP605" i="1"/>
  <c r="AO605" i="1"/>
  <c r="AI605" i="1"/>
  <c r="AF605" i="1"/>
  <c r="AE605" i="1"/>
  <c r="AA605" i="1"/>
  <c r="Y605" i="1"/>
  <c r="X605" i="1"/>
  <c r="W605" i="1"/>
  <c r="V605" i="1"/>
  <c r="R605" i="1"/>
  <c r="M605" i="1"/>
  <c r="E605" i="1"/>
  <c r="BM604" i="1"/>
  <c r="BK604" i="1"/>
  <c r="BJ604" i="1"/>
  <c r="BI604" i="1"/>
  <c r="BH604" i="1"/>
  <c r="BG604" i="1"/>
  <c r="BF604" i="1"/>
  <c r="BE604" i="1"/>
  <c r="AY604" i="1"/>
  <c r="AX604" i="1"/>
  <c r="AW604" i="1"/>
  <c r="AV604" i="1"/>
  <c r="AU604" i="1"/>
  <c r="AT604" i="1"/>
  <c r="AS604" i="1"/>
  <c r="AR604" i="1"/>
  <c r="AQ604" i="1"/>
  <c r="AP604" i="1"/>
  <c r="AO604" i="1"/>
  <c r="AI604" i="1"/>
  <c r="AF604" i="1"/>
  <c r="AE604" i="1"/>
  <c r="AA604" i="1"/>
  <c r="Y604" i="1"/>
  <c r="X604" i="1"/>
  <c r="W604" i="1"/>
  <c r="V604" i="1"/>
  <c r="R604" i="1"/>
  <c r="M604" i="1"/>
  <c r="E604" i="1"/>
  <c r="BM603" i="1"/>
  <c r="BK603" i="1"/>
  <c r="BJ603" i="1"/>
  <c r="BI603" i="1"/>
  <c r="BH603" i="1"/>
  <c r="BG603" i="1"/>
  <c r="BF603" i="1"/>
  <c r="BE603" i="1"/>
  <c r="AY603" i="1"/>
  <c r="AX603" i="1"/>
  <c r="AW603" i="1"/>
  <c r="AV603" i="1"/>
  <c r="AU603" i="1"/>
  <c r="AT603" i="1"/>
  <c r="AS603" i="1"/>
  <c r="AR603" i="1"/>
  <c r="AQ603" i="1"/>
  <c r="AP603" i="1"/>
  <c r="AO603" i="1"/>
  <c r="AI603" i="1"/>
  <c r="AF603" i="1"/>
  <c r="AE603" i="1"/>
  <c r="AA603" i="1"/>
  <c r="Y603" i="1"/>
  <c r="X603" i="1"/>
  <c r="W603" i="1"/>
  <c r="V603" i="1"/>
  <c r="R603" i="1"/>
  <c r="M603" i="1"/>
  <c r="E603" i="1"/>
  <c r="BM602" i="1"/>
  <c r="BK602" i="1"/>
  <c r="BJ602" i="1"/>
  <c r="BI602" i="1"/>
  <c r="BH602" i="1"/>
  <c r="BG602" i="1"/>
  <c r="BF602" i="1"/>
  <c r="BE602" i="1"/>
  <c r="AY602" i="1"/>
  <c r="AX602" i="1"/>
  <c r="AW602" i="1"/>
  <c r="AV602" i="1"/>
  <c r="AU602" i="1"/>
  <c r="AT602" i="1"/>
  <c r="AS602" i="1"/>
  <c r="AR602" i="1"/>
  <c r="AQ602" i="1"/>
  <c r="AP602" i="1"/>
  <c r="AO602" i="1"/>
  <c r="AI602" i="1"/>
  <c r="AF602" i="1"/>
  <c r="AE602" i="1"/>
  <c r="AA602" i="1"/>
  <c r="Y602" i="1"/>
  <c r="X602" i="1"/>
  <c r="W602" i="1"/>
  <c r="V602" i="1"/>
  <c r="R602" i="1"/>
  <c r="M602" i="1"/>
  <c r="E602" i="1"/>
  <c r="BM601" i="1"/>
  <c r="BK601" i="1"/>
  <c r="BJ601" i="1"/>
  <c r="BI601" i="1"/>
  <c r="BH601" i="1"/>
  <c r="BG601" i="1"/>
  <c r="BF601" i="1"/>
  <c r="BE601" i="1"/>
  <c r="AY601" i="1"/>
  <c r="AX601" i="1"/>
  <c r="AW601" i="1"/>
  <c r="AV601" i="1"/>
  <c r="AU601" i="1"/>
  <c r="AT601" i="1"/>
  <c r="AS601" i="1"/>
  <c r="AR601" i="1"/>
  <c r="AQ601" i="1"/>
  <c r="AP601" i="1"/>
  <c r="AO601" i="1"/>
  <c r="AI601" i="1"/>
  <c r="AF601" i="1"/>
  <c r="AE601" i="1"/>
  <c r="AA601" i="1"/>
  <c r="Y601" i="1"/>
  <c r="X601" i="1"/>
  <c r="W601" i="1"/>
  <c r="V601" i="1"/>
  <c r="R601" i="1"/>
  <c r="M601" i="1"/>
  <c r="E601" i="1"/>
  <c r="BM600" i="1"/>
  <c r="BK600" i="1"/>
  <c r="BJ600" i="1"/>
  <c r="BI600" i="1"/>
  <c r="BH600" i="1"/>
  <c r="BG600" i="1"/>
  <c r="BF600" i="1"/>
  <c r="BE600" i="1"/>
  <c r="AY600" i="1"/>
  <c r="AX600" i="1"/>
  <c r="AW600" i="1"/>
  <c r="AV600" i="1"/>
  <c r="AU600" i="1"/>
  <c r="AT600" i="1"/>
  <c r="AS600" i="1"/>
  <c r="AR600" i="1"/>
  <c r="AQ600" i="1"/>
  <c r="AP600" i="1"/>
  <c r="AO600" i="1"/>
  <c r="AI600" i="1"/>
  <c r="AF600" i="1"/>
  <c r="AE600" i="1"/>
  <c r="AA600" i="1"/>
  <c r="Y600" i="1"/>
  <c r="X600" i="1"/>
  <c r="W600" i="1"/>
  <c r="V600" i="1"/>
  <c r="R600" i="1"/>
  <c r="M600" i="1"/>
  <c r="E600" i="1"/>
  <c r="BM599" i="1"/>
  <c r="BK599" i="1"/>
  <c r="BJ599" i="1"/>
  <c r="BI599" i="1"/>
  <c r="BH599" i="1"/>
  <c r="BG599" i="1"/>
  <c r="BF599" i="1"/>
  <c r="BE599" i="1"/>
  <c r="AY599" i="1"/>
  <c r="AX599" i="1"/>
  <c r="AW599" i="1"/>
  <c r="AV599" i="1"/>
  <c r="AU599" i="1"/>
  <c r="AT599" i="1"/>
  <c r="AS599" i="1"/>
  <c r="AR599" i="1"/>
  <c r="AQ599" i="1"/>
  <c r="AP599" i="1"/>
  <c r="AO599" i="1"/>
  <c r="AI599" i="1"/>
  <c r="AF599" i="1"/>
  <c r="AE599" i="1"/>
  <c r="AA599" i="1"/>
  <c r="Y599" i="1"/>
  <c r="X599" i="1"/>
  <c r="W599" i="1"/>
  <c r="V599" i="1"/>
  <c r="R599" i="1"/>
  <c r="M599" i="1"/>
  <c r="E599" i="1"/>
  <c r="BM598" i="1"/>
  <c r="BK598" i="1"/>
  <c r="BJ598" i="1"/>
  <c r="BI598" i="1"/>
  <c r="BH598" i="1"/>
  <c r="BG598" i="1"/>
  <c r="BF598" i="1"/>
  <c r="BE598" i="1"/>
  <c r="AY598" i="1"/>
  <c r="AX598" i="1"/>
  <c r="AW598" i="1"/>
  <c r="AV598" i="1"/>
  <c r="AU598" i="1"/>
  <c r="AT598" i="1"/>
  <c r="AS598" i="1"/>
  <c r="AR598" i="1"/>
  <c r="AQ598" i="1"/>
  <c r="AP598" i="1"/>
  <c r="AO598" i="1"/>
  <c r="AI598" i="1"/>
  <c r="AF598" i="1"/>
  <c r="AE598" i="1"/>
  <c r="AA598" i="1"/>
  <c r="Y598" i="1"/>
  <c r="X598" i="1"/>
  <c r="W598" i="1"/>
  <c r="V598" i="1"/>
  <c r="R598" i="1"/>
  <c r="M598" i="1"/>
  <c r="E598" i="1"/>
  <c r="AI597" i="1"/>
  <c r="AF597" i="1"/>
  <c r="AE597" i="1"/>
  <c r="AA597" i="1"/>
  <c r="W597" i="1"/>
  <c r="V597" i="1"/>
  <c r="E597" i="1"/>
  <c r="AI596" i="1"/>
  <c r="AF596" i="1"/>
  <c r="AE596" i="1"/>
  <c r="AA596" i="1"/>
  <c r="W596" i="1"/>
  <c r="V596" i="1"/>
  <c r="E596" i="1"/>
  <c r="AI595" i="1"/>
  <c r="AF595" i="1"/>
  <c r="AE595" i="1"/>
  <c r="AA595" i="1"/>
  <c r="W595" i="1"/>
  <c r="V595" i="1"/>
  <c r="E595" i="1"/>
  <c r="AI594" i="1"/>
  <c r="AF594" i="1"/>
  <c r="AE594" i="1"/>
  <c r="AA594" i="1"/>
  <c r="W594" i="1"/>
  <c r="V594" i="1"/>
  <c r="E594" i="1"/>
  <c r="AI593" i="1"/>
  <c r="AF593" i="1"/>
  <c r="AE593" i="1"/>
  <c r="AA593" i="1"/>
  <c r="W593" i="1"/>
  <c r="V593" i="1"/>
  <c r="E593" i="1"/>
  <c r="AI592" i="1"/>
  <c r="AF592" i="1"/>
  <c r="AE592" i="1"/>
  <c r="AA592" i="1"/>
  <c r="W592" i="1"/>
  <c r="V592" i="1"/>
  <c r="E592" i="1"/>
  <c r="AI591" i="1"/>
  <c r="AF591" i="1"/>
  <c r="AE591" i="1"/>
  <c r="AA591" i="1"/>
  <c r="W591" i="1"/>
  <c r="V591" i="1"/>
  <c r="E591" i="1"/>
  <c r="BA581" i="1"/>
  <c r="AJ581" i="1"/>
  <c r="AG581" i="1"/>
  <c r="AC581" i="1"/>
  <c r="U581" i="1"/>
  <c r="T581" i="1"/>
  <c r="H581" i="1"/>
  <c r="G581" i="1"/>
  <c r="F581" i="1"/>
  <c r="AY580" i="1"/>
  <c r="AX580" i="1"/>
  <c r="AW580" i="1"/>
  <c r="AV580" i="1"/>
  <c r="AU580" i="1"/>
  <c r="AT580" i="1"/>
  <c r="AS580" i="1"/>
  <c r="AR580" i="1"/>
  <c r="AQ580" i="1"/>
  <c r="AP580" i="1"/>
  <c r="AO580" i="1"/>
  <c r="AI580" i="1"/>
  <c r="AF580" i="1"/>
  <c r="AE580" i="1"/>
  <c r="AA580" i="1"/>
  <c r="W580" i="1"/>
  <c r="V580" i="1"/>
  <c r="E580" i="1"/>
  <c r="AY579" i="1"/>
  <c r="AX579" i="1"/>
  <c r="AW579" i="1"/>
  <c r="AV579" i="1"/>
  <c r="AU579" i="1"/>
  <c r="AT579" i="1"/>
  <c r="AS579" i="1"/>
  <c r="AR579" i="1"/>
  <c r="AQ579" i="1"/>
  <c r="AP579" i="1"/>
  <c r="AO579" i="1"/>
  <c r="AI579" i="1"/>
  <c r="AF579" i="1"/>
  <c r="AE579" i="1"/>
  <c r="AA579" i="1"/>
  <c r="W579" i="1"/>
  <c r="V579" i="1"/>
  <c r="E579" i="1"/>
  <c r="AY578" i="1"/>
  <c r="AX578" i="1"/>
  <c r="AW578" i="1"/>
  <c r="AV578" i="1"/>
  <c r="AU578" i="1"/>
  <c r="AT578" i="1"/>
  <c r="AS578" i="1"/>
  <c r="AR578" i="1"/>
  <c r="AQ578" i="1"/>
  <c r="AP578" i="1"/>
  <c r="AO578" i="1"/>
  <c r="AI578" i="1"/>
  <c r="AF578" i="1"/>
  <c r="AE578" i="1"/>
  <c r="AA578" i="1"/>
  <c r="W578" i="1"/>
  <c r="V578" i="1"/>
  <c r="E578" i="1"/>
  <c r="AY577" i="1"/>
  <c r="AX577" i="1"/>
  <c r="AW577" i="1"/>
  <c r="AV577" i="1"/>
  <c r="AU577" i="1"/>
  <c r="AT577" i="1"/>
  <c r="AS577" i="1"/>
  <c r="AR577" i="1"/>
  <c r="AQ577" i="1"/>
  <c r="AP577" i="1"/>
  <c r="AO577" i="1"/>
  <c r="AI577" i="1"/>
  <c r="AF577" i="1"/>
  <c r="AE577" i="1"/>
  <c r="AA577" i="1"/>
  <c r="W577" i="1"/>
  <c r="V577" i="1"/>
  <c r="E577" i="1"/>
  <c r="AY576" i="1"/>
  <c r="AX576" i="1"/>
  <c r="AW576" i="1"/>
  <c r="AV576" i="1"/>
  <c r="AU576" i="1"/>
  <c r="AT576" i="1"/>
  <c r="AS576" i="1"/>
  <c r="AR576" i="1"/>
  <c r="AQ576" i="1"/>
  <c r="AP576" i="1"/>
  <c r="AO576" i="1"/>
  <c r="AI576" i="1"/>
  <c r="AF576" i="1"/>
  <c r="AE576" i="1"/>
  <c r="AA576" i="1"/>
  <c r="W576" i="1"/>
  <c r="V576" i="1"/>
  <c r="E576" i="1"/>
  <c r="AY575" i="1"/>
  <c r="AX575" i="1"/>
  <c r="AW575" i="1"/>
  <c r="AV575" i="1"/>
  <c r="AU575" i="1"/>
  <c r="AT575" i="1"/>
  <c r="AS575" i="1"/>
  <c r="AR575" i="1"/>
  <c r="AQ575" i="1"/>
  <c r="AP575" i="1"/>
  <c r="AO575" i="1"/>
  <c r="AI575" i="1"/>
  <c r="AF575" i="1"/>
  <c r="AE575" i="1"/>
  <c r="AA575" i="1"/>
  <c r="W575" i="1"/>
  <c r="V575" i="1"/>
  <c r="E575" i="1"/>
  <c r="AY574" i="1"/>
  <c r="AX574" i="1"/>
  <c r="AW574" i="1"/>
  <c r="AV574" i="1"/>
  <c r="AU574" i="1"/>
  <c r="AT574" i="1"/>
  <c r="AS574" i="1"/>
  <c r="AR574" i="1"/>
  <c r="AQ574" i="1"/>
  <c r="AP574" i="1"/>
  <c r="AO574" i="1"/>
  <c r="AI574" i="1"/>
  <c r="AF574" i="1"/>
  <c r="AE574" i="1"/>
  <c r="AA574" i="1"/>
  <c r="W574" i="1"/>
  <c r="V574" i="1"/>
  <c r="E574" i="1"/>
  <c r="AY573" i="1"/>
  <c r="AX573" i="1"/>
  <c r="AW573" i="1"/>
  <c r="AV573" i="1"/>
  <c r="AU573" i="1"/>
  <c r="AT573" i="1"/>
  <c r="AS573" i="1"/>
  <c r="AR573" i="1"/>
  <c r="AQ573" i="1"/>
  <c r="AP573" i="1"/>
  <c r="AO573" i="1"/>
  <c r="AI573" i="1"/>
  <c r="AF573" i="1"/>
  <c r="AE573" i="1"/>
  <c r="AA573" i="1"/>
  <c r="W573" i="1"/>
  <c r="V573" i="1"/>
  <c r="E573" i="1"/>
  <c r="AY572" i="1"/>
  <c r="AX572" i="1"/>
  <c r="AW572" i="1"/>
  <c r="AV572" i="1"/>
  <c r="AU572" i="1"/>
  <c r="AT572" i="1"/>
  <c r="AS572" i="1"/>
  <c r="AR572" i="1"/>
  <c r="AQ572" i="1"/>
  <c r="AP572" i="1"/>
  <c r="AO572" i="1"/>
  <c r="AI572" i="1"/>
  <c r="AF572" i="1"/>
  <c r="AE572" i="1"/>
  <c r="AA572" i="1"/>
  <c r="W572" i="1"/>
  <c r="V572" i="1"/>
  <c r="E572" i="1"/>
  <c r="AY571" i="1"/>
  <c r="AX571" i="1"/>
  <c r="AW571" i="1"/>
  <c r="AV571" i="1"/>
  <c r="AU571" i="1"/>
  <c r="AT571" i="1"/>
  <c r="AS571" i="1"/>
  <c r="AR571" i="1"/>
  <c r="AQ571" i="1"/>
  <c r="AP571" i="1"/>
  <c r="AO571" i="1"/>
  <c r="AI571" i="1"/>
  <c r="AF571" i="1"/>
  <c r="AE571" i="1"/>
  <c r="AA571" i="1"/>
  <c r="W571" i="1"/>
  <c r="V571" i="1"/>
  <c r="E571" i="1"/>
  <c r="AY570" i="1"/>
  <c r="AX570" i="1"/>
  <c r="AW570" i="1"/>
  <c r="AV570" i="1"/>
  <c r="AU570" i="1"/>
  <c r="AT570" i="1"/>
  <c r="AS570" i="1"/>
  <c r="AR570" i="1"/>
  <c r="AQ570" i="1"/>
  <c r="AP570" i="1"/>
  <c r="AO570" i="1"/>
  <c r="AI570" i="1"/>
  <c r="AF570" i="1"/>
  <c r="AE570" i="1"/>
  <c r="AA570" i="1"/>
  <c r="W570" i="1"/>
  <c r="V570" i="1"/>
  <c r="E570" i="1"/>
  <c r="AY569" i="1"/>
  <c r="AX569" i="1"/>
  <c r="AW569" i="1"/>
  <c r="AV569" i="1"/>
  <c r="AU569" i="1"/>
  <c r="AT569" i="1"/>
  <c r="AS569" i="1"/>
  <c r="AR569" i="1"/>
  <c r="AQ569" i="1"/>
  <c r="AP569" i="1"/>
  <c r="AO569" i="1"/>
  <c r="AI569" i="1"/>
  <c r="AF569" i="1"/>
  <c r="AE569" i="1"/>
  <c r="AA569" i="1"/>
  <c r="W569" i="1"/>
  <c r="V569" i="1"/>
  <c r="E569" i="1"/>
  <c r="AI568" i="1"/>
  <c r="AF568" i="1"/>
  <c r="AE568" i="1"/>
  <c r="AA568" i="1"/>
  <c r="AI567" i="1"/>
  <c r="AF567" i="1"/>
  <c r="AE567" i="1"/>
  <c r="AA567" i="1"/>
  <c r="AI566" i="1"/>
  <c r="AF566" i="1"/>
  <c r="AE566" i="1"/>
  <c r="AA566" i="1"/>
  <c r="AI565" i="1"/>
  <c r="AF565" i="1"/>
  <c r="AE565" i="1"/>
  <c r="AA565" i="1"/>
  <c r="AI564" i="1"/>
  <c r="AF564" i="1"/>
  <c r="AE564" i="1"/>
  <c r="AA564" i="1"/>
  <c r="AI563" i="1"/>
  <c r="AF563" i="1"/>
  <c r="AE563" i="1"/>
  <c r="AA563" i="1"/>
  <c r="AI562" i="1"/>
  <c r="AF562" i="1"/>
  <c r="AE562" i="1"/>
  <c r="AA562" i="1"/>
  <c r="BA552" i="1"/>
  <c r="AJ552" i="1"/>
  <c r="AG552" i="1"/>
  <c r="AC552" i="1"/>
  <c r="U552" i="1"/>
  <c r="T552" i="1"/>
  <c r="H552" i="1"/>
  <c r="G552" i="1"/>
  <c r="F552" i="1"/>
  <c r="AY551" i="1"/>
  <c r="AX551" i="1"/>
  <c r="AW551" i="1"/>
  <c r="AV551" i="1"/>
  <c r="AU551" i="1"/>
  <c r="AT551" i="1"/>
  <c r="AS551" i="1"/>
  <c r="AR551" i="1"/>
  <c r="AQ551" i="1"/>
  <c r="AP551" i="1"/>
  <c r="AO551" i="1"/>
  <c r="AI551" i="1"/>
  <c r="AF551" i="1"/>
  <c r="AE551" i="1"/>
  <c r="AA551" i="1"/>
  <c r="W551" i="1"/>
  <c r="V551" i="1"/>
  <c r="E551" i="1"/>
  <c r="AY550" i="1"/>
  <c r="AX550" i="1"/>
  <c r="AW550" i="1"/>
  <c r="AV550" i="1"/>
  <c r="AU550" i="1"/>
  <c r="AT550" i="1"/>
  <c r="AS550" i="1"/>
  <c r="AR550" i="1"/>
  <c r="AQ550" i="1"/>
  <c r="AP550" i="1"/>
  <c r="AO550" i="1"/>
  <c r="AI550" i="1"/>
  <c r="AF550" i="1"/>
  <c r="AE550" i="1"/>
  <c r="AA550" i="1"/>
  <c r="W550" i="1"/>
  <c r="V550" i="1"/>
  <c r="E550" i="1"/>
  <c r="AY549" i="1"/>
  <c r="AX549" i="1"/>
  <c r="AW549" i="1"/>
  <c r="AV549" i="1"/>
  <c r="AU549" i="1"/>
  <c r="AT549" i="1"/>
  <c r="AS549" i="1"/>
  <c r="AR549" i="1"/>
  <c r="AQ549" i="1"/>
  <c r="AP549" i="1"/>
  <c r="AO549" i="1"/>
  <c r="AI549" i="1"/>
  <c r="AF549" i="1"/>
  <c r="AE549" i="1"/>
  <c r="AA549" i="1"/>
  <c r="W549" i="1"/>
  <c r="V549" i="1"/>
  <c r="E549" i="1"/>
  <c r="AY548" i="1"/>
  <c r="AX548" i="1"/>
  <c r="AW548" i="1"/>
  <c r="AV548" i="1"/>
  <c r="AU548" i="1"/>
  <c r="AT548" i="1"/>
  <c r="AS548" i="1"/>
  <c r="AR548" i="1"/>
  <c r="AQ548" i="1"/>
  <c r="AP548" i="1"/>
  <c r="AO548" i="1"/>
  <c r="AI548" i="1"/>
  <c r="AF548" i="1"/>
  <c r="AE548" i="1"/>
  <c r="AA548" i="1"/>
  <c r="W548" i="1"/>
  <c r="V548" i="1"/>
  <c r="E548" i="1"/>
  <c r="AY547" i="1"/>
  <c r="AX547" i="1"/>
  <c r="AW547" i="1"/>
  <c r="AV547" i="1"/>
  <c r="AU547" i="1"/>
  <c r="AT547" i="1"/>
  <c r="AS547" i="1"/>
  <c r="AR547" i="1"/>
  <c r="AQ547" i="1"/>
  <c r="AP547" i="1"/>
  <c r="AO547" i="1"/>
  <c r="AI547" i="1"/>
  <c r="AF547" i="1"/>
  <c r="AE547" i="1"/>
  <c r="AA547" i="1"/>
  <c r="W547" i="1"/>
  <c r="V547" i="1"/>
  <c r="E547" i="1"/>
  <c r="AY546" i="1"/>
  <c r="AX546" i="1"/>
  <c r="AW546" i="1"/>
  <c r="AV546" i="1"/>
  <c r="AU546" i="1"/>
  <c r="AT546" i="1"/>
  <c r="AS546" i="1"/>
  <c r="AR546" i="1"/>
  <c r="AQ546" i="1"/>
  <c r="AP546" i="1"/>
  <c r="AO546" i="1"/>
  <c r="AI546" i="1"/>
  <c r="AF546" i="1"/>
  <c r="AE546" i="1"/>
  <c r="AA546" i="1"/>
  <c r="W546" i="1"/>
  <c r="V546" i="1"/>
  <c r="E546" i="1"/>
  <c r="AY545" i="1"/>
  <c r="AX545" i="1"/>
  <c r="AW545" i="1"/>
  <c r="AV545" i="1"/>
  <c r="AU545" i="1"/>
  <c r="AT545" i="1"/>
  <c r="AS545" i="1"/>
  <c r="AR545" i="1"/>
  <c r="AQ545" i="1"/>
  <c r="AP545" i="1"/>
  <c r="AO545" i="1"/>
  <c r="AI545" i="1"/>
  <c r="AF545" i="1"/>
  <c r="AE545" i="1"/>
  <c r="AA545" i="1"/>
  <c r="W545" i="1"/>
  <c r="V545" i="1"/>
  <c r="E545" i="1"/>
  <c r="AY544" i="1"/>
  <c r="AX544" i="1"/>
  <c r="AW544" i="1"/>
  <c r="AV544" i="1"/>
  <c r="AU544" i="1"/>
  <c r="AT544" i="1"/>
  <c r="AS544" i="1"/>
  <c r="AR544" i="1"/>
  <c r="AQ544" i="1"/>
  <c r="AP544" i="1"/>
  <c r="AO544" i="1"/>
  <c r="AI544" i="1"/>
  <c r="AF544" i="1"/>
  <c r="AE544" i="1"/>
  <c r="AA544" i="1"/>
  <c r="W544" i="1"/>
  <c r="V544" i="1"/>
  <c r="E544" i="1"/>
  <c r="AY543" i="1"/>
  <c r="AX543" i="1"/>
  <c r="AW543" i="1"/>
  <c r="AV543" i="1"/>
  <c r="AU543" i="1"/>
  <c r="AT543" i="1"/>
  <c r="AS543" i="1"/>
  <c r="AR543" i="1"/>
  <c r="AQ543" i="1"/>
  <c r="AP543" i="1"/>
  <c r="AO543" i="1"/>
  <c r="AI543" i="1"/>
  <c r="AF543" i="1"/>
  <c r="AE543" i="1"/>
  <c r="AA543" i="1"/>
  <c r="W543" i="1"/>
  <c r="V543" i="1"/>
  <c r="E543" i="1"/>
  <c r="AY542" i="1"/>
  <c r="AX542" i="1"/>
  <c r="AW542" i="1"/>
  <c r="AV542" i="1"/>
  <c r="AU542" i="1"/>
  <c r="AT542" i="1"/>
  <c r="AS542" i="1"/>
  <c r="AR542" i="1"/>
  <c r="AQ542" i="1"/>
  <c r="AP542" i="1"/>
  <c r="AO542" i="1"/>
  <c r="AI542" i="1"/>
  <c r="AF542" i="1"/>
  <c r="AE542" i="1"/>
  <c r="AA542" i="1"/>
  <c r="W542" i="1"/>
  <c r="V542" i="1"/>
  <c r="E542" i="1"/>
  <c r="AY541" i="1"/>
  <c r="AX541" i="1"/>
  <c r="AW541" i="1"/>
  <c r="AV541" i="1"/>
  <c r="AU541" i="1"/>
  <c r="AT541" i="1"/>
  <c r="AS541" i="1"/>
  <c r="AR541" i="1"/>
  <c r="AQ541" i="1"/>
  <c r="AP541" i="1"/>
  <c r="AO541" i="1"/>
  <c r="AI541" i="1"/>
  <c r="AF541" i="1"/>
  <c r="AE541" i="1"/>
  <c r="AA541" i="1"/>
  <c r="W541" i="1"/>
  <c r="V541" i="1"/>
  <c r="E541" i="1"/>
  <c r="AY540" i="1"/>
  <c r="AX540" i="1"/>
  <c r="AW540" i="1"/>
  <c r="AV540" i="1"/>
  <c r="AU540" i="1"/>
  <c r="AT540" i="1"/>
  <c r="AS540" i="1"/>
  <c r="AR540" i="1"/>
  <c r="AQ540" i="1"/>
  <c r="AP540" i="1"/>
  <c r="AO540" i="1"/>
  <c r="AI540" i="1"/>
  <c r="AF540" i="1"/>
  <c r="AE540" i="1"/>
  <c r="AA540" i="1"/>
  <c r="W540" i="1"/>
  <c r="V540" i="1"/>
  <c r="E540" i="1"/>
  <c r="AI539" i="1"/>
  <c r="AF539" i="1"/>
  <c r="AE539" i="1"/>
  <c r="AA539" i="1"/>
  <c r="AI538" i="1"/>
  <c r="AF538" i="1"/>
  <c r="AE538" i="1"/>
  <c r="AA538" i="1"/>
  <c r="AI537" i="1"/>
  <c r="AF537" i="1"/>
  <c r="AE537" i="1"/>
  <c r="AA537" i="1"/>
  <c r="AI536" i="1"/>
  <c r="AF536" i="1"/>
  <c r="AE536" i="1"/>
  <c r="AA536" i="1"/>
  <c r="AI535" i="1"/>
  <c r="AF535" i="1"/>
  <c r="AE535" i="1"/>
  <c r="AA535" i="1"/>
  <c r="AI534" i="1"/>
  <c r="AF534" i="1"/>
  <c r="AE534" i="1"/>
  <c r="AA534" i="1"/>
  <c r="AI533" i="1"/>
  <c r="AF533" i="1"/>
  <c r="AE533" i="1"/>
  <c r="AA533" i="1"/>
  <c r="BA523" i="1"/>
  <c r="AJ523" i="1"/>
  <c r="AG523" i="1"/>
  <c r="AC523" i="1"/>
  <c r="U523" i="1"/>
  <c r="T523" i="1"/>
  <c r="H523" i="1"/>
  <c r="G523" i="1"/>
  <c r="F523" i="1"/>
  <c r="AY522" i="1"/>
  <c r="AX522" i="1"/>
  <c r="AW522" i="1"/>
  <c r="AV522" i="1"/>
  <c r="AU522" i="1"/>
  <c r="AT522" i="1"/>
  <c r="AS522" i="1"/>
  <c r="AR522" i="1"/>
  <c r="AQ522" i="1"/>
  <c r="AP522" i="1"/>
  <c r="AO522" i="1"/>
  <c r="AI522" i="1"/>
  <c r="AF522" i="1"/>
  <c r="AE522" i="1"/>
  <c r="AA522" i="1"/>
  <c r="W522" i="1"/>
  <c r="V522" i="1"/>
  <c r="E522" i="1"/>
  <c r="AY521" i="1"/>
  <c r="AX521" i="1"/>
  <c r="AW521" i="1"/>
  <c r="AV521" i="1"/>
  <c r="AU521" i="1"/>
  <c r="AT521" i="1"/>
  <c r="AS521" i="1"/>
  <c r="AR521" i="1"/>
  <c r="AQ521" i="1"/>
  <c r="AP521" i="1"/>
  <c r="AO521" i="1"/>
  <c r="AI521" i="1"/>
  <c r="AF521" i="1"/>
  <c r="AE521" i="1"/>
  <c r="AA521" i="1"/>
  <c r="W521" i="1"/>
  <c r="V521" i="1"/>
  <c r="E521" i="1"/>
  <c r="AY520" i="1"/>
  <c r="AX520" i="1"/>
  <c r="AW520" i="1"/>
  <c r="AV520" i="1"/>
  <c r="AU520" i="1"/>
  <c r="AT520" i="1"/>
  <c r="AS520" i="1"/>
  <c r="AR520" i="1"/>
  <c r="AQ520" i="1"/>
  <c r="AP520" i="1"/>
  <c r="AO520" i="1"/>
  <c r="AI520" i="1"/>
  <c r="AF520" i="1"/>
  <c r="AE520" i="1"/>
  <c r="AA520" i="1"/>
  <c r="W520" i="1"/>
  <c r="V520" i="1"/>
  <c r="E520" i="1"/>
  <c r="AY519" i="1"/>
  <c r="AX519" i="1"/>
  <c r="AW519" i="1"/>
  <c r="AV519" i="1"/>
  <c r="AU519" i="1"/>
  <c r="AT519" i="1"/>
  <c r="AS519" i="1"/>
  <c r="AR519" i="1"/>
  <c r="AQ519" i="1"/>
  <c r="AP519" i="1"/>
  <c r="AO519" i="1"/>
  <c r="AI519" i="1"/>
  <c r="AF519" i="1"/>
  <c r="AE519" i="1"/>
  <c r="AA519" i="1"/>
  <c r="W519" i="1"/>
  <c r="V519" i="1"/>
  <c r="E519" i="1"/>
  <c r="AY518" i="1"/>
  <c r="AX518" i="1"/>
  <c r="AW518" i="1"/>
  <c r="AV518" i="1"/>
  <c r="AU518" i="1"/>
  <c r="AT518" i="1"/>
  <c r="AS518" i="1"/>
  <c r="AR518" i="1"/>
  <c r="AQ518" i="1"/>
  <c r="AP518" i="1"/>
  <c r="AO518" i="1"/>
  <c r="AI518" i="1"/>
  <c r="AF518" i="1"/>
  <c r="AE518" i="1"/>
  <c r="AA518" i="1"/>
  <c r="W518" i="1"/>
  <c r="V518" i="1"/>
  <c r="E518" i="1"/>
  <c r="AY517" i="1"/>
  <c r="AX517" i="1"/>
  <c r="AW517" i="1"/>
  <c r="AV517" i="1"/>
  <c r="AU517" i="1"/>
  <c r="AT517" i="1"/>
  <c r="AS517" i="1"/>
  <c r="AR517" i="1"/>
  <c r="AQ517" i="1"/>
  <c r="AP517" i="1"/>
  <c r="AO517" i="1"/>
  <c r="AI517" i="1"/>
  <c r="AF517" i="1"/>
  <c r="AE517" i="1"/>
  <c r="AA517" i="1"/>
  <c r="W517" i="1"/>
  <c r="V517" i="1"/>
  <c r="E517" i="1"/>
  <c r="AY516" i="1"/>
  <c r="AX516" i="1"/>
  <c r="AW516" i="1"/>
  <c r="AV516" i="1"/>
  <c r="AU516" i="1"/>
  <c r="AT516" i="1"/>
  <c r="AS516" i="1"/>
  <c r="AR516" i="1"/>
  <c r="AQ516" i="1"/>
  <c r="AP516" i="1"/>
  <c r="AO516" i="1"/>
  <c r="AI516" i="1"/>
  <c r="AF516" i="1"/>
  <c r="AE516" i="1"/>
  <c r="AA516" i="1"/>
  <c r="W516" i="1"/>
  <c r="V516" i="1"/>
  <c r="E516" i="1"/>
  <c r="AY515" i="1"/>
  <c r="AX515" i="1"/>
  <c r="AW515" i="1"/>
  <c r="AV515" i="1"/>
  <c r="AU515" i="1"/>
  <c r="AT515" i="1"/>
  <c r="AS515" i="1"/>
  <c r="AR515" i="1"/>
  <c r="AQ515" i="1"/>
  <c r="AP515" i="1"/>
  <c r="AO515" i="1"/>
  <c r="AI515" i="1"/>
  <c r="AF515" i="1"/>
  <c r="AE515" i="1"/>
  <c r="AA515" i="1"/>
  <c r="W515" i="1"/>
  <c r="V515" i="1"/>
  <c r="E515" i="1"/>
  <c r="AY514" i="1"/>
  <c r="AX514" i="1"/>
  <c r="AW514" i="1"/>
  <c r="AV514" i="1"/>
  <c r="AU514" i="1"/>
  <c r="AT514" i="1"/>
  <c r="AS514" i="1"/>
  <c r="AR514" i="1"/>
  <c r="AQ514" i="1"/>
  <c r="AP514" i="1"/>
  <c r="AO514" i="1"/>
  <c r="AI514" i="1"/>
  <c r="AF514" i="1"/>
  <c r="AE514" i="1"/>
  <c r="AA514" i="1"/>
  <c r="W514" i="1"/>
  <c r="V514" i="1"/>
  <c r="E514" i="1"/>
  <c r="AY513" i="1"/>
  <c r="AX513" i="1"/>
  <c r="AW513" i="1"/>
  <c r="AV513" i="1"/>
  <c r="AU513" i="1"/>
  <c r="AT513" i="1"/>
  <c r="AS513" i="1"/>
  <c r="AR513" i="1"/>
  <c r="AQ513" i="1"/>
  <c r="AP513" i="1"/>
  <c r="AO513" i="1"/>
  <c r="AI513" i="1"/>
  <c r="AF513" i="1"/>
  <c r="AE513" i="1"/>
  <c r="AA513" i="1"/>
  <c r="W513" i="1"/>
  <c r="V513" i="1"/>
  <c r="E513" i="1"/>
  <c r="AY512" i="1"/>
  <c r="AX512" i="1"/>
  <c r="AW512" i="1"/>
  <c r="AV512" i="1"/>
  <c r="AU512" i="1"/>
  <c r="AT512" i="1"/>
  <c r="AS512" i="1"/>
  <c r="AR512" i="1"/>
  <c r="AQ512" i="1"/>
  <c r="AP512" i="1"/>
  <c r="AO512" i="1"/>
  <c r="AI512" i="1"/>
  <c r="AF512" i="1"/>
  <c r="AE512" i="1"/>
  <c r="AA512" i="1"/>
  <c r="W512" i="1"/>
  <c r="V512" i="1"/>
  <c r="E512" i="1"/>
  <c r="AY511" i="1"/>
  <c r="AX511" i="1"/>
  <c r="AW511" i="1"/>
  <c r="AV511" i="1"/>
  <c r="AU511" i="1"/>
  <c r="AT511" i="1"/>
  <c r="AS511" i="1"/>
  <c r="AR511" i="1"/>
  <c r="AQ511" i="1"/>
  <c r="AP511" i="1"/>
  <c r="AO511" i="1"/>
  <c r="AI511" i="1"/>
  <c r="AF511" i="1"/>
  <c r="AE511" i="1"/>
  <c r="AA511" i="1"/>
  <c r="W511" i="1"/>
  <c r="V511" i="1"/>
  <c r="E511" i="1"/>
  <c r="AI510" i="1"/>
  <c r="AF510" i="1"/>
  <c r="AE510" i="1"/>
  <c r="AA510" i="1"/>
  <c r="AI509" i="1"/>
  <c r="AF509" i="1"/>
  <c r="AE509" i="1"/>
  <c r="AA509" i="1"/>
  <c r="AI508" i="1"/>
  <c r="AF508" i="1"/>
  <c r="AE508" i="1"/>
  <c r="AA508" i="1"/>
  <c r="AI507" i="1"/>
  <c r="AF507" i="1"/>
  <c r="AE507" i="1"/>
  <c r="AA507" i="1"/>
  <c r="AI506" i="1"/>
  <c r="AF506" i="1"/>
  <c r="AE506" i="1"/>
  <c r="AA506" i="1"/>
  <c r="AI505" i="1"/>
  <c r="AF505" i="1"/>
  <c r="AE505" i="1"/>
  <c r="AA505" i="1"/>
  <c r="AI504" i="1"/>
  <c r="AF504" i="1"/>
  <c r="AE504" i="1"/>
  <c r="AA504" i="1"/>
  <c r="BA494" i="1"/>
  <c r="AJ494" i="1"/>
  <c r="AG494" i="1"/>
  <c r="AC494" i="1"/>
  <c r="U494" i="1"/>
  <c r="T494" i="1"/>
  <c r="H494" i="1"/>
  <c r="G494" i="1"/>
  <c r="F494" i="1"/>
  <c r="AY493" i="1"/>
  <c r="AX493" i="1"/>
  <c r="AW493" i="1"/>
  <c r="AV493" i="1"/>
  <c r="AU493" i="1"/>
  <c r="AT493" i="1"/>
  <c r="AS493" i="1"/>
  <c r="AR493" i="1"/>
  <c r="AQ493" i="1"/>
  <c r="AP493" i="1"/>
  <c r="AO493" i="1"/>
  <c r="AI493" i="1"/>
  <c r="AF493" i="1"/>
  <c r="AE493" i="1"/>
  <c r="AA493" i="1"/>
  <c r="W493" i="1"/>
  <c r="V493" i="1"/>
  <c r="E493" i="1"/>
  <c r="AY492" i="1"/>
  <c r="AX492" i="1"/>
  <c r="AW492" i="1"/>
  <c r="AV492" i="1"/>
  <c r="AU492" i="1"/>
  <c r="AT492" i="1"/>
  <c r="AS492" i="1"/>
  <c r="AR492" i="1"/>
  <c r="AQ492" i="1"/>
  <c r="AP492" i="1"/>
  <c r="AO492" i="1"/>
  <c r="AI492" i="1"/>
  <c r="AF492" i="1"/>
  <c r="AE492" i="1"/>
  <c r="AA492" i="1"/>
  <c r="W492" i="1"/>
  <c r="V492" i="1"/>
  <c r="E492" i="1"/>
  <c r="AY491" i="1"/>
  <c r="AX491" i="1"/>
  <c r="AW491" i="1"/>
  <c r="AV491" i="1"/>
  <c r="AU491" i="1"/>
  <c r="AT491" i="1"/>
  <c r="AS491" i="1"/>
  <c r="AR491" i="1"/>
  <c r="AQ491" i="1"/>
  <c r="AP491" i="1"/>
  <c r="AO491" i="1"/>
  <c r="AI491" i="1"/>
  <c r="AF491" i="1"/>
  <c r="AE491" i="1"/>
  <c r="AA491" i="1"/>
  <c r="W491" i="1"/>
  <c r="V491" i="1"/>
  <c r="E491" i="1"/>
  <c r="AY490" i="1"/>
  <c r="AX490" i="1"/>
  <c r="AW490" i="1"/>
  <c r="AV490" i="1"/>
  <c r="AU490" i="1"/>
  <c r="AT490" i="1"/>
  <c r="AS490" i="1"/>
  <c r="AR490" i="1"/>
  <c r="AQ490" i="1"/>
  <c r="AP490" i="1"/>
  <c r="AO490" i="1"/>
  <c r="AI490" i="1"/>
  <c r="AF490" i="1"/>
  <c r="AE490" i="1"/>
  <c r="AA490" i="1"/>
  <c r="W490" i="1"/>
  <c r="V490" i="1"/>
  <c r="E490" i="1"/>
  <c r="AY489" i="1"/>
  <c r="AX489" i="1"/>
  <c r="AW489" i="1"/>
  <c r="AV489" i="1"/>
  <c r="AU489" i="1"/>
  <c r="AT489" i="1"/>
  <c r="AS489" i="1"/>
  <c r="AR489" i="1"/>
  <c r="AQ489" i="1"/>
  <c r="AP489" i="1"/>
  <c r="AO489" i="1"/>
  <c r="AI489" i="1"/>
  <c r="AF489" i="1"/>
  <c r="AE489" i="1"/>
  <c r="AA489" i="1"/>
  <c r="W489" i="1"/>
  <c r="V489" i="1"/>
  <c r="E489" i="1"/>
  <c r="AY488" i="1"/>
  <c r="AX488" i="1"/>
  <c r="AW488" i="1"/>
  <c r="AV488" i="1"/>
  <c r="AU488" i="1"/>
  <c r="AT488" i="1"/>
  <c r="AS488" i="1"/>
  <c r="AR488" i="1"/>
  <c r="AQ488" i="1"/>
  <c r="AP488" i="1"/>
  <c r="AO488" i="1"/>
  <c r="AI488" i="1"/>
  <c r="AF488" i="1"/>
  <c r="AE488" i="1"/>
  <c r="AA488" i="1"/>
  <c r="W488" i="1"/>
  <c r="V488" i="1"/>
  <c r="E488" i="1"/>
  <c r="AY487" i="1"/>
  <c r="AX487" i="1"/>
  <c r="AW487" i="1"/>
  <c r="AV487" i="1"/>
  <c r="AU487" i="1"/>
  <c r="AT487" i="1"/>
  <c r="AS487" i="1"/>
  <c r="AR487" i="1"/>
  <c r="AQ487" i="1"/>
  <c r="AP487" i="1"/>
  <c r="AO487" i="1"/>
  <c r="AI487" i="1"/>
  <c r="AF487" i="1"/>
  <c r="AE487" i="1"/>
  <c r="AA487" i="1"/>
  <c r="W487" i="1"/>
  <c r="V487" i="1"/>
  <c r="E487" i="1"/>
  <c r="AY486" i="1"/>
  <c r="AX486" i="1"/>
  <c r="AW486" i="1"/>
  <c r="AV486" i="1"/>
  <c r="AU486" i="1"/>
  <c r="AT486" i="1"/>
  <c r="AS486" i="1"/>
  <c r="AR486" i="1"/>
  <c r="AQ486" i="1"/>
  <c r="AP486" i="1"/>
  <c r="AO486" i="1"/>
  <c r="AI486" i="1"/>
  <c r="AF486" i="1"/>
  <c r="AE486" i="1"/>
  <c r="AA486" i="1"/>
  <c r="W486" i="1"/>
  <c r="V486" i="1"/>
  <c r="E486" i="1"/>
  <c r="AY485" i="1"/>
  <c r="AX485" i="1"/>
  <c r="AW485" i="1"/>
  <c r="AV485" i="1"/>
  <c r="AU485" i="1"/>
  <c r="AT485" i="1"/>
  <c r="AS485" i="1"/>
  <c r="AR485" i="1"/>
  <c r="AQ485" i="1"/>
  <c r="AP485" i="1"/>
  <c r="AO485" i="1"/>
  <c r="AI485" i="1"/>
  <c r="AF485" i="1"/>
  <c r="AE485" i="1"/>
  <c r="AA485" i="1"/>
  <c r="W485" i="1"/>
  <c r="V485" i="1"/>
  <c r="E485" i="1"/>
  <c r="AY484" i="1"/>
  <c r="AX484" i="1"/>
  <c r="AW484" i="1"/>
  <c r="AV484" i="1"/>
  <c r="AU484" i="1"/>
  <c r="AT484" i="1"/>
  <c r="AS484" i="1"/>
  <c r="AR484" i="1"/>
  <c r="AQ484" i="1"/>
  <c r="AP484" i="1"/>
  <c r="AO484" i="1"/>
  <c r="AI484" i="1"/>
  <c r="AF484" i="1"/>
  <c r="AE484" i="1"/>
  <c r="AA484" i="1"/>
  <c r="W484" i="1"/>
  <c r="V484" i="1"/>
  <c r="E484" i="1"/>
  <c r="AY483" i="1"/>
  <c r="AX483" i="1"/>
  <c r="AW483" i="1"/>
  <c r="AV483" i="1"/>
  <c r="AU483" i="1"/>
  <c r="AT483" i="1"/>
  <c r="AS483" i="1"/>
  <c r="AR483" i="1"/>
  <c r="AQ483" i="1"/>
  <c r="AP483" i="1"/>
  <c r="AO483" i="1"/>
  <c r="AI483" i="1"/>
  <c r="AF483" i="1"/>
  <c r="AE483" i="1"/>
  <c r="AA483" i="1"/>
  <c r="W483" i="1"/>
  <c r="V483" i="1"/>
  <c r="E483" i="1"/>
  <c r="AY482" i="1"/>
  <c r="AX482" i="1"/>
  <c r="AW482" i="1"/>
  <c r="AV482" i="1"/>
  <c r="AU482" i="1"/>
  <c r="AT482" i="1"/>
  <c r="AS482" i="1"/>
  <c r="AR482" i="1"/>
  <c r="AQ482" i="1"/>
  <c r="AP482" i="1"/>
  <c r="AO482" i="1"/>
  <c r="AI482" i="1"/>
  <c r="AF482" i="1"/>
  <c r="AE482" i="1"/>
  <c r="AA482" i="1"/>
  <c r="W482" i="1"/>
  <c r="V482" i="1"/>
  <c r="E482" i="1"/>
  <c r="AI481" i="1"/>
  <c r="AF481" i="1"/>
  <c r="AE481" i="1"/>
  <c r="AA481" i="1"/>
  <c r="AI480" i="1"/>
  <c r="AF480" i="1"/>
  <c r="AE480" i="1"/>
  <c r="AA480" i="1"/>
  <c r="AI479" i="1"/>
  <c r="AF479" i="1"/>
  <c r="AE479" i="1"/>
  <c r="AA479" i="1"/>
  <c r="AI478" i="1"/>
  <c r="AF478" i="1"/>
  <c r="AE478" i="1"/>
  <c r="AA478" i="1"/>
  <c r="AI477" i="1"/>
  <c r="AF477" i="1"/>
  <c r="AE477" i="1"/>
  <c r="AA477" i="1"/>
  <c r="AI476" i="1"/>
  <c r="AF476" i="1"/>
  <c r="AE476" i="1"/>
  <c r="AA476" i="1"/>
  <c r="AI475" i="1"/>
  <c r="AF475" i="1"/>
  <c r="AE475" i="1"/>
  <c r="AA475" i="1"/>
  <c r="BA465" i="1"/>
  <c r="AJ465" i="1"/>
  <c r="AG465" i="1"/>
  <c r="AC465" i="1"/>
  <c r="U465" i="1"/>
  <c r="T465" i="1"/>
  <c r="H465" i="1"/>
  <c r="G465" i="1"/>
  <c r="F465" i="1"/>
  <c r="AY464" i="1"/>
  <c r="AX464" i="1"/>
  <c r="AW464" i="1"/>
  <c r="AV464" i="1"/>
  <c r="AU464" i="1"/>
  <c r="AT464" i="1"/>
  <c r="AS464" i="1"/>
  <c r="AR464" i="1"/>
  <c r="AQ464" i="1"/>
  <c r="AP464" i="1"/>
  <c r="AO464" i="1"/>
  <c r="AI464" i="1"/>
  <c r="AF464" i="1"/>
  <c r="AE464" i="1"/>
  <c r="AA464" i="1"/>
  <c r="W464" i="1"/>
  <c r="V464" i="1"/>
  <c r="E464" i="1"/>
  <c r="AY463" i="1"/>
  <c r="AX463" i="1"/>
  <c r="AW463" i="1"/>
  <c r="AV463" i="1"/>
  <c r="AU463" i="1"/>
  <c r="AT463" i="1"/>
  <c r="AS463" i="1"/>
  <c r="AR463" i="1"/>
  <c r="AQ463" i="1"/>
  <c r="AP463" i="1"/>
  <c r="AO463" i="1"/>
  <c r="AI463" i="1"/>
  <c r="AF463" i="1"/>
  <c r="AE463" i="1"/>
  <c r="AA463" i="1"/>
  <c r="W463" i="1"/>
  <c r="V463" i="1"/>
  <c r="E463" i="1"/>
  <c r="AY462" i="1"/>
  <c r="AX462" i="1"/>
  <c r="AW462" i="1"/>
  <c r="AV462" i="1"/>
  <c r="AU462" i="1"/>
  <c r="AT462" i="1"/>
  <c r="AS462" i="1"/>
  <c r="AR462" i="1"/>
  <c r="AQ462" i="1"/>
  <c r="AP462" i="1"/>
  <c r="AO462" i="1"/>
  <c r="AI462" i="1"/>
  <c r="AF462" i="1"/>
  <c r="AE462" i="1"/>
  <c r="AA462" i="1"/>
  <c r="W462" i="1"/>
  <c r="V462" i="1"/>
  <c r="E462" i="1"/>
  <c r="AY461" i="1"/>
  <c r="AX461" i="1"/>
  <c r="AW461" i="1"/>
  <c r="AV461" i="1"/>
  <c r="AU461" i="1"/>
  <c r="AT461" i="1"/>
  <c r="AS461" i="1"/>
  <c r="AR461" i="1"/>
  <c r="AQ461" i="1"/>
  <c r="AP461" i="1"/>
  <c r="AO461" i="1"/>
  <c r="AI461" i="1"/>
  <c r="AF461" i="1"/>
  <c r="AE461" i="1"/>
  <c r="AA461" i="1"/>
  <c r="W461" i="1"/>
  <c r="V461" i="1"/>
  <c r="E461" i="1"/>
  <c r="AY460" i="1"/>
  <c r="AX460" i="1"/>
  <c r="AW460" i="1"/>
  <c r="AV460" i="1"/>
  <c r="AU460" i="1"/>
  <c r="AT460" i="1"/>
  <c r="AS460" i="1"/>
  <c r="AR460" i="1"/>
  <c r="AQ460" i="1"/>
  <c r="AP460" i="1"/>
  <c r="AO460" i="1"/>
  <c r="AI460" i="1"/>
  <c r="AF460" i="1"/>
  <c r="AE460" i="1"/>
  <c r="AA460" i="1"/>
  <c r="W460" i="1"/>
  <c r="V460" i="1"/>
  <c r="E460" i="1"/>
  <c r="AY459" i="1"/>
  <c r="AX459" i="1"/>
  <c r="AW459" i="1"/>
  <c r="AV459" i="1"/>
  <c r="AU459" i="1"/>
  <c r="AT459" i="1"/>
  <c r="AS459" i="1"/>
  <c r="AR459" i="1"/>
  <c r="AQ459" i="1"/>
  <c r="AP459" i="1"/>
  <c r="AO459" i="1"/>
  <c r="AI459" i="1"/>
  <c r="AF459" i="1"/>
  <c r="AE459" i="1"/>
  <c r="AA459" i="1"/>
  <c r="W459" i="1"/>
  <c r="V459" i="1"/>
  <c r="E459" i="1"/>
  <c r="AY458" i="1"/>
  <c r="AX458" i="1"/>
  <c r="AW458" i="1"/>
  <c r="AV458" i="1"/>
  <c r="AU458" i="1"/>
  <c r="AT458" i="1"/>
  <c r="AS458" i="1"/>
  <c r="AR458" i="1"/>
  <c r="AQ458" i="1"/>
  <c r="AP458" i="1"/>
  <c r="AO458" i="1"/>
  <c r="AI458" i="1"/>
  <c r="AF458" i="1"/>
  <c r="AE458" i="1"/>
  <c r="AA458" i="1"/>
  <c r="W458" i="1"/>
  <c r="V458" i="1"/>
  <c r="E458" i="1"/>
  <c r="AY457" i="1"/>
  <c r="AX457" i="1"/>
  <c r="AW457" i="1"/>
  <c r="AV457" i="1"/>
  <c r="AU457" i="1"/>
  <c r="AT457" i="1"/>
  <c r="AS457" i="1"/>
  <c r="AR457" i="1"/>
  <c r="AQ457" i="1"/>
  <c r="AP457" i="1"/>
  <c r="AO457" i="1"/>
  <c r="AI457" i="1"/>
  <c r="AF457" i="1"/>
  <c r="AE457" i="1"/>
  <c r="AA457" i="1"/>
  <c r="W457" i="1"/>
  <c r="V457" i="1"/>
  <c r="E457" i="1"/>
  <c r="AY456" i="1"/>
  <c r="AX456" i="1"/>
  <c r="AW456" i="1"/>
  <c r="AV456" i="1"/>
  <c r="AU456" i="1"/>
  <c r="AT456" i="1"/>
  <c r="AS456" i="1"/>
  <c r="AR456" i="1"/>
  <c r="AQ456" i="1"/>
  <c r="AP456" i="1"/>
  <c r="AO456" i="1"/>
  <c r="AI456" i="1"/>
  <c r="AF456" i="1"/>
  <c r="AE456" i="1"/>
  <c r="AA456" i="1"/>
  <c r="W456" i="1"/>
  <c r="V456" i="1"/>
  <c r="E456" i="1"/>
  <c r="AY455" i="1"/>
  <c r="AX455" i="1"/>
  <c r="AW455" i="1"/>
  <c r="AV455" i="1"/>
  <c r="AU455" i="1"/>
  <c r="AT455" i="1"/>
  <c r="AS455" i="1"/>
  <c r="AR455" i="1"/>
  <c r="AQ455" i="1"/>
  <c r="AP455" i="1"/>
  <c r="AO455" i="1"/>
  <c r="AI455" i="1"/>
  <c r="AF455" i="1"/>
  <c r="AE455" i="1"/>
  <c r="AA455" i="1"/>
  <c r="W455" i="1"/>
  <c r="V455" i="1"/>
  <c r="E455" i="1"/>
  <c r="AY454" i="1"/>
  <c r="AX454" i="1"/>
  <c r="AW454" i="1"/>
  <c r="AV454" i="1"/>
  <c r="AU454" i="1"/>
  <c r="AT454" i="1"/>
  <c r="AS454" i="1"/>
  <c r="AR454" i="1"/>
  <c r="AQ454" i="1"/>
  <c r="AP454" i="1"/>
  <c r="AO454" i="1"/>
  <c r="AI454" i="1"/>
  <c r="AF454" i="1"/>
  <c r="AE454" i="1"/>
  <c r="AA454" i="1"/>
  <c r="W454" i="1"/>
  <c r="V454" i="1"/>
  <c r="E454" i="1"/>
  <c r="AY453" i="1"/>
  <c r="AX453" i="1"/>
  <c r="AW453" i="1"/>
  <c r="AV453" i="1"/>
  <c r="AU453" i="1"/>
  <c r="AT453" i="1"/>
  <c r="AS453" i="1"/>
  <c r="AR453" i="1"/>
  <c r="AQ453" i="1"/>
  <c r="AP453" i="1"/>
  <c r="AO453" i="1"/>
  <c r="AI453" i="1"/>
  <c r="AF453" i="1"/>
  <c r="AE453" i="1"/>
  <c r="AA453" i="1"/>
  <c r="W453" i="1"/>
  <c r="V453" i="1"/>
  <c r="E453" i="1"/>
  <c r="AI452" i="1"/>
  <c r="AF452" i="1"/>
  <c r="AE452" i="1"/>
  <c r="AA452" i="1"/>
  <c r="AI451" i="1"/>
  <c r="AF451" i="1"/>
  <c r="AE451" i="1"/>
  <c r="AA451" i="1"/>
  <c r="AI450" i="1"/>
  <c r="AF450" i="1"/>
  <c r="AE450" i="1"/>
  <c r="AA450" i="1"/>
  <c r="AI449" i="1"/>
  <c r="AF449" i="1"/>
  <c r="AE449" i="1"/>
  <c r="AA449" i="1"/>
  <c r="AI448" i="1"/>
  <c r="AF448" i="1"/>
  <c r="AE448" i="1"/>
  <c r="AA448" i="1"/>
  <c r="AI447" i="1"/>
  <c r="AF447" i="1"/>
  <c r="AE447" i="1"/>
  <c r="AA447" i="1"/>
  <c r="AI446" i="1"/>
  <c r="AF446" i="1"/>
  <c r="AE446" i="1"/>
  <c r="AA446" i="1"/>
  <c r="BA436" i="1"/>
  <c r="AJ436" i="1"/>
  <c r="AG436" i="1"/>
  <c r="AC436" i="1"/>
  <c r="U436" i="1"/>
  <c r="T436" i="1"/>
  <c r="H436" i="1"/>
  <c r="G436" i="1"/>
  <c r="F436" i="1"/>
  <c r="AY435" i="1"/>
  <c r="AX435" i="1"/>
  <c r="AW435" i="1"/>
  <c r="AV435" i="1"/>
  <c r="AU435" i="1"/>
  <c r="AT435" i="1"/>
  <c r="AS435" i="1"/>
  <c r="AR435" i="1"/>
  <c r="AQ435" i="1"/>
  <c r="AP435" i="1"/>
  <c r="AO435" i="1"/>
  <c r="AI435" i="1"/>
  <c r="AF435" i="1"/>
  <c r="AE435" i="1"/>
  <c r="AA435" i="1"/>
  <c r="W435" i="1"/>
  <c r="V435" i="1"/>
  <c r="E435" i="1"/>
  <c r="AY434" i="1"/>
  <c r="AX434" i="1"/>
  <c r="AW434" i="1"/>
  <c r="AV434" i="1"/>
  <c r="AU434" i="1"/>
  <c r="AT434" i="1"/>
  <c r="AS434" i="1"/>
  <c r="AR434" i="1"/>
  <c r="AQ434" i="1"/>
  <c r="AP434" i="1"/>
  <c r="AO434" i="1"/>
  <c r="AI434" i="1"/>
  <c r="AF434" i="1"/>
  <c r="AE434" i="1"/>
  <c r="AA434" i="1"/>
  <c r="W434" i="1"/>
  <c r="V434" i="1"/>
  <c r="E434" i="1"/>
  <c r="AY433" i="1"/>
  <c r="AX433" i="1"/>
  <c r="AW433" i="1"/>
  <c r="AV433" i="1"/>
  <c r="AU433" i="1"/>
  <c r="AT433" i="1"/>
  <c r="AS433" i="1"/>
  <c r="AR433" i="1"/>
  <c r="AQ433" i="1"/>
  <c r="AP433" i="1"/>
  <c r="AO433" i="1"/>
  <c r="AI433" i="1"/>
  <c r="AF433" i="1"/>
  <c r="AE433" i="1"/>
  <c r="AA433" i="1"/>
  <c r="W433" i="1"/>
  <c r="V433" i="1"/>
  <c r="E433" i="1"/>
  <c r="AY432" i="1"/>
  <c r="AX432" i="1"/>
  <c r="AW432" i="1"/>
  <c r="AV432" i="1"/>
  <c r="AU432" i="1"/>
  <c r="AT432" i="1"/>
  <c r="AS432" i="1"/>
  <c r="AR432" i="1"/>
  <c r="AQ432" i="1"/>
  <c r="AP432" i="1"/>
  <c r="AO432" i="1"/>
  <c r="AI432" i="1"/>
  <c r="AF432" i="1"/>
  <c r="AE432" i="1"/>
  <c r="AA432" i="1"/>
  <c r="W432" i="1"/>
  <c r="V432" i="1"/>
  <c r="E432" i="1"/>
  <c r="AY431" i="1"/>
  <c r="AX431" i="1"/>
  <c r="AW431" i="1"/>
  <c r="AV431" i="1"/>
  <c r="AU431" i="1"/>
  <c r="AT431" i="1"/>
  <c r="AS431" i="1"/>
  <c r="AR431" i="1"/>
  <c r="AQ431" i="1"/>
  <c r="AP431" i="1"/>
  <c r="AO431" i="1"/>
  <c r="AI431" i="1"/>
  <c r="AF431" i="1"/>
  <c r="AE431" i="1"/>
  <c r="AA431" i="1"/>
  <c r="W431" i="1"/>
  <c r="V431" i="1"/>
  <c r="E431" i="1"/>
  <c r="AY430" i="1"/>
  <c r="AX430" i="1"/>
  <c r="AW430" i="1"/>
  <c r="AV430" i="1"/>
  <c r="AU430" i="1"/>
  <c r="AT430" i="1"/>
  <c r="AS430" i="1"/>
  <c r="AR430" i="1"/>
  <c r="AQ430" i="1"/>
  <c r="AP430" i="1"/>
  <c r="AO430" i="1"/>
  <c r="AI430" i="1"/>
  <c r="AF430" i="1"/>
  <c r="AE430" i="1"/>
  <c r="AA430" i="1"/>
  <c r="W430" i="1"/>
  <c r="V430" i="1"/>
  <c r="E430" i="1"/>
  <c r="AY429" i="1"/>
  <c r="AX429" i="1"/>
  <c r="AW429" i="1"/>
  <c r="AV429" i="1"/>
  <c r="AU429" i="1"/>
  <c r="AT429" i="1"/>
  <c r="AS429" i="1"/>
  <c r="AR429" i="1"/>
  <c r="AQ429" i="1"/>
  <c r="AP429" i="1"/>
  <c r="AO429" i="1"/>
  <c r="AI429" i="1"/>
  <c r="AF429" i="1"/>
  <c r="AE429" i="1"/>
  <c r="AA429" i="1"/>
  <c r="W429" i="1"/>
  <c r="V429" i="1"/>
  <c r="E429" i="1"/>
  <c r="AY428" i="1"/>
  <c r="AX428" i="1"/>
  <c r="AW428" i="1"/>
  <c r="AV428" i="1"/>
  <c r="AU428" i="1"/>
  <c r="AT428" i="1"/>
  <c r="AS428" i="1"/>
  <c r="AR428" i="1"/>
  <c r="AQ428" i="1"/>
  <c r="AP428" i="1"/>
  <c r="AO428" i="1"/>
  <c r="AI428" i="1"/>
  <c r="AF428" i="1"/>
  <c r="AE428" i="1"/>
  <c r="AA428" i="1"/>
  <c r="W428" i="1"/>
  <c r="V428" i="1"/>
  <c r="E428" i="1"/>
  <c r="AY427" i="1"/>
  <c r="AX427" i="1"/>
  <c r="AW427" i="1"/>
  <c r="AV427" i="1"/>
  <c r="AU427" i="1"/>
  <c r="AT427" i="1"/>
  <c r="AS427" i="1"/>
  <c r="AR427" i="1"/>
  <c r="AQ427" i="1"/>
  <c r="AP427" i="1"/>
  <c r="AO427" i="1"/>
  <c r="AI427" i="1"/>
  <c r="AF427" i="1"/>
  <c r="AE427" i="1"/>
  <c r="AA427" i="1"/>
  <c r="W427" i="1"/>
  <c r="V427" i="1"/>
  <c r="E427" i="1"/>
  <c r="AY426" i="1"/>
  <c r="AX426" i="1"/>
  <c r="AW426" i="1"/>
  <c r="AV426" i="1"/>
  <c r="AU426" i="1"/>
  <c r="AT426" i="1"/>
  <c r="AS426" i="1"/>
  <c r="AR426" i="1"/>
  <c r="AQ426" i="1"/>
  <c r="AP426" i="1"/>
  <c r="AO426" i="1"/>
  <c r="AI426" i="1"/>
  <c r="AF426" i="1"/>
  <c r="AE426" i="1"/>
  <c r="AA426" i="1"/>
  <c r="W426" i="1"/>
  <c r="V426" i="1"/>
  <c r="E426" i="1"/>
  <c r="AY425" i="1"/>
  <c r="AX425" i="1"/>
  <c r="AW425" i="1"/>
  <c r="AV425" i="1"/>
  <c r="AU425" i="1"/>
  <c r="AT425" i="1"/>
  <c r="AS425" i="1"/>
  <c r="AR425" i="1"/>
  <c r="AQ425" i="1"/>
  <c r="AP425" i="1"/>
  <c r="AO425" i="1"/>
  <c r="AI425" i="1"/>
  <c r="AF425" i="1"/>
  <c r="AE425" i="1"/>
  <c r="AA425" i="1"/>
  <c r="W425" i="1"/>
  <c r="V425" i="1"/>
  <c r="E425" i="1"/>
  <c r="AY424" i="1"/>
  <c r="AX424" i="1"/>
  <c r="AW424" i="1"/>
  <c r="AV424" i="1"/>
  <c r="AU424" i="1"/>
  <c r="AT424" i="1"/>
  <c r="AS424" i="1"/>
  <c r="AR424" i="1"/>
  <c r="AQ424" i="1"/>
  <c r="AP424" i="1"/>
  <c r="AO424" i="1"/>
  <c r="AI424" i="1"/>
  <c r="AF424" i="1"/>
  <c r="AE424" i="1"/>
  <c r="AA424" i="1"/>
  <c r="W424" i="1"/>
  <c r="V424" i="1"/>
  <c r="E424" i="1"/>
  <c r="AI423" i="1"/>
  <c r="AF423" i="1"/>
  <c r="AE423" i="1"/>
  <c r="AA423" i="1"/>
  <c r="AI422" i="1"/>
  <c r="AF422" i="1"/>
  <c r="AE422" i="1"/>
  <c r="AA422" i="1"/>
  <c r="AI421" i="1"/>
  <c r="AF421" i="1"/>
  <c r="AE421" i="1"/>
  <c r="AA421" i="1"/>
  <c r="AI420" i="1"/>
  <c r="AF420" i="1"/>
  <c r="AE420" i="1"/>
  <c r="AA420" i="1"/>
  <c r="AI419" i="1"/>
  <c r="AF419" i="1"/>
  <c r="AE419" i="1"/>
  <c r="AA419" i="1"/>
  <c r="AI418" i="1"/>
  <c r="AF418" i="1"/>
  <c r="AE418" i="1"/>
  <c r="AA418" i="1"/>
  <c r="AI417" i="1"/>
  <c r="AF417" i="1"/>
  <c r="AE417" i="1"/>
  <c r="AA417" i="1"/>
  <c r="BA407" i="1"/>
  <c r="AJ407" i="1"/>
  <c r="AG407" i="1"/>
  <c r="AC407" i="1"/>
  <c r="U407" i="1"/>
  <c r="T407" i="1"/>
  <c r="H407" i="1"/>
  <c r="G407" i="1"/>
  <c r="F407" i="1"/>
  <c r="AY406" i="1"/>
  <c r="AX406" i="1"/>
  <c r="AW406" i="1"/>
  <c r="AV406" i="1"/>
  <c r="AU406" i="1"/>
  <c r="AT406" i="1"/>
  <c r="AS406" i="1"/>
  <c r="AR406" i="1"/>
  <c r="AQ406" i="1"/>
  <c r="AP406" i="1"/>
  <c r="AO406" i="1"/>
  <c r="AI406" i="1"/>
  <c r="AF406" i="1"/>
  <c r="AE406" i="1"/>
  <c r="AA406" i="1"/>
  <c r="W406" i="1"/>
  <c r="V406" i="1"/>
  <c r="E406" i="1"/>
  <c r="AY405" i="1"/>
  <c r="AX405" i="1"/>
  <c r="AW405" i="1"/>
  <c r="AV405" i="1"/>
  <c r="AU405" i="1"/>
  <c r="AT405" i="1"/>
  <c r="AS405" i="1"/>
  <c r="AR405" i="1"/>
  <c r="AQ405" i="1"/>
  <c r="AP405" i="1"/>
  <c r="AO405" i="1"/>
  <c r="AI405" i="1"/>
  <c r="AF405" i="1"/>
  <c r="AE405" i="1"/>
  <c r="AA405" i="1"/>
  <c r="W405" i="1"/>
  <c r="V405" i="1"/>
  <c r="E405" i="1"/>
  <c r="AY404" i="1"/>
  <c r="AX404" i="1"/>
  <c r="AW404" i="1"/>
  <c r="AV404" i="1"/>
  <c r="AU404" i="1"/>
  <c r="AT404" i="1"/>
  <c r="AS404" i="1"/>
  <c r="AR404" i="1"/>
  <c r="AQ404" i="1"/>
  <c r="AP404" i="1"/>
  <c r="AO404" i="1"/>
  <c r="AI404" i="1"/>
  <c r="AF404" i="1"/>
  <c r="AE404" i="1"/>
  <c r="AA404" i="1"/>
  <c r="W404" i="1"/>
  <c r="V404" i="1"/>
  <c r="E404" i="1"/>
  <c r="AY403" i="1"/>
  <c r="AX403" i="1"/>
  <c r="AW403" i="1"/>
  <c r="AV403" i="1"/>
  <c r="AU403" i="1"/>
  <c r="AT403" i="1"/>
  <c r="AS403" i="1"/>
  <c r="AR403" i="1"/>
  <c r="AQ403" i="1"/>
  <c r="AP403" i="1"/>
  <c r="AO403" i="1"/>
  <c r="AI403" i="1"/>
  <c r="AF403" i="1"/>
  <c r="AE403" i="1"/>
  <c r="AA403" i="1"/>
  <c r="W403" i="1"/>
  <c r="V403" i="1"/>
  <c r="E403" i="1"/>
  <c r="AY402" i="1"/>
  <c r="AX402" i="1"/>
  <c r="AW402" i="1"/>
  <c r="AV402" i="1"/>
  <c r="AU402" i="1"/>
  <c r="AT402" i="1"/>
  <c r="AS402" i="1"/>
  <c r="AR402" i="1"/>
  <c r="AQ402" i="1"/>
  <c r="AP402" i="1"/>
  <c r="AO402" i="1"/>
  <c r="AI402" i="1"/>
  <c r="AF402" i="1"/>
  <c r="AE402" i="1"/>
  <c r="AA402" i="1"/>
  <c r="W402" i="1"/>
  <c r="V402" i="1"/>
  <c r="E402" i="1"/>
  <c r="AY401" i="1"/>
  <c r="AX401" i="1"/>
  <c r="AW401" i="1"/>
  <c r="AV401" i="1"/>
  <c r="AU401" i="1"/>
  <c r="AT401" i="1"/>
  <c r="AS401" i="1"/>
  <c r="AR401" i="1"/>
  <c r="AQ401" i="1"/>
  <c r="AP401" i="1"/>
  <c r="AO401" i="1"/>
  <c r="AI401" i="1"/>
  <c r="AF401" i="1"/>
  <c r="AE401" i="1"/>
  <c r="AA401" i="1"/>
  <c r="W401" i="1"/>
  <c r="V401" i="1"/>
  <c r="E401" i="1"/>
  <c r="AY400" i="1"/>
  <c r="AX400" i="1"/>
  <c r="AW400" i="1"/>
  <c r="AV400" i="1"/>
  <c r="AU400" i="1"/>
  <c r="AT400" i="1"/>
  <c r="AS400" i="1"/>
  <c r="AR400" i="1"/>
  <c r="AQ400" i="1"/>
  <c r="AP400" i="1"/>
  <c r="AO400" i="1"/>
  <c r="AI400" i="1"/>
  <c r="AF400" i="1"/>
  <c r="AE400" i="1"/>
  <c r="AA400" i="1"/>
  <c r="W400" i="1"/>
  <c r="V400" i="1"/>
  <c r="E400" i="1"/>
  <c r="AY399" i="1"/>
  <c r="AX399" i="1"/>
  <c r="AW399" i="1"/>
  <c r="AV399" i="1"/>
  <c r="AU399" i="1"/>
  <c r="AT399" i="1"/>
  <c r="AS399" i="1"/>
  <c r="AR399" i="1"/>
  <c r="AQ399" i="1"/>
  <c r="AP399" i="1"/>
  <c r="AO399" i="1"/>
  <c r="AI399" i="1"/>
  <c r="AF399" i="1"/>
  <c r="AE399" i="1"/>
  <c r="AA399" i="1"/>
  <c r="W399" i="1"/>
  <c r="V399" i="1"/>
  <c r="E399" i="1"/>
  <c r="AY398" i="1"/>
  <c r="AX398" i="1"/>
  <c r="AW398" i="1"/>
  <c r="AV398" i="1"/>
  <c r="AU398" i="1"/>
  <c r="AT398" i="1"/>
  <c r="AS398" i="1"/>
  <c r="AR398" i="1"/>
  <c r="AQ398" i="1"/>
  <c r="AP398" i="1"/>
  <c r="AO398" i="1"/>
  <c r="AI398" i="1"/>
  <c r="AF398" i="1"/>
  <c r="AE398" i="1"/>
  <c r="AA398" i="1"/>
  <c r="W398" i="1"/>
  <c r="V398" i="1"/>
  <c r="E398" i="1"/>
  <c r="AY397" i="1"/>
  <c r="AX397" i="1"/>
  <c r="AW397" i="1"/>
  <c r="AV397" i="1"/>
  <c r="AU397" i="1"/>
  <c r="AT397" i="1"/>
  <c r="AS397" i="1"/>
  <c r="AR397" i="1"/>
  <c r="AQ397" i="1"/>
  <c r="AP397" i="1"/>
  <c r="AO397" i="1"/>
  <c r="AI397" i="1"/>
  <c r="AF397" i="1"/>
  <c r="AE397" i="1"/>
  <c r="AA397" i="1"/>
  <c r="W397" i="1"/>
  <c r="V397" i="1"/>
  <c r="E397" i="1"/>
  <c r="AY396" i="1"/>
  <c r="AX396" i="1"/>
  <c r="AW396" i="1"/>
  <c r="AV396" i="1"/>
  <c r="AU396" i="1"/>
  <c r="AT396" i="1"/>
  <c r="AS396" i="1"/>
  <c r="AR396" i="1"/>
  <c r="AQ396" i="1"/>
  <c r="AP396" i="1"/>
  <c r="AO396" i="1"/>
  <c r="AI396" i="1"/>
  <c r="AF396" i="1"/>
  <c r="AE396" i="1"/>
  <c r="AA396" i="1"/>
  <c r="W396" i="1"/>
  <c r="V396" i="1"/>
  <c r="E396" i="1"/>
  <c r="AY395" i="1"/>
  <c r="AX395" i="1"/>
  <c r="AW395" i="1"/>
  <c r="AV395" i="1"/>
  <c r="AU395" i="1"/>
  <c r="AT395" i="1"/>
  <c r="AS395" i="1"/>
  <c r="AR395" i="1"/>
  <c r="AQ395" i="1"/>
  <c r="AP395" i="1"/>
  <c r="AO395" i="1"/>
  <c r="AI395" i="1"/>
  <c r="AF395" i="1"/>
  <c r="AE395" i="1"/>
  <c r="AA395" i="1"/>
  <c r="W395" i="1"/>
  <c r="V395" i="1"/>
  <c r="E395" i="1"/>
  <c r="AI394" i="1"/>
  <c r="AF394" i="1"/>
  <c r="AE394" i="1"/>
  <c r="AA394" i="1"/>
  <c r="AI393" i="1"/>
  <c r="AF393" i="1"/>
  <c r="AE393" i="1"/>
  <c r="AA393" i="1"/>
  <c r="AI392" i="1"/>
  <c r="AF392" i="1"/>
  <c r="AE392" i="1"/>
  <c r="AA392" i="1"/>
  <c r="AI391" i="1"/>
  <c r="AF391" i="1"/>
  <c r="AE391" i="1"/>
  <c r="AA391" i="1"/>
  <c r="AI390" i="1"/>
  <c r="AF390" i="1"/>
  <c r="AE390" i="1"/>
  <c r="AA390" i="1"/>
  <c r="AI389" i="1"/>
  <c r="AF389" i="1"/>
  <c r="AE389" i="1"/>
  <c r="AA389" i="1"/>
  <c r="AI388" i="1"/>
  <c r="AF388" i="1"/>
  <c r="AE388" i="1"/>
  <c r="AA388" i="1"/>
  <c r="BA378" i="1"/>
  <c r="AJ378" i="1"/>
  <c r="AG378" i="1"/>
  <c r="AC378" i="1"/>
  <c r="U378" i="1"/>
  <c r="T378" i="1"/>
  <c r="H378" i="1"/>
  <c r="G378" i="1"/>
  <c r="F378" i="1"/>
  <c r="AY377" i="1"/>
  <c r="AX377" i="1"/>
  <c r="AW377" i="1"/>
  <c r="AV377" i="1"/>
  <c r="AU377" i="1"/>
  <c r="AT377" i="1"/>
  <c r="AS377" i="1"/>
  <c r="AR377" i="1"/>
  <c r="AQ377" i="1"/>
  <c r="AP377" i="1"/>
  <c r="AO377" i="1"/>
  <c r="AI377" i="1"/>
  <c r="AF377" i="1"/>
  <c r="AE377" i="1"/>
  <c r="AA377" i="1"/>
  <c r="W377" i="1"/>
  <c r="V377" i="1"/>
  <c r="E377" i="1"/>
  <c r="AY376" i="1"/>
  <c r="AX376" i="1"/>
  <c r="AW376" i="1"/>
  <c r="AV376" i="1"/>
  <c r="AU376" i="1"/>
  <c r="AT376" i="1"/>
  <c r="AS376" i="1"/>
  <c r="AR376" i="1"/>
  <c r="AQ376" i="1"/>
  <c r="AP376" i="1"/>
  <c r="AO376" i="1"/>
  <c r="AI376" i="1"/>
  <c r="AF376" i="1"/>
  <c r="AE376" i="1"/>
  <c r="AA376" i="1"/>
  <c r="W376" i="1"/>
  <c r="V376" i="1"/>
  <c r="E376" i="1"/>
  <c r="AY375" i="1"/>
  <c r="AX375" i="1"/>
  <c r="AW375" i="1"/>
  <c r="AV375" i="1"/>
  <c r="AU375" i="1"/>
  <c r="AT375" i="1"/>
  <c r="AS375" i="1"/>
  <c r="AR375" i="1"/>
  <c r="AQ375" i="1"/>
  <c r="AP375" i="1"/>
  <c r="AO375" i="1"/>
  <c r="AI375" i="1"/>
  <c r="AF375" i="1"/>
  <c r="AE375" i="1"/>
  <c r="AA375" i="1"/>
  <c r="W375" i="1"/>
  <c r="V375" i="1"/>
  <c r="E375" i="1"/>
  <c r="AY374" i="1"/>
  <c r="AX374" i="1"/>
  <c r="AW374" i="1"/>
  <c r="AV374" i="1"/>
  <c r="AU374" i="1"/>
  <c r="AT374" i="1"/>
  <c r="AS374" i="1"/>
  <c r="AR374" i="1"/>
  <c r="AQ374" i="1"/>
  <c r="AP374" i="1"/>
  <c r="AO374" i="1"/>
  <c r="AI374" i="1"/>
  <c r="AF374" i="1"/>
  <c r="AE374" i="1"/>
  <c r="AA374" i="1"/>
  <c r="W374" i="1"/>
  <c r="V374" i="1"/>
  <c r="E374" i="1"/>
  <c r="AY373" i="1"/>
  <c r="AX373" i="1"/>
  <c r="AW373" i="1"/>
  <c r="AV373" i="1"/>
  <c r="AU373" i="1"/>
  <c r="AT373" i="1"/>
  <c r="AS373" i="1"/>
  <c r="AR373" i="1"/>
  <c r="AQ373" i="1"/>
  <c r="AP373" i="1"/>
  <c r="AO373" i="1"/>
  <c r="AI373" i="1"/>
  <c r="AF373" i="1"/>
  <c r="AE373" i="1"/>
  <c r="AA373" i="1"/>
  <c r="W373" i="1"/>
  <c r="V373" i="1"/>
  <c r="E373" i="1"/>
  <c r="AY372" i="1"/>
  <c r="AX372" i="1"/>
  <c r="AW372" i="1"/>
  <c r="AV372" i="1"/>
  <c r="AU372" i="1"/>
  <c r="AT372" i="1"/>
  <c r="AS372" i="1"/>
  <c r="AR372" i="1"/>
  <c r="AQ372" i="1"/>
  <c r="AP372" i="1"/>
  <c r="AO372" i="1"/>
  <c r="AI372" i="1"/>
  <c r="AF372" i="1"/>
  <c r="AE372" i="1"/>
  <c r="AA372" i="1"/>
  <c r="W372" i="1"/>
  <c r="V372" i="1"/>
  <c r="E372" i="1"/>
  <c r="AY371" i="1"/>
  <c r="AX371" i="1"/>
  <c r="AW371" i="1"/>
  <c r="AV371" i="1"/>
  <c r="AU371" i="1"/>
  <c r="AT371" i="1"/>
  <c r="AS371" i="1"/>
  <c r="AR371" i="1"/>
  <c r="AQ371" i="1"/>
  <c r="AP371" i="1"/>
  <c r="AO371" i="1"/>
  <c r="AI371" i="1"/>
  <c r="AF371" i="1"/>
  <c r="AE371" i="1"/>
  <c r="AA371" i="1"/>
  <c r="W371" i="1"/>
  <c r="V371" i="1"/>
  <c r="E371" i="1"/>
  <c r="AY370" i="1"/>
  <c r="AX370" i="1"/>
  <c r="AW370" i="1"/>
  <c r="AV370" i="1"/>
  <c r="AU370" i="1"/>
  <c r="AT370" i="1"/>
  <c r="AS370" i="1"/>
  <c r="AR370" i="1"/>
  <c r="AQ370" i="1"/>
  <c r="AP370" i="1"/>
  <c r="AO370" i="1"/>
  <c r="AI370" i="1"/>
  <c r="AF370" i="1"/>
  <c r="AE370" i="1"/>
  <c r="AA370" i="1"/>
  <c r="W370" i="1"/>
  <c r="V370" i="1"/>
  <c r="E370" i="1"/>
  <c r="AY369" i="1"/>
  <c r="AX369" i="1"/>
  <c r="AW369" i="1"/>
  <c r="AV369" i="1"/>
  <c r="AU369" i="1"/>
  <c r="AT369" i="1"/>
  <c r="AS369" i="1"/>
  <c r="AR369" i="1"/>
  <c r="AQ369" i="1"/>
  <c r="AP369" i="1"/>
  <c r="AO369" i="1"/>
  <c r="AI369" i="1"/>
  <c r="AF369" i="1"/>
  <c r="AE369" i="1"/>
  <c r="AA369" i="1"/>
  <c r="W369" i="1"/>
  <c r="V369" i="1"/>
  <c r="E369" i="1"/>
  <c r="AY368" i="1"/>
  <c r="AX368" i="1"/>
  <c r="AW368" i="1"/>
  <c r="AV368" i="1"/>
  <c r="AU368" i="1"/>
  <c r="AT368" i="1"/>
  <c r="AS368" i="1"/>
  <c r="AR368" i="1"/>
  <c r="AQ368" i="1"/>
  <c r="AP368" i="1"/>
  <c r="AO368" i="1"/>
  <c r="AI368" i="1"/>
  <c r="AF368" i="1"/>
  <c r="AE368" i="1"/>
  <c r="AA368" i="1"/>
  <c r="W368" i="1"/>
  <c r="V368" i="1"/>
  <c r="E368" i="1"/>
  <c r="AY367" i="1"/>
  <c r="AX367" i="1"/>
  <c r="AW367" i="1"/>
  <c r="AV367" i="1"/>
  <c r="AU367" i="1"/>
  <c r="AT367" i="1"/>
  <c r="AS367" i="1"/>
  <c r="AR367" i="1"/>
  <c r="AQ367" i="1"/>
  <c r="AP367" i="1"/>
  <c r="AO367" i="1"/>
  <c r="AI367" i="1"/>
  <c r="AF367" i="1"/>
  <c r="AE367" i="1"/>
  <c r="AA367" i="1"/>
  <c r="W367" i="1"/>
  <c r="V367" i="1"/>
  <c r="E367" i="1"/>
  <c r="AY366" i="1"/>
  <c r="AX366" i="1"/>
  <c r="AW366" i="1"/>
  <c r="AV366" i="1"/>
  <c r="AU366" i="1"/>
  <c r="AT366" i="1"/>
  <c r="AS366" i="1"/>
  <c r="AR366" i="1"/>
  <c r="AQ366" i="1"/>
  <c r="AP366" i="1"/>
  <c r="AO366" i="1"/>
  <c r="AI366" i="1"/>
  <c r="AF366" i="1"/>
  <c r="AE366" i="1"/>
  <c r="AA366" i="1"/>
  <c r="W366" i="1"/>
  <c r="V366" i="1"/>
  <c r="E366" i="1"/>
  <c r="AI365" i="1"/>
  <c r="AF365" i="1"/>
  <c r="AE365" i="1"/>
  <c r="AA365" i="1"/>
  <c r="AI364" i="1"/>
  <c r="AF364" i="1"/>
  <c r="AE364" i="1"/>
  <c r="AA364" i="1"/>
  <c r="AI363" i="1"/>
  <c r="AF363" i="1"/>
  <c r="AE363" i="1"/>
  <c r="AA363" i="1"/>
  <c r="AI362" i="1"/>
  <c r="AF362" i="1"/>
  <c r="AE362" i="1"/>
  <c r="AA362" i="1"/>
  <c r="AI361" i="1"/>
  <c r="AF361" i="1"/>
  <c r="AE361" i="1"/>
  <c r="AA361" i="1"/>
  <c r="AI360" i="1"/>
  <c r="AF360" i="1"/>
  <c r="AE360" i="1"/>
  <c r="AA360" i="1"/>
  <c r="AI359" i="1"/>
  <c r="AF359" i="1"/>
  <c r="AE359" i="1"/>
  <c r="AA359" i="1"/>
  <c r="BA349" i="1"/>
  <c r="AJ349" i="1"/>
  <c r="AG349" i="1"/>
  <c r="AC349" i="1"/>
  <c r="U349" i="1"/>
  <c r="T349" i="1"/>
  <c r="H349" i="1"/>
  <c r="G349" i="1"/>
  <c r="F349" i="1"/>
  <c r="AY348" i="1"/>
  <c r="AX348" i="1"/>
  <c r="AW348" i="1"/>
  <c r="AV348" i="1"/>
  <c r="AU348" i="1"/>
  <c r="AT348" i="1"/>
  <c r="AS348" i="1"/>
  <c r="AR348" i="1"/>
  <c r="AQ348" i="1"/>
  <c r="AP348" i="1"/>
  <c r="AO348" i="1"/>
  <c r="AI348" i="1"/>
  <c r="AF348" i="1"/>
  <c r="AE348" i="1"/>
  <c r="AA348" i="1"/>
  <c r="W348" i="1"/>
  <c r="V348" i="1"/>
  <c r="E348" i="1"/>
  <c r="AY347" i="1"/>
  <c r="AX347" i="1"/>
  <c r="AW347" i="1"/>
  <c r="AV347" i="1"/>
  <c r="AU347" i="1"/>
  <c r="AT347" i="1"/>
  <c r="AS347" i="1"/>
  <c r="AR347" i="1"/>
  <c r="AQ347" i="1"/>
  <c r="AP347" i="1"/>
  <c r="AO347" i="1"/>
  <c r="AI347" i="1"/>
  <c r="AF347" i="1"/>
  <c r="AE347" i="1"/>
  <c r="AA347" i="1"/>
  <c r="W347" i="1"/>
  <c r="V347" i="1"/>
  <c r="E347" i="1"/>
  <c r="AY346" i="1"/>
  <c r="AX346" i="1"/>
  <c r="AW346" i="1"/>
  <c r="AV346" i="1"/>
  <c r="AU346" i="1"/>
  <c r="AT346" i="1"/>
  <c r="AS346" i="1"/>
  <c r="AR346" i="1"/>
  <c r="AQ346" i="1"/>
  <c r="AP346" i="1"/>
  <c r="AO346" i="1"/>
  <c r="AI346" i="1"/>
  <c r="AF346" i="1"/>
  <c r="AE346" i="1"/>
  <c r="AA346" i="1"/>
  <c r="W346" i="1"/>
  <c r="V346" i="1"/>
  <c r="E346" i="1"/>
  <c r="AY345" i="1"/>
  <c r="AX345" i="1"/>
  <c r="AW345" i="1"/>
  <c r="AV345" i="1"/>
  <c r="AU345" i="1"/>
  <c r="AT345" i="1"/>
  <c r="AS345" i="1"/>
  <c r="AR345" i="1"/>
  <c r="AQ345" i="1"/>
  <c r="AP345" i="1"/>
  <c r="AO345" i="1"/>
  <c r="AI345" i="1"/>
  <c r="AF345" i="1"/>
  <c r="AE345" i="1"/>
  <c r="AA345" i="1"/>
  <c r="W345" i="1"/>
  <c r="V345" i="1"/>
  <c r="E345" i="1"/>
  <c r="AY344" i="1"/>
  <c r="AX344" i="1"/>
  <c r="AW344" i="1"/>
  <c r="AV344" i="1"/>
  <c r="AU344" i="1"/>
  <c r="AT344" i="1"/>
  <c r="AS344" i="1"/>
  <c r="AR344" i="1"/>
  <c r="AQ344" i="1"/>
  <c r="AP344" i="1"/>
  <c r="AO344" i="1"/>
  <c r="AI344" i="1"/>
  <c r="AF344" i="1"/>
  <c r="AE344" i="1"/>
  <c r="AA344" i="1"/>
  <c r="W344" i="1"/>
  <c r="V344" i="1"/>
  <c r="E344" i="1"/>
  <c r="AY343" i="1"/>
  <c r="AX343" i="1"/>
  <c r="AW343" i="1"/>
  <c r="AV343" i="1"/>
  <c r="AU343" i="1"/>
  <c r="AT343" i="1"/>
  <c r="AS343" i="1"/>
  <c r="AR343" i="1"/>
  <c r="AQ343" i="1"/>
  <c r="AP343" i="1"/>
  <c r="AO343" i="1"/>
  <c r="AI343" i="1"/>
  <c r="AF343" i="1"/>
  <c r="AE343" i="1"/>
  <c r="AA343" i="1"/>
  <c r="W343" i="1"/>
  <c r="V343" i="1"/>
  <c r="E343" i="1"/>
  <c r="AY342" i="1"/>
  <c r="AX342" i="1"/>
  <c r="AW342" i="1"/>
  <c r="AV342" i="1"/>
  <c r="AU342" i="1"/>
  <c r="AT342" i="1"/>
  <c r="AS342" i="1"/>
  <c r="AR342" i="1"/>
  <c r="AQ342" i="1"/>
  <c r="AP342" i="1"/>
  <c r="AO342" i="1"/>
  <c r="AI342" i="1"/>
  <c r="AF342" i="1"/>
  <c r="AE342" i="1"/>
  <c r="AA342" i="1"/>
  <c r="W342" i="1"/>
  <c r="V342" i="1"/>
  <c r="E342" i="1"/>
  <c r="AY341" i="1"/>
  <c r="AX341" i="1"/>
  <c r="AW341" i="1"/>
  <c r="AV341" i="1"/>
  <c r="AU341" i="1"/>
  <c r="AT341" i="1"/>
  <c r="AS341" i="1"/>
  <c r="AR341" i="1"/>
  <c r="AQ341" i="1"/>
  <c r="AP341" i="1"/>
  <c r="AO341" i="1"/>
  <c r="AI341" i="1"/>
  <c r="AF341" i="1"/>
  <c r="AE341" i="1"/>
  <c r="AA341" i="1"/>
  <c r="W341" i="1"/>
  <c r="V341" i="1"/>
  <c r="E341" i="1"/>
  <c r="AY340" i="1"/>
  <c r="AX340" i="1"/>
  <c r="AW340" i="1"/>
  <c r="AV340" i="1"/>
  <c r="AU340" i="1"/>
  <c r="AT340" i="1"/>
  <c r="AS340" i="1"/>
  <c r="AR340" i="1"/>
  <c r="AQ340" i="1"/>
  <c r="AP340" i="1"/>
  <c r="AO340" i="1"/>
  <c r="AI340" i="1"/>
  <c r="AF340" i="1"/>
  <c r="AE340" i="1"/>
  <c r="AA340" i="1"/>
  <c r="W340" i="1"/>
  <c r="V340" i="1"/>
  <c r="E340" i="1"/>
  <c r="AY339" i="1"/>
  <c r="AX339" i="1"/>
  <c r="AW339" i="1"/>
  <c r="AV339" i="1"/>
  <c r="AU339" i="1"/>
  <c r="AT339" i="1"/>
  <c r="AS339" i="1"/>
  <c r="AR339" i="1"/>
  <c r="AQ339" i="1"/>
  <c r="AP339" i="1"/>
  <c r="AO339" i="1"/>
  <c r="AI339" i="1"/>
  <c r="AF339" i="1"/>
  <c r="AE339" i="1"/>
  <c r="AA339" i="1"/>
  <c r="W339" i="1"/>
  <c r="V339" i="1"/>
  <c r="E339" i="1"/>
  <c r="AY338" i="1"/>
  <c r="AX338" i="1"/>
  <c r="AW338" i="1"/>
  <c r="AV338" i="1"/>
  <c r="AU338" i="1"/>
  <c r="AT338" i="1"/>
  <c r="AS338" i="1"/>
  <c r="AR338" i="1"/>
  <c r="AQ338" i="1"/>
  <c r="AP338" i="1"/>
  <c r="AO338" i="1"/>
  <c r="AI338" i="1"/>
  <c r="AF338" i="1"/>
  <c r="AE338" i="1"/>
  <c r="AA338" i="1"/>
  <c r="W338" i="1"/>
  <c r="V338" i="1"/>
  <c r="E338" i="1"/>
  <c r="AY337" i="1"/>
  <c r="AX337" i="1"/>
  <c r="AW337" i="1"/>
  <c r="AV337" i="1"/>
  <c r="AU337" i="1"/>
  <c r="AT337" i="1"/>
  <c r="AS337" i="1"/>
  <c r="AR337" i="1"/>
  <c r="AQ337" i="1"/>
  <c r="AP337" i="1"/>
  <c r="AO337" i="1"/>
  <c r="AI337" i="1"/>
  <c r="AF337" i="1"/>
  <c r="AE337" i="1"/>
  <c r="AA337" i="1"/>
  <c r="W337" i="1"/>
  <c r="V337" i="1"/>
  <c r="E337" i="1"/>
  <c r="AI336" i="1"/>
  <c r="AF336" i="1"/>
  <c r="AE336" i="1"/>
  <c r="AA336" i="1"/>
  <c r="AI335" i="1"/>
  <c r="AF335" i="1"/>
  <c r="AE335" i="1"/>
  <c r="AA335" i="1"/>
  <c r="AI334" i="1"/>
  <c r="AF334" i="1"/>
  <c r="AE334" i="1"/>
  <c r="AA334" i="1"/>
  <c r="AI333" i="1"/>
  <c r="AF333" i="1"/>
  <c r="AE333" i="1"/>
  <c r="AA333" i="1"/>
  <c r="AI332" i="1"/>
  <c r="AF332" i="1"/>
  <c r="AE332" i="1"/>
  <c r="AA332" i="1"/>
  <c r="AI331" i="1"/>
  <c r="AF331" i="1"/>
  <c r="AE331" i="1"/>
  <c r="AA331" i="1"/>
  <c r="AI330" i="1"/>
  <c r="AF330" i="1"/>
  <c r="AE330" i="1"/>
  <c r="AA330" i="1"/>
  <c r="BA320" i="1"/>
  <c r="AJ320" i="1"/>
  <c r="AG320" i="1"/>
  <c r="AC320" i="1"/>
  <c r="U320" i="1"/>
  <c r="T320" i="1"/>
  <c r="H320" i="1"/>
  <c r="G320" i="1"/>
  <c r="F320" i="1"/>
  <c r="AY319" i="1"/>
  <c r="AX319" i="1"/>
  <c r="AW319" i="1"/>
  <c r="AV319" i="1"/>
  <c r="AU319" i="1"/>
  <c r="AT319" i="1"/>
  <c r="AS319" i="1"/>
  <c r="AR319" i="1"/>
  <c r="AQ319" i="1"/>
  <c r="AP319" i="1"/>
  <c r="AO319" i="1"/>
  <c r="AI319" i="1"/>
  <c r="AF319" i="1"/>
  <c r="AE319" i="1"/>
  <c r="AA319" i="1"/>
  <c r="W319" i="1"/>
  <c r="V319" i="1"/>
  <c r="E319" i="1"/>
  <c r="AY318" i="1"/>
  <c r="AX318" i="1"/>
  <c r="AW318" i="1"/>
  <c r="AV318" i="1"/>
  <c r="AU318" i="1"/>
  <c r="AT318" i="1"/>
  <c r="AS318" i="1"/>
  <c r="AR318" i="1"/>
  <c r="AQ318" i="1"/>
  <c r="AP318" i="1"/>
  <c r="AO318" i="1"/>
  <c r="AI318" i="1"/>
  <c r="AF318" i="1"/>
  <c r="AE318" i="1"/>
  <c r="AA318" i="1"/>
  <c r="W318" i="1"/>
  <c r="V318" i="1"/>
  <c r="E318" i="1"/>
  <c r="AY317" i="1"/>
  <c r="AX317" i="1"/>
  <c r="AW317" i="1"/>
  <c r="AV317" i="1"/>
  <c r="AU317" i="1"/>
  <c r="AT317" i="1"/>
  <c r="AS317" i="1"/>
  <c r="AR317" i="1"/>
  <c r="AQ317" i="1"/>
  <c r="AP317" i="1"/>
  <c r="AO317" i="1"/>
  <c r="AI317" i="1"/>
  <c r="AF317" i="1"/>
  <c r="AE317" i="1"/>
  <c r="AA317" i="1"/>
  <c r="W317" i="1"/>
  <c r="V317" i="1"/>
  <c r="E317" i="1"/>
  <c r="AY316" i="1"/>
  <c r="AX316" i="1"/>
  <c r="AW316" i="1"/>
  <c r="AV316" i="1"/>
  <c r="AU316" i="1"/>
  <c r="AT316" i="1"/>
  <c r="AS316" i="1"/>
  <c r="AR316" i="1"/>
  <c r="AQ316" i="1"/>
  <c r="AP316" i="1"/>
  <c r="AO316" i="1"/>
  <c r="AI316" i="1"/>
  <c r="AF316" i="1"/>
  <c r="AE316" i="1"/>
  <c r="AA316" i="1"/>
  <c r="W316" i="1"/>
  <c r="V316" i="1"/>
  <c r="E316" i="1"/>
  <c r="AY315" i="1"/>
  <c r="AX315" i="1"/>
  <c r="AW315" i="1"/>
  <c r="AV315" i="1"/>
  <c r="AU315" i="1"/>
  <c r="AT315" i="1"/>
  <c r="AS315" i="1"/>
  <c r="AR315" i="1"/>
  <c r="AQ315" i="1"/>
  <c r="AP315" i="1"/>
  <c r="AO315" i="1"/>
  <c r="AI315" i="1"/>
  <c r="AF315" i="1"/>
  <c r="AE315" i="1"/>
  <c r="AA315" i="1"/>
  <c r="W315" i="1"/>
  <c r="V315" i="1"/>
  <c r="E315" i="1"/>
  <c r="AY314" i="1"/>
  <c r="AX314" i="1"/>
  <c r="AW314" i="1"/>
  <c r="AV314" i="1"/>
  <c r="AU314" i="1"/>
  <c r="AT314" i="1"/>
  <c r="AS314" i="1"/>
  <c r="AR314" i="1"/>
  <c r="AQ314" i="1"/>
  <c r="AP314" i="1"/>
  <c r="AO314" i="1"/>
  <c r="AI314" i="1"/>
  <c r="AF314" i="1"/>
  <c r="AE314" i="1"/>
  <c r="AA314" i="1"/>
  <c r="W314" i="1"/>
  <c r="V314" i="1"/>
  <c r="E314" i="1"/>
  <c r="AY313" i="1"/>
  <c r="AX313" i="1"/>
  <c r="AW313" i="1"/>
  <c r="AV313" i="1"/>
  <c r="AU313" i="1"/>
  <c r="AT313" i="1"/>
  <c r="AS313" i="1"/>
  <c r="AR313" i="1"/>
  <c r="AQ313" i="1"/>
  <c r="AP313" i="1"/>
  <c r="AO313" i="1"/>
  <c r="AI313" i="1"/>
  <c r="AF313" i="1"/>
  <c r="AE313" i="1"/>
  <c r="AA313" i="1"/>
  <c r="W313" i="1"/>
  <c r="V313" i="1"/>
  <c r="E313" i="1"/>
  <c r="AY312" i="1"/>
  <c r="AX312" i="1"/>
  <c r="AW312" i="1"/>
  <c r="AV312" i="1"/>
  <c r="AU312" i="1"/>
  <c r="AT312" i="1"/>
  <c r="AS312" i="1"/>
  <c r="AR312" i="1"/>
  <c r="AQ312" i="1"/>
  <c r="AP312" i="1"/>
  <c r="AO312" i="1"/>
  <c r="AI312" i="1"/>
  <c r="AF312" i="1"/>
  <c r="AE312" i="1"/>
  <c r="AA312" i="1"/>
  <c r="W312" i="1"/>
  <c r="V312" i="1"/>
  <c r="E312" i="1"/>
  <c r="AY311" i="1"/>
  <c r="AX311" i="1"/>
  <c r="AW311" i="1"/>
  <c r="AV311" i="1"/>
  <c r="AU311" i="1"/>
  <c r="AT311" i="1"/>
  <c r="AS311" i="1"/>
  <c r="AR311" i="1"/>
  <c r="AQ311" i="1"/>
  <c r="AP311" i="1"/>
  <c r="AO311" i="1"/>
  <c r="AI311" i="1"/>
  <c r="AF311" i="1"/>
  <c r="AE311" i="1"/>
  <c r="AA311" i="1"/>
  <c r="W311" i="1"/>
  <c r="V311" i="1"/>
  <c r="E311" i="1"/>
  <c r="AY310" i="1"/>
  <c r="AX310" i="1"/>
  <c r="AW310" i="1"/>
  <c r="AV310" i="1"/>
  <c r="AU310" i="1"/>
  <c r="AT310" i="1"/>
  <c r="AS310" i="1"/>
  <c r="AR310" i="1"/>
  <c r="AQ310" i="1"/>
  <c r="AP310" i="1"/>
  <c r="AO310" i="1"/>
  <c r="AI310" i="1"/>
  <c r="AF310" i="1"/>
  <c r="AE310" i="1"/>
  <c r="AA310" i="1"/>
  <c r="W310" i="1"/>
  <c r="V310" i="1"/>
  <c r="E310" i="1"/>
  <c r="AY309" i="1"/>
  <c r="AX309" i="1"/>
  <c r="AW309" i="1"/>
  <c r="AV309" i="1"/>
  <c r="AU309" i="1"/>
  <c r="AT309" i="1"/>
  <c r="AS309" i="1"/>
  <c r="AR309" i="1"/>
  <c r="AQ309" i="1"/>
  <c r="AP309" i="1"/>
  <c r="AO309" i="1"/>
  <c r="AI309" i="1"/>
  <c r="AF309" i="1"/>
  <c r="AE309" i="1"/>
  <c r="AA309" i="1"/>
  <c r="W309" i="1"/>
  <c r="V309" i="1"/>
  <c r="E309" i="1"/>
  <c r="AY308" i="1"/>
  <c r="AX308" i="1"/>
  <c r="AW308" i="1"/>
  <c r="AV308" i="1"/>
  <c r="AU308" i="1"/>
  <c r="AT308" i="1"/>
  <c r="AS308" i="1"/>
  <c r="AR308" i="1"/>
  <c r="AQ308" i="1"/>
  <c r="AP308" i="1"/>
  <c r="AO308" i="1"/>
  <c r="AI308" i="1"/>
  <c r="AF308" i="1"/>
  <c r="AE308" i="1"/>
  <c r="AA308" i="1"/>
  <c r="W308" i="1"/>
  <c r="V308" i="1"/>
  <c r="E308" i="1"/>
  <c r="AI307" i="1"/>
  <c r="AF307" i="1"/>
  <c r="AE307" i="1"/>
  <c r="AA307" i="1"/>
  <c r="AI306" i="1"/>
  <c r="AF306" i="1"/>
  <c r="AE306" i="1"/>
  <c r="AA306" i="1"/>
  <c r="AI305" i="1"/>
  <c r="AF305" i="1"/>
  <c r="AE305" i="1"/>
  <c r="AA305" i="1"/>
  <c r="AI304" i="1"/>
  <c r="AF304" i="1"/>
  <c r="AE304" i="1"/>
  <c r="AA304" i="1"/>
  <c r="AI303" i="1"/>
  <c r="AF303" i="1"/>
  <c r="AE303" i="1"/>
  <c r="AA303" i="1"/>
  <c r="AI302" i="1"/>
  <c r="AF302" i="1"/>
  <c r="AE302" i="1"/>
  <c r="AA302" i="1"/>
  <c r="AI301" i="1"/>
  <c r="AF301" i="1"/>
  <c r="AE301" i="1"/>
  <c r="AA301" i="1"/>
  <c r="BA291" i="1"/>
  <c r="AJ291" i="1"/>
  <c r="AG291" i="1"/>
  <c r="AC291" i="1"/>
  <c r="U291" i="1"/>
  <c r="T291" i="1"/>
  <c r="H291" i="1"/>
  <c r="G291" i="1"/>
  <c r="F291" i="1"/>
  <c r="AY290" i="1"/>
  <c r="AX290" i="1"/>
  <c r="AW290" i="1"/>
  <c r="AV290" i="1"/>
  <c r="AU290" i="1"/>
  <c r="AT290" i="1"/>
  <c r="AS290" i="1"/>
  <c r="AR290" i="1"/>
  <c r="AQ290" i="1"/>
  <c r="AP290" i="1"/>
  <c r="AO290" i="1"/>
  <c r="AI290" i="1"/>
  <c r="AF290" i="1"/>
  <c r="AE290" i="1"/>
  <c r="AA290" i="1"/>
  <c r="W290" i="1"/>
  <c r="V290" i="1"/>
  <c r="E290" i="1"/>
  <c r="AY289" i="1"/>
  <c r="AX289" i="1"/>
  <c r="AW289" i="1"/>
  <c r="AV289" i="1"/>
  <c r="AU289" i="1"/>
  <c r="AT289" i="1"/>
  <c r="AS289" i="1"/>
  <c r="AR289" i="1"/>
  <c r="AQ289" i="1"/>
  <c r="AP289" i="1"/>
  <c r="AO289" i="1"/>
  <c r="AI289" i="1"/>
  <c r="AF289" i="1"/>
  <c r="AE289" i="1"/>
  <c r="AA289" i="1"/>
  <c r="W289" i="1"/>
  <c r="V289" i="1"/>
  <c r="E289" i="1"/>
  <c r="AY288" i="1"/>
  <c r="AX288" i="1"/>
  <c r="AW288" i="1"/>
  <c r="AV288" i="1"/>
  <c r="AU288" i="1"/>
  <c r="AT288" i="1"/>
  <c r="AS288" i="1"/>
  <c r="AR288" i="1"/>
  <c r="AQ288" i="1"/>
  <c r="AP288" i="1"/>
  <c r="AO288" i="1"/>
  <c r="AI288" i="1"/>
  <c r="AF288" i="1"/>
  <c r="AE288" i="1"/>
  <c r="AA288" i="1"/>
  <c r="W288" i="1"/>
  <c r="V288" i="1"/>
  <c r="E288" i="1"/>
  <c r="AY287" i="1"/>
  <c r="AX287" i="1"/>
  <c r="AW287" i="1"/>
  <c r="AV287" i="1"/>
  <c r="AU287" i="1"/>
  <c r="AT287" i="1"/>
  <c r="AS287" i="1"/>
  <c r="AR287" i="1"/>
  <c r="AQ287" i="1"/>
  <c r="AP287" i="1"/>
  <c r="AO287" i="1"/>
  <c r="AI287" i="1"/>
  <c r="AF287" i="1"/>
  <c r="AE287" i="1"/>
  <c r="AA287" i="1"/>
  <c r="W287" i="1"/>
  <c r="V287" i="1"/>
  <c r="E287" i="1"/>
  <c r="AY286" i="1"/>
  <c r="AX286" i="1"/>
  <c r="AW286" i="1"/>
  <c r="AV286" i="1"/>
  <c r="AU286" i="1"/>
  <c r="AT286" i="1"/>
  <c r="AS286" i="1"/>
  <c r="AR286" i="1"/>
  <c r="AQ286" i="1"/>
  <c r="AP286" i="1"/>
  <c r="AO286" i="1"/>
  <c r="AI286" i="1"/>
  <c r="AF286" i="1"/>
  <c r="AE286" i="1"/>
  <c r="AA286" i="1"/>
  <c r="W286" i="1"/>
  <c r="V286" i="1"/>
  <c r="E286" i="1"/>
  <c r="AY285" i="1"/>
  <c r="AX285" i="1"/>
  <c r="AW285" i="1"/>
  <c r="AV285" i="1"/>
  <c r="AU285" i="1"/>
  <c r="AT285" i="1"/>
  <c r="AS285" i="1"/>
  <c r="AR285" i="1"/>
  <c r="AQ285" i="1"/>
  <c r="AP285" i="1"/>
  <c r="AO285" i="1"/>
  <c r="AI285" i="1"/>
  <c r="AF285" i="1"/>
  <c r="AE285" i="1"/>
  <c r="AA285" i="1"/>
  <c r="W285" i="1"/>
  <c r="V285" i="1"/>
  <c r="E285" i="1"/>
  <c r="AY284" i="1"/>
  <c r="AX284" i="1"/>
  <c r="AW284" i="1"/>
  <c r="AV284" i="1"/>
  <c r="AU284" i="1"/>
  <c r="AT284" i="1"/>
  <c r="AS284" i="1"/>
  <c r="AR284" i="1"/>
  <c r="AQ284" i="1"/>
  <c r="AP284" i="1"/>
  <c r="AO284" i="1"/>
  <c r="AI284" i="1"/>
  <c r="AF284" i="1"/>
  <c r="AE284" i="1"/>
  <c r="AA284" i="1"/>
  <c r="W284" i="1"/>
  <c r="V284" i="1"/>
  <c r="E284" i="1"/>
  <c r="AY283" i="1"/>
  <c r="AX283" i="1"/>
  <c r="AW283" i="1"/>
  <c r="AV283" i="1"/>
  <c r="AU283" i="1"/>
  <c r="AT283" i="1"/>
  <c r="AS283" i="1"/>
  <c r="AR283" i="1"/>
  <c r="AQ283" i="1"/>
  <c r="AP283" i="1"/>
  <c r="AO283" i="1"/>
  <c r="AI283" i="1"/>
  <c r="AF283" i="1"/>
  <c r="AE283" i="1"/>
  <c r="AA283" i="1"/>
  <c r="W283" i="1"/>
  <c r="V283" i="1"/>
  <c r="E283" i="1"/>
  <c r="AY282" i="1"/>
  <c r="AX282" i="1"/>
  <c r="AW282" i="1"/>
  <c r="AV282" i="1"/>
  <c r="AU282" i="1"/>
  <c r="AT282" i="1"/>
  <c r="AS282" i="1"/>
  <c r="AR282" i="1"/>
  <c r="AQ282" i="1"/>
  <c r="AP282" i="1"/>
  <c r="AO282" i="1"/>
  <c r="AI282" i="1"/>
  <c r="AF282" i="1"/>
  <c r="AE282" i="1"/>
  <c r="AA282" i="1"/>
  <c r="W282" i="1"/>
  <c r="V282" i="1"/>
  <c r="E282" i="1"/>
  <c r="AY281" i="1"/>
  <c r="AX281" i="1"/>
  <c r="AW281" i="1"/>
  <c r="AV281" i="1"/>
  <c r="AU281" i="1"/>
  <c r="AT281" i="1"/>
  <c r="AS281" i="1"/>
  <c r="AR281" i="1"/>
  <c r="AQ281" i="1"/>
  <c r="AP281" i="1"/>
  <c r="AO281" i="1"/>
  <c r="AI281" i="1"/>
  <c r="AF281" i="1"/>
  <c r="AE281" i="1"/>
  <c r="AA281" i="1"/>
  <c r="W281" i="1"/>
  <c r="V281" i="1"/>
  <c r="E281" i="1"/>
  <c r="AY280" i="1"/>
  <c r="AX280" i="1"/>
  <c r="AW280" i="1"/>
  <c r="AV280" i="1"/>
  <c r="AU280" i="1"/>
  <c r="AT280" i="1"/>
  <c r="AS280" i="1"/>
  <c r="AR280" i="1"/>
  <c r="AQ280" i="1"/>
  <c r="AP280" i="1"/>
  <c r="AO280" i="1"/>
  <c r="AI280" i="1"/>
  <c r="AF280" i="1"/>
  <c r="AE280" i="1"/>
  <c r="AA280" i="1"/>
  <c r="W280" i="1"/>
  <c r="V280" i="1"/>
  <c r="E280" i="1"/>
  <c r="AY279" i="1"/>
  <c r="AX279" i="1"/>
  <c r="AW279" i="1"/>
  <c r="AV279" i="1"/>
  <c r="AU279" i="1"/>
  <c r="AT279" i="1"/>
  <c r="AS279" i="1"/>
  <c r="AR279" i="1"/>
  <c r="AQ279" i="1"/>
  <c r="AP279" i="1"/>
  <c r="AO279" i="1"/>
  <c r="AI279" i="1"/>
  <c r="AF279" i="1"/>
  <c r="AE279" i="1"/>
  <c r="AA279" i="1"/>
  <c r="W279" i="1"/>
  <c r="V279" i="1"/>
  <c r="E279" i="1"/>
  <c r="AI278" i="1"/>
  <c r="AF278" i="1"/>
  <c r="AE278" i="1"/>
  <c r="AA278" i="1"/>
  <c r="AI277" i="1"/>
  <c r="AF277" i="1"/>
  <c r="AE277" i="1"/>
  <c r="AA277" i="1"/>
  <c r="AI276" i="1"/>
  <c r="AF276" i="1"/>
  <c r="AE276" i="1"/>
  <c r="AA276" i="1"/>
  <c r="AI275" i="1"/>
  <c r="AF275" i="1"/>
  <c r="AE275" i="1"/>
  <c r="AA275" i="1"/>
  <c r="AI274" i="1"/>
  <c r="AF274" i="1"/>
  <c r="AE274" i="1"/>
  <c r="AA274" i="1"/>
  <c r="AI273" i="1"/>
  <c r="AF273" i="1"/>
  <c r="AE273" i="1"/>
  <c r="AA273" i="1"/>
  <c r="AI272" i="1"/>
  <c r="AF272" i="1"/>
  <c r="AE272" i="1"/>
  <c r="AA272" i="1"/>
  <c r="BA262" i="1"/>
  <c r="AJ262" i="1"/>
  <c r="AG262" i="1"/>
  <c r="AC262" i="1"/>
  <c r="U262" i="1"/>
  <c r="T262" i="1"/>
  <c r="H262" i="1"/>
  <c r="G262" i="1"/>
  <c r="F262" i="1"/>
  <c r="AY261" i="1"/>
  <c r="AX261" i="1"/>
  <c r="AW261" i="1"/>
  <c r="AV261" i="1"/>
  <c r="AU261" i="1"/>
  <c r="AT261" i="1"/>
  <c r="AS261" i="1"/>
  <c r="AR261" i="1"/>
  <c r="AQ261" i="1"/>
  <c r="AP261" i="1"/>
  <c r="AO261" i="1"/>
  <c r="AI261" i="1"/>
  <c r="AF261" i="1"/>
  <c r="AE261" i="1"/>
  <c r="AA261" i="1"/>
  <c r="W261" i="1"/>
  <c r="V261" i="1"/>
  <c r="E261" i="1"/>
  <c r="AY260" i="1"/>
  <c r="AX260" i="1"/>
  <c r="AW260" i="1"/>
  <c r="AV260" i="1"/>
  <c r="AU260" i="1"/>
  <c r="AT260" i="1"/>
  <c r="AS260" i="1"/>
  <c r="AR260" i="1"/>
  <c r="AQ260" i="1"/>
  <c r="AP260" i="1"/>
  <c r="AO260" i="1"/>
  <c r="AI260" i="1"/>
  <c r="AF260" i="1"/>
  <c r="AE260" i="1"/>
  <c r="AA260" i="1"/>
  <c r="W260" i="1"/>
  <c r="V260" i="1"/>
  <c r="E260" i="1"/>
  <c r="AY259" i="1"/>
  <c r="AX259" i="1"/>
  <c r="AW259" i="1"/>
  <c r="AV259" i="1"/>
  <c r="AU259" i="1"/>
  <c r="AT259" i="1"/>
  <c r="AS259" i="1"/>
  <c r="AR259" i="1"/>
  <c r="AQ259" i="1"/>
  <c r="AP259" i="1"/>
  <c r="AO259" i="1"/>
  <c r="AI259" i="1"/>
  <c r="AF259" i="1"/>
  <c r="AE259" i="1"/>
  <c r="AA259" i="1"/>
  <c r="W259" i="1"/>
  <c r="V259" i="1"/>
  <c r="E259" i="1"/>
  <c r="AY258" i="1"/>
  <c r="AX258" i="1"/>
  <c r="AW258" i="1"/>
  <c r="AV258" i="1"/>
  <c r="AU258" i="1"/>
  <c r="AT258" i="1"/>
  <c r="AS258" i="1"/>
  <c r="AR258" i="1"/>
  <c r="AQ258" i="1"/>
  <c r="AP258" i="1"/>
  <c r="AO258" i="1"/>
  <c r="AI258" i="1"/>
  <c r="AF258" i="1"/>
  <c r="AE258" i="1"/>
  <c r="AA258" i="1"/>
  <c r="W258" i="1"/>
  <c r="V258" i="1"/>
  <c r="E258" i="1"/>
  <c r="AY257" i="1"/>
  <c r="AX257" i="1"/>
  <c r="AW257" i="1"/>
  <c r="AV257" i="1"/>
  <c r="AU257" i="1"/>
  <c r="AT257" i="1"/>
  <c r="AS257" i="1"/>
  <c r="AR257" i="1"/>
  <c r="AQ257" i="1"/>
  <c r="AP257" i="1"/>
  <c r="AO257" i="1"/>
  <c r="AI257" i="1"/>
  <c r="AF257" i="1"/>
  <c r="AE257" i="1"/>
  <c r="AA257" i="1"/>
  <c r="W257" i="1"/>
  <c r="V257" i="1"/>
  <c r="E257" i="1"/>
  <c r="AY256" i="1"/>
  <c r="AX256" i="1"/>
  <c r="AW256" i="1"/>
  <c r="AV256" i="1"/>
  <c r="AU256" i="1"/>
  <c r="AT256" i="1"/>
  <c r="AS256" i="1"/>
  <c r="AR256" i="1"/>
  <c r="AQ256" i="1"/>
  <c r="AP256" i="1"/>
  <c r="AO256" i="1"/>
  <c r="AI256" i="1"/>
  <c r="AF256" i="1"/>
  <c r="AE256" i="1"/>
  <c r="AA256" i="1"/>
  <c r="W256" i="1"/>
  <c r="V256" i="1"/>
  <c r="E256" i="1"/>
  <c r="AY255" i="1"/>
  <c r="AX255" i="1"/>
  <c r="AW255" i="1"/>
  <c r="AV255" i="1"/>
  <c r="AU255" i="1"/>
  <c r="AT255" i="1"/>
  <c r="AS255" i="1"/>
  <c r="AR255" i="1"/>
  <c r="AQ255" i="1"/>
  <c r="AP255" i="1"/>
  <c r="AO255" i="1"/>
  <c r="AI255" i="1"/>
  <c r="AF255" i="1"/>
  <c r="AE255" i="1"/>
  <c r="AA255" i="1"/>
  <c r="W255" i="1"/>
  <c r="V255" i="1"/>
  <c r="E255" i="1"/>
  <c r="AY254" i="1"/>
  <c r="AX254" i="1"/>
  <c r="AW254" i="1"/>
  <c r="AV254" i="1"/>
  <c r="AU254" i="1"/>
  <c r="AT254" i="1"/>
  <c r="AS254" i="1"/>
  <c r="AR254" i="1"/>
  <c r="AQ254" i="1"/>
  <c r="AP254" i="1"/>
  <c r="AO254" i="1"/>
  <c r="AI254" i="1"/>
  <c r="AF254" i="1"/>
  <c r="AE254" i="1"/>
  <c r="AA254" i="1"/>
  <c r="W254" i="1"/>
  <c r="V254" i="1"/>
  <c r="E254" i="1"/>
  <c r="AY253" i="1"/>
  <c r="AX253" i="1"/>
  <c r="AW253" i="1"/>
  <c r="AV253" i="1"/>
  <c r="AU253" i="1"/>
  <c r="AT253" i="1"/>
  <c r="AS253" i="1"/>
  <c r="AR253" i="1"/>
  <c r="AQ253" i="1"/>
  <c r="AP253" i="1"/>
  <c r="AO253" i="1"/>
  <c r="AI253" i="1"/>
  <c r="AF253" i="1"/>
  <c r="AE253" i="1"/>
  <c r="AA253" i="1"/>
  <c r="W253" i="1"/>
  <c r="V253" i="1"/>
  <c r="E253" i="1"/>
  <c r="AY252" i="1"/>
  <c r="AX252" i="1"/>
  <c r="AW252" i="1"/>
  <c r="AV252" i="1"/>
  <c r="AU252" i="1"/>
  <c r="AT252" i="1"/>
  <c r="AS252" i="1"/>
  <c r="AR252" i="1"/>
  <c r="AQ252" i="1"/>
  <c r="AP252" i="1"/>
  <c r="AO252" i="1"/>
  <c r="AI252" i="1"/>
  <c r="AF252" i="1"/>
  <c r="AE252" i="1"/>
  <c r="AA252" i="1"/>
  <c r="W252" i="1"/>
  <c r="V252" i="1"/>
  <c r="E252" i="1"/>
  <c r="AY251" i="1"/>
  <c r="AX251" i="1"/>
  <c r="AW251" i="1"/>
  <c r="AV251" i="1"/>
  <c r="AU251" i="1"/>
  <c r="AT251" i="1"/>
  <c r="AS251" i="1"/>
  <c r="AR251" i="1"/>
  <c r="AQ251" i="1"/>
  <c r="AP251" i="1"/>
  <c r="AO251" i="1"/>
  <c r="AI251" i="1"/>
  <c r="AF251" i="1"/>
  <c r="AE251" i="1"/>
  <c r="AA251" i="1"/>
  <c r="W251" i="1"/>
  <c r="V251" i="1"/>
  <c r="E251" i="1"/>
  <c r="AY250" i="1"/>
  <c r="AX250" i="1"/>
  <c r="AW250" i="1"/>
  <c r="AV250" i="1"/>
  <c r="AU250" i="1"/>
  <c r="AT250" i="1"/>
  <c r="AS250" i="1"/>
  <c r="AR250" i="1"/>
  <c r="AQ250" i="1"/>
  <c r="AP250" i="1"/>
  <c r="AO250" i="1"/>
  <c r="AI250" i="1"/>
  <c r="AF250" i="1"/>
  <c r="AE250" i="1"/>
  <c r="AA250" i="1"/>
  <c r="W250" i="1"/>
  <c r="V250" i="1"/>
  <c r="E250" i="1"/>
  <c r="AI249" i="1"/>
  <c r="AF249" i="1"/>
  <c r="AE249" i="1"/>
  <c r="AA249" i="1"/>
  <c r="AI248" i="1"/>
  <c r="AF248" i="1"/>
  <c r="AE248" i="1"/>
  <c r="AA248" i="1"/>
  <c r="AI247" i="1"/>
  <c r="AF247" i="1"/>
  <c r="AE247" i="1"/>
  <c r="AA247" i="1"/>
  <c r="AI246" i="1"/>
  <c r="AF246" i="1"/>
  <c r="AE246" i="1"/>
  <c r="AA246" i="1"/>
  <c r="AI245" i="1"/>
  <c r="AF245" i="1"/>
  <c r="AE245" i="1"/>
  <c r="AA245" i="1"/>
  <c r="AI244" i="1"/>
  <c r="AF244" i="1"/>
  <c r="AE244" i="1"/>
  <c r="AA244" i="1"/>
  <c r="AI243" i="1"/>
  <c r="AF243" i="1"/>
  <c r="AE243" i="1"/>
  <c r="AA243" i="1"/>
  <c r="BA233" i="1"/>
  <c r="AJ233" i="1"/>
  <c r="AG233" i="1"/>
  <c r="AC233" i="1"/>
  <c r="U233" i="1"/>
  <c r="T233" i="1"/>
  <c r="H233" i="1"/>
  <c r="G233" i="1"/>
  <c r="F233" i="1"/>
  <c r="AY232" i="1"/>
  <c r="AX232" i="1"/>
  <c r="AW232" i="1"/>
  <c r="AV232" i="1"/>
  <c r="AU232" i="1"/>
  <c r="AT232" i="1"/>
  <c r="AS232" i="1"/>
  <c r="AR232" i="1"/>
  <c r="AQ232" i="1"/>
  <c r="AP232" i="1"/>
  <c r="AO232" i="1"/>
  <c r="AI232" i="1"/>
  <c r="AF232" i="1"/>
  <c r="AE232" i="1"/>
  <c r="AA232" i="1"/>
  <c r="W232" i="1"/>
  <c r="V232" i="1"/>
  <c r="E232" i="1"/>
  <c r="AY231" i="1"/>
  <c r="AX231" i="1"/>
  <c r="AW231" i="1"/>
  <c r="AV231" i="1"/>
  <c r="AU231" i="1"/>
  <c r="AT231" i="1"/>
  <c r="AS231" i="1"/>
  <c r="AR231" i="1"/>
  <c r="AQ231" i="1"/>
  <c r="AP231" i="1"/>
  <c r="AO231" i="1"/>
  <c r="AI231" i="1"/>
  <c r="AF231" i="1"/>
  <c r="AE231" i="1"/>
  <c r="AA231" i="1"/>
  <c r="W231" i="1"/>
  <c r="V231" i="1"/>
  <c r="E231" i="1"/>
  <c r="AY230" i="1"/>
  <c r="AX230" i="1"/>
  <c r="AW230" i="1"/>
  <c r="AV230" i="1"/>
  <c r="AU230" i="1"/>
  <c r="AT230" i="1"/>
  <c r="AS230" i="1"/>
  <c r="AR230" i="1"/>
  <c r="AQ230" i="1"/>
  <c r="AP230" i="1"/>
  <c r="AO230" i="1"/>
  <c r="AI230" i="1"/>
  <c r="AF230" i="1"/>
  <c r="AE230" i="1"/>
  <c r="AA230" i="1"/>
  <c r="W230" i="1"/>
  <c r="V230" i="1"/>
  <c r="E230" i="1"/>
  <c r="AY229" i="1"/>
  <c r="AX229" i="1"/>
  <c r="AW229" i="1"/>
  <c r="AV229" i="1"/>
  <c r="AU229" i="1"/>
  <c r="AT229" i="1"/>
  <c r="AS229" i="1"/>
  <c r="AR229" i="1"/>
  <c r="AQ229" i="1"/>
  <c r="AP229" i="1"/>
  <c r="AO229" i="1"/>
  <c r="AI229" i="1"/>
  <c r="AF229" i="1"/>
  <c r="AE229" i="1"/>
  <c r="AA229" i="1"/>
  <c r="W229" i="1"/>
  <c r="V229" i="1"/>
  <c r="E229" i="1"/>
  <c r="AY228" i="1"/>
  <c r="AX228" i="1"/>
  <c r="AW228" i="1"/>
  <c r="AV228" i="1"/>
  <c r="AU228" i="1"/>
  <c r="AT228" i="1"/>
  <c r="AS228" i="1"/>
  <c r="AR228" i="1"/>
  <c r="AQ228" i="1"/>
  <c r="AP228" i="1"/>
  <c r="AO228" i="1"/>
  <c r="AI228" i="1"/>
  <c r="AF228" i="1"/>
  <c r="AE228" i="1"/>
  <c r="AA228" i="1"/>
  <c r="W228" i="1"/>
  <c r="V228" i="1"/>
  <c r="E228" i="1"/>
  <c r="AY227" i="1"/>
  <c r="AX227" i="1"/>
  <c r="AW227" i="1"/>
  <c r="AV227" i="1"/>
  <c r="AU227" i="1"/>
  <c r="AT227" i="1"/>
  <c r="AS227" i="1"/>
  <c r="AR227" i="1"/>
  <c r="AQ227" i="1"/>
  <c r="AP227" i="1"/>
  <c r="AO227" i="1"/>
  <c r="AI227" i="1"/>
  <c r="AF227" i="1"/>
  <c r="AE227" i="1"/>
  <c r="AA227" i="1"/>
  <c r="W227" i="1"/>
  <c r="V227" i="1"/>
  <c r="E227" i="1"/>
  <c r="AY226" i="1"/>
  <c r="AX226" i="1"/>
  <c r="AW226" i="1"/>
  <c r="AV226" i="1"/>
  <c r="AU226" i="1"/>
  <c r="AT226" i="1"/>
  <c r="AS226" i="1"/>
  <c r="AR226" i="1"/>
  <c r="AQ226" i="1"/>
  <c r="AP226" i="1"/>
  <c r="AO226" i="1"/>
  <c r="AI226" i="1"/>
  <c r="AF226" i="1"/>
  <c r="AE226" i="1"/>
  <c r="AA226" i="1"/>
  <c r="W226" i="1"/>
  <c r="V226" i="1"/>
  <c r="E226" i="1"/>
  <c r="AY225" i="1"/>
  <c r="AX225" i="1"/>
  <c r="AW225" i="1"/>
  <c r="AV225" i="1"/>
  <c r="AU225" i="1"/>
  <c r="AT225" i="1"/>
  <c r="AS225" i="1"/>
  <c r="AR225" i="1"/>
  <c r="AQ225" i="1"/>
  <c r="AP225" i="1"/>
  <c r="AO225" i="1"/>
  <c r="AI225" i="1"/>
  <c r="AF225" i="1"/>
  <c r="AE225" i="1"/>
  <c r="AA225" i="1"/>
  <c r="W225" i="1"/>
  <c r="V225" i="1"/>
  <c r="E225" i="1"/>
  <c r="AY224" i="1"/>
  <c r="AX224" i="1"/>
  <c r="AW224" i="1"/>
  <c r="AV224" i="1"/>
  <c r="AU224" i="1"/>
  <c r="AT224" i="1"/>
  <c r="AS224" i="1"/>
  <c r="AR224" i="1"/>
  <c r="AQ224" i="1"/>
  <c r="AP224" i="1"/>
  <c r="AO224" i="1"/>
  <c r="AI224" i="1"/>
  <c r="AF224" i="1"/>
  <c r="AE224" i="1"/>
  <c r="AA224" i="1"/>
  <c r="W224" i="1"/>
  <c r="V224" i="1"/>
  <c r="E224" i="1"/>
  <c r="AY223" i="1"/>
  <c r="AX223" i="1"/>
  <c r="AW223" i="1"/>
  <c r="AV223" i="1"/>
  <c r="AU223" i="1"/>
  <c r="AT223" i="1"/>
  <c r="AS223" i="1"/>
  <c r="AR223" i="1"/>
  <c r="AQ223" i="1"/>
  <c r="AP223" i="1"/>
  <c r="AO223" i="1"/>
  <c r="AI223" i="1"/>
  <c r="AF223" i="1"/>
  <c r="AE223" i="1"/>
  <c r="AA223" i="1"/>
  <c r="W223" i="1"/>
  <c r="V223" i="1"/>
  <c r="E223" i="1"/>
  <c r="AY222" i="1"/>
  <c r="AX222" i="1"/>
  <c r="AW222" i="1"/>
  <c r="AV222" i="1"/>
  <c r="AU222" i="1"/>
  <c r="AT222" i="1"/>
  <c r="AS222" i="1"/>
  <c r="AR222" i="1"/>
  <c r="AQ222" i="1"/>
  <c r="AP222" i="1"/>
  <c r="AO222" i="1"/>
  <c r="AI222" i="1"/>
  <c r="AF222" i="1"/>
  <c r="AE222" i="1"/>
  <c r="AA222" i="1"/>
  <c r="W222" i="1"/>
  <c r="V222" i="1"/>
  <c r="E222" i="1"/>
  <c r="AY221" i="1"/>
  <c r="AX221" i="1"/>
  <c r="AW221" i="1"/>
  <c r="AV221" i="1"/>
  <c r="AU221" i="1"/>
  <c r="AT221" i="1"/>
  <c r="AS221" i="1"/>
  <c r="AR221" i="1"/>
  <c r="AQ221" i="1"/>
  <c r="AP221" i="1"/>
  <c r="AO221" i="1"/>
  <c r="AI221" i="1"/>
  <c r="AF221" i="1"/>
  <c r="AE221" i="1"/>
  <c r="AA221" i="1"/>
  <c r="W221" i="1"/>
  <c r="V221" i="1"/>
  <c r="E221" i="1"/>
  <c r="AI220" i="1"/>
  <c r="AF220" i="1"/>
  <c r="AE220" i="1"/>
  <c r="AA220" i="1"/>
  <c r="AI219" i="1"/>
  <c r="AF219" i="1"/>
  <c r="AE219" i="1"/>
  <c r="AA219" i="1"/>
  <c r="AI218" i="1"/>
  <c r="AF218" i="1"/>
  <c r="AE218" i="1"/>
  <c r="AA218" i="1"/>
  <c r="AI217" i="1"/>
  <c r="AF217" i="1"/>
  <c r="AE217" i="1"/>
  <c r="AA217" i="1"/>
  <c r="AI216" i="1"/>
  <c r="AF216" i="1"/>
  <c r="AE216" i="1"/>
  <c r="AA216" i="1"/>
  <c r="AI215" i="1"/>
  <c r="AF215" i="1"/>
  <c r="AE215" i="1"/>
  <c r="AA215" i="1"/>
  <c r="AI214" i="1"/>
  <c r="AF214" i="1"/>
  <c r="AE214" i="1"/>
  <c r="AA214" i="1"/>
  <c r="BA204" i="1"/>
  <c r="AJ204" i="1"/>
  <c r="AG204" i="1"/>
  <c r="AC204" i="1"/>
  <c r="U204" i="1"/>
  <c r="T204" i="1"/>
  <c r="H204" i="1"/>
  <c r="G204" i="1"/>
  <c r="F204" i="1"/>
  <c r="AY203" i="1"/>
  <c r="AX203" i="1"/>
  <c r="AW203" i="1"/>
  <c r="AV203" i="1"/>
  <c r="AU203" i="1"/>
  <c r="AT203" i="1"/>
  <c r="AS203" i="1"/>
  <c r="AR203" i="1"/>
  <c r="AQ203" i="1"/>
  <c r="AP203" i="1"/>
  <c r="AO203" i="1"/>
  <c r="AI203" i="1"/>
  <c r="AF203" i="1"/>
  <c r="AE203" i="1"/>
  <c r="AA203" i="1"/>
  <c r="W203" i="1"/>
  <c r="V203" i="1"/>
  <c r="E203" i="1"/>
  <c r="AY202" i="1"/>
  <c r="AX202" i="1"/>
  <c r="AW202" i="1"/>
  <c r="AV202" i="1"/>
  <c r="AU202" i="1"/>
  <c r="AT202" i="1"/>
  <c r="AS202" i="1"/>
  <c r="AR202" i="1"/>
  <c r="AQ202" i="1"/>
  <c r="AP202" i="1"/>
  <c r="AO202" i="1"/>
  <c r="AI202" i="1"/>
  <c r="AF202" i="1"/>
  <c r="AE202" i="1"/>
  <c r="AA202" i="1"/>
  <c r="W202" i="1"/>
  <c r="V202" i="1"/>
  <c r="E202" i="1"/>
  <c r="AY201" i="1"/>
  <c r="AX201" i="1"/>
  <c r="AW201" i="1"/>
  <c r="AV201" i="1"/>
  <c r="AU201" i="1"/>
  <c r="AT201" i="1"/>
  <c r="AS201" i="1"/>
  <c r="AR201" i="1"/>
  <c r="AQ201" i="1"/>
  <c r="AP201" i="1"/>
  <c r="AO201" i="1"/>
  <c r="AI201" i="1"/>
  <c r="AF201" i="1"/>
  <c r="AE201" i="1"/>
  <c r="AA201" i="1"/>
  <c r="W201" i="1"/>
  <c r="V201" i="1"/>
  <c r="E201" i="1"/>
  <c r="AY200" i="1"/>
  <c r="AX200" i="1"/>
  <c r="AW200" i="1"/>
  <c r="AV200" i="1"/>
  <c r="AU200" i="1"/>
  <c r="AT200" i="1"/>
  <c r="AS200" i="1"/>
  <c r="AR200" i="1"/>
  <c r="AQ200" i="1"/>
  <c r="AP200" i="1"/>
  <c r="AO200" i="1"/>
  <c r="AI200" i="1"/>
  <c r="AF200" i="1"/>
  <c r="AE200" i="1"/>
  <c r="AA200" i="1"/>
  <c r="W200" i="1"/>
  <c r="V200" i="1"/>
  <c r="E200" i="1"/>
  <c r="AY199" i="1"/>
  <c r="AX199" i="1"/>
  <c r="AW199" i="1"/>
  <c r="AV199" i="1"/>
  <c r="AU199" i="1"/>
  <c r="AT199" i="1"/>
  <c r="AS199" i="1"/>
  <c r="AR199" i="1"/>
  <c r="AQ199" i="1"/>
  <c r="AP199" i="1"/>
  <c r="AO199" i="1"/>
  <c r="AI199" i="1"/>
  <c r="AF199" i="1"/>
  <c r="AE199" i="1"/>
  <c r="AA199" i="1"/>
  <c r="W199" i="1"/>
  <c r="V199" i="1"/>
  <c r="E199" i="1"/>
  <c r="AY198" i="1"/>
  <c r="AX198" i="1"/>
  <c r="AW198" i="1"/>
  <c r="AV198" i="1"/>
  <c r="AU198" i="1"/>
  <c r="AT198" i="1"/>
  <c r="AS198" i="1"/>
  <c r="AR198" i="1"/>
  <c r="AQ198" i="1"/>
  <c r="AP198" i="1"/>
  <c r="AO198" i="1"/>
  <c r="AI198" i="1"/>
  <c r="AF198" i="1"/>
  <c r="AE198" i="1"/>
  <c r="AA198" i="1"/>
  <c r="W198" i="1"/>
  <c r="V198" i="1"/>
  <c r="E198" i="1"/>
  <c r="AY197" i="1"/>
  <c r="AX197" i="1"/>
  <c r="AW197" i="1"/>
  <c r="AV197" i="1"/>
  <c r="AU197" i="1"/>
  <c r="AT197" i="1"/>
  <c r="AS197" i="1"/>
  <c r="AR197" i="1"/>
  <c r="AQ197" i="1"/>
  <c r="AP197" i="1"/>
  <c r="AO197" i="1"/>
  <c r="AI197" i="1"/>
  <c r="AF197" i="1"/>
  <c r="AE197" i="1"/>
  <c r="AA197" i="1"/>
  <c r="W197" i="1"/>
  <c r="V197" i="1"/>
  <c r="E197" i="1"/>
  <c r="AY196" i="1"/>
  <c r="AX196" i="1"/>
  <c r="AW196" i="1"/>
  <c r="AV196" i="1"/>
  <c r="AU196" i="1"/>
  <c r="AT196" i="1"/>
  <c r="AS196" i="1"/>
  <c r="AR196" i="1"/>
  <c r="AQ196" i="1"/>
  <c r="AP196" i="1"/>
  <c r="AO196" i="1"/>
  <c r="AI196" i="1"/>
  <c r="AF196" i="1"/>
  <c r="AE196" i="1"/>
  <c r="AA196" i="1"/>
  <c r="W196" i="1"/>
  <c r="V196" i="1"/>
  <c r="E196" i="1"/>
  <c r="AY195" i="1"/>
  <c r="AX195" i="1"/>
  <c r="AW195" i="1"/>
  <c r="AV195" i="1"/>
  <c r="AU195" i="1"/>
  <c r="AT195" i="1"/>
  <c r="AS195" i="1"/>
  <c r="AR195" i="1"/>
  <c r="AQ195" i="1"/>
  <c r="AP195" i="1"/>
  <c r="AO195" i="1"/>
  <c r="AI195" i="1"/>
  <c r="AF195" i="1"/>
  <c r="AE195" i="1"/>
  <c r="AA195" i="1"/>
  <c r="W195" i="1"/>
  <c r="V195" i="1"/>
  <c r="E195" i="1"/>
  <c r="AY194" i="1"/>
  <c r="AX194" i="1"/>
  <c r="AW194" i="1"/>
  <c r="AV194" i="1"/>
  <c r="AU194" i="1"/>
  <c r="AT194" i="1"/>
  <c r="AS194" i="1"/>
  <c r="AR194" i="1"/>
  <c r="AQ194" i="1"/>
  <c r="AP194" i="1"/>
  <c r="AO194" i="1"/>
  <c r="AI194" i="1"/>
  <c r="AF194" i="1"/>
  <c r="AE194" i="1"/>
  <c r="AA194" i="1"/>
  <c r="W194" i="1"/>
  <c r="V194" i="1"/>
  <c r="E194" i="1"/>
  <c r="AY193" i="1"/>
  <c r="AX193" i="1"/>
  <c r="AW193" i="1"/>
  <c r="AV193" i="1"/>
  <c r="AU193" i="1"/>
  <c r="AT193" i="1"/>
  <c r="AS193" i="1"/>
  <c r="AR193" i="1"/>
  <c r="AQ193" i="1"/>
  <c r="AP193" i="1"/>
  <c r="AO193" i="1"/>
  <c r="AI193" i="1"/>
  <c r="AF193" i="1"/>
  <c r="AE193" i="1"/>
  <c r="AA193" i="1"/>
  <c r="W193" i="1"/>
  <c r="V193" i="1"/>
  <c r="E193" i="1"/>
  <c r="AY192" i="1"/>
  <c r="AX192" i="1"/>
  <c r="AW192" i="1"/>
  <c r="AV192" i="1"/>
  <c r="AU192" i="1"/>
  <c r="AT192" i="1"/>
  <c r="AS192" i="1"/>
  <c r="AR192" i="1"/>
  <c r="AQ192" i="1"/>
  <c r="AP192" i="1"/>
  <c r="AO192" i="1"/>
  <c r="AI192" i="1"/>
  <c r="AF192" i="1"/>
  <c r="AE192" i="1"/>
  <c r="AA192" i="1"/>
  <c r="W192" i="1"/>
  <c r="V192" i="1"/>
  <c r="E192" i="1"/>
  <c r="AI191" i="1"/>
  <c r="AF191" i="1"/>
  <c r="AE191" i="1"/>
  <c r="AA191" i="1"/>
  <c r="AI190" i="1"/>
  <c r="AF190" i="1"/>
  <c r="AE190" i="1"/>
  <c r="AA190" i="1"/>
  <c r="AI189" i="1"/>
  <c r="AF189" i="1"/>
  <c r="AE189" i="1"/>
  <c r="AA189" i="1"/>
  <c r="AI188" i="1"/>
  <c r="AF188" i="1"/>
  <c r="AE188" i="1"/>
  <c r="AA188" i="1"/>
  <c r="AI187" i="1"/>
  <c r="AF187" i="1"/>
  <c r="AE187" i="1"/>
  <c r="AA187" i="1"/>
  <c r="AI186" i="1"/>
  <c r="AF186" i="1"/>
  <c r="AE186" i="1"/>
  <c r="AA186" i="1"/>
  <c r="AI185" i="1"/>
  <c r="AF185" i="1"/>
  <c r="AE185" i="1"/>
  <c r="AA185" i="1"/>
  <c r="BA175" i="1"/>
  <c r="AJ175" i="1"/>
  <c r="AG175" i="1"/>
  <c r="AC175" i="1"/>
  <c r="U175" i="1"/>
  <c r="T175" i="1"/>
  <c r="H175" i="1"/>
  <c r="G175" i="1"/>
  <c r="F175" i="1"/>
  <c r="AY174" i="1"/>
  <c r="AX174" i="1"/>
  <c r="AW174" i="1"/>
  <c r="AV174" i="1"/>
  <c r="AU174" i="1"/>
  <c r="AT174" i="1"/>
  <c r="AS174" i="1"/>
  <c r="AR174" i="1"/>
  <c r="AQ174" i="1"/>
  <c r="AP174" i="1"/>
  <c r="AO174" i="1"/>
  <c r="AI174" i="1"/>
  <c r="AF174" i="1"/>
  <c r="AE174" i="1"/>
  <c r="AA174" i="1"/>
  <c r="W174" i="1"/>
  <c r="V174" i="1"/>
  <c r="E174" i="1"/>
  <c r="AY173" i="1"/>
  <c r="AX173" i="1"/>
  <c r="AW173" i="1"/>
  <c r="AV173" i="1"/>
  <c r="AU173" i="1"/>
  <c r="AT173" i="1"/>
  <c r="AS173" i="1"/>
  <c r="AR173" i="1"/>
  <c r="AQ173" i="1"/>
  <c r="AP173" i="1"/>
  <c r="AO173" i="1"/>
  <c r="AI173" i="1"/>
  <c r="AF173" i="1"/>
  <c r="AE173" i="1"/>
  <c r="AA173" i="1"/>
  <c r="W173" i="1"/>
  <c r="V173" i="1"/>
  <c r="E173" i="1"/>
  <c r="AY172" i="1"/>
  <c r="AX172" i="1"/>
  <c r="AW172" i="1"/>
  <c r="AV172" i="1"/>
  <c r="AU172" i="1"/>
  <c r="AT172" i="1"/>
  <c r="AS172" i="1"/>
  <c r="AR172" i="1"/>
  <c r="AQ172" i="1"/>
  <c r="AP172" i="1"/>
  <c r="AO172" i="1"/>
  <c r="AI172" i="1"/>
  <c r="AF172" i="1"/>
  <c r="AE172" i="1"/>
  <c r="AA172" i="1"/>
  <c r="W172" i="1"/>
  <c r="V172" i="1"/>
  <c r="E172" i="1"/>
  <c r="AY171" i="1"/>
  <c r="AX171" i="1"/>
  <c r="AW171" i="1"/>
  <c r="AV171" i="1"/>
  <c r="AU171" i="1"/>
  <c r="AT171" i="1"/>
  <c r="AS171" i="1"/>
  <c r="AR171" i="1"/>
  <c r="AQ171" i="1"/>
  <c r="AP171" i="1"/>
  <c r="AO171" i="1"/>
  <c r="AI171" i="1"/>
  <c r="AF171" i="1"/>
  <c r="AE171" i="1"/>
  <c r="AA171" i="1"/>
  <c r="W171" i="1"/>
  <c r="V171" i="1"/>
  <c r="E171" i="1"/>
  <c r="AY170" i="1"/>
  <c r="AX170" i="1"/>
  <c r="AW170" i="1"/>
  <c r="AV170" i="1"/>
  <c r="AU170" i="1"/>
  <c r="AT170" i="1"/>
  <c r="AS170" i="1"/>
  <c r="AR170" i="1"/>
  <c r="AQ170" i="1"/>
  <c r="AP170" i="1"/>
  <c r="AO170" i="1"/>
  <c r="AI170" i="1"/>
  <c r="AF170" i="1"/>
  <c r="AE170" i="1"/>
  <c r="AA170" i="1"/>
  <c r="W170" i="1"/>
  <c r="V170" i="1"/>
  <c r="E170" i="1"/>
  <c r="AY169" i="1"/>
  <c r="AX169" i="1"/>
  <c r="AW169" i="1"/>
  <c r="AV169" i="1"/>
  <c r="AU169" i="1"/>
  <c r="AT169" i="1"/>
  <c r="AS169" i="1"/>
  <c r="AR169" i="1"/>
  <c r="AQ169" i="1"/>
  <c r="AP169" i="1"/>
  <c r="AO169" i="1"/>
  <c r="AI169" i="1"/>
  <c r="AF169" i="1"/>
  <c r="AE169" i="1"/>
  <c r="AA169" i="1"/>
  <c r="W169" i="1"/>
  <c r="V169" i="1"/>
  <c r="E169" i="1"/>
  <c r="AY168" i="1"/>
  <c r="AX168" i="1"/>
  <c r="AW168" i="1"/>
  <c r="AV168" i="1"/>
  <c r="AU168" i="1"/>
  <c r="AT168" i="1"/>
  <c r="AS168" i="1"/>
  <c r="AR168" i="1"/>
  <c r="AQ168" i="1"/>
  <c r="AP168" i="1"/>
  <c r="AO168" i="1"/>
  <c r="AI168" i="1"/>
  <c r="AF168" i="1"/>
  <c r="AE168" i="1"/>
  <c r="AA168" i="1"/>
  <c r="W168" i="1"/>
  <c r="V168" i="1"/>
  <c r="E168" i="1"/>
  <c r="AY167" i="1"/>
  <c r="AX167" i="1"/>
  <c r="AW167" i="1"/>
  <c r="AV167" i="1"/>
  <c r="AU167" i="1"/>
  <c r="AT167" i="1"/>
  <c r="AS167" i="1"/>
  <c r="AR167" i="1"/>
  <c r="AQ167" i="1"/>
  <c r="AP167" i="1"/>
  <c r="AO167" i="1"/>
  <c r="AI167" i="1"/>
  <c r="AF167" i="1"/>
  <c r="AE167" i="1"/>
  <c r="AA167" i="1"/>
  <c r="W167" i="1"/>
  <c r="V167" i="1"/>
  <c r="E167" i="1"/>
  <c r="AY166" i="1"/>
  <c r="AX166" i="1"/>
  <c r="AW166" i="1"/>
  <c r="AV166" i="1"/>
  <c r="AU166" i="1"/>
  <c r="AT166" i="1"/>
  <c r="AS166" i="1"/>
  <c r="AR166" i="1"/>
  <c r="AQ166" i="1"/>
  <c r="AP166" i="1"/>
  <c r="AO166" i="1"/>
  <c r="AI166" i="1"/>
  <c r="AF166" i="1"/>
  <c r="AE166" i="1"/>
  <c r="AA166" i="1"/>
  <c r="W166" i="1"/>
  <c r="V166" i="1"/>
  <c r="E166" i="1"/>
  <c r="AY165" i="1"/>
  <c r="AX165" i="1"/>
  <c r="AW165" i="1"/>
  <c r="AV165" i="1"/>
  <c r="AU165" i="1"/>
  <c r="AT165" i="1"/>
  <c r="AS165" i="1"/>
  <c r="AR165" i="1"/>
  <c r="AQ165" i="1"/>
  <c r="AP165" i="1"/>
  <c r="AO165" i="1"/>
  <c r="AI165" i="1"/>
  <c r="AF165" i="1"/>
  <c r="AE165" i="1"/>
  <c r="AA165" i="1"/>
  <c r="W165" i="1"/>
  <c r="V165" i="1"/>
  <c r="E165" i="1"/>
  <c r="AY164" i="1"/>
  <c r="AX164" i="1"/>
  <c r="AW164" i="1"/>
  <c r="AV164" i="1"/>
  <c r="AU164" i="1"/>
  <c r="AT164" i="1"/>
  <c r="AS164" i="1"/>
  <c r="AR164" i="1"/>
  <c r="AQ164" i="1"/>
  <c r="AP164" i="1"/>
  <c r="AO164" i="1"/>
  <c r="AI164" i="1"/>
  <c r="AF164" i="1"/>
  <c r="AE164" i="1"/>
  <c r="AA164" i="1"/>
  <c r="W164" i="1"/>
  <c r="V164" i="1"/>
  <c r="E164" i="1"/>
  <c r="AY163" i="1"/>
  <c r="AX163" i="1"/>
  <c r="AW163" i="1"/>
  <c r="AV163" i="1"/>
  <c r="AU163" i="1"/>
  <c r="AT163" i="1"/>
  <c r="AS163" i="1"/>
  <c r="AR163" i="1"/>
  <c r="AQ163" i="1"/>
  <c r="AP163" i="1"/>
  <c r="AO163" i="1"/>
  <c r="AI163" i="1"/>
  <c r="AF163" i="1"/>
  <c r="AE163" i="1"/>
  <c r="AA163" i="1"/>
  <c r="W163" i="1"/>
  <c r="V163" i="1"/>
  <c r="E163" i="1"/>
  <c r="AI162" i="1"/>
  <c r="AF162" i="1"/>
  <c r="AE162" i="1"/>
  <c r="AA162" i="1"/>
  <c r="AI161" i="1"/>
  <c r="AF161" i="1"/>
  <c r="AE161" i="1"/>
  <c r="AA161" i="1"/>
  <c r="AI160" i="1"/>
  <c r="AF160" i="1"/>
  <c r="AE160" i="1"/>
  <c r="AA160" i="1"/>
  <c r="AI159" i="1"/>
  <c r="AF159" i="1"/>
  <c r="AE159" i="1"/>
  <c r="AA159" i="1"/>
  <c r="AI158" i="1"/>
  <c r="AF158" i="1"/>
  <c r="AE158" i="1"/>
  <c r="AA158" i="1"/>
  <c r="AI157" i="1"/>
  <c r="AF157" i="1"/>
  <c r="AE157" i="1"/>
  <c r="AA157" i="1"/>
  <c r="AI156" i="1"/>
  <c r="AF156" i="1"/>
  <c r="AE156" i="1"/>
  <c r="AA156" i="1"/>
  <c r="BA146" i="1"/>
  <c r="AJ146" i="1"/>
  <c r="AG146" i="1"/>
  <c r="AC146" i="1"/>
  <c r="U146" i="1"/>
  <c r="T146" i="1"/>
  <c r="H146" i="1"/>
  <c r="G146" i="1"/>
  <c r="F146" i="1"/>
  <c r="AY145" i="1"/>
  <c r="AX145" i="1"/>
  <c r="AW145" i="1"/>
  <c r="AV145" i="1"/>
  <c r="AU145" i="1"/>
  <c r="AT145" i="1"/>
  <c r="AS145" i="1"/>
  <c r="AR145" i="1"/>
  <c r="AQ145" i="1"/>
  <c r="AP145" i="1"/>
  <c r="AO145" i="1"/>
  <c r="AI145" i="1"/>
  <c r="AF145" i="1"/>
  <c r="AE145" i="1"/>
  <c r="AA145" i="1"/>
  <c r="W145" i="1"/>
  <c r="V145" i="1"/>
  <c r="E145" i="1"/>
  <c r="AY144" i="1"/>
  <c r="AX144" i="1"/>
  <c r="AW144" i="1"/>
  <c r="AV144" i="1"/>
  <c r="AU144" i="1"/>
  <c r="AT144" i="1"/>
  <c r="AS144" i="1"/>
  <c r="AR144" i="1"/>
  <c r="AQ144" i="1"/>
  <c r="AP144" i="1"/>
  <c r="AO144" i="1"/>
  <c r="AI144" i="1"/>
  <c r="AF144" i="1"/>
  <c r="AE144" i="1"/>
  <c r="AA144" i="1"/>
  <c r="W144" i="1"/>
  <c r="V144" i="1"/>
  <c r="E144" i="1"/>
  <c r="AY143" i="1"/>
  <c r="AX143" i="1"/>
  <c r="AW143" i="1"/>
  <c r="AV143" i="1"/>
  <c r="AU143" i="1"/>
  <c r="AT143" i="1"/>
  <c r="AS143" i="1"/>
  <c r="AR143" i="1"/>
  <c r="AQ143" i="1"/>
  <c r="AP143" i="1"/>
  <c r="AO143" i="1"/>
  <c r="AI143" i="1"/>
  <c r="AF143" i="1"/>
  <c r="AE143" i="1"/>
  <c r="AA143" i="1"/>
  <c r="W143" i="1"/>
  <c r="V143" i="1"/>
  <c r="E143" i="1"/>
  <c r="AY142" i="1"/>
  <c r="AX142" i="1"/>
  <c r="AW142" i="1"/>
  <c r="AV142" i="1"/>
  <c r="AU142" i="1"/>
  <c r="AT142" i="1"/>
  <c r="AS142" i="1"/>
  <c r="AR142" i="1"/>
  <c r="AQ142" i="1"/>
  <c r="AP142" i="1"/>
  <c r="AO142" i="1"/>
  <c r="AI142" i="1"/>
  <c r="AF142" i="1"/>
  <c r="AE142" i="1"/>
  <c r="AA142" i="1"/>
  <c r="W142" i="1"/>
  <c r="V142" i="1"/>
  <c r="E142" i="1"/>
  <c r="AY141" i="1"/>
  <c r="AX141" i="1"/>
  <c r="AW141" i="1"/>
  <c r="AV141" i="1"/>
  <c r="AU141" i="1"/>
  <c r="AT141" i="1"/>
  <c r="AS141" i="1"/>
  <c r="AR141" i="1"/>
  <c r="AQ141" i="1"/>
  <c r="AP141" i="1"/>
  <c r="AO141" i="1"/>
  <c r="AI141" i="1"/>
  <c r="AF141" i="1"/>
  <c r="AE141" i="1"/>
  <c r="AA141" i="1"/>
  <c r="W141" i="1"/>
  <c r="V141" i="1"/>
  <c r="E141" i="1"/>
  <c r="AY140" i="1"/>
  <c r="AX140" i="1"/>
  <c r="AW140" i="1"/>
  <c r="AV140" i="1"/>
  <c r="AU140" i="1"/>
  <c r="AT140" i="1"/>
  <c r="AS140" i="1"/>
  <c r="AR140" i="1"/>
  <c r="AQ140" i="1"/>
  <c r="AP140" i="1"/>
  <c r="AO140" i="1"/>
  <c r="AI140" i="1"/>
  <c r="AF140" i="1"/>
  <c r="AE140" i="1"/>
  <c r="AA140" i="1"/>
  <c r="W140" i="1"/>
  <c r="V140" i="1"/>
  <c r="E140" i="1"/>
  <c r="AY139" i="1"/>
  <c r="AX139" i="1"/>
  <c r="AW139" i="1"/>
  <c r="AV139" i="1"/>
  <c r="AU139" i="1"/>
  <c r="AT139" i="1"/>
  <c r="AS139" i="1"/>
  <c r="AR139" i="1"/>
  <c r="AQ139" i="1"/>
  <c r="AP139" i="1"/>
  <c r="AO139" i="1"/>
  <c r="AI139" i="1"/>
  <c r="AF139" i="1"/>
  <c r="AE139" i="1"/>
  <c r="AA139" i="1"/>
  <c r="W139" i="1"/>
  <c r="V139" i="1"/>
  <c r="E139" i="1"/>
  <c r="AY138" i="1"/>
  <c r="AX138" i="1"/>
  <c r="AW138" i="1"/>
  <c r="AV138" i="1"/>
  <c r="AU138" i="1"/>
  <c r="AT138" i="1"/>
  <c r="AS138" i="1"/>
  <c r="AR138" i="1"/>
  <c r="AQ138" i="1"/>
  <c r="AP138" i="1"/>
  <c r="AO138" i="1"/>
  <c r="AI138" i="1"/>
  <c r="AF138" i="1"/>
  <c r="AE138" i="1"/>
  <c r="AA138" i="1"/>
  <c r="W138" i="1"/>
  <c r="V138" i="1"/>
  <c r="E138" i="1"/>
  <c r="AY137" i="1"/>
  <c r="AX137" i="1"/>
  <c r="AW137" i="1"/>
  <c r="AV137" i="1"/>
  <c r="AU137" i="1"/>
  <c r="AT137" i="1"/>
  <c r="AS137" i="1"/>
  <c r="AR137" i="1"/>
  <c r="AQ137" i="1"/>
  <c r="AP137" i="1"/>
  <c r="AO137" i="1"/>
  <c r="AI137" i="1"/>
  <c r="AF137" i="1"/>
  <c r="AE137" i="1"/>
  <c r="AA137" i="1"/>
  <c r="W137" i="1"/>
  <c r="V137" i="1"/>
  <c r="E137" i="1"/>
  <c r="AY136" i="1"/>
  <c r="AX136" i="1"/>
  <c r="AW136" i="1"/>
  <c r="AV136" i="1"/>
  <c r="AU136" i="1"/>
  <c r="AT136" i="1"/>
  <c r="AS136" i="1"/>
  <c r="AR136" i="1"/>
  <c r="AQ136" i="1"/>
  <c r="AP136" i="1"/>
  <c r="AO136" i="1"/>
  <c r="AI136" i="1"/>
  <c r="AF136" i="1"/>
  <c r="AE136" i="1"/>
  <c r="AA136" i="1"/>
  <c r="W136" i="1"/>
  <c r="V136" i="1"/>
  <c r="E136" i="1"/>
  <c r="AY135" i="1"/>
  <c r="AX135" i="1"/>
  <c r="AW135" i="1"/>
  <c r="AV135" i="1"/>
  <c r="AU135" i="1"/>
  <c r="AT135" i="1"/>
  <c r="AS135" i="1"/>
  <c r="AR135" i="1"/>
  <c r="AQ135" i="1"/>
  <c r="AP135" i="1"/>
  <c r="AO135" i="1"/>
  <c r="AI135" i="1"/>
  <c r="AF135" i="1"/>
  <c r="AE135" i="1"/>
  <c r="AA135" i="1"/>
  <c r="W135" i="1"/>
  <c r="V135" i="1"/>
  <c r="E135" i="1"/>
  <c r="AY134" i="1"/>
  <c r="AX134" i="1"/>
  <c r="AW134" i="1"/>
  <c r="AV134" i="1"/>
  <c r="AU134" i="1"/>
  <c r="AT134" i="1"/>
  <c r="AS134" i="1"/>
  <c r="AR134" i="1"/>
  <c r="AQ134" i="1"/>
  <c r="AP134" i="1"/>
  <c r="AO134" i="1"/>
  <c r="AI134" i="1"/>
  <c r="AF134" i="1"/>
  <c r="AE134" i="1"/>
  <c r="AA134" i="1"/>
  <c r="W134" i="1"/>
  <c r="V134" i="1"/>
  <c r="E134" i="1"/>
  <c r="AI133" i="1"/>
  <c r="AF133" i="1"/>
  <c r="AE133" i="1"/>
  <c r="AA133" i="1"/>
  <c r="AI132" i="1"/>
  <c r="AF132" i="1"/>
  <c r="AE132" i="1"/>
  <c r="AA132" i="1"/>
  <c r="AI131" i="1"/>
  <c r="AF131" i="1"/>
  <c r="AE131" i="1"/>
  <c r="AA131" i="1"/>
  <c r="AI130" i="1"/>
  <c r="AF130" i="1"/>
  <c r="AE130" i="1"/>
  <c r="AA130" i="1"/>
  <c r="AI129" i="1"/>
  <c r="AF129" i="1"/>
  <c r="AE129" i="1"/>
  <c r="AA129" i="1"/>
  <c r="AI128" i="1"/>
  <c r="AF128" i="1"/>
  <c r="AE128" i="1"/>
  <c r="AA128" i="1"/>
  <c r="AI127" i="1"/>
  <c r="AF127" i="1"/>
  <c r="AE127" i="1"/>
  <c r="AA127" i="1"/>
  <c r="BA117" i="1"/>
  <c r="AJ117" i="1"/>
  <c r="AG117" i="1"/>
  <c r="AC117" i="1"/>
  <c r="U117" i="1"/>
  <c r="T117" i="1"/>
  <c r="H117" i="1"/>
  <c r="G117" i="1"/>
  <c r="F117" i="1"/>
  <c r="AY116" i="1"/>
  <c r="AX116" i="1"/>
  <c r="AW116" i="1"/>
  <c r="AV116" i="1"/>
  <c r="AU116" i="1"/>
  <c r="AT116" i="1"/>
  <c r="AS116" i="1"/>
  <c r="AR116" i="1"/>
  <c r="AQ116" i="1"/>
  <c r="AP116" i="1"/>
  <c r="AO116" i="1"/>
  <c r="AI116" i="1"/>
  <c r="AF116" i="1"/>
  <c r="AE116" i="1"/>
  <c r="AA116" i="1"/>
  <c r="W116" i="1"/>
  <c r="V116" i="1"/>
  <c r="E116" i="1"/>
  <c r="AY115" i="1"/>
  <c r="AX115" i="1"/>
  <c r="AW115" i="1"/>
  <c r="AV115" i="1"/>
  <c r="AU115" i="1"/>
  <c r="AT115" i="1"/>
  <c r="AS115" i="1"/>
  <c r="AR115" i="1"/>
  <c r="AQ115" i="1"/>
  <c r="AP115" i="1"/>
  <c r="AO115" i="1"/>
  <c r="AI115" i="1"/>
  <c r="AF115" i="1"/>
  <c r="AE115" i="1"/>
  <c r="AA115" i="1"/>
  <c r="W115" i="1"/>
  <c r="V115" i="1"/>
  <c r="E115" i="1"/>
  <c r="AY114" i="1"/>
  <c r="AX114" i="1"/>
  <c r="AW114" i="1"/>
  <c r="AV114" i="1"/>
  <c r="AU114" i="1"/>
  <c r="AT114" i="1"/>
  <c r="AS114" i="1"/>
  <c r="AR114" i="1"/>
  <c r="AQ114" i="1"/>
  <c r="AP114" i="1"/>
  <c r="AO114" i="1"/>
  <c r="AI114" i="1"/>
  <c r="AF114" i="1"/>
  <c r="AE114" i="1"/>
  <c r="AA114" i="1"/>
  <c r="W114" i="1"/>
  <c r="V114" i="1"/>
  <c r="E114" i="1"/>
  <c r="AY113" i="1"/>
  <c r="AX113" i="1"/>
  <c r="AW113" i="1"/>
  <c r="AV113" i="1"/>
  <c r="AU113" i="1"/>
  <c r="AT113" i="1"/>
  <c r="AS113" i="1"/>
  <c r="AR113" i="1"/>
  <c r="AQ113" i="1"/>
  <c r="AP113" i="1"/>
  <c r="AO113" i="1"/>
  <c r="AI113" i="1"/>
  <c r="AF113" i="1"/>
  <c r="AE113" i="1"/>
  <c r="AA113" i="1"/>
  <c r="W113" i="1"/>
  <c r="V113" i="1"/>
  <c r="E113" i="1"/>
  <c r="AY112" i="1"/>
  <c r="AX112" i="1"/>
  <c r="AW112" i="1"/>
  <c r="AV112" i="1"/>
  <c r="AU112" i="1"/>
  <c r="AT112" i="1"/>
  <c r="AS112" i="1"/>
  <c r="AR112" i="1"/>
  <c r="AQ112" i="1"/>
  <c r="AP112" i="1"/>
  <c r="AO112" i="1"/>
  <c r="AI112" i="1"/>
  <c r="AF112" i="1"/>
  <c r="AE112" i="1"/>
  <c r="AA112" i="1"/>
  <c r="W112" i="1"/>
  <c r="V112" i="1"/>
  <c r="E112" i="1"/>
  <c r="AY111" i="1"/>
  <c r="AX111" i="1"/>
  <c r="AW111" i="1"/>
  <c r="AV111" i="1"/>
  <c r="AU111" i="1"/>
  <c r="AT111" i="1"/>
  <c r="AS111" i="1"/>
  <c r="AR111" i="1"/>
  <c r="AQ111" i="1"/>
  <c r="AP111" i="1"/>
  <c r="AO111" i="1"/>
  <c r="AI111" i="1"/>
  <c r="AF111" i="1"/>
  <c r="AE111" i="1"/>
  <c r="AA111" i="1"/>
  <c r="W111" i="1"/>
  <c r="V111" i="1"/>
  <c r="E111" i="1"/>
  <c r="AY110" i="1"/>
  <c r="AX110" i="1"/>
  <c r="AW110" i="1"/>
  <c r="AV110" i="1"/>
  <c r="AU110" i="1"/>
  <c r="AT110" i="1"/>
  <c r="AS110" i="1"/>
  <c r="AR110" i="1"/>
  <c r="AQ110" i="1"/>
  <c r="AP110" i="1"/>
  <c r="AO110" i="1"/>
  <c r="AI110" i="1"/>
  <c r="AF110" i="1"/>
  <c r="AE110" i="1"/>
  <c r="AA110" i="1"/>
  <c r="W110" i="1"/>
  <c r="V110" i="1"/>
  <c r="E110" i="1"/>
  <c r="AY109" i="1"/>
  <c r="AX109" i="1"/>
  <c r="AW109" i="1"/>
  <c r="AV109" i="1"/>
  <c r="AU109" i="1"/>
  <c r="AT109" i="1"/>
  <c r="AS109" i="1"/>
  <c r="AR109" i="1"/>
  <c r="AQ109" i="1"/>
  <c r="AP109" i="1"/>
  <c r="AO109" i="1"/>
  <c r="AI109" i="1"/>
  <c r="AF109" i="1"/>
  <c r="AE109" i="1"/>
  <c r="AA109" i="1"/>
  <c r="W109" i="1"/>
  <c r="V109" i="1"/>
  <c r="E109" i="1"/>
  <c r="AY108" i="1"/>
  <c r="AX108" i="1"/>
  <c r="AW108" i="1"/>
  <c r="AV108" i="1"/>
  <c r="AU108" i="1"/>
  <c r="AT108" i="1"/>
  <c r="AS108" i="1"/>
  <c r="AR108" i="1"/>
  <c r="AQ108" i="1"/>
  <c r="AP108" i="1"/>
  <c r="AO108" i="1"/>
  <c r="AI108" i="1"/>
  <c r="AF108" i="1"/>
  <c r="AE108" i="1"/>
  <c r="AA108" i="1"/>
  <c r="W108" i="1"/>
  <c r="V108" i="1"/>
  <c r="E108" i="1"/>
  <c r="AY107" i="1"/>
  <c r="AX107" i="1"/>
  <c r="AW107" i="1"/>
  <c r="AV107" i="1"/>
  <c r="AU107" i="1"/>
  <c r="AT107" i="1"/>
  <c r="AS107" i="1"/>
  <c r="AR107" i="1"/>
  <c r="AQ107" i="1"/>
  <c r="AP107" i="1"/>
  <c r="AO107" i="1"/>
  <c r="AI107" i="1"/>
  <c r="AF107" i="1"/>
  <c r="AE107" i="1"/>
  <c r="AA107" i="1"/>
  <c r="W107" i="1"/>
  <c r="V107" i="1"/>
  <c r="E107" i="1"/>
  <c r="AY106" i="1"/>
  <c r="AX106" i="1"/>
  <c r="AW106" i="1"/>
  <c r="AV106" i="1"/>
  <c r="AU106" i="1"/>
  <c r="AT106" i="1"/>
  <c r="AS106" i="1"/>
  <c r="AR106" i="1"/>
  <c r="AQ106" i="1"/>
  <c r="AP106" i="1"/>
  <c r="AO106" i="1"/>
  <c r="AI106" i="1"/>
  <c r="AF106" i="1"/>
  <c r="AE106" i="1"/>
  <c r="AA106" i="1"/>
  <c r="W106" i="1"/>
  <c r="V106" i="1"/>
  <c r="E106" i="1"/>
  <c r="AY105" i="1"/>
  <c r="AX105" i="1"/>
  <c r="AW105" i="1"/>
  <c r="AV105" i="1"/>
  <c r="AU105" i="1"/>
  <c r="AT105" i="1"/>
  <c r="AS105" i="1"/>
  <c r="AR105" i="1"/>
  <c r="AQ105" i="1"/>
  <c r="AP105" i="1"/>
  <c r="AO105" i="1"/>
  <c r="AI105" i="1"/>
  <c r="AF105" i="1"/>
  <c r="AE105" i="1"/>
  <c r="AA105" i="1"/>
  <c r="W105" i="1"/>
  <c r="V105" i="1"/>
  <c r="E105" i="1"/>
  <c r="AI104" i="1"/>
  <c r="AF104" i="1"/>
  <c r="AE104" i="1"/>
  <c r="AA104" i="1"/>
  <c r="AI103" i="1"/>
  <c r="AF103" i="1"/>
  <c r="AE103" i="1"/>
  <c r="AA103" i="1"/>
  <c r="AI102" i="1"/>
  <c r="AF102" i="1"/>
  <c r="AE102" i="1"/>
  <c r="AA102" i="1"/>
  <c r="AI101" i="1"/>
  <c r="AF101" i="1"/>
  <c r="AE101" i="1"/>
  <c r="AA101" i="1"/>
  <c r="AI100" i="1"/>
  <c r="AF100" i="1"/>
  <c r="AE100" i="1"/>
  <c r="AA100" i="1"/>
  <c r="AI99" i="1"/>
  <c r="AF99" i="1"/>
  <c r="AE99" i="1"/>
  <c r="AA99" i="1"/>
  <c r="AI98" i="1"/>
  <c r="AF98" i="1"/>
  <c r="AE98" i="1"/>
  <c r="AA98" i="1"/>
  <c r="BA88" i="1"/>
  <c r="AJ88" i="1"/>
  <c r="AG88" i="1"/>
  <c r="AC88" i="1"/>
  <c r="U88" i="1"/>
  <c r="T88" i="1"/>
  <c r="H88" i="1"/>
  <c r="G88" i="1"/>
  <c r="F88" i="1"/>
  <c r="AY87" i="1"/>
  <c r="AX87" i="1"/>
  <c r="AW87" i="1"/>
  <c r="AV87" i="1"/>
  <c r="AU87" i="1"/>
  <c r="AT87" i="1"/>
  <c r="AS87" i="1"/>
  <c r="AR87" i="1"/>
  <c r="AQ87" i="1"/>
  <c r="AP87" i="1"/>
  <c r="AO87" i="1"/>
  <c r="AI87" i="1"/>
  <c r="AF87" i="1"/>
  <c r="AE87" i="1"/>
  <c r="AA87" i="1"/>
  <c r="W87" i="1"/>
  <c r="V87" i="1"/>
  <c r="E87" i="1"/>
  <c r="AY86" i="1"/>
  <c r="AX86" i="1"/>
  <c r="AW86" i="1"/>
  <c r="AV86" i="1"/>
  <c r="AU86" i="1"/>
  <c r="AT86" i="1"/>
  <c r="AS86" i="1"/>
  <c r="AR86" i="1"/>
  <c r="AQ86" i="1"/>
  <c r="AP86" i="1"/>
  <c r="AO86" i="1"/>
  <c r="AI86" i="1"/>
  <c r="AF86" i="1"/>
  <c r="AE86" i="1"/>
  <c r="AA86" i="1"/>
  <c r="W86" i="1"/>
  <c r="V86" i="1"/>
  <c r="E86" i="1"/>
  <c r="AY85" i="1"/>
  <c r="AX85" i="1"/>
  <c r="AW85" i="1"/>
  <c r="AV85" i="1"/>
  <c r="AU85" i="1"/>
  <c r="AT85" i="1"/>
  <c r="AS85" i="1"/>
  <c r="AR85" i="1"/>
  <c r="AQ85" i="1"/>
  <c r="AP85" i="1"/>
  <c r="AO85" i="1"/>
  <c r="AI85" i="1"/>
  <c r="AF85" i="1"/>
  <c r="AE85" i="1"/>
  <c r="AA85" i="1"/>
  <c r="W85" i="1"/>
  <c r="V85" i="1"/>
  <c r="E85" i="1"/>
  <c r="AY84" i="1"/>
  <c r="AX84" i="1"/>
  <c r="AW84" i="1"/>
  <c r="AV84" i="1"/>
  <c r="AU84" i="1"/>
  <c r="AT84" i="1"/>
  <c r="AS84" i="1"/>
  <c r="AR84" i="1"/>
  <c r="AQ84" i="1"/>
  <c r="AP84" i="1"/>
  <c r="AO84" i="1"/>
  <c r="AI84" i="1"/>
  <c r="AF84" i="1"/>
  <c r="AE84" i="1"/>
  <c r="AA84" i="1"/>
  <c r="W84" i="1"/>
  <c r="V84" i="1"/>
  <c r="E84" i="1"/>
  <c r="AY83" i="1"/>
  <c r="AX83" i="1"/>
  <c r="AW83" i="1"/>
  <c r="AV83" i="1"/>
  <c r="AU83" i="1"/>
  <c r="AT83" i="1"/>
  <c r="AS83" i="1"/>
  <c r="AR83" i="1"/>
  <c r="AQ83" i="1"/>
  <c r="AP83" i="1"/>
  <c r="AO83" i="1"/>
  <c r="AI83" i="1"/>
  <c r="AF83" i="1"/>
  <c r="AE83" i="1"/>
  <c r="AA83" i="1"/>
  <c r="W83" i="1"/>
  <c r="V83" i="1"/>
  <c r="E83" i="1"/>
  <c r="AY82" i="1"/>
  <c r="AX82" i="1"/>
  <c r="AW82" i="1"/>
  <c r="AV82" i="1"/>
  <c r="AU82" i="1"/>
  <c r="AT82" i="1"/>
  <c r="AS82" i="1"/>
  <c r="AR82" i="1"/>
  <c r="AQ82" i="1"/>
  <c r="AP82" i="1"/>
  <c r="AO82" i="1"/>
  <c r="AI82" i="1"/>
  <c r="AF82" i="1"/>
  <c r="AE82" i="1"/>
  <c r="AA82" i="1"/>
  <c r="W82" i="1"/>
  <c r="V82" i="1"/>
  <c r="E82" i="1"/>
  <c r="AY81" i="1"/>
  <c r="AX81" i="1"/>
  <c r="AW81" i="1"/>
  <c r="AV81" i="1"/>
  <c r="AU81" i="1"/>
  <c r="AT81" i="1"/>
  <c r="AS81" i="1"/>
  <c r="AR81" i="1"/>
  <c r="AQ81" i="1"/>
  <c r="AP81" i="1"/>
  <c r="AO81" i="1"/>
  <c r="AI81" i="1"/>
  <c r="AF81" i="1"/>
  <c r="AE81" i="1"/>
  <c r="AA81" i="1"/>
  <c r="W81" i="1"/>
  <c r="V81" i="1"/>
  <c r="E81" i="1"/>
  <c r="AY80" i="1"/>
  <c r="AX80" i="1"/>
  <c r="AW80" i="1"/>
  <c r="AV80" i="1"/>
  <c r="AU80" i="1"/>
  <c r="AT80" i="1"/>
  <c r="AS80" i="1"/>
  <c r="AR80" i="1"/>
  <c r="AQ80" i="1"/>
  <c r="AP80" i="1"/>
  <c r="AO80" i="1"/>
  <c r="AI80" i="1"/>
  <c r="AF80" i="1"/>
  <c r="AE80" i="1"/>
  <c r="AA80" i="1"/>
  <c r="W80" i="1"/>
  <c r="V80" i="1"/>
  <c r="E80" i="1"/>
  <c r="AY79" i="1"/>
  <c r="AX79" i="1"/>
  <c r="AW79" i="1"/>
  <c r="AV79" i="1"/>
  <c r="AU79" i="1"/>
  <c r="AT79" i="1"/>
  <c r="AS79" i="1"/>
  <c r="AR79" i="1"/>
  <c r="AQ79" i="1"/>
  <c r="AP79" i="1"/>
  <c r="AO79" i="1"/>
  <c r="AI79" i="1"/>
  <c r="AF79" i="1"/>
  <c r="AE79" i="1"/>
  <c r="AA79" i="1"/>
  <c r="W79" i="1"/>
  <c r="V79" i="1"/>
  <c r="E79" i="1"/>
  <c r="AY78" i="1"/>
  <c r="AX78" i="1"/>
  <c r="AW78" i="1"/>
  <c r="AV78" i="1"/>
  <c r="AU78" i="1"/>
  <c r="AT78" i="1"/>
  <c r="AS78" i="1"/>
  <c r="AR78" i="1"/>
  <c r="AQ78" i="1"/>
  <c r="AP78" i="1"/>
  <c r="AO78" i="1"/>
  <c r="AI78" i="1"/>
  <c r="AF78" i="1"/>
  <c r="AE78" i="1"/>
  <c r="AA78" i="1"/>
  <c r="W78" i="1"/>
  <c r="V78" i="1"/>
  <c r="E78" i="1"/>
  <c r="AY77" i="1"/>
  <c r="AX77" i="1"/>
  <c r="AW77" i="1"/>
  <c r="AV77" i="1"/>
  <c r="AU77" i="1"/>
  <c r="AT77" i="1"/>
  <c r="AS77" i="1"/>
  <c r="AR77" i="1"/>
  <c r="AQ77" i="1"/>
  <c r="AP77" i="1"/>
  <c r="AO77" i="1"/>
  <c r="AI77" i="1"/>
  <c r="AF77" i="1"/>
  <c r="AE77" i="1"/>
  <c r="AA77" i="1"/>
  <c r="W77" i="1"/>
  <c r="V77" i="1"/>
  <c r="E77" i="1"/>
  <c r="AY76" i="1"/>
  <c r="AX76" i="1"/>
  <c r="AW76" i="1"/>
  <c r="AV76" i="1"/>
  <c r="AU76" i="1"/>
  <c r="AT76" i="1"/>
  <c r="AS76" i="1"/>
  <c r="AR76" i="1"/>
  <c r="AQ76" i="1"/>
  <c r="AP76" i="1"/>
  <c r="AO76" i="1"/>
  <c r="AI76" i="1"/>
  <c r="AF76" i="1"/>
  <c r="AE76" i="1"/>
  <c r="AA76" i="1"/>
  <c r="W76" i="1"/>
  <c r="V76" i="1"/>
  <c r="E76" i="1"/>
  <c r="AI75" i="1"/>
  <c r="AF75" i="1"/>
  <c r="AE75" i="1"/>
  <c r="AA75" i="1"/>
  <c r="AI74" i="1"/>
  <c r="AF74" i="1"/>
  <c r="AE74" i="1"/>
  <c r="AA74" i="1"/>
  <c r="AI73" i="1"/>
  <c r="AF73" i="1"/>
  <c r="AE73" i="1"/>
  <c r="AA73" i="1"/>
  <c r="AI72" i="1"/>
  <c r="AF72" i="1"/>
  <c r="AE72" i="1"/>
  <c r="AA72" i="1"/>
  <c r="AI71" i="1"/>
  <c r="AF71" i="1"/>
  <c r="AE71" i="1"/>
  <c r="AA71" i="1"/>
  <c r="AI70" i="1"/>
  <c r="AF70" i="1"/>
  <c r="AE70" i="1"/>
  <c r="AA70" i="1"/>
  <c r="AI69" i="1"/>
  <c r="AF69" i="1"/>
  <c r="AE69" i="1"/>
  <c r="AA69" i="1"/>
  <c r="BA59" i="1"/>
  <c r="AJ59" i="1"/>
  <c r="AG59" i="1"/>
  <c r="AC59" i="1"/>
  <c r="U59" i="1"/>
  <c r="T59" i="1"/>
  <c r="H59" i="1"/>
  <c r="G59" i="1"/>
  <c r="F59" i="1"/>
  <c r="AY58" i="1"/>
  <c r="AX58" i="1"/>
  <c r="AW58" i="1"/>
  <c r="AV58" i="1"/>
  <c r="AU58" i="1"/>
  <c r="AT58" i="1"/>
  <c r="AS58" i="1"/>
  <c r="AR58" i="1"/>
  <c r="AQ58" i="1"/>
  <c r="AP58" i="1"/>
  <c r="AO58" i="1"/>
  <c r="AI58" i="1"/>
  <c r="AF58" i="1"/>
  <c r="AE58" i="1"/>
  <c r="AA58" i="1"/>
  <c r="W58" i="1"/>
  <c r="V58" i="1"/>
  <c r="E58" i="1"/>
  <c r="AY57" i="1"/>
  <c r="AX57" i="1"/>
  <c r="AW57" i="1"/>
  <c r="AV57" i="1"/>
  <c r="AU57" i="1"/>
  <c r="AT57" i="1"/>
  <c r="AS57" i="1"/>
  <c r="AR57" i="1"/>
  <c r="AQ57" i="1"/>
  <c r="AP57" i="1"/>
  <c r="AO57" i="1"/>
  <c r="AI57" i="1"/>
  <c r="AF57" i="1"/>
  <c r="AE57" i="1"/>
  <c r="AA57" i="1"/>
  <c r="W57" i="1"/>
  <c r="V57" i="1"/>
  <c r="E57" i="1"/>
  <c r="AY56" i="1"/>
  <c r="AX56" i="1"/>
  <c r="AW56" i="1"/>
  <c r="AV56" i="1"/>
  <c r="AU56" i="1"/>
  <c r="AT56" i="1"/>
  <c r="AS56" i="1"/>
  <c r="AR56" i="1"/>
  <c r="AQ56" i="1"/>
  <c r="AP56" i="1"/>
  <c r="AO56" i="1"/>
  <c r="AI56" i="1"/>
  <c r="AF56" i="1"/>
  <c r="AE56" i="1"/>
  <c r="AA56" i="1"/>
  <c r="W56" i="1"/>
  <c r="V56" i="1"/>
  <c r="E56" i="1"/>
  <c r="AY55" i="1"/>
  <c r="AX55" i="1"/>
  <c r="AW55" i="1"/>
  <c r="AV55" i="1"/>
  <c r="AU55" i="1"/>
  <c r="AT55" i="1"/>
  <c r="AS55" i="1"/>
  <c r="AR55" i="1"/>
  <c r="AQ55" i="1"/>
  <c r="AP55" i="1"/>
  <c r="AO55" i="1"/>
  <c r="AI55" i="1"/>
  <c r="AF55" i="1"/>
  <c r="AE55" i="1"/>
  <c r="AA55" i="1"/>
  <c r="W55" i="1"/>
  <c r="V55" i="1"/>
  <c r="E55" i="1"/>
  <c r="AY54" i="1"/>
  <c r="AX54" i="1"/>
  <c r="AW54" i="1"/>
  <c r="AV54" i="1"/>
  <c r="AU54" i="1"/>
  <c r="AT54" i="1"/>
  <c r="AS54" i="1"/>
  <c r="AR54" i="1"/>
  <c r="AQ54" i="1"/>
  <c r="AP54" i="1"/>
  <c r="AO54" i="1"/>
  <c r="AI54" i="1"/>
  <c r="AF54" i="1"/>
  <c r="AE54" i="1"/>
  <c r="AA54" i="1"/>
  <c r="W54" i="1"/>
  <c r="V54" i="1"/>
  <c r="E54" i="1"/>
  <c r="AY53" i="1"/>
  <c r="AX53" i="1"/>
  <c r="AW53" i="1"/>
  <c r="AV53" i="1"/>
  <c r="AU53" i="1"/>
  <c r="AT53" i="1"/>
  <c r="AS53" i="1"/>
  <c r="AR53" i="1"/>
  <c r="AQ53" i="1"/>
  <c r="AP53" i="1"/>
  <c r="AO53" i="1"/>
  <c r="AI53" i="1"/>
  <c r="AF53" i="1"/>
  <c r="AE53" i="1"/>
  <c r="AA53" i="1"/>
  <c r="W53" i="1"/>
  <c r="V53" i="1"/>
  <c r="E53" i="1"/>
  <c r="AY52" i="1"/>
  <c r="AX52" i="1"/>
  <c r="AW52" i="1"/>
  <c r="AV52" i="1"/>
  <c r="AU52" i="1"/>
  <c r="AT52" i="1"/>
  <c r="AS52" i="1"/>
  <c r="AR52" i="1"/>
  <c r="AQ52" i="1"/>
  <c r="AP52" i="1"/>
  <c r="AO52" i="1"/>
  <c r="AI52" i="1"/>
  <c r="AF52" i="1"/>
  <c r="AE52" i="1"/>
  <c r="AA52" i="1"/>
  <c r="W52" i="1"/>
  <c r="V52" i="1"/>
  <c r="E52" i="1"/>
  <c r="AY51" i="1"/>
  <c r="AX51" i="1"/>
  <c r="AW51" i="1"/>
  <c r="AV51" i="1"/>
  <c r="AU51" i="1"/>
  <c r="AT51" i="1"/>
  <c r="AS51" i="1"/>
  <c r="AR51" i="1"/>
  <c r="AQ51" i="1"/>
  <c r="AP51" i="1"/>
  <c r="AO51" i="1"/>
  <c r="AI51" i="1"/>
  <c r="AF51" i="1"/>
  <c r="AE51" i="1"/>
  <c r="AA51" i="1"/>
  <c r="W51" i="1"/>
  <c r="V51" i="1"/>
  <c r="E51" i="1"/>
  <c r="AY50" i="1"/>
  <c r="AX50" i="1"/>
  <c r="AW50" i="1"/>
  <c r="AV50" i="1"/>
  <c r="AU50" i="1"/>
  <c r="AT50" i="1"/>
  <c r="AS50" i="1"/>
  <c r="AR50" i="1"/>
  <c r="AQ50" i="1"/>
  <c r="AP50" i="1"/>
  <c r="AO50" i="1"/>
  <c r="AI50" i="1"/>
  <c r="AF50" i="1"/>
  <c r="AE50" i="1"/>
  <c r="AA50" i="1"/>
  <c r="W50" i="1"/>
  <c r="V50" i="1"/>
  <c r="E50" i="1"/>
  <c r="AY49" i="1"/>
  <c r="AX49" i="1"/>
  <c r="AW49" i="1"/>
  <c r="AV49" i="1"/>
  <c r="AU49" i="1"/>
  <c r="AT49" i="1"/>
  <c r="AS49" i="1"/>
  <c r="AR49" i="1"/>
  <c r="AQ49" i="1"/>
  <c r="AP49" i="1"/>
  <c r="AO49" i="1"/>
  <c r="AI49" i="1"/>
  <c r="AF49" i="1"/>
  <c r="AE49" i="1"/>
  <c r="AA49" i="1"/>
  <c r="W49" i="1"/>
  <c r="V49" i="1"/>
  <c r="E49" i="1"/>
  <c r="AY48" i="1"/>
  <c r="AX48" i="1"/>
  <c r="AW48" i="1"/>
  <c r="AV48" i="1"/>
  <c r="AU48" i="1"/>
  <c r="AT48" i="1"/>
  <c r="AS48" i="1"/>
  <c r="AR48" i="1"/>
  <c r="AQ48" i="1"/>
  <c r="AP48" i="1"/>
  <c r="AO48" i="1"/>
  <c r="AI48" i="1"/>
  <c r="AF48" i="1"/>
  <c r="AE48" i="1"/>
  <c r="AA48" i="1"/>
  <c r="W48" i="1"/>
  <c r="V48" i="1"/>
  <c r="E48" i="1"/>
  <c r="AY47" i="1"/>
  <c r="AX47" i="1"/>
  <c r="AW47" i="1"/>
  <c r="AV47" i="1"/>
  <c r="AU47" i="1"/>
  <c r="AT47" i="1"/>
  <c r="AS47" i="1"/>
  <c r="AR47" i="1"/>
  <c r="AQ47" i="1"/>
  <c r="AP47" i="1"/>
  <c r="AO47" i="1"/>
  <c r="AI47" i="1"/>
  <c r="AF47" i="1"/>
  <c r="AE47" i="1"/>
  <c r="AA47" i="1"/>
  <c r="W47" i="1"/>
  <c r="V47" i="1"/>
  <c r="E47" i="1"/>
  <c r="AI46" i="1"/>
  <c r="AF46" i="1"/>
  <c r="AE46" i="1"/>
  <c r="AA46" i="1"/>
  <c r="AI45" i="1"/>
  <c r="AF45" i="1"/>
  <c r="AE45" i="1"/>
  <c r="AA45" i="1"/>
  <c r="AI44" i="1"/>
  <c r="AF44" i="1"/>
  <c r="AE44" i="1"/>
  <c r="AA44" i="1"/>
  <c r="AI43" i="1"/>
  <c r="AF43" i="1"/>
  <c r="AE43" i="1"/>
  <c r="AA43" i="1"/>
  <c r="AI42" i="1"/>
  <c r="AF42" i="1"/>
  <c r="AE42" i="1"/>
  <c r="AA42" i="1"/>
  <c r="AI41" i="1"/>
  <c r="AF41" i="1"/>
  <c r="AE41" i="1"/>
  <c r="AA41" i="1"/>
  <c r="AI40" i="1"/>
  <c r="AF40" i="1"/>
  <c r="AE40" i="1"/>
  <c r="AA40" i="1"/>
  <c r="J736" i="1" l="1"/>
  <c r="O736" i="1"/>
  <c r="J740" i="1"/>
  <c r="O740" i="1"/>
  <c r="P740" i="1" s="1"/>
  <c r="BC740" i="1" s="1"/>
  <c r="J737" i="1"/>
  <c r="O737" i="1"/>
  <c r="P737" i="1" s="1"/>
  <c r="BC737" i="1" s="1"/>
  <c r="J741" i="1"/>
  <c r="O741" i="1"/>
  <c r="P741" i="1" s="1"/>
  <c r="BC741" i="1" s="1"/>
  <c r="J744" i="1"/>
  <c r="O744" i="1"/>
  <c r="P744" i="1" s="1"/>
  <c r="BC744" i="1" s="1"/>
  <c r="J746" i="1"/>
  <c r="O746" i="1"/>
  <c r="P746" i="1" s="1"/>
  <c r="BC746" i="1" s="1"/>
  <c r="J748" i="1"/>
  <c r="O748" i="1"/>
  <c r="J750" i="1"/>
  <c r="O750" i="1"/>
  <c r="P750" i="1" s="1"/>
  <c r="BC750" i="1" s="1"/>
  <c r="J752" i="1"/>
  <c r="O752" i="1"/>
  <c r="J754" i="1"/>
  <c r="L754" i="1" s="1"/>
  <c r="O754" i="1"/>
  <c r="P754" i="1" s="1"/>
  <c r="BC754" i="1" s="1"/>
  <c r="J738" i="1"/>
  <c r="O738" i="1"/>
  <c r="P738" i="1" s="1"/>
  <c r="BC738" i="1" s="1"/>
  <c r="J742" i="1"/>
  <c r="L742" i="1" s="1"/>
  <c r="AM742" i="1" s="1"/>
  <c r="O742" i="1"/>
  <c r="P742" i="1" s="1"/>
  <c r="BC742" i="1" s="1"/>
  <c r="J739" i="1"/>
  <c r="O739" i="1"/>
  <c r="P739" i="1" s="1"/>
  <c r="BC739" i="1" s="1"/>
  <c r="J743" i="1"/>
  <c r="L743" i="1" s="1"/>
  <c r="O743" i="1"/>
  <c r="P743" i="1" s="1"/>
  <c r="BC743" i="1" s="1"/>
  <c r="J745" i="1"/>
  <c r="O745" i="1"/>
  <c r="J747" i="1"/>
  <c r="L747" i="1" s="1"/>
  <c r="O747" i="1"/>
  <c r="P747" i="1" s="1"/>
  <c r="BC747" i="1" s="1"/>
  <c r="J749" i="1"/>
  <c r="O749" i="1"/>
  <c r="J751" i="1"/>
  <c r="O751" i="1"/>
  <c r="P751" i="1" s="1"/>
  <c r="BC751" i="1" s="1"/>
  <c r="J753" i="1"/>
  <c r="O753" i="1"/>
  <c r="J707" i="1"/>
  <c r="O707" i="1"/>
  <c r="J711" i="1"/>
  <c r="O711" i="1"/>
  <c r="J708" i="1"/>
  <c r="L708" i="1" s="1"/>
  <c r="AM708" i="1" s="1"/>
  <c r="O708" i="1"/>
  <c r="P708" i="1" s="1"/>
  <c r="BC708" i="1" s="1"/>
  <c r="J712" i="1"/>
  <c r="O712" i="1"/>
  <c r="P712" i="1" s="1"/>
  <c r="BC712" i="1" s="1"/>
  <c r="J715" i="1"/>
  <c r="O715" i="1"/>
  <c r="P715" i="1" s="1"/>
  <c r="BC715" i="1" s="1"/>
  <c r="J717" i="1"/>
  <c r="O717" i="1"/>
  <c r="P717" i="1" s="1"/>
  <c r="BC717" i="1" s="1"/>
  <c r="J719" i="1"/>
  <c r="L719" i="1" s="1"/>
  <c r="O719" i="1"/>
  <c r="P719" i="1" s="1"/>
  <c r="BC719" i="1" s="1"/>
  <c r="J721" i="1"/>
  <c r="O721" i="1"/>
  <c r="J723" i="1"/>
  <c r="O723" i="1"/>
  <c r="P723" i="1" s="1"/>
  <c r="BC723" i="1" s="1"/>
  <c r="J725" i="1"/>
  <c r="O725" i="1"/>
  <c r="J709" i="1"/>
  <c r="O709" i="1"/>
  <c r="P709" i="1" s="1"/>
  <c r="BC709" i="1" s="1"/>
  <c r="J713" i="1"/>
  <c r="O713" i="1"/>
  <c r="J710" i="1"/>
  <c r="O710" i="1"/>
  <c r="P710" i="1" s="1"/>
  <c r="BC710" i="1" s="1"/>
  <c r="J714" i="1"/>
  <c r="O714" i="1"/>
  <c r="J716" i="1"/>
  <c r="L716" i="1" s="1"/>
  <c r="O716" i="1"/>
  <c r="P716" i="1" s="1"/>
  <c r="BC716" i="1" s="1"/>
  <c r="J718" i="1"/>
  <c r="O718" i="1"/>
  <c r="P718" i="1" s="1"/>
  <c r="BC718" i="1" s="1"/>
  <c r="J720" i="1"/>
  <c r="L720" i="1" s="1"/>
  <c r="O720" i="1"/>
  <c r="P720" i="1" s="1"/>
  <c r="BC720" i="1" s="1"/>
  <c r="J722" i="1"/>
  <c r="O722" i="1"/>
  <c r="J724" i="1"/>
  <c r="O724" i="1"/>
  <c r="P724" i="1" s="1"/>
  <c r="BC724" i="1" s="1"/>
  <c r="J678" i="1"/>
  <c r="O678" i="1"/>
  <c r="J682" i="1"/>
  <c r="L682" i="1" s="1"/>
  <c r="AM682" i="1" s="1"/>
  <c r="O682" i="1"/>
  <c r="P682" i="1" s="1"/>
  <c r="BC682" i="1" s="1"/>
  <c r="J679" i="1"/>
  <c r="O679" i="1"/>
  <c r="P679" i="1" s="1"/>
  <c r="BC679" i="1" s="1"/>
  <c r="J683" i="1"/>
  <c r="L683" i="1" s="1"/>
  <c r="AM683" i="1" s="1"/>
  <c r="O683" i="1"/>
  <c r="P683" i="1" s="1"/>
  <c r="BC683" i="1" s="1"/>
  <c r="J686" i="1"/>
  <c r="O686" i="1"/>
  <c r="P686" i="1" s="1"/>
  <c r="BC686" i="1" s="1"/>
  <c r="J688" i="1"/>
  <c r="O688" i="1"/>
  <c r="P688" i="1" s="1"/>
  <c r="BC688" i="1" s="1"/>
  <c r="J690" i="1"/>
  <c r="O690" i="1"/>
  <c r="P690" i="1" s="1"/>
  <c r="BC690" i="1" s="1"/>
  <c r="J692" i="1"/>
  <c r="O692" i="1"/>
  <c r="P692" i="1" s="1"/>
  <c r="BC692" i="1" s="1"/>
  <c r="J694" i="1"/>
  <c r="O694" i="1"/>
  <c r="J696" i="1"/>
  <c r="O696" i="1"/>
  <c r="P696" i="1" s="1"/>
  <c r="BC696" i="1" s="1"/>
  <c r="J680" i="1"/>
  <c r="O680" i="1"/>
  <c r="P680" i="1" s="1"/>
  <c r="BC680" i="1" s="1"/>
  <c r="J684" i="1"/>
  <c r="O684" i="1"/>
  <c r="P684" i="1" s="1"/>
  <c r="BC684" i="1" s="1"/>
  <c r="J681" i="1"/>
  <c r="O681" i="1"/>
  <c r="J685" i="1"/>
  <c r="L685" i="1" s="1"/>
  <c r="O685" i="1"/>
  <c r="P685" i="1" s="1"/>
  <c r="BC685" i="1" s="1"/>
  <c r="J687" i="1"/>
  <c r="O687" i="1"/>
  <c r="J689" i="1"/>
  <c r="O689" i="1"/>
  <c r="P689" i="1" s="1"/>
  <c r="BC689" i="1" s="1"/>
  <c r="J691" i="1"/>
  <c r="O691" i="1"/>
  <c r="J693" i="1"/>
  <c r="L693" i="1" s="1"/>
  <c r="O693" i="1"/>
  <c r="P693" i="1" s="1"/>
  <c r="BC693" i="1" s="1"/>
  <c r="J695" i="1"/>
  <c r="O695" i="1"/>
  <c r="P695" i="1" s="1"/>
  <c r="BC695" i="1" s="1"/>
  <c r="J649" i="1"/>
  <c r="O649" i="1"/>
  <c r="J653" i="1"/>
  <c r="O653" i="1"/>
  <c r="J650" i="1"/>
  <c r="L650" i="1" s="1"/>
  <c r="AM650" i="1" s="1"/>
  <c r="O650" i="1"/>
  <c r="P650" i="1" s="1"/>
  <c r="BC650" i="1" s="1"/>
  <c r="J654" i="1"/>
  <c r="O654" i="1"/>
  <c r="J657" i="1"/>
  <c r="O657" i="1"/>
  <c r="P657" i="1" s="1"/>
  <c r="BC657" i="1" s="1"/>
  <c r="J659" i="1"/>
  <c r="O659" i="1"/>
  <c r="P659" i="1" s="1"/>
  <c r="BC659" i="1" s="1"/>
  <c r="J661" i="1"/>
  <c r="L661" i="1" s="1"/>
  <c r="O661" i="1"/>
  <c r="P661" i="1" s="1"/>
  <c r="BC661" i="1" s="1"/>
  <c r="J663" i="1"/>
  <c r="O663" i="1"/>
  <c r="J665" i="1"/>
  <c r="O665" i="1"/>
  <c r="P665" i="1" s="1"/>
  <c r="BC665" i="1" s="1"/>
  <c r="J667" i="1"/>
  <c r="O667" i="1"/>
  <c r="J651" i="1"/>
  <c r="O651" i="1"/>
  <c r="P651" i="1" s="1"/>
  <c r="BC651" i="1" s="1"/>
  <c r="J655" i="1"/>
  <c r="O655" i="1"/>
  <c r="J652" i="1"/>
  <c r="L652" i="1" s="1"/>
  <c r="O652" i="1"/>
  <c r="P652" i="1" s="1"/>
  <c r="BC652" i="1" s="1"/>
  <c r="J656" i="1"/>
  <c r="O656" i="1"/>
  <c r="P656" i="1" s="1"/>
  <c r="BC656" i="1" s="1"/>
  <c r="J658" i="1"/>
  <c r="O658" i="1"/>
  <c r="P658" i="1" s="1"/>
  <c r="BC658" i="1" s="1"/>
  <c r="J660" i="1"/>
  <c r="O660" i="1"/>
  <c r="J662" i="1"/>
  <c r="L662" i="1" s="1"/>
  <c r="O662" i="1"/>
  <c r="P662" i="1" s="1"/>
  <c r="BC662" i="1" s="1"/>
  <c r="J664" i="1"/>
  <c r="O664" i="1"/>
  <c r="J666" i="1"/>
  <c r="L666" i="1" s="1"/>
  <c r="O666" i="1"/>
  <c r="P666" i="1" s="1"/>
  <c r="BC666" i="1" s="1"/>
  <c r="J623" i="1"/>
  <c r="O623" i="1"/>
  <c r="J627" i="1"/>
  <c r="O627" i="1"/>
  <c r="P627" i="1" s="1"/>
  <c r="BC627" i="1" s="1"/>
  <c r="J629" i="1"/>
  <c r="O629" i="1"/>
  <c r="P629" i="1" s="1"/>
  <c r="BC629" i="1" s="1"/>
  <c r="J631" i="1"/>
  <c r="L631" i="1" s="1"/>
  <c r="O631" i="1"/>
  <c r="P631" i="1" s="1"/>
  <c r="BC631" i="1" s="1"/>
  <c r="J633" i="1"/>
  <c r="O633" i="1"/>
  <c r="J635" i="1"/>
  <c r="O635" i="1"/>
  <c r="P635" i="1" s="1"/>
  <c r="BC635" i="1" s="1"/>
  <c r="J620" i="1"/>
  <c r="O620" i="1"/>
  <c r="J624" i="1"/>
  <c r="O624" i="1"/>
  <c r="P624" i="1" s="1"/>
  <c r="BC624" i="1" s="1"/>
  <c r="J637" i="1"/>
  <c r="O637" i="1"/>
  <c r="J621" i="1"/>
  <c r="L621" i="1" s="1"/>
  <c r="AM621" i="1" s="1"/>
  <c r="O621" i="1"/>
  <c r="P621" i="1" s="1"/>
  <c r="BC621" i="1" s="1"/>
  <c r="J625" i="1"/>
  <c r="L625" i="1" s="1"/>
  <c r="O625" i="1"/>
  <c r="P625" i="1" s="1"/>
  <c r="BC625" i="1" s="1"/>
  <c r="J628" i="1"/>
  <c r="O628" i="1"/>
  <c r="P628" i="1" s="1"/>
  <c r="BC628" i="1" s="1"/>
  <c r="J630" i="1"/>
  <c r="O630" i="1"/>
  <c r="P630" i="1" s="1"/>
  <c r="BC630" i="1" s="1"/>
  <c r="J632" i="1"/>
  <c r="O632" i="1"/>
  <c r="P632" i="1" s="1"/>
  <c r="BC632" i="1" s="1"/>
  <c r="J634" i="1"/>
  <c r="O634" i="1"/>
  <c r="J636" i="1"/>
  <c r="O636" i="1"/>
  <c r="P636" i="1" s="1"/>
  <c r="BC636" i="1" s="1"/>
  <c r="J638" i="1"/>
  <c r="O638" i="1"/>
  <c r="J622" i="1"/>
  <c r="L622" i="1" s="1"/>
  <c r="AM622" i="1" s="1"/>
  <c r="O622" i="1"/>
  <c r="P622" i="1" s="1"/>
  <c r="BC622" i="1" s="1"/>
  <c r="J626" i="1"/>
  <c r="O626" i="1"/>
  <c r="J591" i="1"/>
  <c r="O591" i="1"/>
  <c r="J595" i="1"/>
  <c r="O595" i="1"/>
  <c r="P595" i="1" s="1"/>
  <c r="BC595" i="1" s="1"/>
  <c r="J599" i="1"/>
  <c r="O599" i="1"/>
  <c r="P599" i="1" s="1"/>
  <c r="BC599" i="1" s="1"/>
  <c r="J603" i="1"/>
  <c r="O603" i="1"/>
  <c r="J607" i="1"/>
  <c r="O607" i="1"/>
  <c r="P607" i="1" s="1"/>
  <c r="BC607" i="1" s="1"/>
  <c r="J592" i="1"/>
  <c r="O592" i="1"/>
  <c r="P592" i="1" s="1"/>
  <c r="BC592" i="1" s="1"/>
  <c r="J596" i="1"/>
  <c r="L596" i="1" s="1"/>
  <c r="O596" i="1"/>
  <c r="P596" i="1" s="1"/>
  <c r="BC596" i="1" s="1"/>
  <c r="J601" i="1"/>
  <c r="O601" i="1"/>
  <c r="J605" i="1"/>
  <c r="O605" i="1"/>
  <c r="P605" i="1" s="1"/>
  <c r="BC605" i="1" s="1"/>
  <c r="J609" i="1"/>
  <c r="O609" i="1"/>
  <c r="J593" i="1"/>
  <c r="L593" i="1" s="1"/>
  <c r="AM593" i="1" s="1"/>
  <c r="O593" i="1"/>
  <c r="P593" i="1" s="1"/>
  <c r="BC593" i="1" s="1"/>
  <c r="J597" i="1"/>
  <c r="O597" i="1"/>
  <c r="P597" i="1" s="1"/>
  <c r="BC597" i="1" s="1"/>
  <c r="J594" i="1"/>
  <c r="O594" i="1"/>
  <c r="P594" i="1" s="1"/>
  <c r="BC594" i="1" s="1"/>
  <c r="J598" i="1"/>
  <c r="O598" i="1"/>
  <c r="J600" i="1"/>
  <c r="L600" i="1" s="1"/>
  <c r="O600" i="1"/>
  <c r="P600" i="1" s="1"/>
  <c r="BC600" i="1" s="1"/>
  <c r="J602" i="1"/>
  <c r="O602" i="1"/>
  <c r="P602" i="1" s="1"/>
  <c r="BC602" i="1" s="1"/>
  <c r="J604" i="1"/>
  <c r="O604" i="1"/>
  <c r="P604" i="1" s="1"/>
  <c r="BC604" i="1" s="1"/>
  <c r="J606" i="1"/>
  <c r="O606" i="1"/>
  <c r="P606" i="1" s="1"/>
  <c r="BC606" i="1" s="1"/>
  <c r="J608" i="1"/>
  <c r="L608" i="1" s="1"/>
  <c r="O608" i="1"/>
  <c r="P608" i="1" s="1"/>
  <c r="BC608" i="1" s="1"/>
  <c r="J570" i="1"/>
  <c r="O570" i="1"/>
  <c r="J572" i="1"/>
  <c r="O572" i="1"/>
  <c r="J574" i="1"/>
  <c r="O574" i="1"/>
  <c r="J576" i="1"/>
  <c r="O576" i="1"/>
  <c r="J578" i="1"/>
  <c r="O578" i="1"/>
  <c r="J580" i="1"/>
  <c r="O580" i="1"/>
  <c r="J569" i="1"/>
  <c r="O569" i="1"/>
  <c r="J571" i="1"/>
  <c r="O571" i="1"/>
  <c r="J573" i="1"/>
  <c r="O573" i="1"/>
  <c r="J575" i="1"/>
  <c r="O575" i="1"/>
  <c r="J577" i="1"/>
  <c r="O577" i="1"/>
  <c r="J579" i="1"/>
  <c r="O579" i="1"/>
  <c r="J540" i="1"/>
  <c r="O540" i="1"/>
  <c r="J542" i="1"/>
  <c r="O542" i="1"/>
  <c r="J544" i="1"/>
  <c r="O544" i="1"/>
  <c r="J546" i="1"/>
  <c r="O546" i="1"/>
  <c r="J548" i="1"/>
  <c r="O548" i="1"/>
  <c r="J550" i="1"/>
  <c r="O550" i="1"/>
  <c r="J541" i="1"/>
  <c r="O541" i="1"/>
  <c r="J543" i="1"/>
  <c r="O543" i="1"/>
  <c r="J545" i="1"/>
  <c r="O545" i="1"/>
  <c r="J547" i="1"/>
  <c r="O547" i="1"/>
  <c r="J549" i="1"/>
  <c r="O549" i="1"/>
  <c r="J551" i="1"/>
  <c r="O551" i="1"/>
  <c r="J511" i="1"/>
  <c r="O511" i="1"/>
  <c r="J513" i="1"/>
  <c r="O513" i="1"/>
  <c r="J515" i="1"/>
  <c r="O515" i="1"/>
  <c r="J517" i="1"/>
  <c r="O517" i="1"/>
  <c r="J519" i="1"/>
  <c r="O519" i="1"/>
  <c r="J521" i="1"/>
  <c r="O521" i="1"/>
  <c r="J512" i="1"/>
  <c r="O512" i="1"/>
  <c r="J514" i="1"/>
  <c r="O514" i="1"/>
  <c r="J516" i="1"/>
  <c r="O516" i="1"/>
  <c r="J518" i="1"/>
  <c r="O518" i="1"/>
  <c r="J520" i="1"/>
  <c r="O520" i="1"/>
  <c r="J522" i="1"/>
  <c r="O522" i="1"/>
  <c r="J483" i="1"/>
  <c r="O483" i="1"/>
  <c r="J485" i="1"/>
  <c r="O485" i="1"/>
  <c r="J487" i="1"/>
  <c r="O487" i="1"/>
  <c r="J489" i="1"/>
  <c r="O489" i="1"/>
  <c r="J491" i="1"/>
  <c r="O491" i="1"/>
  <c r="J493" i="1"/>
  <c r="O493" i="1"/>
  <c r="J482" i="1"/>
  <c r="O482" i="1"/>
  <c r="J484" i="1"/>
  <c r="O484" i="1"/>
  <c r="J486" i="1"/>
  <c r="O486" i="1"/>
  <c r="J488" i="1"/>
  <c r="O488" i="1"/>
  <c r="J490" i="1"/>
  <c r="O490" i="1"/>
  <c r="J492" i="1"/>
  <c r="O492" i="1"/>
  <c r="J454" i="1"/>
  <c r="O454" i="1"/>
  <c r="J453" i="1"/>
  <c r="O453" i="1"/>
  <c r="J459" i="1"/>
  <c r="O459" i="1"/>
  <c r="J461" i="1"/>
  <c r="O461" i="1"/>
  <c r="J463" i="1"/>
  <c r="O463" i="1"/>
  <c r="J456" i="1"/>
  <c r="O456" i="1"/>
  <c r="J460" i="1"/>
  <c r="O460" i="1"/>
  <c r="J462" i="1"/>
  <c r="O462" i="1"/>
  <c r="J464" i="1"/>
  <c r="O464" i="1"/>
  <c r="J458" i="1"/>
  <c r="O458" i="1"/>
  <c r="J455" i="1"/>
  <c r="O455" i="1"/>
  <c r="J457" i="1"/>
  <c r="O457" i="1"/>
  <c r="J425" i="1"/>
  <c r="O425" i="1"/>
  <c r="J427" i="1"/>
  <c r="O427" i="1"/>
  <c r="J429" i="1"/>
  <c r="O429" i="1"/>
  <c r="J424" i="1"/>
  <c r="O424" i="1"/>
  <c r="J426" i="1"/>
  <c r="O426" i="1"/>
  <c r="J428" i="1"/>
  <c r="O428" i="1"/>
  <c r="J430" i="1"/>
  <c r="O430" i="1"/>
  <c r="J432" i="1"/>
  <c r="O432" i="1"/>
  <c r="J434" i="1"/>
  <c r="O434" i="1"/>
  <c r="J431" i="1"/>
  <c r="O431" i="1"/>
  <c r="J433" i="1"/>
  <c r="O433" i="1"/>
  <c r="J435" i="1"/>
  <c r="O435" i="1"/>
  <c r="J402" i="1"/>
  <c r="O402" i="1"/>
  <c r="J404" i="1"/>
  <c r="O404" i="1"/>
  <c r="J395" i="1"/>
  <c r="O395" i="1"/>
  <c r="J397" i="1"/>
  <c r="O397" i="1"/>
  <c r="J399" i="1"/>
  <c r="O399" i="1"/>
  <c r="J401" i="1"/>
  <c r="O401" i="1"/>
  <c r="J403" i="1"/>
  <c r="O403" i="1"/>
  <c r="J405" i="1"/>
  <c r="O405" i="1"/>
  <c r="J396" i="1"/>
  <c r="O396" i="1"/>
  <c r="J398" i="1"/>
  <c r="O398" i="1"/>
  <c r="J400" i="1"/>
  <c r="O400" i="1"/>
  <c r="J406" i="1"/>
  <c r="O406" i="1"/>
  <c r="J367" i="1"/>
  <c r="O367" i="1"/>
  <c r="J369" i="1"/>
  <c r="O369" i="1"/>
  <c r="J371" i="1"/>
  <c r="O371" i="1"/>
  <c r="J373" i="1"/>
  <c r="O373" i="1"/>
  <c r="J375" i="1"/>
  <c r="O375" i="1"/>
  <c r="J377" i="1"/>
  <c r="O377" i="1"/>
  <c r="J366" i="1"/>
  <c r="O366" i="1"/>
  <c r="J368" i="1"/>
  <c r="O368" i="1"/>
  <c r="J370" i="1"/>
  <c r="O370" i="1"/>
  <c r="J372" i="1"/>
  <c r="O372" i="1"/>
  <c r="J374" i="1"/>
  <c r="O374" i="1"/>
  <c r="J376" i="1"/>
  <c r="O376" i="1"/>
  <c r="J342" i="1"/>
  <c r="O342" i="1"/>
  <c r="J348" i="1"/>
  <c r="O348" i="1"/>
  <c r="J338" i="1"/>
  <c r="O338" i="1"/>
  <c r="J340" i="1"/>
  <c r="O340" i="1"/>
  <c r="J344" i="1"/>
  <c r="O344" i="1"/>
  <c r="J346" i="1"/>
  <c r="O346" i="1"/>
  <c r="J337" i="1"/>
  <c r="O337" i="1"/>
  <c r="J339" i="1"/>
  <c r="O339" i="1"/>
  <c r="J341" i="1"/>
  <c r="O341" i="1"/>
  <c r="J343" i="1"/>
  <c r="O343" i="1"/>
  <c r="J345" i="1"/>
  <c r="O345" i="1"/>
  <c r="J347" i="1"/>
  <c r="O347" i="1"/>
  <c r="J308" i="1"/>
  <c r="O308" i="1"/>
  <c r="J310" i="1"/>
  <c r="O310" i="1"/>
  <c r="J312" i="1"/>
  <c r="O312" i="1"/>
  <c r="J314" i="1"/>
  <c r="O314" i="1"/>
  <c r="J316" i="1"/>
  <c r="O316" i="1"/>
  <c r="J318" i="1"/>
  <c r="O318" i="1"/>
  <c r="J309" i="1"/>
  <c r="O309" i="1"/>
  <c r="J313" i="1"/>
  <c r="O313" i="1"/>
  <c r="J315" i="1"/>
  <c r="O315" i="1"/>
  <c r="J317" i="1"/>
  <c r="O317" i="1"/>
  <c r="J311" i="1"/>
  <c r="O311" i="1"/>
  <c r="J319" i="1"/>
  <c r="O319" i="1"/>
  <c r="J284" i="1"/>
  <c r="O284" i="1"/>
  <c r="J279" i="1"/>
  <c r="O279" i="1"/>
  <c r="J281" i="1"/>
  <c r="O281" i="1"/>
  <c r="J283" i="1"/>
  <c r="O283" i="1"/>
  <c r="J285" i="1"/>
  <c r="O285" i="1"/>
  <c r="J287" i="1"/>
  <c r="O287" i="1"/>
  <c r="J289" i="1"/>
  <c r="O289" i="1"/>
  <c r="J280" i="1"/>
  <c r="O280" i="1"/>
  <c r="J282" i="1"/>
  <c r="O282" i="1"/>
  <c r="J286" i="1"/>
  <c r="O286" i="1"/>
  <c r="J288" i="1"/>
  <c r="O288" i="1"/>
  <c r="J290" i="1"/>
  <c r="O290" i="1"/>
  <c r="J253" i="1"/>
  <c r="O253" i="1"/>
  <c r="J257" i="1"/>
  <c r="O257" i="1"/>
  <c r="J261" i="1"/>
  <c r="O261" i="1"/>
  <c r="J251" i="1"/>
  <c r="O251" i="1"/>
  <c r="J255" i="1"/>
  <c r="O255" i="1"/>
  <c r="J259" i="1"/>
  <c r="O259" i="1"/>
  <c r="J250" i="1"/>
  <c r="O250" i="1"/>
  <c r="J252" i="1"/>
  <c r="O252" i="1"/>
  <c r="J254" i="1"/>
  <c r="O254" i="1"/>
  <c r="J258" i="1"/>
  <c r="O258" i="1"/>
  <c r="J256" i="1"/>
  <c r="O256" i="1"/>
  <c r="J260" i="1"/>
  <c r="O260" i="1"/>
  <c r="J222" i="1"/>
  <c r="O222" i="1"/>
  <c r="J224" i="1"/>
  <c r="O224" i="1"/>
  <c r="J226" i="1"/>
  <c r="O226" i="1"/>
  <c r="J228" i="1"/>
  <c r="O228" i="1"/>
  <c r="J230" i="1"/>
  <c r="O230" i="1"/>
  <c r="J232" i="1"/>
  <c r="O232" i="1"/>
  <c r="J221" i="1"/>
  <c r="O221" i="1"/>
  <c r="J223" i="1"/>
  <c r="O223" i="1"/>
  <c r="J225" i="1"/>
  <c r="O225" i="1"/>
  <c r="J227" i="1"/>
  <c r="O227" i="1"/>
  <c r="J229" i="1"/>
  <c r="O229" i="1"/>
  <c r="J231" i="1"/>
  <c r="O231" i="1"/>
  <c r="J194" i="1"/>
  <c r="O194" i="1"/>
  <c r="J198" i="1"/>
  <c r="O198" i="1"/>
  <c r="J200" i="1"/>
  <c r="O200" i="1"/>
  <c r="J202" i="1"/>
  <c r="O202" i="1"/>
  <c r="J192" i="1"/>
  <c r="O192" i="1"/>
  <c r="J196" i="1"/>
  <c r="O196" i="1"/>
  <c r="J193" i="1"/>
  <c r="O193" i="1"/>
  <c r="J195" i="1"/>
  <c r="O195" i="1"/>
  <c r="J197" i="1"/>
  <c r="O197" i="1"/>
  <c r="J199" i="1"/>
  <c r="O199" i="1"/>
  <c r="J201" i="1"/>
  <c r="O201" i="1"/>
  <c r="J203" i="1"/>
  <c r="O203" i="1"/>
  <c r="J169" i="1"/>
  <c r="O169" i="1"/>
  <c r="J171" i="1"/>
  <c r="O171" i="1"/>
  <c r="J164" i="1"/>
  <c r="O164" i="1"/>
  <c r="J170" i="1"/>
  <c r="O170" i="1"/>
  <c r="J174" i="1"/>
  <c r="O174" i="1"/>
  <c r="J163" i="1"/>
  <c r="O163" i="1"/>
  <c r="J165" i="1"/>
  <c r="O165" i="1"/>
  <c r="J167" i="1"/>
  <c r="O167" i="1"/>
  <c r="J173" i="1"/>
  <c r="O173" i="1"/>
  <c r="J166" i="1"/>
  <c r="O166" i="1"/>
  <c r="J168" i="1"/>
  <c r="O168" i="1"/>
  <c r="J172" i="1"/>
  <c r="O172" i="1"/>
  <c r="J135" i="1"/>
  <c r="O135" i="1"/>
  <c r="J137" i="1"/>
  <c r="O137" i="1"/>
  <c r="J139" i="1"/>
  <c r="O139" i="1"/>
  <c r="J141" i="1"/>
  <c r="O141" i="1"/>
  <c r="J143" i="1"/>
  <c r="O143" i="1"/>
  <c r="J145" i="1"/>
  <c r="O145" i="1"/>
  <c r="J134" i="1"/>
  <c r="O134" i="1"/>
  <c r="J136" i="1"/>
  <c r="O136" i="1"/>
  <c r="J138" i="1"/>
  <c r="O138" i="1"/>
  <c r="J140" i="1"/>
  <c r="O140" i="1"/>
  <c r="J142" i="1"/>
  <c r="O142" i="1"/>
  <c r="J144" i="1"/>
  <c r="O144" i="1"/>
  <c r="J108" i="1"/>
  <c r="O108" i="1"/>
  <c r="J114" i="1"/>
  <c r="O114" i="1"/>
  <c r="J116" i="1"/>
  <c r="O116" i="1"/>
  <c r="J106" i="1"/>
  <c r="O106" i="1"/>
  <c r="J110" i="1"/>
  <c r="O110" i="1"/>
  <c r="J112" i="1"/>
  <c r="O112" i="1"/>
  <c r="J105" i="1"/>
  <c r="O105" i="1"/>
  <c r="J107" i="1"/>
  <c r="O107" i="1"/>
  <c r="J109" i="1"/>
  <c r="O109" i="1"/>
  <c r="J111" i="1"/>
  <c r="O111" i="1"/>
  <c r="J113" i="1"/>
  <c r="O113" i="1"/>
  <c r="J115" i="1"/>
  <c r="O115" i="1"/>
  <c r="J76" i="1"/>
  <c r="O76" i="1"/>
  <c r="J78" i="1"/>
  <c r="O78" i="1"/>
  <c r="J80" i="1"/>
  <c r="O80" i="1"/>
  <c r="J82" i="1"/>
  <c r="O82" i="1"/>
  <c r="J84" i="1"/>
  <c r="O84" i="1"/>
  <c r="J86" i="1"/>
  <c r="O86" i="1"/>
  <c r="J77" i="1"/>
  <c r="O77" i="1"/>
  <c r="J79" i="1"/>
  <c r="O79" i="1"/>
  <c r="J81" i="1"/>
  <c r="O81" i="1"/>
  <c r="J83" i="1"/>
  <c r="O83" i="1"/>
  <c r="J85" i="1"/>
  <c r="O85" i="1"/>
  <c r="J87" i="1"/>
  <c r="O87" i="1"/>
  <c r="J48" i="1"/>
  <c r="O48" i="1"/>
  <c r="J50" i="1"/>
  <c r="O50" i="1"/>
  <c r="J52" i="1"/>
  <c r="O52" i="1"/>
  <c r="J47" i="1"/>
  <c r="O47" i="1"/>
  <c r="J49" i="1"/>
  <c r="O49" i="1"/>
  <c r="J51" i="1"/>
  <c r="O51" i="1"/>
  <c r="J53" i="1"/>
  <c r="O53" i="1"/>
  <c r="J55" i="1"/>
  <c r="O55" i="1"/>
  <c r="J57" i="1"/>
  <c r="O57" i="1"/>
  <c r="J54" i="1"/>
  <c r="O54" i="1"/>
  <c r="J58" i="1"/>
  <c r="O58" i="1"/>
  <c r="J56" i="1"/>
  <c r="O56" i="1"/>
  <c r="P687" i="1"/>
  <c r="BC687" i="1" s="1"/>
  <c r="P634" i="1"/>
  <c r="BC634" i="1" s="1"/>
  <c r="P603" i="1"/>
  <c r="BC603" i="1" s="1"/>
  <c r="L620" i="1"/>
  <c r="AM620" i="1" s="1"/>
  <c r="L653" i="1"/>
  <c r="L711" i="1"/>
  <c r="L740" i="1"/>
  <c r="L592" i="1"/>
  <c r="AM592" i="1" s="1"/>
  <c r="P601" i="1"/>
  <c r="BC601" i="1" s="1"/>
  <c r="L607" i="1"/>
  <c r="P609" i="1"/>
  <c r="BC609" i="1" s="1"/>
  <c r="P638" i="1"/>
  <c r="BC638" i="1" s="1"/>
  <c r="L654" i="1"/>
  <c r="L657" i="1"/>
  <c r="P663" i="1"/>
  <c r="BC663" i="1" s="1"/>
  <c r="L665" i="1"/>
  <c r="P667" i="1"/>
  <c r="BC667" i="1" s="1"/>
  <c r="L679" i="1"/>
  <c r="AM679" i="1" s="1"/>
  <c r="L686" i="1"/>
  <c r="L690" i="1"/>
  <c r="P694" i="1"/>
  <c r="BC694" i="1" s="1"/>
  <c r="L715" i="1"/>
  <c r="P721" i="1"/>
  <c r="BC721" i="1" s="1"/>
  <c r="L723" i="1"/>
  <c r="P725" i="1"/>
  <c r="BC725" i="1" s="1"/>
  <c r="L744" i="1"/>
  <c r="L748" i="1"/>
  <c r="L752" i="1"/>
  <c r="P626" i="1"/>
  <c r="BC626" i="1" s="1"/>
  <c r="L651" i="1"/>
  <c r="AM651" i="1" s="1"/>
  <c r="P655" i="1"/>
  <c r="BC655" i="1" s="1"/>
  <c r="P713" i="1"/>
  <c r="BC713" i="1" s="1"/>
  <c r="L738" i="1"/>
  <c r="AM738" i="1" s="1"/>
  <c r="P598" i="1"/>
  <c r="BC598" i="1" s="1"/>
  <c r="L604" i="1"/>
  <c r="L623" i="1"/>
  <c r="AM623" i="1" s="1"/>
  <c r="L627" i="1"/>
  <c r="L629" i="1"/>
  <c r="L633" i="1"/>
  <c r="L635" i="1"/>
  <c r="L637" i="1"/>
  <c r="L656" i="1"/>
  <c r="L658" i="1"/>
  <c r="L660" i="1"/>
  <c r="L664" i="1"/>
  <c r="L681" i="1"/>
  <c r="AM681" i="1" s="1"/>
  <c r="L687" i="1"/>
  <c r="L689" i="1"/>
  <c r="L691" i="1"/>
  <c r="L695" i="1"/>
  <c r="L710" i="1"/>
  <c r="AM710" i="1" s="1"/>
  <c r="L714" i="1"/>
  <c r="P722" i="1"/>
  <c r="BC722" i="1" s="1"/>
  <c r="P745" i="1"/>
  <c r="BC745" i="1" s="1"/>
  <c r="L749" i="1"/>
  <c r="L751" i="1"/>
  <c r="L753" i="1"/>
  <c r="W610" i="1"/>
  <c r="V668" i="1"/>
  <c r="W697" i="1"/>
  <c r="AA378" i="1"/>
  <c r="AA407" i="1"/>
  <c r="AA726" i="1"/>
  <c r="AA146" i="1"/>
  <c r="AA175" i="1"/>
  <c r="AA204" i="1"/>
  <c r="AA233" i="1"/>
  <c r="AA262" i="1"/>
  <c r="AA465" i="1"/>
  <c r="AA697" i="1"/>
  <c r="AA88" i="1"/>
  <c r="AA291" i="1"/>
  <c r="AA320" i="1"/>
  <c r="AA436" i="1"/>
  <c r="AA494" i="1"/>
  <c r="AA523" i="1"/>
  <c r="AA610" i="1"/>
  <c r="AA668" i="1"/>
  <c r="AA117" i="1"/>
  <c r="AA349" i="1"/>
  <c r="AA552" i="1"/>
  <c r="AA581" i="1"/>
  <c r="AA639" i="1"/>
  <c r="AA755" i="1"/>
  <c r="W639" i="1"/>
  <c r="V726" i="1"/>
  <c r="W755" i="1"/>
  <c r="V610" i="1"/>
  <c r="V697" i="1"/>
  <c r="W726" i="1"/>
  <c r="V639" i="1"/>
  <c r="W668" i="1"/>
  <c r="V755" i="1"/>
  <c r="L718" i="1"/>
  <c r="L709" i="1"/>
  <c r="AM709" i="1" s="1"/>
  <c r="L684" i="1"/>
  <c r="AM684" i="1" s="1"/>
  <c r="L667" i="1"/>
  <c r="L750" i="1"/>
  <c r="L739" i="1"/>
  <c r="AM739" i="1" s="1"/>
  <c r="L680" i="1"/>
  <c r="AM680" i="1" s="1"/>
  <c r="L696" i="1"/>
  <c r="E726" i="1"/>
  <c r="L737" i="1"/>
  <c r="AM737" i="1" s="1"/>
  <c r="L745" i="1"/>
  <c r="L746" i="1"/>
  <c r="L721" i="1"/>
  <c r="E755" i="1"/>
  <c r="L741" i="1"/>
  <c r="AM741" i="1" s="1"/>
  <c r="L722" i="1"/>
  <c r="L724" i="1"/>
  <c r="L725" i="1"/>
  <c r="P749" i="1"/>
  <c r="BC749" i="1" s="1"/>
  <c r="P753" i="1"/>
  <c r="BC753" i="1" s="1"/>
  <c r="P748" i="1"/>
  <c r="BC748" i="1" s="1"/>
  <c r="P752" i="1"/>
  <c r="BC752" i="1" s="1"/>
  <c r="L712" i="1"/>
  <c r="AM712" i="1" s="1"/>
  <c r="L713" i="1"/>
  <c r="AM713" i="1" s="1"/>
  <c r="L717" i="1"/>
  <c r="P711" i="1"/>
  <c r="BC711" i="1" s="1"/>
  <c r="L688" i="1"/>
  <c r="L694" i="1"/>
  <c r="P714" i="1"/>
  <c r="BC714" i="1" s="1"/>
  <c r="E697" i="1"/>
  <c r="L692" i="1"/>
  <c r="P691" i="1"/>
  <c r="BC691" i="1" s="1"/>
  <c r="L659" i="1"/>
  <c r="L624" i="1"/>
  <c r="AM624" i="1" s="1"/>
  <c r="L634" i="1"/>
  <c r="E668" i="1"/>
  <c r="L663" i="1"/>
  <c r="P681" i="1"/>
  <c r="BC681" i="1" s="1"/>
  <c r="L597" i="1"/>
  <c r="AM597" i="1" s="1"/>
  <c r="L598" i="1"/>
  <c r="L603" i="1"/>
  <c r="L632" i="1"/>
  <c r="L655" i="1"/>
  <c r="AM655" i="1" s="1"/>
  <c r="P654" i="1"/>
  <c r="BC654" i="1" s="1"/>
  <c r="L630" i="1"/>
  <c r="L638" i="1"/>
  <c r="P653" i="1"/>
  <c r="BC653" i="1" s="1"/>
  <c r="L605" i="1"/>
  <c r="L606" i="1"/>
  <c r="L626" i="1"/>
  <c r="AM626" i="1" s="1"/>
  <c r="L628" i="1"/>
  <c r="L636" i="1"/>
  <c r="P660" i="1"/>
  <c r="BC660" i="1" s="1"/>
  <c r="P664" i="1"/>
  <c r="BC664" i="1" s="1"/>
  <c r="E639" i="1"/>
  <c r="P633" i="1"/>
  <c r="BC633" i="1" s="1"/>
  <c r="P637" i="1"/>
  <c r="BC637" i="1" s="1"/>
  <c r="E610" i="1"/>
  <c r="L595" i="1"/>
  <c r="L599" i="1"/>
  <c r="L601" i="1"/>
  <c r="L602" i="1"/>
  <c r="L609" i="1"/>
  <c r="P623" i="1"/>
  <c r="BC623" i="1" s="1"/>
  <c r="L591" i="1"/>
  <c r="AM591" i="1" s="1"/>
  <c r="L594" i="1"/>
  <c r="AM594" i="1" s="1"/>
  <c r="AA59" i="1"/>
  <c r="AM605" i="1" l="1"/>
  <c r="BB605" i="1" s="1"/>
  <c r="AM688" i="1"/>
  <c r="BB688" i="1" s="1"/>
  <c r="AM721" i="1"/>
  <c r="BB721" i="1" s="1"/>
  <c r="AM718" i="1"/>
  <c r="BB718" i="1" s="1"/>
  <c r="AM714" i="1"/>
  <c r="BB714" i="1" s="1"/>
  <c r="AN658" i="1"/>
  <c r="AM658" i="1"/>
  <c r="AM604" i="1"/>
  <c r="BB604" i="1" s="1"/>
  <c r="AM602" i="1"/>
  <c r="BB602" i="1" s="1"/>
  <c r="AN603" i="1"/>
  <c r="AM603" i="1"/>
  <c r="AM663" i="1"/>
  <c r="BB663" i="1" s="1"/>
  <c r="AM692" i="1"/>
  <c r="BB692" i="1" s="1"/>
  <c r="AM717" i="1"/>
  <c r="BB717" i="1" s="1"/>
  <c r="AN724" i="1"/>
  <c r="AM724" i="1"/>
  <c r="BB724" i="1" s="1"/>
  <c r="AM743" i="1"/>
  <c r="BB743" i="1" s="1"/>
  <c r="AM720" i="1"/>
  <c r="BB720" i="1" s="1"/>
  <c r="AM754" i="1"/>
  <c r="BB754" i="1" s="1"/>
  <c r="AN751" i="1"/>
  <c r="AM751" i="1"/>
  <c r="BB751" i="1" s="1"/>
  <c r="AN689" i="1"/>
  <c r="AM689" i="1"/>
  <c r="BB689" i="1" s="1"/>
  <c r="AM664" i="1"/>
  <c r="BB664" i="1" s="1"/>
  <c r="AN656" i="1"/>
  <c r="AM656" i="1"/>
  <c r="AM633" i="1"/>
  <c r="BB633" i="1" s="1"/>
  <c r="AN748" i="1"/>
  <c r="AM748" i="1"/>
  <c r="AN723" i="1"/>
  <c r="AM723" i="1"/>
  <c r="BB723" i="1" s="1"/>
  <c r="AN715" i="1"/>
  <c r="AM715" i="1"/>
  <c r="BB715" i="1" s="1"/>
  <c r="AN686" i="1"/>
  <c r="AM686" i="1"/>
  <c r="BB686" i="1" s="1"/>
  <c r="AN665" i="1"/>
  <c r="AM665" i="1"/>
  <c r="BB665" i="1" s="1"/>
  <c r="AN657" i="1"/>
  <c r="AM657" i="1"/>
  <c r="BB657" i="1" s="1"/>
  <c r="AN607" i="1"/>
  <c r="AM607" i="1"/>
  <c r="BB607" i="1" s="1"/>
  <c r="AN740" i="1"/>
  <c r="AM740" i="1"/>
  <c r="AM609" i="1"/>
  <c r="BB609" i="1" s="1"/>
  <c r="AM628" i="1"/>
  <c r="BB628" i="1" s="1"/>
  <c r="AM632" i="1"/>
  <c r="BB632" i="1" s="1"/>
  <c r="AM634" i="1"/>
  <c r="BB634" i="1" s="1"/>
  <c r="AM666" i="1"/>
  <c r="BB666" i="1" s="1"/>
  <c r="AN753" i="1"/>
  <c r="AM753" i="1"/>
  <c r="AM635" i="1"/>
  <c r="BB635" i="1" s="1"/>
  <c r="AM752" i="1"/>
  <c r="BB752" i="1" s="1"/>
  <c r="AN653" i="1"/>
  <c r="AM653" i="1"/>
  <c r="AM601" i="1"/>
  <c r="BB601" i="1" s="1"/>
  <c r="AM638" i="1"/>
  <c r="BB638" i="1" s="1"/>
  <c r="AM598" i="1"/>
  <c r="BB598" i="1" s="1"/>
  <c r="AM716" i="1"/>
  <c r="BB716" i="1" s="1"/>
  <c r="AM722" i="1"/>
  <c r="BB722" i="1" s="1"/>
  <c r="AM746" i="1"/>
  <c r="BB746" i="1" s="1"/>
  <c r="AM696" i="1"/>
  <c r="BB696" i="1" s="1"/>
  <c r="AM750" i="1"/>
  <c r="BB750" i="1" s="1"/>
  <c r="AN749" i="1"/>
  <c r="AM749" i="1"/>
  <c r="BB749" i="1" s="1"/>
  <c r="AM695" i="1"/>
  <c r="BB695" i="1" s="1"/>
  <c r="AN687" i="1"/>
  <c r="AM687" i="1"/>
  <c r="BB687" i="1" s="1"/>
  <c r="AM662" i="1"/>
  <c r="BB662" i="1" s="1"/>
  <c r="AN652" i="1"/>
  <c r="AM652" i="1"/>
  <c r="AM631" i="1"/>
  <c r="BB631" i="1" s="1"/>
  <c r="AM608" i="1"/>
  <c r="BB608" i="1" s="1"/>
  <c r="AM600" i="1"/>
  <c r="BB600" i="1" s="1"/>
  <c r="AN744" i="1"/>
  <c r="AM744" i="1"/>
  <c r="BB744" i="1" s="1"/>
  <c r="AN654" i="1"/>
  <c r="AM654" i="1"/>
  <c r="AN625" i="1"/>
  <c r="AM625" i="1"/>
  <c r="AN711" i="1"/>
  <c r="AM711" i="1"/>
  <c r="AN595" i="1"/>
  <c r="AM595" i="1"/>
  <c r="AM659" i="1"/>
  <c r="BB659" i="1" s="1"/>
  <c r="AM725" i="1"/>
  <c r="BB725" i="1" s="1"/>
  <c r="AM691" i="1"/>
  <c r="BB691" i="1" s="1"/>
  <c r="AM627" i="1"/>
  <c r="BB627" i="1" s="1"/>
  <c r="AN690" i="1"/>
  <c r="AM690" i="1"/>
  <c r="BB690" i="1" s="1"/>
  <c r="AM599" i="1"/>
  <c r="BB599" i="1" s="1"/>
  <c r="AM636" i="1"/>
  <c r="BB636" i="1" s="1"/>
  <c r="AM606" i="1"/>
  <c r="BB606" i="1" s="1"/>
  <c r="AM630" i="1"/>
  <c r="BB630" i="1" s="1"/>
  <c r="AM694" i="1"/>
  <c r="BB694" i="1" s="1"/>
  <c r="AM745" i="1"/>
  <c r="BB745" i="1" s="1"/>
  <c r="AM667" i="1"/>
  <c r="BB667" i="1" s="1"/>
  <c r="AN747" i="1"/>
  <c r="AM747" i="1"/>
  <c r="BB747" i="1" s="1"/>
  <c r="AM693" i="1"/>
  <c r="BB693" i="1" s="1"/>
  <c r="AM685" i="1"/>
  <c r="BB685" i="1" s="1"/>
  <c r="AM660" i="1"/>
  <c r="BB660" i="1" s="1"/>
  <c r="AN637" i="1"/>
  <c r="AM637" i="1"/>
  <c r="BB637" i="1" s="1"/>
  <c r="AN629" i="1"/>
  <c r="AM629" i="1"/>
  <c r="BB629" i="1" s="1"/>
  <c r="AM719" i="1"/>
  <c r="BB719" i="1" s="1"/>
  <c r="AM661" i="1"/>
  <c r="BB661" i="1" s="1"/>
  <c r="AN596" i="1"/>
  <c r="AM596" i="1"/>
  <c r="AN660" i="1"/>
  <c r="AN682" i="1"/>
  <c r="AN622" i="1"/>
  <c r="AN738" i="1"/>
  <c r="AN752" i="1"/>
  <c r="AN631" i="1"/>
  <c r="AN683" i="1"/>
  <c r="AN623" i="1"/>
  <c r="AN633" i="1"/>
  <c r="AN608" i="1"/>
  <c r="AN662" i="1"/>
  <c r="AN691" i="1"/>
  <c r="AN664" i="1"/>
  <c r="AN695" i="1"/>
  <c r="BB656" i="1"/>
  <c r="BB753" i="1"/>
  <c r="AN650" i="1"/>
  <c r="AN604" i="1"/>
  <c r="AN635" i="1"/>
  <c r="AN620" i="1"/>
  <c r="AN719" i="1"/>
  <c r="BB748" i="1"/>
  <c r="AN661" i="1"/>
  <c r="AN600" i="1"/>
  <c r="BB658" i="1"/>
  <c r="AN621" i="1"/>
  <c r="AN651" i="1"/>
  <c r="AN679" i="1"/>
  <c r="AN627" i="1"/>
  <c r="AN592" i="1"/>
  <c r="AN710" i="1"/>
  <c r="AN693" i="1"/>
  <c r="AN685" i="1"/>
  <c r="AN714" i="1"/>
  <c r="AN681" i="1"/>
  <c r="AN684" i="1"/>
  <c r="AN666" i="1"/>
  <c r="AN680" i="1"/>
  <c r="AN737" i="1"/>
  <c r="AN593" i="1"/>
  <c r="AN720" i="1"/>
  <c r="BB603" i="1"/>
  <c r="AN605" i="1"/>
  <c r="AN718" i="1"/>
  <c r="AN709" i="1"/>
  <c r="AN667" i="1"/>
  <c r="AN739" i="1"/>
  <c r="AN624" i="1"/>
  <c r="AN708" i="1"/>
  <c r="AN688" i="1"/>
  <c r="AN722" i="1"/>
  <c r="AN725" i="1"/>
  <c r="AN754" i="1"/>
  <c r="AN743" i="1"/>
  <c r="AN721" i="1"/>
  <c r="AN716" i="1"/>
  <c r="AN750" i="1"/>
  <c r="AN745" i="1"/>
  <c r="AN628" i="1"/>
  <c r="AN638" i="1"/>
  <c r="AN712" i="1"/>
  <c r="AN746" i="1"/>
  <c r="J639" i="1"/>
  <c r="AN597" i="1"/>
  <c r="AN696" i="1"/>
  <c r="AN741" i="1"/>
  <c r="AN598" i="1"/>
  <c r="AN694" i="1"/>
  <c r="L736" i="1"/>
  <c r="AM736" i="1" s="1"/>
  <c r="J755" i="1"/>
  <c r="P736" i="1"/>
  <c r="O755" i="1"/>
  <c r="AN606" i="1"/>
  <c r="AN630" i="1"/>
  <c r="AN742" i="1"/>
  <c r="AN713" i="1"/>
  <c r="AN717" i="1"/>
  <c r="L639" i="1"/>
  <c r="AN609" i="1"/>
  <c r="AN636" i="1"/>
  <c r="AN692" i="1"/>
  <c r="AN599" i="1"/>
  <c r="L707" i="1"/>
  <c r="AM707" i="1" s="1"/>
  <c r="J726" i="1"/>
  <c r="AN659" i="1"/>
  <c r="P707" i="1"/>
  <c r="O726" i="1"/>
  <c r="AN663" i="1"/>
  <c r="L678" i="1"/>
  <c r="AM678" i="1" s="1"/>
  <c r="J697" i="1"/>
  <c r="AN594" i="1"/>
  <c r="AN632" i="1"/>
  <c r="AN655" i="1"/>
  <c r="AN634" i="1"/>
  <c r="P678" i="1"/>
  <c r="O697" i="1"/>
  <c r="L649" i="1"/>
  <c r="AM649" i="1" s="1"/>
  <c r="J668" i="1"/>
  <c r="AN602" i="1"/>
  <c r="L610" i="1"/>
  <c r="P649" i="1"/>
  <c r="O668" i="1"/>
  <c r="AN626" i="1"/>
  <c r="J610" i="1"/>
  <c r="AN591" i="1"/>
  <c r="AN601" i="1"/>
  <c r="P620" i="1"/>
  <c r="O639" i="1"/>
  <c r="P591" i="1"/>
  <c r="O610" i="1"/>
  <c r="AI12" i="1"/>
  <c r="AI13" i="1"/>
  <c r="AI14" i="1"/>
  <c r="AI15" i="1"/>
  <c r="AI16" i="1"/>
  <c r="AI17" i="1"/>
  <c r="AI18" i="1"/>
  <c r="AI19" i="1"/>
  <c r="AI20" i="1"/>
  <c r="AI21" i="1"/>
  <c r="AI22" i="1"/>
  <c r="AI23" i="1"/>
  <c r="AI24" i="1"/>
  <c r="AI25" i="1"/>
  <c r="AI26" i="1"/>
  <c r="AI27" i="1"/>
  <c r="AI28" i="1"/>
  <c r="AI29" i="1"/>
  <c r="AM639" i="1" l="1"/>
  <c r="AM610" i="1"/>
  <c r="AN610" i="1"/>
  <c r="P755" i="1"/>
  <c r="BC736" i="1"/>
  <c r="BC755" i="1" s="1"/>
  <c r="L755" i="1"/>
  <c r="AN736" i="1"/>
  <c r="P726" i="1"/>
  <c r="BC707" i="1"/>
  <c r="BC726" i="1" s="1"/>
  <c r="L726" i="1"/>
  <c r="AN707" i="1"/>
  <c r="P697" i="1"/>
  <c r="BC678" i="1"/>
  <c r="BC697" i="1" s="1"/>
  <c r="L697" i="1"/>
  <c r="AN678" i="1"/>
  <c r="AN639" i="1"/>
  <c r="P668" i="1"/>
  <c r="BC649" i="1"/>
  <c r="BC668" i="1" s="1"/>
  <c r="L668" i="1"/>
  <c r="AN649" i="1"/>
  <c r="P639" i="1"/>
  <c r="BC620" i="1"/>
  <c r="BC639" i="1" s="1"/>
  <c r="BC591" i="1"/>
  <c r="BC610" i="1" s="1"/>
  <c r="P610" i="1"/>
  <c r="AE12" i="1"/>
  <c r="AE13" i="1"/>
  <c r="AE14" i="1"/>
  <c r="AE15" i="1"/>
  <c r="AE16" i="1"/>
  <c r="AE17" i="1"/>
  <c r="AE18" i="1"/>
  <c r="AE19" i="1"/>
  <c r="AE20" i="1"/>
  <c r="AE21" i="1"/>
  <c r="AE22" i="1"/>
  <c r="AE23" i="1"/>
  <c r="AE24" i="1"/>
  <c r="AE25" i="1"/>
  <c r="AE26" i="1"/>
  <c r="AE27" i="1"/>
  <c r="AE28" i="1"/>
  <c r="AE29" i="1"/>
  <c r="AE11" i="1"/>
  <c r="AN755" i="1" l="1"/>
  <c r="AM755" i="1"/>
  <c r="AN726" i="1"/>
  <c r="AM726" i="1"/>
  <c r="AN697" i="1"/>
  <c r="AM697" i="1"/>
  <c r="AM668" i="1"/>
  <c r="AN668" i="1"/>
  <c r="AY18" i="1"/>
  <c r="AY19" i="1"/>
  <c r="AY20" i="1"/>
  <c r="AY21" i="1"/>
  <c r="AY22" i="1"/>
  <c r="AY23" i="1"/>
  <c r="AY24" i="1"/>
  <c r="AY25" i="1"/>
  <c r="AY26" i="1"/>
  <c r="AY27" i="1"/>
  <c r="AY28" i="1"/>
  <c r="AY29" i="1"/>
  <c r="AX18" i="1"/>
  <c r="AX19" i="1"/>
  <c r="AX20" i="1"/>
  <c r="AX21" i="1"/>
  <c r="AX22" i="1"/>
  <c r="AX23" i="1"/>
  <c r="AX24" i="1"/>
  <c r="AX25" i="1"/>
  <c r="AX26" i="1"/>
  <c r="AX27" i="1"/>
  <c r="AX28" i="1"/>
  <c r="AX29" i="1"/>
  <c r="AW18" i="1"/>
  <c r="AW19" i="1"/>
  <c r="AW20" i="1"/>
  <c r="AW21" i="1"/>
  <c r="AW22" i="1"/>
  <c r="AW23" i="1"/>
  <c r="AW24" i="1"/>
  <c r="AW25" i="1"/>
  <c r="AW26" i="1"/>
  <c r="AW27" i="1"/>
  <c r="AW28" i="1"/>
  <c r="AW29" i="1"/>
  <c r="AV18" i="1"/>
  <c r="AV19" i="1"/>
  <c r="AV20" i="1"/>
  <c r="AV21" i="1"/>
  <c r="AV22" i="1"/>
  <c r="AV23" i="1"/>
  <c r="AV24" i="1"/>
  <c r="AV25" i="1"/>
  <c r="AV26" i="1"/>
  <c r="AV27" i="1"/>
  <c r="AV28" i="1"/>
  <c r="AV29" i="1"/>
  <c r="AU18" i="1"/>
  <c r="AU19" i="1"/>
  <c r="AU20" i="1"/>
  <c r="AU21" i="1"/>
  <c r="AU22" i="1"/>
  <c r="AU23" i="1"/>
  <c r="AU24" i="1"/>
  <c r="AU25" i="1"/>
  <c r="AU26" i="1"/>
  <c r="AU27" i="1"/>
  <c r="AU28" i="1"/>
  <c r="AU29" i="1"/>
  <c r="AT18" i="1"/>
  <c r="AT19" i="1"/>
  <c r="AT20" i="1"/>
  <c r="AT21" i="1"/>
  <c r="AT22" i="1"/>
  <c r="AT23" i="1"/>
  <c r="AT24" i="1"/>
  <c r="AT25" i="1"/>
  <c r="AT26" i="1"/>
  <c r="AT27" i="1"/>
  <c r="AT28" i="1"/>
  <c r="AT29" i="1"/>
  <c r="AS18" i="1"/>
  <c r="AS19" i="1"/>
  <c r="AS20" i="1"/>
  <c r="AS21" i="1"/>
  <c r="AS22" i="1"/>
  <c r="AS23" i="1"/>
  <c r="AS24" i="1"/>
  <c r="AS25" i="1"/>
  <c r="AS26" i="1"/>
  <c r="AS27" i="1"/>
  <c r="AS28" i="1"/>
  <c r="AS29" i="1"/>
  <c r="AQ18" i="1"/>
  <c r="AQ19" i="1"/>
  <c r="AQ20" i="1"/>
  <c r="AQ21" i="1"/>
  <c r="AQ22" i="1"/>
  <c r="AQ23" i="1"/>
  <c r="AQ24" i="1"/>
  <c r="AQ25" i="1"/>
  <c r="AQ26" i="1"/>
  <c r="AQ27" i="1"/>
  <c r="AQ28" i="1"/>
  <c r="AQ29" i="1"/>
  <c r="AP18" i="1"/>
  <c r="AP19" i="1"/>
  <c r="AP20" i="1"/>
  <c r="AP21" i="1"/>
  <c r="AP22" i="1"/>
  <c r="AP23" i="1"/>
  <c r="AP24" i="1"/>
  <c r="AP25" i="1"/>
  <c r="AP26" i="1"/>
  <c r="AP27" i="1"/>
  <c r="AP28" i="1"/>
  <c r="AP29" i="1"/>
  <c r="AO18" i="1"/>
  <c r="AO19" i="1"/>
  <c r="AO20" i="1"/>
  <c r="AO21" i="1"/>
  <c r="AO22" i="1"/>
  <c r="AO23" i="1"/>
  <c r="AO24" i="1"/>
  <c r="AO25" i="1"/>
  <c r="AO26" i="1"/>
  <c r="AO27" i="1"/>
  <c r="AO28" i="1"/>
  <c r="AO29" i="1"/>
  <c r="M6" i="2"/>
  <c r="AW12" i="1" s="1"/>
  <c r="M7" i="2"/>
  <c r="M8" i="2"/>
  <c r="M9" i="2"/>
  <c r="AT15" i="1" s="1"/>
  <c r="M10" i="2"/>
  <c r="AT16" i="1" s="1"/>
  <c r="M11" i="2"/>
  <c r="AQ17" i="1" s="1"/>
  <c r="M12" i="2"/>
  <c r="M13" i="2"/>
  <c r="M14" i="2"/>
  <c r="M15" i="2"/>
  <c r="M16" i="2"/>
  <c r="M17" i="2"/>
  <c r="M18" i="2"/>
  <c r="M19" i="2"/>
  <c r="M20" i="2"/>
  <c r="M21" i="2"/>
  <c r="M22" i="2"/>
  <c r="M23" i="2"/>
  <c r="M24" i="2"/>
  <c r="M25" i="2"/>
  <c r="M26" i="2"/>
  <c r="M27" i="2"/>
  <c r="M28" i="2"/>
  <c r="M29" i="2"/>
  <c r="M30" i="2"/>
  <c r="M31" i="2"/>
  <c r="M32" i="2"/>
  <c r="M33" i="2"/>
  <c r="M5" i="2"/>
  <c r="AR11" i="1" s="1"/>
  <c r="AR17" i="1"/>
  <c r="AR18" i="1"/>
  <c r="AR19" i="1"/>
  <c r="AR20" i="1"/>
  <c r="AR21" i="1"/>
  <c r="AR22" i="1"/>
  <c r="AR23" i="1"/>
  <c r="AR24" i="1"/>
  <c r="AR25" i="1"/>
  <c r="AR26" i="1"/>
  <c r="AR27" i="1"/>
  <c r="AR28" i="1"/>
  <c r="AR29" i="1"/>
  <c r="AR12" i="1" l="1"/>
  <c r="AR14" i="1"/>
  <c r="AY739" i="1"/>
  <c r="AT739" i="1"/>
  <c r="AP739" i="1"/>
  <c r="AV710" i="1"/>
  <c r="AR710" i="1"/>
  <c r="AY681" i="1"/>
  <c r="AT681" i="1"/>
  <c r="AP681" i="1"/>
  <c r="AV652" i="1"/>
  <c r="AR652" i="1"/>
  <c r="AY623" i="1"/>
  <c r="AT623" i="1"/>
  <c r="AP623" i="1"/>
  <c r="AV594" i="1"/>
  <c r="AR594" i="1"/>
  <c r="AW739" i="1"/>
  <c r="AS739" i="1"/>
  <c r="AO739" i="1"/>
  <c r="AU710" i="1"/>
  <c r="AQ710" i="1"/>
  <c r="AW681" i="1"/>
  <c r="AS681" i="1"/>
  <c r="AO681" i="1"/>
  <c r="AU652" i="1"/>
  <c r="AQ652" i="1"/>
  <c r="AW623" i="1"/>
  <c r="AS623" i="1"/>
  <c r="AO623" i="1"/>
  <c r="AV739" i="1"/>
  <c r="AR739" i="1"/>
  <c r="AY710" i="1"/>
  <c r="AT710" i="1"/>
  <c r="AP710" i="1"/>
  <c r="AV681" i="1"/>
  <c r="AR681" i="1"/>
  <c r="AY652" i="1"/>
  <c r="AT652" i="1"/>
  <c r="AP652" i="1"/>
  <c r="AV623" i="1"/>
  <c r="AR623" i="1"/>
  <c r="AO710" i="1"/>
  <c r="AU681" i="1"/>
  <c r="AW652" i="1"/>
  <c r="AT594" i="1"/>
  <c r="AO594" i="1"/>
  <c r="AW565" i="1"/>
  <c r="AO565" i="1"/>
  <c r="AY536" i="1"/>
  <c r="AT536" i="1"/>
  <c r="AP536" i="1"/>
  <c r="AU507" i="1"/>
  <c r="AQ507" i="1"/>
  <c r="AV478" i="1"/>
  <c r="AR478" i="1"/>
  <c r="AQ681" i="1"/>
  <c r="AS652" i="1"/>
  <c r="AY594" i="1"/>
  <c r="AS594" i="1"/>
  <c r="AV565" i="1"/>
  <c r="AR565" i="1"/>
  <c r="AW536" i="1"/>
  <c r="AO536" i="1"/>
  <c r="AY507" i="1"/>
  <c r="AT507" i="1"/>
  <c r="AP507" i="1"/>
  <c r="AU478" i="1"/>
  <c r="AQ478" i="1"/>
  <c r="AU739" i="1"/>
  <c r="AW710" i="1"/>
  <c r="AO652" i="1"/>
  <c r="AU623" i="1"/>
  <c r="AW594" i="1"/>
  <c r="AQ594" i="1"/>
  <c r="AU565" i="1"/>
  <c r="AQ565" i="1"/>
  <c r="AV536" i="1"/>
  <c r="AR536" i="1"/>
  <c r="AW507" i="1"/>
  <c r="AO507" i="1"/>
  <c r="AQ739" i="1"/>
  <c r="AS710" i="1"/>
  <c r="AQ623" i="1"/>
  <c r="AU594" i="1"/>
  <c r="AP594" i="1"/>
  <c r="AY565" i="1"/>
  <c r="AT565" i="1"/>
  <c r="AP565" i="1"/>
  <c r="AU536" i="1"/>
  <c r="AQ536" i="1"/>
  <c r="AR507" i="1"/>
  <c r="AY449" i="1"/>
  <c r="AT449" i="1"/>
  <c r="AP449" i="1"/>
  <c r="AU420" i="1"/>
  <c r="AQ420" i="1"/>
  <c r="AV391" i="1"/>
  <c r="AR391" i="1"/>
  <c r="AW362" i="1"/>
  <c r="AO362" i="1"/>
  <c r="AY333" i="1"/>
  <c r="AT333" i="1"/>
  <c r="AP333" i="1"/>
  <c r="AY478" i="1"/>
  <c r="AP478" i="1"/>
  <c r="AW449" i="1"/>
  <c r="AO449" i="1"/>
  <c r="AY420" i="1"/>
  <c r="AT420" i="1"/>
  <c r="AP420" i="1"/>
  <c r="AU391" i="1"/>
  <c r="AQ391" i="1"/>
  <c r="AV362" i="1"/>
  <c r="AR362" i="1"/>
  <c r="AW333" i="1"/>
  <c r="AO333" i="1"/>
  <c r="AW478" i="1"/>
  <c r="AO478" i="1"/>
  <c r="AV449" i="1"/>
  <c r="AR449" i="1"/>
  <c r="AW420" i="1"/>
  <c r="AO420" i="1"/>
  <c r="AY391" i="1"/>
  <c r="AT391" i="1"/>
  <c r="AP391" i="1"/>
  <c r="AU362" i="1"/>
  <c r="AQ362" i="1"/>
  <c r="AV333" i="1"/>
  <c r="AR333" i="1"/>
  <c r="AV507" i="1"/>
  <c r="AT478" i="1"/>
  <c r="AU449" i="1"/>
  <c r="AQ449" i="1"/>
  <c r="AV420" i="1"/>
  <c r="AR420" i="1"/>
  <c r="AW391" i="1"/>
  <c r="AO391" i="1"/>
  <c r="AY362" i="1"/>
  <c r="AT362" i="1"/>
  <c r="AP362" i="1"/>
  <c r="AU333" i="1"/>
  <c r="AQ333" i="1"/>
  <c r="AY304" i="1"/>
  <c r="AT304" i="1"/>
  <c r="AP304" i="1"/>
  <c r="AU275" i="1"/>
  <c r="AQ275" i="1"/>
  <c r="AV246" i="1"/>
  <c r="AR246" i="1"/>
  <c r="AW217" i="1"/>
  <c r="AO217" i="1"/>
  <c r="AY188" i="1"/>
  <c r="AT188" i="1"/>
  <c r="AP188" i="1"/>
  <c r="AU159" i="1"/>
  <c r="AQ159" i="1"/>
  <c r="AW304" i="1"/>
  <c r="AO304" i="1"/>
  <c r="AY275" i="1"/>
  <c r="AT275" i="1"/>
  <c r="AP275" i="1"/>
  <c r="AU246" i="1"/>
  <c r="AQ246" i="1"/>
  <c r="AV217" i="1"/>
  <c r="AR217" i="1"/>
  <c r="AW188" i="1"/>
  <c r="AO188" i="1"/>
  <c r="AV304" i="1"/>
  <c r="AR304" i="1"/>
  <c r="AW275" i="1"/>
  <c r="AO275" i="1"/>
  <c r="AY246" i="1"/>
  <c r="AT246" i="1"/>
  <c r="AP246" i="1"/>
  <c r="AU217" i="1"/>
  <c r="AQ217" i="1"/>
  <c r="AV188" i="1"/>
  <c r="AR188" i="1"/>
  <c r="AW159" i="1"/>
  <c r="AU304" i="1"/>
  <c r="AQ304" i="1"/>
  <c r="AV275" i="1"/>
  <c r="AR275" i="1"/>
  <c r="AW246" i="1"/>
  <c r="AO246" i="1"/>
  <c r="AY217" i="1"/>
  <c r="AT217" i="1"/>
  <c r="AP217" i="1"/>
  <c r="AU188" i="1"/>
  <c r="AQ188" i="1"/>
  <c r="AY159" i="1"/>
  <c r="AR159" i="1"/>
  <c r="AU130" i="1"/>
  <c r="AQ130" i="1"/>
  <c r="AV101" i="1"/>
  <c r="AR101" i="1"/>
  <c r="AW72" i="1"/>
  <c r="AO72" i="1"/>
  <c r="AY43" i="1"/>
  <c r="AT43" i="1"/>
  <c r="AP43" i="1"/>
  <c r="AV159" i="1"/>
  <c r="AP159" i="1"/>
  <c r="AY130" i="1"/>
  <c r="AT130" i="1"/>
  <c r="AP130" i="1"/>
  <c r="AU101" i="1"/>
  <c r="AQ101" i="1"/>
  <c r="AV72" i="1"/>
  <c r="AR72" i="1"/>
  <c r="AW43" i="1"/>
  <c r="AO43" i="1"/>
  <c r="AT159" i="1"/>
  <c r="AO159" i="1"/>
  <c r="AW130" i="1"/>
  <c r="AO130" i="1"/>
  <c r="AY101" i="1"/>
  <c r="AT101" i="1"/>
  <c r="AP101" i="1"/>
  <c r="AU72" i="1"/>
  <c r="AQ72" i="1"/>
  <c r="AV43" i="1"/>
  <c r="AR43" i="1"/>
  <c r="AV130" i="1"/>
  <c r="AR130" i="1"/>
  <c r="AW101" i="1"/>
  <c r="AO101" i="1"/>
  <c r="AY72" i="1"/>
  <c r="AT72" i="1"/>
  <c r="AP72" i="1"/>
  <c r="AU43" i="1"/>
  <c r="AQ43" i="1"/>
  <c r="AX623" i="1"/>
  <c r="AZ623" i="1" s="1"/>
  <c r="BB623" i="1" s="1"/>
  <c r="AX594" i="1"/>
  <c r="AZ594" i="1" s="1"/>
  <c r="BB594" i="1" s="1"/>
  <c r="AX681" i="1"/>
  <c r="AZ681" i="1" s="1"/>
  <c r="BB681" i="1" s="1"/>
  <c r="AX710" i="1"/>
  <c r="AZ710" i="1" s="1"/>
  <c r="BB710" i="1" s="1"/>
  <c r="AX652" i="1"/>
  <c r="AZ652" i="1" s="1"/>
  <c r="BB652" i="1" s="1"/>
  <c r="AX739" i="1"/>
  <c r="AZ739" i="1" s="1"/>
  <c r="BB739" i="1" s="1"/>
  <c r="AO12" i="1"/>
  <c r="AS12" i="1"/>
  <c r="AU742" i="1"/>
  <c r="AQ742" i="1"/>
  <c r="AW713" i="1"/>
  <c r="AS713" i="1"/>
  <c r="AO713" i="1"/>
  <c r="AU684" i="1"/>
  <c r="AQ684" i="1"/>
  <c r="AW655" i="1"/>
  <c r="AS655" i="1"/>
  <c r="AO655" i="1"/>
  <c r="AU626" i="1"/>
  <c r="AQ626" i="1"/>
  <c r="AW597" i="1"/>
  <c r="AS597" i="1"/>
  <c r="AO597" i="1"/>
  <c r="AX742" i="1"/>
  <c r="AT742" i="1"/>
  <c r="AP742" i="1"/>
  <c r="AV713" i="1"/>
  <c r="AR713" i="1"/>
  <c r="AX684" i="1"/>
  <c r="AT684" i="1"/>
  <c r="AP684" i="1"/>
  <c r="AV655" i="1"/>
  <c r="AR655" i="1"/>
  <c r="AX626" i="1"/>
  <c r="AT626" i="1"/>
  <c r="AP626" i="1"/>
  <c r="AW742" i="1"/>
  <c r="AS742" i="1"/>
  <c r="AO742" i="1"/>
  <c r="AU713" i="1"/>
  <c r="AQ713" i="1"/>
  <c r="AW684" i="1"/>
  <c r="AS684" i="1"/>
  <c r="AO684" i="1"/>
  <c r="AU655" i="1"/>
  <c r="AQ655" i="1"/>
  <c r="AW626" i="1"/>
  <c r="AS626" i="1"/>
  <c r="AO626" i="1"/>
  <c r="AP713" i="1"/>
  <c r="AR684" i="1"/>
  <c r="AX655" i="1"/>
  <c r="AU597" i="1"/>
  <c r="AP597" i="1"/>
  <c r="AU568" i="1"/>
  <c r="AQ568" i="1"/>
  <c r="AV539" i="1"/>
  <c r="AR539" i="1"/>
  <c r="AW510" i="1"/>
  <c r="AS510" i="1"/>
  <c r="AO510" i="1"/>
  <c r="AX481" i="1"/>
  <c r="AP481" i="1"/>
  <c r="AV742" i="1"/>
  <c r="AT655" i="1"/>
  <c r="AV626" i="1"/>
  <c r="AT597" i="1"/>
  <c r="AX568" i="1"/>
  <c r="AP568" i="1"/>
  <c r="AU539" i="1"/>
  <c r="AQ539" i="1"/>
  <c r="AV510" i="1"/>
  <c r="AR510" i="1"/>
  <c r="AW481" i="1"/>
  <c r="AS481" i="1"/>
  <c r="AO481" i="1"/>
  <c r="AR742" i="1"/>
  <c r="AX713" i="1"/>
  <c r="AP655" i="1"/>
  <c r="AR626" i="1"/>
  <c r="AX597" i="1"/>
  <c r="AR597" i="1"/>
  <c r="AW568" i="1"/>
  <c r="AS568" i="1"/>
  <c r="AO568" i="1"/>
  <c r="AX539" i="1"/>
  <c r="AP539" i="1"/>
  <c r="AU510" i="1"/>
  <c r="AQ510" i="1"/>
  <c r="AT713" i="1"/>
  <c r="AV684" i="1"/>
  <c r="AV597" i="1"/>
  <c r="AQ597" i="1"/>
  <c r="AV568" i="1"/>
  <c r="AR568" i="1"/>
  <c r="AW539" i="1"/>
  <c r="AS539" i="1"/>
  <c r="AO539" i="1"/>
  <c r="AU481" i="1"/>
  <c r="AV452" i="1"/>
  <c r="AR452" i="1"/>
  <c r="AW423" i="1"/>
  <c r="AS423" i="1"/>
  <c r="AO423" i="1"/>
  <c r="AX394" i="1"/>
  <c r="AP394" i="1"/>
  <c r="AU365" i="1"/>
  <c r="AQ365" i="1"/>
  <c r="AV336" i="1"/>
  <c r="AR336" i="1"/>
  <c r="AP510" i="1"/>
  <c r="AR481" i="1"/>
  <c r="AU452" i="1"/>
  <c r="AQ452" i="1"/>
  <c r="AV423" i="1"/>
  <c r="AR423" i="1"/>
  <c r="AW394" i="1"/>
  <c r="AS394" i="1"/>
  <c r="AO394" i="1"/>
  <c r="AX365" i="1"/>
  <c r="AP365" i="1"/>
  <c r="AU336" i="1"/>
  <c r="AQ336" i="1"/>
  <c r="AQ481" i="1"/>
  <c r="AX452" i="1"/>
  <c r="AP452" i="1"/>
  <c r="AU423" i="1"/>
  <c r="AQ423" i="1"/>
  <c r="AV394" i="1"/>
  <c r="AR394" i="1"/>
  <c r="AW365" i="1"/>
  <c r="AS365" i="1"/>
  <c r="AO365" i="1"/>
  <c r="AX336" i="1"/>
  <c r="AP336" i="1"/>
  <c r="AX510" i="1"/>
  <c r="AV481" i="1"/>
  <c r="AW452" i="1"/>
  <c r="AS452" i="1"/>
  <c r="AO452" i="1"/>
  <c r="AX423" i="1"/>
  <c r="AP423" i="1"/>
  <c r="AU394" i="1"/>
  <c r="AQ394" i="1"/>
  <c r="AV365" i="1"/>
  <c r="AR365" i="1"/>
  <c r="AW336" i="1"/>
  <c r="AS336" i="1"/>
  <c r="AO336" i="1"/>
  <c r="AV307" i="1"/>
  <c r="AR307" i="1"/>
  <c r="AW278" i="1"/>
  <c r="AS278" i="1"/>
  <c r="AO278" i="1"/>
  <c r="AX249" i="1"/>
  <c r="AP249" i="1"/>
  <c r="AU220" i="1"/>
  <c r="AQ220" i="1"/>
  <c r="AV191" i="1"/>
  <c r="AR191" i="1"/>
  <c r="AW162" i="1"/>
  <c r="AS162" i="1"/>
  <c r="AO162" i="1"/>
  <c r="AU307" i="1"/>
  <c r="AQ307" i="1"/>
  <c r="AV278" i="1"/>
  <c r="AR278" i="1"/>
  <c r="AW249" i="1"/>
  <c r="AS249" i="1"/>
  <c r="AO249" i="1"/>
  <c r="AX220" i="1"/>
  <c r="AP220" i="1"/>
  <c r="AU191" i="1"/>
  <c r="AQ191" i="1"/>
  <c r="AV162" i="1"/>
  <c r="AX307" i="1"/>
  <c r="AP307" i="1"/>
  <c r="AU278" i="1"/>
  <c r="AQ278" i="1"/>
  <c r="AV249" i="1"/>
  <c r="AR249" i="1"/>
  <c r="AW220" i="1"/>
  <c r="AS220" i="1"/>
  <c r="AO220" i="1"/>
  <c r="AX191" i="1"/>
  <c r="AP191" i="1"/>
  <c r="AU162" i="1"/>
  <c r="AQ162" i="1"/>
  <c r="AW307" i="1"/>
  <c r="AS307" i="1"/>
  <c r="AO307" i="1"/>
  <c r="AX278" i="1"/>
  <c r="AP278" i="1"/>
  <c r="AU249" i="1"/>
  <c r="AQ249" i="1"/>
  <c r="AV220" i="1"/>
  <c r="AR220" i="1"/>
  <c r="AW191" i="1"/>
  <c r="AS191" i="1"/>
  <c r="AO191" i="1"/>
  <c r="AX162" i="1"/>
  <c r="AP162" i="1"/>
  <c r="AW133" i="1"/>
  <c r="AS133" i="1"/>
  <c r="AO133" i="1"/>
  <c r="AX104" i="1"/>
  <c r="AP104" i="1"/>
  <c r="AU75" i="1"/>
  <c r="AQ75" i="1"/>
  <c r="AV46" i="1"/>
  <c r="AR46" i="1"/>
  <c r="AV133" i="1"/>
  <c r="AR133" i="1"/>
  <c r="AW104" i="1"/>
  <c r="AS104" i="1"/>
  <c r="AO104" i="1"/>
  <c r="AX75" i="1"/>
  <c r="AP75" i="1"/>
  <c r="AU46" i="1"/>
  <c r="AQ46" i="1"/>
  <c r="AU133" i="1"/>
  <c r="AQ133" i="1"/>
  <c r="AV104" i="1"/>
  <c r="AR104" i="1"/>
  <c r="AW75" i="1"/>
  <c r="AS75" i="1"/>
  <c r="AO75" i="1"/>
  <c r="AX46" i="1"/>
  <c r="AP46" i="1"/>
  <c r="AR162" i="1"/>
  <c r="AX133" i="1"/>
  <c r="AP133" i="1"/>
  <c r="AU104" i="1"/>
  <c r="AQ104" i="1"/>
  <c r="AV75" i="1"/>
  <c r="AR75" i="1"/>
  <c r="AW46" i="1"/>
  <c r="AS46" i="1"/>
  <c r="AO46" i="1"/>
  <c r="AY713" i="1"/>
  <c r="AZ713" i="1" s="1"/>
  <c r="BB713" i="1" s="1"/>
  <c r="AY684" i="1"/>
  <c r="AZ684" i="1" s="1"/>
  <c r="BB684" i="1" s="1"/>
  <c r="AY655" i="1"/>
  <c r="AZ655" i="1" s="1"/>
  <c r="BB655" i="1" s="1"/>
  <c r="AY597" i="1"/>
  <c r="AZ597" i="1" s="1"/>
  <c r="BB597" i="1" s="1"/>
  <c r="AY742" i="1"/>
  <c r="AZ742" i="1" s="1"/>
  <c r="BB742" i="1" s="1"/>
  <c r="AY626" i="1"/>
  <c r="AZ626" i="1" s="1"/>
  <c r="BB626" i="1" s="1"/>
  <c r="AY13" i="1"/>
  <c r="AU738" i="1"/>
  <c r="AQ738" i="1"/>
  <c r="AX709" i="1"/>
  <c r="AS709" i="1"/>
  <c r="AO709" i="1"/>
  <c r="AU680" i="1"/>
  <c r="AQ680" i="1"/>
  <c r="AX651" i="1"/>
  <c r="AS651" i="1"/>
  <c r="AO651" i="1"/>
  <c r="AU622" i="1"/>
  <c r="AQ622" i="1"/>
  <c r="AX593" i="1"/>
  <c r="AY738" i="1"/>
  <c r="AT738" i="1"/>
  <c r="AP738" i="1"/>
  <c r="AV709" i="1"/>
  <c r="AR709" i="1"/>
  <c r="AY680" i="1"/>
  <c r="AT680" i="1"/>
  <c r="AP680" i="1"/>
  <c r="AV651" i="1"/>
  <c r="AR651" i="1"/>
  <c r="AY622" i="1"/>
  <c r="AT622" i="1"/>
  <c r="AP622" i="1"/>
  <c r="AX738" i="1"/>
  <c r="AS738" i="1"/>
  <c r="AO738" i="1"/>
  <c r="AU709" i="1"/>
  <c r="AQ709" i="1"/>
  <c r="AX680" i="1"/>
  <c r="AS680" i="1"/>
  <c r="AO680" i="1"/>
  <c r="AU651" i="1"/>
  <c r="AQ651" i="1"/>
  <c r="AX622" i="1"/>
  <c r="AS622" i="1"/>
  <c r="AR738" i="1"/>
  <c r="AY709" i="1"/>
  <c r="AP651" i="1"/>
  <c r="AR622" i="1"/>
  <c r="AY593" i="1"/>
  <c r="AS593" i="1"/>
  <c r="AO593" i="1"/>
  <c r="AU564" i="1"/>
  <c r="AV535" i="1"/>
  <c r="AR535" i="1"/>
  <c r="AX506" i="1"/>
  <c r="AS506" i="1"/>
  <c r="AO506" i="1"/>
  <c r="AY477" i="1"/>
  <c r="AT477" i="1"/>
  <c r="AP477" i="1"/>
  <c r="AT709" i="1"/>
  <c r="AV680" i="1"/>
  <c r="AO622" i="1"/>
  <c r="AV593" i="1"/>
  <c r="AR593" i="1"/>
  <c r="AY564" i="1"/>
  <c r="AT564" i="1"/>
  <c r="AP564" i="1"/>
  <c r="AU535" i="1"/>
  <c r="AV506" i="1"/>
  <c r="AR506" i="1"/>
  <c r="AX477" i="1"/>
  <c r="AP709" i="1"/>
  <c r="AR680" i="1"/>
  <c r="AY651" i="1"/>
  <c r="AU593" i="1"/>
  <c r="AQ593" i="1"/>
  <c r="AX564" i="1"/>
  <c r="AS564" i="1"/>
  <c r="AO564" i="1"/>
  <c r="AY535" i="1"/>
  <c r="AT535" i="1"/>
  <c r="AP535" i="1"/>
  <c r="AU506" i="1"/>
  <c r="AV738" i="1"/>
  <c r="AT651" i="1"/>
  <c r="AV622" i="1"/>
  <c r="AT593" i="1"/>
  <c r="AP593" i="1"/>
  <c r="AV564" i="1"/>
  <c r="AR564" i="1"/>
  <c r="AX535" i="1"/>
  <c r="AS535" i="1"/>
  <c r="AO535" i="1"/>
  <c r="AU477" i="1"/>
  <c r="AO477" i="1"/>
  <c r="AV448" i="1"/>
  <c r="AR448" i="1"/>
  <c r="AX419" i="1"/>
  <c r="AS419" i="1"/>
  <c r="AO419" i="1"/>
  <c r="AY390" i="1"/>
  <c r="AT390" i="1"/>
  <c r="AP390" i="1"/>
  <c r="AU361" i="1"/>
  <c r="AV332" i="1"/>
  <c r="AR332" i="1"/>
  <c r="AY506" i="1"/>
  <c r="AS477" i="1"/>
  <c r="AU448" i="1"/>
  <c r="AV419" i="1"/>
  <c r="AR419" i="1"/>
  <c r="AX390" i="1"/>
  <c r="AS390" i="1"/>
  <c r="AO390" i="1"/>
  <c r="AY361" i="1"/>
  <c r="AT361" i="1"/>
  <c r="AP361" i="1"/>
  <c r="AU332" i="1"/>
  <c r="AT506" i="1"/>
  <c r="AR477" i="1"/>
  <c r="AY448" i="1"/>
  <c r="AT448" i="1"/>
  <c r="AP448" i="1"/>
  <c r="AU419" i="1"/>
  <c r="AV390" i="1"/>
  <c r="AR390" i="1"/>
  <c r="AX361" i="1"/>
  <c r="AS361" i="1"/>
  <c r="AO361" i="1"/>
  <c r="AP506" i="1"/>
  <c r="AV477" i="1"/>
  <c r="AX448" i="1"/>
  <c r="AS448" i="1"/>
  <c r="AO448" i="1"/>
  <c r="AY419" i="1"/>
  <c r="AT419" i="1"/>
  <c r="AP419" i="1"/>
  <c r="AU390" i="1"/>
  <c r="AV361" i="1"/>
  <c r="AR361" i="1"/>
  <c r="AX332" i="1"/>
  <c r="AS332" i="1"/>
  <c r="AO332" i="1"/>
  <c r="AV303" i="1"/>
  <c r="AR303" i="1"/>
  <c r="AX274" i="1"/>
  <c r="AS274" i="1"/>
  <c r="AO274" i="1"/>
  <c r="AY245" i="1"/>
  <c r="AT245" i="1"/>
  <c r="AP245" i="1"/>
  <c r="AU216" i="1"/>
  <c r="AV187" i="1"/>
  <c r="AR187" i="1"/>
  <c r="AX158" i="1"/>
  <c r="AS158" i="1"/>
  <c r="AO158" i="1"/>
  <c r="AY332" i="1"/>
  <c r="AU303" i="1"/>
  <c r="AV274" i="1"/>
  <c r="AR274" i="1"/>
  <c r="AX245" i="1"/>
  <c r="AS245" i="1"/>
  <c r="AO245" i="1"/>
  <c r="AY216" i="1"/>
  <c r="AT216" i="1"/>
  <c r="AP216" i="1"/>
  <c r="AU187" i="1"/>
  <c r="AT332" i="1"/>
  <c r="AY303" i="1"/>
  <c r="AT303" i="1"/>
  <c r="AP303" i="1"/>
  <c r="AU274" i="1"/>
  <c r="AV245" i="1"/>
  <c r="AR245" i="1"/>
  <c r="AX216" i="1"/>
  <c r="AS216" i="1"/>
  <c r="AO216" i="1"/>
  <c r="AY187" i="1"/>
  <c r="AT187" i="1"/>
  <c r="AP187" i="1"/>
  <c r="AP332" i="1"/>
  <c r="AX303" i="1"/>
  <c r="AS303" i="1"/>
  <c r="AO303" i="1"/>
  <c r="AY274" i="1"/>
  <c r="AT274" i="1"/>
  <c r="AP274" i="1"/>
  <c r="AU245" i="1"/>
  <c r="AV216" i="1"/>
  <c r="AR216" i="1"/>
  <c r="AX187" i="1"/>
  <c r="AS187" i="1"/>
  <c r="AO187" i="1"/>
  <c r="AV158" i="1"/>
  <c r="AX129" i="1"/>
  <c r="AS129" i="1"/>
  <c r="AO129" i="1"/>
  <c r="AY100" i="1"/>
  <c r="AT100" i="1"/>
  <c r="AP100" i="1"/>
  <c r="AU71" i="1"/>
  <c r="AV42" i="1"/>
  <c r="AR42" i="1"/>
  <c r="AU158" i="1"/>
  <c r="AP158" i="1"/>
  <c r="AV129" i="1"/>
  <c r="AR129" i="1"/>
  <c r="AX100" i="1"/>
  <c r="AS100" i="1"/>
  <c r="AO100" i="1"/>
  <c r="AY71" i="1"/>
  <c r="AT71" i="1"/>
  <c r="AP71" i="1"/>
  <c r="AU42" i="1"/>
  <c r="AT42" i="1"/>
  <c r="AT158" i="1"/>
  <c r="AU129" i="1"/>
  <c r="AV100" i="1"/>
  <c r="AR100" i="1"/>
  <c r="AX71" i="1"/>
  <c r="AS71" i="1"/>
  <c r="AO71" i="1"/>
  <c r="AY42" i="1"/>
  <c r="AP42" i="1"/>
  <c r="AY158" i="1"/>
  <c r="AR158" i="1"/>
  <c r="AY129" i="1"/>
  <c r="AT129" i="1"/>
  <c r="AP129" i="1"/>
  <c r="AU100" i="1"/>
  <c r="AV71" i="1"/>
  <c r="AR71" i="1"/>
  <c r="AX42" i="1"/>
  <c r="AS42" i="1"/>
  <c r="AO42" i="1"/>
  <c r="AW709" i="1"/>
  <c r="AZ709" i="1" s="1"/>
  <c r="BB709" i="1" s="1"/>
  <c r="AW680" i="1"/>
  <c r="AZ680" i="1" s="1"/>
  <c r="BB680" i="1" s="1"/>
  <c r="AW622" i="1"/>
  <c r="AZ622" i="1" s="1"/>
  <c r="BB622" i="1" s="1"/>
  <c r="AW738" i="1"/>
  <c r="AW593" i="1"/>
  <c r="AZ593" i="1" s="1"/>
  <c r="BB593" i="1" s="1"/>
  <c r="AW651" i="1"/>
  <c r="AZ651" i="1" s="1"/>
  <c r="BB651" i="1" s="1"/>
  <c r="AP16" i="1"/>
  <c r="AQ16" i="1"/>
  <c r="AX16" i="1"/>
  <c r="AW741" i="1"/>
  <c r="AS741" i="1"/>
  <c r="AY712" i="1"/>
  <c r="AU712" i="1"/>
  <c r="AP712" i="1"/>
  <c r="AW683" i="1"/>
  <c r="AS683" i="1"/>
  <c r="AY654" i="1"/>
  <c r="AU654" i="1"/>
  <c r="AP654" i="1"/>
  <c r="AW625" i="1"/>
  <c r="AS625" i="1"/>
  <c r="AY596" i="1"/>
  <c r="AU596" i="1"/>
  <c r="AP596" i="1"/>
  <c r="AV741" i="1"/>
  <c r="AQ741" i="1"/>
  <c r="AX712" i="1"/>
  <c r="AT712" i="1"/>
  <c r="AO712" i="1"/>
  <c r="AV683" i="1"/>
  <c r="AQ683" i="1"/>
  <c r="AX654" i="1"/>
  <c r="AT654" i="1"/>
  <c r="AO654" i="1"/>
  <c r="AV625" i="1"/>
  <c r="AQ625" i="1"/>
  <c r="AY741" i="1"/>
  <c r="AU741" i="1"/>
  <c r="AP741" i="1"/>
  <c r="AW712" i="1"/>
  <c r="AS712" i="1"/>
  <c r="AY683" i="1"/>
  <c r="AU683" i="1"/>
  <c r="AP683" i="1"/>
  <c r="AW654" i="1"/>
  <c r="AS654" i="1"/>
  <c r="AY625" i="1"/>
  <c r="AU625" i="1"/>
  <c r="AP625" i="1"/>
  <c r="AO741" i="1"/>
  <c r="AV712" i="1"/>
  <c r="AX683" i="1"/>
  <c r="AO625" i="1"/>
  <c r="AX596" i="1"/>
  <c r="AS596" i="1"/>
  <c r="AX567" i="1"/>
  <c r="AT567" i="1"/>
  <c r="AO567" i="1"/>
  <c r="AY538" i="1"/>
  <c r="AU538" i="1"/>
  <c r="AP538" i="1"/>
  <c r="AV509" i="1"/>
  <c r="AQ509" i="1"/>
  <c r="AW480" i="1"/>
  <c r="AS480" i="1"/>
  <c r="AQ712" i="1"/>
  <c r="AT683" i="1"/>
  <c r="AW596" i="1"/>
  <c r="AQ596" i="1"/>
  <c r="AW567" i="1"/>
  <c r="AS567" i="1"/>
  <c r="AX538" i="1"/>
  <c r="AT538" i="1"/>
  <c r="AO538" i="1"/>
  <c r="AY509" i="1"/>
  <c r="AU509" i="1"/>
  <c r="AP509" i="1"/>
  <c r="AV480" i="1"/>
  <c r="AQ480" i="1"/>
  <c r="AX741" i="1"/>
  <c r="AO683" i="1"/>
  <c r="AV654" i="1"/>
  <c r="AX625" i="1"/>
  <c r="AV596" i="1"/>
  <c r="AO596" i="1"/>
  <c r="AV567" i="1"/>
  <c r="AQ567" i="1"/>
  <c r="AW538" i="1"/>
  <c r="AS538" i="1"/>
  <c r="AX509" i="1"/>
  <c r="AT509" i="1"/>
  <c r="AO509" i="1"/>
  <c r="AT741" i="1"/>
  <c r="AQ654" i="1"/>
  <c r="AT625" i="1"/>
  <c r="AT596" i="1"/>
  <c r="AY567" i="1"/>
  <c r="AU567" i="1"/>
  <c r="AP567" i="1"/>
  <c r="AV538" i="1"/>
  <c r="AQ538" i="1"/>
  <c r="AX480" i="1"/>
  <c r="AO480" i="1"/>
  <c r="AY451" i="1"/>
  <c r="AU451" i="1"/>
  <c r="AP451" i="1"/>
  <c r="AV422" i="1"/>
  <c r="AQ422" i="1"/>
  <c r="AW393" i="1"/>
  <c r="AS393" i="1"/>
  <c r="AX364" i="1"/>
  <c r="AT364" i="1"/>
  <c r="AO364" i="1"/>
  <c r="AY335" i="1"/>
  <c r="AU335" i="1"/>
  <c r="AP335" i="1"/>
  <c r="AU480" i="1"/>
  <c r="AX451" i="1"/>
  <c r="AT451" i="1"/>
  <c r="AO451" i="1"/>
  <c r="AY422" i="1"/>
  <c r="AU422" i="1"/>
  <c r="AP422" i="1"/>
  <c r="AV393" i="1"/>
  <c r="AQ393" i="1"/>
  <c r="AW364" i="1"/>
  <c r="AS364" i="1"/>
  <c r="AX335" i="1"/>
  <c r="AT335" i="1"/>
  <c r="AO335" i="1"/>
  <c r="AW509" i="1"/>
  <c r="AT480" i="1"/>
  <c r="AW451" i="1"/>
  <c r="AS451" i="1"/>
  <c r="AX422" i="1"/>
  <c r="AT422" i="1"/>
  <c r="AO422" i="1"/>
  <c r="AY393" i="1"/>
  <c r="AU393" i="1"/>
  <c r="AP393" i="1"/>
  <c r="AV364" i="1"/>
  <c r="AQ364" i="1"/>
  <c r="AW335" i="1"/>
  <c r="AS335" i="1"/>
  <c r="AS509" i="1"/>
  <c r="AY480" i="1"/>
  <c r="AP480" i="1"/>
  <c r="AV451" i="1"/>
  <c r="AQ451" i="1"/>
  <c r="AW422" i="1"/>
  <c r="AS422" i="1"/>
  <c r="AX393" i="1"/>
  <c r="AT393" i="1"/>
  <c r="AO393" i="1"/>
  <c r="AY364" i="1"/>
  <c r="AU364" i="1"/>
  <c r="AP364" i="1"/>
  <c r="AV335" i="1"/>
  <c r="AQ335" i="1"/>
  <c r="AY306" i="1"/>
  <c r="AU306" i="1"/>
  <c r="AP306" i="1"/>
  <c r="AV277" i="1"/>
  <c r="AQ277" i="1"/>
  <c r="AW248" i="1"/>
  <c r="AS248" i="1"/>
  <c r="AX219" i="1"/>
  <c r="AT219" i="1"/>
  <c r="AO219" i="1"/>
  <c r="AY190" i="1"/>
  <c r="AU190" i="1"/>
  <c r="AP190" i="1"/>
  <c r="AV161" i="1"/>
  <c r="AQ161" i="1"/>
  <c r="AX306" i="1"/>
  <c r="AT306" i="1"/>
  <c r="AO306" i="1"/>
  <c r="AY277" i="1"/>
  <c r="AU277" i="1"/>
  <c r="AP277" i="1"/>
  <c r="AV248" i="1"/>
  <c r="AQ248" i="1"/>
  <c r="AW219" i="1"/>
  <c r="AS219" i="1"/>
  <c r="AX190" i="1"/>
  <c r="AT190" i="1"/>
  <c r="AO190" i="1"/>
  <c r="AW306" i="1"/>
  <c r="AS306" i="1"/>
  <c r="AX277" i="1"/>
  <c r="AT277" i="1"/>
  <c r="AO277" i="1"/>
  <c r="AY248" i="1"/>
  <c r="AU248" i="1"/>
  <c r="AP248" i="1"/>
  <c r="AV219" i="1"/>
  <c r="AQ219" i="1"/>
  <c r="AW190" i="1"/>
  <c r="AS190" i="1"/>
  <c r="AX161" i="1"/>
  <c r="AT161" i="1"/>
  <c r="AO161" i="1"/>
  <c r="AV306" i="1"/>
  <c r="AQ306" i="1"/>
  <c r="AW277" i="1"/>
  <c r="AS277" i="1"/>
  <c r="AX248" i="1"/>
  <c r="AT248" i="1"/>
  <c r="AO248" i="1"/>
  <c r="AY219" i="1"/>
  <c r="AU219" i="1"/>
  <c r="AP219" i="1"/>
  <c r="AV190" i="1"/>
  <c r="AQ190" i="1"/>
  <c r="AW161" i="1"/>
  <c r="AS161" i="1"/>
  <c r="AY161" i="1"/>
  <c r="AV132" i="1"/>
  <c r="AQ132" i="1"/>
  <c r="AW103" i="1"/>
  <c r="AS103" i="1"/>
  <c r="AX74" i="1"/>
  <c r="AT74" i="1"/>
  <c r="AO74" i="1"/>
  <c r="AY45" i="1"/>
  <c r="AU45" i="1"/>
  <c r="AP45" i="1"/>
  <c r="AU161" i="1"/>
  <c r="AY132" i="1"/>
  <c r="AU132" i="1"/>
  <c r="AP132" i="1"/>
  <c r="AV103" i="1"/>
  <c r="AQ103" i="1"/>
  <c r="AW74" i="1"/>
  <c r="AS74" i="1"/>
  <c r="AX45" i="1"/>
  <c r="AT45" i="1"/>
  <c r="AO45" i="1"/>
  <c r="AP161" i="1"/>
  <c r="AX132" i="1"/>
  <c r="AT132" i="1"/>
  <c r="AO132" i="1"/>
  <c r="AY103" i="1"/>
  <c r="AU103" i="1"/>
  <c r="AP103" i="1"/>
  <c r="AV74" i="1"/>
  <c r="AQ74" i="1"/>
  <c r="AW45" i="1"/>
  <c r="AS45" i="1"/>
  <c r="AW132" i="1"/>
  <c r="AS132" i="1"/>
  <c r="AX103" i="1"/>
  <c r="AT103" i="1"/>
  <c r="AO103" i="1"/>
  <c r="AY74" i="1"/>
  <c r="AU74" i="1"/>
  <c r="AP74" i="1"/>
  <c r="AV45" i="1"/>
  <c r="AQ45" i="1"/>
  <c r="AR741" i="1"/>
  <c r="AZ741" i="1" s="1"/>
  <c r="BB741" i="1" s="1"/>
  <c r="AR683" i="1"/>
  <c r="AZ683" i="1" s="1"/>
  <c r="BB683" i="1" s="1"/>
  <c r="AR654" i="1"/>
  <c r="AZ654" i="1" s="1"/>
  <c r="BB654" i="1" s="1"/>
  <c r="AR596" i="1"/>
  <c r="AZ596" i="1" s="1"/>
  <c r="BB596" i="1" s="1"/>
  <c r="AR712" i="1"/>
  <c r="AZ712" i="1" s="1"/>
  <c r="BB712" i="1" s="1"/>
  <c r="AR625" i="1"/>
  <c r="AZ625" i="1" s="1"/>
  <c r="BB625" i="1" s="1"/>
  <c r="AW737" i="1"/>
  <c r="AR737" i="1"/>
  <c r="AY708" i="1"/>
  <c r="AT708" i="1"/>
  <c r="AP708" i="1"/>
  <c r="AW679" i="1"/>
  <c r="AR679" i="1"/>
  <c r="AY650" i="1"/>
  <c r="AT650" i="1"/>
  <c r="AP650" i="1"/>
  <c r="AW621" i="1"/>
  <c r="AR621" i="1"/>
  <c r="AU737" i="1"/>
  <c r="AQ737" i="1"/>
  <c r="AX708" i="1"/>
  <c r="AS708" i="1"/>
  <c r="AO708" i="1"/>
  <c r="AU679" i="1"/>
  <c r="AQ679" i="1"/>
  <c r="AX650" i="1"/>
  <c r="AS650" i="1"/>
  <c r="AO650" i="1"/>
  <c r="AU621" i="1"/>
  <c r="AQ621" i="1"/>
  <c r="AY737" i="1"/>
  <c r="AT737" i="1"/>
  <c r="AP737" i="1"/>
  <c r="AW708" i="1"/>
  <c r="AR708" i="1"/>
  <c r="AY679" i="1"/>
  <c r="AT679" i="1"/>
  <c r="AP679" i="1"/>
  <c r="AW650" i="1"/>
  <c r="AR650" i="1"/>
  <c r="AX737" i="1"/>
  <c r="AO679" i="1"/>
  <c r="AU650" i="1"/>
  <c r="AS621" i="1"/>
  <c r="AY592" i="1"/>
  <c r="AT592" i="1"/>
  <c r="AP592" i="1"/>
  <c r="AO563" i="1"/>
  <c r="AR476" i="1"/>
  <c r="AS737" i="1"/>
  <c r="AQ650" i="1"/>
  <c r="AY621" i="1"/>
  <c r="AP621" i="1"/>
  <c r="AX592" i="1"/>
  <c r="AS592" i="1"/>
  <c r="AO592" i="1"/>
  <c r="AR563" i="1"/>
  <c r="AO534" i="1"/>
  <c r="AO737" i="1"/>
  <c r="AU708" i="1"/>
  <c r="AX679" i="1"/>
  <c r="AX621" i="1"/>
  <c r="AO621" i="1"/>
  <c r="AW592" i="1"/>
  <c r="AR592" i="1"/>
  <c r="AR534" i="1"/>
  <c r="AO505" i="1"/>
  <c r="AQ708" i="1"/>
  <c r="AS679" i="1"/>
  <c r="AT621" i="1"/>
  <c r="AU592" i="1"/>
  <c r="AQ592" i="1"/>
  <c r="AO476" i="1"/>
  <c r="AR389" i="1"/>
  <c r="AO360" i="1"/>
  <c r="AR505" i="1"/>
  <c r="AO447" i="1"/>
  <c r="AR360" i="1"/>
  <c r="AO331" i="1"/>
  <c r="AR447" i="1"/>
  <c r="AO418" i="1"/>
  <c r="AR418" i="1"/>
  <c r="AO389" i="1"/>
  <c r="AR244" i="1"/>
  <c r="AO215" i="1"/>
  <c r="AO302" i="1"/>
  <c r="AR215" i="1"/>
  <c r="AO186" i="1"/>
  <c r="AR302" i="1"/>
  <c r="AO273" i="1"/>
  <c r="AR186" i="1"/>
  <c r="AR331" i="1"/>
  <c r="AR273" i="1"/>
  <c r="AO244" i="1"/>
  <c r="AR99" i="1"/>
  <c r="AO70" i="1"/>
  <c r="AO157" i="1"/>
  <c r="AR70" i="1"/>
  <c r="AO41" i="1"/>
  <c r="AO128" i="1"/>
  <c r="AR41" i="1"/>
  <c r="AR157" i="1"/>
  <c r="AR128" i="1"/>
  <c r="AO99" i="1"/>
  <c r="AV737" i="1"/>
  <c r="AV650" i="1"/>
  <c r="AV679" i="1"/>
  <c r="AV592" i="1"/>
  <c r="AV621" i="1"/>
  <c r="AV708" i="1"/>
  <c r="AP15" i="1"/>
  <c r="AQ15" i="1"/>
  <c r="AX12" i="1"/>
  <c r="AR15" i="1"/>
  <c r="AX740" i="1"/>
  <c r="AS740" i="1"/>
  <c r="AO740" i="1"/>
  <c r="AV711" i="1"/>
  <c r="AQ711" i="1"/>
  <c r="AX682" i="1"/>
  <c r="AS682" i="1"/>
  <c r="AO682" i="1"/>
  <c r="AV653" i="1"/>
  <c r="AQ653" i="1"/>
  <c r="AX624" i="1"/>
  <c r="AS624" i="1"/>
  <c r="AO624" i="1"/>
  <c r="AV595" i="1"/>
  <c r="AQ595" i="1"/>
  <c r="AW740" i="1"/>
  <c r="AR740" i="1"/>
  <c r="AY711" i="1"/>
  <c r="AT711" i="1"/>
  <c r="AP711" i="1"/>
  <c r="AW682" i="1"/>
  <c r="AR682" i="1"/>
  <c r="AY653" i="1"/>
  <c r="AT653" i="1"/>
  <c r="AP653" i="1"/>
  <c r="AW624" i="1"/>
  <c r="AR624" i="1"/>
  <c r="AV740" i="1"/>
  <c r="AQ740" i="1"/>
  <c r="AX711" i="1"/>
  <c r="AS711" i="1"/>
  <c r="AO711" i="1"/>
  <c r="AV682" i="1"/>
  <c r="AQ682" i="1"/>
  <c r="AX653" i="1"/>
  <c r="AS653" i="1"/>
  <c r="AO653" i="1"/>
  <c r="AV624" i="1"/>
  <c r="AQ624" i="1"/>
  <c r="AY740" i="1"/>
  <c r="AP682" i="1"/>
  <c r="AR653" i="1"/>
  <c r="AY624" i="1"/>
  <c r="AW595" i="1"/>
  <c r="AP595" i="1"/>
  <c r="AV566" i="1"/>
  <c r="AQ566" i="1"/>
  <c r="AW537" i="1"/>
  <c r="AR537" i="1"/>
  <c r="AX508" i="1"/>
  <c r="AS508" i="1"/>
  <c r="AY479" i="1"/>
  <c r="AT479" i="1"/>
  <c r="AP479" i="1"/>
  <c r="AT740" i="1"/>
  <c r="AW711" i="1"/>
  <c r="AT624" i="1"/>
  <c r="AT595" i="1"/>
  <c r="AO595" i="1"/>
  <c r="AY566" i="1"/>
  <c r="AT566" i="1"/>
  <c r="AP566" i="1"/>
  <c r="AV537" i="1"/>
  <c r="AQ537" i="1"/>
  <c r="AW508" i="1"/>
  <c r="AR508" i="1"/>
  <c r="AX479" i="1"/>
  <c r="AS479" i="1"/>
  <c r="AP740" i="1"/>
  <c r="AR711" i="1"/>
  <c r="AY682" i="1"/>
  <c r="AP624" i="1"/>
  <c r="AY595" i="1"/>
  <c r="AS595" i="1"/>
  <c r="AX566" i="1"/>
  <c r="AS566" i="1"/>
  <c r="AY537" i="1"/>
  <c r="AT537" i="1"/>
  <c r="AP537" i="1"/>
  <c r="AV508" i="1"/>
  <c r="AQ508" i="1"/>
  <c r="AT682" i="1"/>
  <c r="AW653" i="1"/>
  <c r="AX595" i="1"/>
  <c r="AR595" i="1"/>
  <c r="AW566" i="1"/>
  <c r="AR566" i="1"/>
  <c r="AX537" i="1"/>
  <c r="AS537" i="1"/>
  <c r="AY508" i="1"/>
  <c r="AQ479" i="1"/>
  <c r="AW450" i="1"/>
  <c r="AR450" i="1"/>
  <c r="AX421" i="1"/>
  <c r="AS421" i="1"/>
  <c r="AY392" i="1"/>
  <c r="AT392" i="1"/>
  <c r="AP392" i="1"/>
  <c r="AV363" i="1"/>
  <c r="AQ363" i="1"/>
  <c r="AW334" i="1"/>
  <c r="AR334" i="1"/>
  <c r="AT508" i="1"/>
  <c r="AW479" i="1"/>
  <c r="AV450" i="1"/>
  <c r="AQ450" i="1"/>
  <c r="AW421" i="1"/>
  <c r="AR421" i="1"/>
  <c r="AX392" i="1"/>
  <c r="AS392" i="1"/>
  <c r="AY363" i="1"/>
  <c r="AT363" i="1"/>
  <c r="AP363" i="1"/>
  <c r="AV334" i="1"/>
  <c r="AQ334" i="1"/>
  <c r="AP508" i="1"/>
  <c r="AV479" i="1"/>
  <c r="AY450" i="1"/>
  <c r="AT450" i="1"/>
  <c r="AP450" i="1"/>
  <c r="AV421" i="1"/>
  <c r="AQ421" i="1"/>
  <c r="AW392" i="1"/>
  <c r="AR392" i="1"/>
  <c r="AX363" i="1"/>
  <c r="AS363" i="1"/>
  <c r="AY334" i="1"/>
  <c r="AT334" i="1"/>
  <c r="AP334" i="1"/>
  <c r="AR479" i="1"/>
  <c r="AX450" i="1"/>
  <c r="AS450" i="1"/>
  <c r="AY421" i="1"/>
  <c r="AT421" i="1"/>
  <c r="AP421" i="1"/>
  <c r="AV392" i="1"/>
  <c r="AQ392" i="1"/>
  <c r="AW363" i="1"/>
  <c r="AR363" i="1"/>
  <c r="AX334" i="1"/>
  <c r="AS334" i="1"/>
  <c r="AW305" i="1"/>
  <c r="AR305" i="1"/>
  <c r="AX276" i="1"/>
  <c r="AS276" i="1"/>
  <c r="AY247" i="1"/>
  <c r="AT247" i="1"/>
  <c r="AP247" i="1"/>
  <c r="AV218" i="1"/>
  <c r="AQ218" i="1"/>
  <c r="AW189" i="1"/>
  <c r="AR189" i="1"/>
  <c r="AX160" i="1"/>
  <c r="AS160" i="1"/>
  <c r="AV305" i="1"/>
  <c r="AQ305" i="1"/>
  <c r="AW276" i="1"/>
  <c r="AR276" i="1"/>
  <c r="AX247" i="1"/>
  <c r="AS247" i="1"/>
  <c r="AY218" i="1"/>
  <c r="AT218" i="1"/>
  <c r="AP218" i="1"/>
  <c r="AV189" i="1"/>
  <c r="AQ189" i="1"/>
  <c r="AY305" i="1"/>
  <c r="AT305" i="1"/>
  <c r="AP305" i="1"/>
  <c r="AV276" i="1"/>
  <c r="AQ276" i="1"/>
  <c r="AW247" i="1"/>
  <c r="AR247" i="1"/>
  <c r="AX218" i="1"/>
  <c r="AS218" i="1"/>
  <c r="AY189" i="1"/>
  <c r="AT189" i="1"/>
  <c r="AP189" i="1"/>
  <c r="AV160" i="1"/>
  <c r="AQ160" i="1"/>
  <c r="AX305" i="1"/>
  <c r="AS305" i="1"/>
  <c r="AY276" i="1"/>
  <c r="AT276" i="1"/>
  <c r="AP276" i="1"/>
  <c r="AV247" i="1"/>
  <c r="AQ247" i="1"/>
  <c r="AW218" i="1"/>
  <c r="AR218" i="1"/>
  <c r="AX189" i="1"/>
  <c r="AS189" i="1"/>
  <c r="AW160" i="1"/>
  <c r="AX131" i="1"/>
  <c r="AS131" i="1"/>
  <c r="AY102" i="1"/>
  <c r="AT102" i="1"/>
  <c r="AP102" i="1"/>
  <c r="AV73" i="1"/>
  <c r="AQ73" i="1"/>
  <c r="AW44" i="1"/>
  <c r="AR44" i="1"/>
  <c r="AT160" i="1"/>
  <c r="AW131" i="1"/>
  <c r="AR131" i="1"/>
  <c r="AX102" i="1"/>
  <c r="AS102" i="1"/>
  <c r="AY73" i="1"/>
  <c r="AT73" i="1"/>
  <c r="AP73" i="1"/>
  <c r="AV44" i="1"/>
  <c r="AQ44" i="1"/>
  <c r="AR160" i="1"/>
  <c r="AV131" i="1"/>
  <c r="AQ131" i="1"/>
  <c r="AW102" i="1"/>
  <c r="AR102" i="1"/>
  <c r="AX73" i="1"/>
  <c r="AS73" i="1"/>
  <c r="AY44" i="1"/>
  <c r="AT44" i="1"/>
  <c r="AP44" i="1"/>
  <c r="AY160" i="1"/>
  <c r="AP160" i="1"/>
  <c r="AY131" i="1"/>
  <c r="AT131" i="1"/>
  <c r="AP131" i="1"/>
  <c r="AV102" i="1"/>
  <c r="AQ102" i="1"/>
  <c r="AW73" i="1"/>
  <c r="AR73" i="1"/>
  <c r="AX44" i="1"/>
  <c r="AS44" i="1"/>
  <c r="AU740" i="1"/>
  <c r="AZ740" i="1" s="1"/>
  <c r="BB740" i="1" s="1"/>
  <c r="AU682" i="1"/>
  <c r="AZ682" i="1" s="1"/>
  <c r="BB682" i="1" s="1"/>
  <c r="AU624" i="1"/>
  <c r="AU595" i="1"/>
  <c r="AZ595" i="1" s="1"/>
  <c r="BB595" i="1" s="1"/>
  <c r="AU711" i="1"/>
  <c r="AZ711" i="1" s="1"/>
  <c r="BB711" i="1" s="1"/>
  <c r="AU653" i="1"/>
  <c r="AZ653" i="1" s="1"/>
  <c r="BB653" i="1" s="1"/>
  <c r="AO16" i="1"/>
  <c r="AQ12" i="1"/>
  <c r="AT12" i="1"/>
  <c r="AY12" i="1"/>
  <c r="AW11" i="1"/>
  <c r="AX736" i="1"/>
  <c r="AS736" i="1"/>
  <c r="AO736" i="1"/>
  <c r="AX707" i="1"/>
  <c r="AS707" i="1"/>
  <c r="AO707" i="1"/>
  <c r="AX678" i="1"/>
  <c r="AS678" i="1"/>
  <c r="AO678" i="1"/>
  <c r="AX649" i="1"/>
  <c r="AS649" i="1"/>
  <c r="AO649" i="1"/>
  <c r="AX620" i="1"/>
  <c r="AS620" i="1"/>
  <c r="AO620" i="1"/>
  <c r="AX591" i="1"/>
  <c r="AS591" i="1"/>
  <c r="AO591" i="1"/>
  <c r="AQ562" i="1"/>
  <c r="AY533" i="1"/>
  <c r="AT533" i="1"/>
  <c r="AX504" i="1"/>
  <c r="AS504" i="1"/>
  <c r="AW475" i="1"/>
  <c r="AR475" i="1"/>
  <c r="AQ446" i="1"/>
  <c r="AT417" i="1"/>
  <c r="AR359" i="1"/>
  <c r="AQ330" i="1"/>
  <c r="AY301" i="1"/>
  <c r="AT185" i="1"/>
  <c r="AS156" i="1"/>
  <c r="AW736" i="1"/>
  <c r="AR736" i="1"/>
  <c r="AW707" i="1"/>
  <c r="AR707" i="1"/>
  <c r="AW678" i="1"/>
  <c r="AR678" i="1"/>
  <c r="AW649" i="1"/>
  <c r="AR649" i="1"/>
  <c r="AW620" i="1"/>
  <c r="AR620" i="1"/>
  <c r="AW591" i="1"/>
  <c r="AR591" i="1"/>
  <c r="AY562" i="1"/>
  <c r="AT562" i="1"/>
  <c r="AX533" i="1"/>
  <c r="AS533" i="1"/>
  <c r="AW504" i="1"/>
  <c r="AR504" i="1"/>
  <c r="AQ475" i="1"/>
  <c r="AY446" i="1"/>
  <c r="AT446" i="1"/>
  <c r="AX417" i="1"/>
  <c r="AS417" i="1"/>
  <c r="AW388" i="1"/>
  <c r="AR388" i="1"/>
  <c r="AQ359" i="1"/>
  <c r="AY330" i="1"/>
  <c r="AT330" i="1"/>
  <c r="AX301" i="1"/>
  <c r="AS301" i="1"/>
  <c r="AW272" i="1"/>
  <c r="AR272" i="1"/>
  <c r="AQ243" i="1"/>
  <c r="AY214" i="1"/>
  <c r="AT214" i="1"/>
  <c r="AX185" i="1"/>
  <c r="AS185" i="1"/>
  <c r="AW156" i="1"/>
  <c r="AR156" i="1"/>
  <c r="AQ127" i="1"/>
  <c r="AY98" i="1"/>
  <c r="AT98" i="1"/>
  <c r="AX69" i="1"/>
  <c r="AS69" i="1"/>
  <c r="AW40" i="1"/>
  <c r="AR40" i="1"/>
  <c r="AW127" i="1"/>
  <c r="AY69" i="1"/>
  <c r="AX40" i="1"/>
  <c r="AU736" i="1"/>
  <c r="AQ736" i="1"/>
  <c r="AU707" i="1"/>
  <c r="AQ707" i="1"/>
  <c r="AU678" i="1"/>
  <c r="AQ678" i="1"/>
  <c r="AU649" i="1"/>
  <c r="AQ649" i="1"/>
  <c r="AU620" i="1"/>
  <c r="AQ620" i="1"/>
  <c r="AU591" i="1"/>
  <c r="AQ591" i="1"/>
  <c r="AX562" i="1"/>
  <c r="AS562" i="1"/>
  <c r="AW533" i="1"/>
  <c r="AR533" i="1"/>
  <c r="AQ504" i="1"/>
  <c r="AY475" i="1"/>
  <c r="AT475" i="1"/>
  <c r="AX446" i="1"/>
  <c r="AS446" i="1"/>
  <c r="AW417" i="1"/>
  <c r="AR417" i="1"/>
  <c r="AQ388" i="1"/>
  <c r="AY359" i="1"/>
  <c r="AT359" i="1"/>
  <c r="AX330" i="1"/>
  <c r="AS330" i="1"/>
  <c r="AW301" i="1"/>
  <c r="AR301" i="1"/>
  <c r="AQ272" i="1"/>
  <c r="AY243" i="1"/>
  <c r="AT243" i="1"/>
  <c r="AX214" i="1"/>
  <c r="AS214" i="1"/>
  <c r="AW185" i="1"/>
  <c r="AR185" i="1"/>
  <c r="AQ156" i="1"/>
  <c r="AY127" i="1"/>
  <c r="AT127" i="1"/>
  <c r="AX98" i="1"/>
  <c r="AS98" i="1"/>
  <c r="AW69" i="1"/>
  <c r="AR69" i="1"/>
  <c r="AQ40" i="1"/>
  <c r="AY156" i="1"/>
  <c r="AT156" i="1"/>
  <c r="AX127" i="1"/>
  <c r="AW98" i="1"/>
  <c r="AR98" i="1"/>
  <c r="AQ69" i="1"/>
  <c r="AS388" i="1"/>
  <c r="AW359" i="1"/>
  <c r="AX272" i="1"/>
  <c r="AR243" i="1"/>
  <c r="AQ214" i="1"/>
  <c r="AR127" i="1"/>
  <c r="AT69" i="1"/>
  <c r="AY736" i="1"/>
  <c r="AT736" i="1"/>
  <c r="AP736" i="1"/>
  <c r="AY707" i="1"/>
  <c r="AT707" i="1"/>
  <c r="AP707" i="1"/>
  <c r="AY678" i="1"/>
  <c r="AT678" i="1"/>
  <c r="AP678" i="1"/>
  <c r="AY649" i="1"/>
  <c r="AT649" i="1"/>
  <c r="AP649" i="1"/>
  <c r="AY620" i="1"/>
  <c r="AT620" i="1"/>
  <c r="AP620" i="1"/>
  <c r="AY591" i="1"/>
  <c r="AT591" i="1"/>
  <c r="AP591" i="1"/>
  <c r="AW562" i="1"/>
  <c r="AR562" i="1"/>
  <c r="AQ533" i="1"/>
  <c r="AY504" i="1"/>
  <c r="AT504" i="1"/>
  <c r="AX475" i="1"/>
  <c r="AS475" i="1"/>
  <c r="AW446" i="1"/>
  <c r="AR446" i="1"/>
  <c r="AQ417" i="1"/>
  <c r="AY388" i="1"/>
  <c r="AT388" i="1"/>
  <c r="AX359" i="1"/>
  <c r="AS359" i="1"/>
  <c r="AW330" i="1"/>
  <c r="AR330" i="1"/>
  <c r="AQ301" i="1"/>
  <c r="AY272" i="1"/>
  <c r="AT272" i="1"/>
  <c r="AX243" i="1"/>
  <c r="AS243" i="1"/>
  <c r="AW214" i="1"/>
  <c r="AR214" i="1"/>
  <c r="AQ185" i="1"/>
  <c r="AS127" i="1"/>
  <c r="AY40" i="1"/>
  <c r="AT40" i="1"/>
  <c r="AY417" i="1"/>
  <c r="AX388" i="1"/>
  <c r="AT301" i="1"/>
  <c r="AS272" i="1"/>
  <c r="AW243" i="1"/>
  <c r="AY185" i="1"/>
  <c r="AX156" i="1"/>
  <c r="AQ98" i="1"/>
  <c r="AS40" i="1"/>
  <c r="AV620" i="1"/>
  <c r="AV591" i="1"/>
  <c r="AV736" i="1"/>
  <c r="AV707" i="1"/>
  <c r="AV649" i="1"/>
  <c r="AV678" i="1"/>
  <c r="AV14" i="1"/>
  <c r="AW14" i="1"/>
  <c r="AX15" i="1"/>
  <c r="AY16" i="1"/>
  <c r="AV17" i="1"/>
  <c r="AW17" i="1"/>
  <c r="AY15" i="1"/>
  <c r="AU14" i="1"/>
  <c r="AO14" i="1"/>
  <c r="AS17" i="1"/>
  <c r="AU17" i="1"/>
  <c r="AP14" i="1"/>
  <c r="AS16" i="1"/>
  <c r="AU16" i="1"/>
  <c r="AO17" i="1"/>
  <c r="AP17" i="1"/>
  <c r="AQ14" i="1"/>
  <c r="AS15" i="1"/>
  <c r="AT14" i="1"/>
  <c r="AV16" i="1"/>
  <c r="AW16" i="1"/>
  <c r="AX17" i="1"/>
  <c r="AY14" i="1"/>
  <c r="AV15" i="1"/>
  <c r="AW15" i="1"/>
  <c r="AX13" i="1"/>
  <c r="AV13" i="1"/>
  <c r="AU13" i="1"/>
  <c r="AO13" i="1"/>
  <c r="AS13" i="1"/>
  <c r="AT13" i="1"/>
  <c r="AR13" i="1"/>
  <c r="AP13" i="1"/>
  <c r="AY11" i="1"/>
  <c r="AQ11" i="1"/>
  <c r="AX11" i="1"/>
  <c r="AT11" i="1"/>
  <c r="AS11" i="1"/>
  <c r="AZ737" i="1" l="1"/>
  <c r="BB737" i="1" s="1"/>
  <c r="AZ708" i="1"/>
  <c r="BB708" i="1" s="1"/>
  <c r="AZ679" i="1"/>
  <c r="BB679" i="1" s="1"/>
  <c r="AZ650" i="1"/>
  <c r="BB650" i="1" s="1"/>
  <c r="AZ621" i="1"/>
  <c r="BB621" i="1" s="1"/>
  <c r="AZ624" i="1"/>
  <c r="BB624" i="1" s="1"/>
  <c r="AZ738" i="1"/>
  <c r="BB738" i="1" s="1"/>
  <c r="AZ592" i="1"/>
  <c r="BB592" i="1" s="1"/>
  <c r="AZ736" i="1"/>
  <c r="AZ678" i="1"/>
  <c r="AZ697" i="1" s="1"/>
  <c r="AZ649" i="1"/>
  <c r="AZ620" i="1"/>
  <c r="BB620" i="1" s="1"/>
  <c r="AZ707" i="1"/>
  <c r="AZ591" i="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5" i="2"/>
  <c r="E18" i="1"/>
  <c r="O18" i="1" s="1"/>
  <c r="E19" i="1"/>
  <c r="O19" i="1" s="1"/>
  <c r="E20" i="1"/>
  <c r="O20" i="1" s="1"/>
  <c r="E21" i="1"/>
  <c r="O21" i="1" s="1"/>
  <c r="E22" i="1"/>
  <c r="O22" i="1" s="1"/>
  <c r="E23" i="1"/>
  <c r="O23" i="1" s="1"/>
  <c r="E24" i="1"/>
  <c r="O24" i="1" s="1"/>
  <c r="E25" i="1"/>
  <c r="O25" i="1" s="1"/>
  <c r="E26" i="1"/>
  <c r="O26" i="1" s="1"/>
  <c r="E27" i="1"/>
  <c r="O27" i="1" s="1"/>
  <c r="E28" i="1"/>
  <c r="O28" i="1" s="1"/>
  <c r="E29" i="1"/>
  <c r="O29" i="1" s="1"/>
  <c r="AZ668" i="1" l="1"/>
  <c r="AZ755" i="1"/>
  <c r="BB639" i="1"/>
  <c r="BB736" i="1"/>
  <c r="BB755" i="1" s="1"/>
  <c r="BB678" i="1"/>
  <c r="BB697" i="1" s="1"/>
  <c r="AZ639" i="1"/>
  <c r="BB649" i="1"/>
  <c r="BB668" i="1" s="1"/>
  <c r="AZ610" i="1"/>
  <c r="BB591" i="1"/>
  <c r="BB610" i="1" s="1"/>
  <c r="AZ726" i="1"/>
  <c r="BB707" i="1"/>
  <c r="BB726" i="1" s="1"/>
  <c r="J24" i="1"/>
  <c r="J19" i="1"/>
  <c r="J20" i="1"/>
  <c r="J23" i="1"/>
  <c r="J26" i="1"/>
  <c r="J22" i="1"/>
  <c r="J18" i="1"/>
  <c r="J28" i="1"/>
  <c r="J27" i="1"/>
  <c r="J29" i="1"/>
  <c r="J25" i="1"/>
  <c r="J21" i="1"/>
  <c r="F12" i="18"/>
  <c r="J12" i="18"/>
  <c r="D12" i="18"/>
  <c r="D10" i="18"/>
  <c r="F10" i="18"/>
  <c r="J10" i="18" s="1"/>
  <c r="H30" i="1"/>
  <c r="J14" i="18" l="1"/>
  <c r="H12" i="18"/>
  <c r="H10" i="18"/>
  <c r="F14" i="18"/>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5" i="2"/>
  <c r="H14" i="18" l="1"/>
  <c r="B16" i="11"/>
  <c r="D18" i="11"/>
  <c r="D16" i="11"/>
  <c r="T5" i="2"/>
  <c r="W5" i="2" s="1"/>
  <c r="P6" i="2"/>
  <c r="P8" i="2"/>
  <c r="P10" i="2"/>
  <c r="P11" i="2"/>
  <c r="P12" i="2"/>
  <c r="P5" i="2"/>
  <c r="D20" i="11" l="1"/>
  <c r="T6" i="2"/>
  <c r="W6" i="2" s="1"/>
  <c r="I27" i="4" s="1"/>
  <c r="T7" i="2"/>
  <c r="W7" i="2" s="1"/>
  <c r="T8" i="2"/>
  <c r="W8" i="2" s="1"/>
  <c r="T9" i="2"/>
  <c r="W9" i="2" s="1"/>
  <c r="T10" i="2"/>
  <c r="W10" i="2" s="1"/>
  <c r="T11" i="2"/>
  <c r="W11" i="2" s="1"/>
  <c r="T12" i="2"/>
  <c r="T13" i="2"/>
  <c r="W13" i="2" s="1"/>
  <c r="T14" i="2"/>
  <c r="W14" i="2" s="1"/>
  <c r="T15" i="2"/>
  <c r="W15" i="2" s="1"/>
  <c r="T16" i="2"/>
  <c r="W16" i="2" s="1"/>
  <c r="T17" i="2"/>
  <c r="W17" i="2" s="1"/>
  <c r="T18" i="2"/>
  <c r="W18" i="2" s="1"/>
  <c r="T19" i="2"/>
  <c r="W19" i="2" s="1"/>
  <c r="T20" i="2"/>
  <c r="W20" i="2" s="1"/>
  <c r="T21" i="2"/>
  <c r="W21" i="2" s="1"/>
  <c r="T22" i="2"/>
  <c r="W22" i="2" s="1"/>
  <c r="T23" i="2"/>
  <c r="W23" i="2" s="1"/>
  <c r="T24" i="2"/>
  <c r="T25" i="2"/>
  <c r="W25" i="2" s="1"/>
  <c r="T26" i="2"/>
  <c r="W26" i="2" s="1"/>
  <c r="T27" i="2"/>
  <c r="W27" i="2" s="1"/>
  <c r="T28" i="2"/>
  <c r="W28" i="2" s="1"/>
  <c r="T29" i="2"/>
  <c r="W29" i="2" s="1"/>
  <c r="T30" i="2"/>
  <c r="W30" i="2" s="1"/>
  <c r="T31" i="2"/>
  <c r="W31" i="2" s="1"/>
  <c r="T32" i="2"/>
  <c r="W32" i="2" s="1"/>
  <c r="T33" i="2"/>
  <c r="W33" i="2" s="1"/>
  <c r="W12" i="2" l="1"/>
  <c r="W24" i="2"/>
  <c r="B3" i="17" l="1"/>
  <c r="B23" i="4" l="1"/>
  <c r="W22" i="1"/>
  <c r="W23" i="1"/>
  <c r="W24" i="1"/>
  <c r="W25" i="1"/>
  <c r="W26" i="1"/>
  <c r="W27" i="1"/>
  <c r="W28" i="1"/>
  <c r="W29" i="1"/>
  <c r="V22" i="1"/>
  <c r="V23" i="1"/>
  <c r="V24" i="1"/>
  <c r="V25" i="1"/>
  <c r="V26" i="1"/>
  <c r="V27" i="1"/>
  <c r="V28" i="1"/>
  <c r="V29" i="1"/>
  <c r="I29" i="4" l="1"/>
  <c r="AA12" i="1"/>
  <c r="AA13" i="1"/>
  <c r="AA14" i="1"/>
  <c r="AA15" i="1"/>
  <c r="AA16" i="1"/>
  <c r="AA17" i="1"/>
  <c r="AA18" i="1"/>
  <c r="AA19" i="1"/>
  <c r="AA20" i="1"/>
  <c r="AA21" i="1"/>
  <c r="AA22" i="1"/>
  <c r="AA23" i="1"/>
  <c r="AA24" i="1"/>
  <c r="AA25" i="1"/>
  <c r="AA26" i="1"/>
  <c r="AA27" i="1"/>
  <c r="AA28" i="1"/>
  <c r="AA29" i="1"/>
  <c r="AA11" i="1"/>
  <c r="BA30" i="1" l="1"/>
  <c r="AF12" i="1"/>
  <c r="AF13" i="1"/>
  <c r="AF14" i="1"/>
  <c r="AF15" i="1"/>
  <c r="AF16" i="1"/>
  <c r="AF17" i="1"/>
  <c r="AF18" i="1"/>
  <c r="AF19" i="1"/>
  <c r="AF20" i="1"/>
  <c r="AF21" i="1"/>
  <c r="AF22" i="1"/>
  <c r="AF23" i="1"/>
  <c r="AF24" i="1"/>
  <c r="AF25" i="1"/>
  <c r="AF26" i="1"/>
  <c r="AF27" i="1"/>
  <c r="AF28" i="1"/>
  <c r="AF29" i="1"/>
  <c r="AF11" i="1"/>
  <c r="AI11" i="1"/>
  <c r="A754" i="1" l="1"/>
  <c r="A725" i="1"/>
  <c r="A696" i="1"/>
  <c r="A667" i="1"/>
  <c r="A638" i="1"/>
  <c r="A609" i="1"/>
  <c r="A580" i="1"/>
  <c r="A551" i="1"/>
  <c r="A522" i="1"/>
  <c r="A493" i="1"/>
  <c r="A464" i="1"/>
  <c r="A435" i="1"/>
  <c r="A406" i="1"/>
  <c r="A377" i="1"/>
  <c r="A348" i="1"/>
  <c r="A319" i="1"/>
  <c r="A290" i="1"/>
  <c r="A261" i="1"/>
  <c r="A232" i="1"/>
  <c r="A203" i="1"/>
  <c r="A174" i="1"/>
  <c r="A145" i="1"/>
  <c r="A116" i="1"/>
  <c r="A87" i="1"/>
  <c r="A58" i="1"/>
  <c r="A30" i="1"/>
  <c r="BI580" i="1" l="1"/>
  <c r="BE580" i="1"/>
  <c r="Y580" i="1"/>
  <c r="R580" i="1"/>
  <c r="BM580" i="1"/>
  <c r="BH580" i="1"/>
  <c r="X580" i="1"/>
  <c r="M580" i="1"/>
  <c r="BK580" i="1"/>
  <c r="BG580" i="1"/>
  <c r="BJ580" i="1"/>
  <c r="BF580" i="1"/>
  <c r="P580" i="1"/>
  <c r="BC580" i="1" s="1"/>
  <c r="L580" i="1"/>
  <c r="AM580" i="1" s="1"/>
  <c r="BI551" i="1"/>
  <c r="BE551" i="1"/>
  <c r="Y551" i="1"/>
  <c r="R551" i="1"/>
  <c r="BM551" i="1"/>
  <c r="BH551" i="1"/>
  <c r="X551" i="1"/>
  <c r="M551" i="1"/>
  <c r="BK551" i="1"/>
  <c r="BG551" i="1"/>
  <c r="BJ551" i="1"/>
  <c r="BF551" i="1"/>
  <c r="P551" i="1"/>
  <c r="BC551" i="1" s="1"/>
  <c r="L551" i="1"/>
  <c r="AM551" i="1" s="1"/>
  <c r="BI522" i="1"/>
  <c r="BE522" i="1"/>
  <c r="Y522" i="1"/>
  <c r="R522" i="1"/>
  <c r="BM522" i="1"/>
  <c r="BH522" i="1"/>
  <c r="X522" i="1"/>
  <c r="M522" i="1"/>
  <c r="BK522" i="1"/>
  <c r="BG522" i="1"/>
  <c r="BJ522" i="1"/>
  <c r="BF522" i="1"/>
  <c r="P522" i="1"/>
  <c r="BC522" i="1" s="1"/>
  <c r="L522" i="1"/>
  <c r="AM522" i="1" s="1"/>
  <c r="BI493" i="1"/>
  <c r="BE493" i="1"/>
  <c r="Y493" i="1"/>
  <c r="R493" i="1"/>
  <c r="BM493" i="1"/>
  <c r="BH493" i="1"/>
  <c r="X493" i="1"/>
  <c r="M493" i="1"/>
  <c r="BK493" i="1"/>
  <c r="BG493" i="1"/>
  <c r="BJ493" i="1"/>
  <c r="BF493" i="1"/>
  <c r="P493" i="1"/>
  <c r="BC493" i="1" s="1"/>
  <c r="L493" i="1"/>
  <c r="AM493" i="1" s="1"/>
  <c r="BI464" i="1"/>
  <c r="BE464" i="1"/>
  <c r="Y464" i="1"/>
  <c r="R464" i="1"/>
  <c r="BM464" i="1"/>
  <c r="BH464" i="1"/>
  <c r="X464" i="1"/>
  <c r="M464" i="1"/>
  <c r="BJ464" i="1"/>
  <c r="BF464" i="1"/>
  <c r="BK464" i="1"/>
  <c r="BG464" i="1"/>
  <c r="L464" i="1"/>
  <c r="AM464" i="1" s="1"/>
  <c r="P464" i="1"/>
  <c r="BC464" i="1" s="1"/>
  <c r="BI435" i="1"/>
  <c r="BE435" i="1"/>
  <c r="Y435" i="1"/>
  <c r="R435" i="1"/>
  <c r="M435" i="1"/>
  <c r="BK435" i="1"/>
  <c r="BM435" i="1"/>
  <c r="BH435" i="1"/>
  <c r="X435" i="1"/>
  <c r="BG435" i="1"/>
  <c r="BJ435" i="1"/>
  <c r="BF435" i="1"/>
  <c r="P435" i="1"/>
  <c r="BC435" i="1" s="1"/>
  <c r="L435" i="1"/>
  <c r="AM435" i="1" s="1"/>
  <c r="BI406" i="1"/>
  <c r="BE406" i="1"/>
  <c r="Y406" i="1"/>
  <c r="R406" i="1"/>
  <c r="BK406" i="1"/>
  <c r="BM406" i="1"/>
  <c r="BH406" i="1"/>
  <c r="X406" i="1"/>
  <c r="M406" i="1"/>
  <c r="BG406" i="1"/>
  <c r="BF406" i="1"/>
  <c r="BJ406" i="1"/>
  <c r="P406" i="1"/>
  <c r="BC406" i="1" s="1"/>
  <c r="L406" i="1"/>
  <c r="AM406" i="1" s="1"/>
  <c r="BM377" i="1"/>
  <c r="BH377" i="1"/>
  <c r="X377" i="1"/>
  <c r="M377" i="1"/>
  <c r="BK377" i="1"/>
  <c r="BG377" i="1"/>
  <c r="BI377" i="1"/>
  <c r="BJ377" i="1"/>
  <c r="BF377" i="1"/>
  <c r="BE377" i="1"/>
  <c r="Y377" i="1"/>
  <c r="R377" i="1"/>
  <c r="P377" i="1"/>
  <c r="BC377" i="1" s="1"/>
  <c r="L377" i="1"/>
  <c r="AM377" i="1" s="1"/>
  <c r="BI348" i="1"/>
  <c r="BE348" i="1"/>
  <c r="Y348" i="1"/>
  <c r="R348" i="1"/>
  <c r="BM348" i="1"/>
  <c r="BH348" i="1"/>
  <c r="X348" i="1"/>
  <c r="M348" i="1"/>
  <c r="BK348" i="1"/>
  <c r="BG348" i="1"/>
  <c r="BJ348" i="1"/>
  <c r="BF348" i="1"/>
  <c r="P348" i="1"/>
  <c r="BC348" i="1" s="1"/>
  <c r="L348" i="1"/>
  <c r="AM348" i="1" s="1"/>
  <c r="BM319" i="1"/>
  <c r="BH319" i="1"/>
  <c r="X319" i="1"/>
  <c r="M319" i="1"/>
  <c r="BK319" i="1"/>
  <c r="BG319" i="1"/>
  <c r="BJ319" i="1"/>
  <c r="BF319" i="1"/>
  <c r="BI319" i="1"/>
  <c r="BE319" i="1"/>
  <c r="Y319" i="1"/>
  <c r="R319" i="1"/>
  <c r="L319" i="1"/>
  <c r="AM319" i="1" s="1"/>
  <c r="P319" i="1"/>
  <c r="BC319" i="1" s="1"/>
  <c r="BK290" i="1"/>
  <c r="BG290" i="1"/>
  <c r="BJ290" i="1"/>
  <c r="BF290" i="1"/>
  <c r="BI290" i="1"/>
  <c r="BE290" i="1"/>
  <c r="Y290" i="1"/>
  <c r="R290" i="1"/>
  <c r="BM290" i="1"/>
  <c r="BH290" i="1"/>
  <c r="X290" i="1"/>
  <c r="M290" i="1"/>
  <c r="L290" i="1"/>
  <c r="AM290" i="1" s="1"/>
  <c r="P290" i="1"/>
  <c r="BC290" i="1" s="1"/>
  <c r="BJ261" i="1"/>
  <c r="BF261" i="1"/>
  <c r="BI261" i="1"/>
  <c r="BE261" i="1"/>
  <c r="Y261" i="1"/>
  <c r="R261" i="1"/>
  <c r="BM261" i="1"/>
  <c r="BH261" i="1"/>
  <c r="X261" i="1"/>
  <c r="M261" i="1"/>
  <c r="BK261" i="1"/>
  <c r="BG261" i="1"/>
  <c r="L261" i="1"/>
  <c r="AM261" i="1" s="1"/>
  <c r="P261" i="1"/>
  <c r="BC261" i="1" s="1"/>
  <c r="BI232" i="1"/>
  <c r="BE232" i="1"/>
  <c r="Y232" i="1"/>
  <c r="R232" i="1"/>
  <c r="BM232" i="1"/>
  <c r="BH232" i="1"/>
  <c r="X232" i="1"/>
  <c r="M232" i="1"/>
  <c r="BK232" i="1"/>
  <c r="BG232" i="1"/>
  <c r="BJ232" i="1"/>
  <c r="BF232" i="1"/>
  <c r="P232" i="1"/>
  <c r="BC232" i="1" s="1"/>
  <c r="L232" i="1"/>
  <c r="AM232" i="1" s="1"/>
  <c r="BK203" i="1"/>
  <c r="BG203" i="1"/>
  <c r="BJ203" i="1"/>
  <c r="BF203" i="1"/>
  <c r="BI203" i="1"/>
  <c r="BE203" i="1"/>
  <c r="Y203" i="1"/>
  <c r="R203" i="1"/>
  <c r="BM203" i="1"/>
  <c r="BH203" i="1"/>
  <c r="X203" i="1"/>
  <c r="M203" i="1"/>
  <c r="L203" i="1"/>
  <c r="AM203" i="1" s="1"/>
  <c r="P203" i="1"/>
  <c r="BC203" i="1" s="1"/>
  <c r="BJ174" i="1"/>
  <c r="BF174" i="1"/>
  <c r="BI174" i="1"/>
  <c r="BE174" i="1"/>
  <c r="Y174" i="1"/>
  <c r="R174" i="1"/>
  <c r="BM174" i="1"/>
  <c r="BH174" i="1"/>
  <c r="X174" i="1"/>
  <c r="M174" i="1"/>
  <c r="BK174" i="1"/>
  <c r="BG174" i="1"/>
  <c r="P174" i="1"/>
  <c r="BC174" i="1" s="1"/>
  <c r="L174" i="1"/>
  <c r="AM174" i="1" s="1"/>
  <c r="BJ145" i="1"/>
  <c r="BF145" i="1"/>
  <c r="BI145" i="1"/>
  <c r="BE145" i="1"/>
  <c r="Y145" i="1"/>
  <c r="R145" i="1"/>
  <c r="BM145" i="1"/>
  <c r="BH145" i="1"/>
  <c r="X145" i="1"/>
  <c r="M145" i="1"/>
  <c r="BK145" i="1"/>
  <c r="BG145" i="1"/>
  <c r="L145" i="1"/>
  <c r="AM145" i="1" s="1"/>
  <c r="P145" i="1"/>
  <c r="BC145" i="1" s="1"/>
  <c r="BI116" i="1"/>
  <c r="BE116" i="1"/>
  <c r="Y116" i="1"/>
  <c r="R116" i="1"/>
  <c r="BM116" i="1"/>
  <c r="BH116" i="1"/>
  <c r="X116" i="1"/>
  <c r="M116" i="1"/>
  <c r="BK116" i="1"/>
  <c r="BG116" i="1"/>
  <c r="BJ116" i="1"/>
  <c r="BF116" i="1"/>
  <c r="L116" i="1"/>
  <c r="AM116" i="1" s="1"/>
  <c r="P116" i="1"/>
  <c r="BC116" i="1" s="1"/>
  <c r="BK87" i="1"/>
  <c r="BG87" i="1"/>
  <c r="BJ87" i="1"/>
  <c r="BF87" i="1"/>
  <c r="M87" i="1"/>
  <c r="BI87" i="1"/>
  <c r="BE87" i="1"/>
  <c r="Y87" i="1"/>
  <c r="R87" i="1"/>
  <c r="BM87" i="1"/>
  <c r="BH87" i="1"/>
  <c r="X87" i="1"/>
  <c r="P87" i="1"/>
  <c r="BC87" i="1" s="1"/>
  <c r="L87" i="1"/>
  <c r="AM87" i="1" s="1"/>
  <c r="BK58" i="1"/>
  <c r="BG58" i="1"/>
  <c r="BI58" i="1"/>
  <c r="BE58" i="1"/>
  <c r="Y58" i="1"/>
  <c r="R58" i="1"/>
  <c r="BJ58" i="1"/>
  <c r="BF58" i="1"/>
  <c r="BM58" i="1"/>
  <c r="BH58" i="1"/>
  <c r="X58" i="1"/>
  <c r="M58" i="1"/>
  <c r="P58" i="1"/>
  <c r="BC58" i="1" s="1"/>
  <c r="L58" i="1"/>
  <c r="AM58" i="1" s="1"/>
  <c r="AA30" i="1"/>
  <c r="A33" i="2"/>
  <c r="A32" i="2"/>
  <c r="A31" i="2"/>
  <c r="A30" i="2"/>
  <c r="A29" i="2"/>
  <c r="A28" i="2"/>
  <c r="A27" i="2"/>
  <c r="A26" i="2"/>
  <c r="A25" i="2"/>
  <c r="A24" i="2"/>
  <c r="A6" i="2"/>
  <c r="A7" i="2"/>
  <c r="A8" i="2"/>
  <c r="A9" i="2"/>
  <c r="A10" i="2"/>
  <c r="A11" i="2"/>
  <c r="A12" i="2"/>
  <c r="A13" i="2"/>
  <c r="A14" i="2"/>
  <c r="A15" i="2"/>
  <c r="A16" i="2"/>
  <c r="A17" i="2"/>
  <c r="A18" i="2"/>
  <c r="A19" i="2"/>
  <c r="A20" i="2"/>
  <c r="A21" i="2"/>
  <c r="A22" i="2"/>
  <c r="A23" i="2"/>
  <c r="A5" i="2"/>
  <c r="BB580" i="1" l="1"/>
  <c r="AN580" i="1"/>
  <c r="BB551" i="1"/>
  <c r="AN551" i="1"/>
  <c r="BB522" i="1"/>
  <c r="AN522" i="1"/>
  <c r="BB493" i="1"/>
  <c r="AN493" i="1"/>
  <c r="BB464" i="1"/>
  <c r="AN464" i="1"/>
  <c r="BB435" i="1"/>
  <c r="AN435" i="1"/>
  <c r="BB406" i="1"/>
  <c r="AN406" i="1"/>
  <c r="BB377" i="1"/>
  <c r="AN377" i="1"/>
  <c r="BB348" i="1"/>
  <c r="AN348" i="1"/>
  <c r="AN319" i="1"/>
  <c r="BB319" i="1"/>
  <c r="BB290" i="1"/>
  <c r="AN290" i="1"/>
  <c r="BB261" i="1"/>
  <c r="AN261" i="1"/>
  <c r="BB232" i="1"/>
  <c r="AN232" i="1"/>
  <c r="BB203" i="1"/>
  <c r="AN203" i="1"/>
  <c r="BB174" i="1"/>
  <c r="AN174" i="1"/>
  <c r="BB145" i="1"/>
  <c r="AN145" i="1"/>
  <c r="BB116" i="1"/>
  <c r="AN116" i="1"/>
  <c r="BB87" i="1"/>
  <c r="AN87" i="1"/>
  <c r="BB58" i="1"/>
  <c r="AN58" i="1"/>
  <c r="A736" i="1"/>
  <c r="A737" i="1"/>
  <c r="A738" i="1"/>
  <c r="A739" i="1"/>
  <c r="A740" i="1"/>
  <c r="A741" i="1"/>
  <c r="A742" i="1"/>
  <c r="A743" i="1"/>
  <c r="A744" i="1"/>
  <c r="A745" i="1"/>
  <c r="A746" i="1"/>
  <c r="A747" i="1"/>
  <c r="A748" i="1"/>
  <c r="A749" i="1"/>
  <c r="A750" i="1"/>
  <c r="A751" i="1"/>
  <c r="A752" i="1"/>
  <c r="A753" i="1"/>
  <c r="A735" i="1"/>
  <c r="A707" i="1"/>
  <c r="A708" i="1"/>
  <c r="A709" i="1"/>
  <c r="A710" i="1"/>
  <c r="A711" i="1"/>
  <c r="A712" i="1"/>
  <c r="A713" i="1"/>
  <c r="A714" i="1"/>
  <c r="A715" i="1"/>
  <c r="A716" i="1"/>
  <c r="A717" i="1"/>
  <c r="A718" i="1"/>
  <c r="A719" i="1"/>
  <c r="A720" i="1"/>
  <c r="A721" i="1"/>
  <c r="A722" i="1"/>
  <c r="A723" i="1"/>
  <c r="A724" i="1"/>
  <c r="A706" i="1"/>
  <c r="A678" i="1"/>
  <c r="A679" i="1"/>
  <c r="A680" i="1"/>
  <c r="A681" i="1"/>
  <c r="A682" i="1"/>
  <c r="A683" i="1"/>
  <c r="A684" i="1"/>
  <c r="A685" i="1"/>
  <c r="A686" i="1"/>
  <c r="A687" i="1"/>
  <c r="A688" i="1"/>
  <c r="A689" i="1"/>
  <c r="A690" i="1"/>
  <c r="A691" i="1"/>
  <c r="A692" i="1"/>
  <c r="A693" i="1"/>
  <c r="A694" i="1"/>
  <c r="A695" i="1"/>
  <c r="A677" i="1"/>
  <c r="A649" i="1"/>
  <c r="A650" i="1"/>
  <c r="A651" i="1"/>
  <c r="A652" i="1"/>
  <c r="A653" i="1"/>
  <c r="A654" i="1"/>
  <c r="A655" i="1"/>
  <c r="A656" i="1"/>
  <c r="A657" i="1"/>
  <c r="A658" i="1"/>
  <c r="A659" i="1"/>
  <c r="A660" i="1"/>
  <c r="A661" i="1"/>
  <c r="A662" i="1"/>
  <c r="A663" i="1"/>
  <c r="A664" i="1"/>
  <c r="A665" i="1"/>
  <c r="A666" i="1"/>
  <c r="A648" i="1"/>
  <c r="A620" i="1"/>
  <c r="A621" i="1"/>
  <c r="A622" i="1"/>
  <c r="A623" i="1"/>
  <c r="A624" i="1"/>
  <c r="A625" i="1"/>
  <c r="A626" i="1"/>
  <c r="A627" i="1"/>
  <c r="A628" i="1"/>
  <c r="A629" i="1"/>
  <c r="A630" i="1"/>
  <c r="A631" i="1"/>
  <c r="A632" i="1"/>
  <c r="A633" i="1"/>
  <c r="A634" i="1"/>
  <c r="A635" i="1"/>
  <c r="A636" i="1"/>
  <c r="A637" i="1"/>
  <c r="A619" i="1"/>
  <c r="A591" i="1"/>
  <c r="A592" i="1"/>
  <c r="A593" i="1"/>
  <c r="A594" i="1"/>
  <c r="A595" i="1"/>
  <c r="A596" i="1"/>
  <c r="A597" i="1"/>
  <c r="A598" i="1"/>
  <c r="A599" i="1"/>
  <c r="A600" i="1"/>
  <c r="A601" i="1"/>
  <c r="A602" i="1"/>
  <c r="A603" i="1"/>
  <c r="A604" i="1"/>
  <c r="A605" i="1"/>
  <c r="A606" i="1"/>
  <c r="A607" i="1"/>
  <c r="A608" i="1"/>
  <c r="A590" i="1"/>
  <c r="A562" i="1"/>
  <c r="A563" i="1"/>
  <c r="A564" i="1"/>
  <c r="A565" i="1"/>
  <c r="A566" i="1"/>
  <c r="A567" i="1"/>
  <c r="A568" i="1"/>
  <c r="A569" i="1"/>
  <c r="A570" i="1"/>
  <c r="A571" i="1"/>
  <c r="A572" i="1"/>
  <c r="A573" i="1"/>
  <c r="A574" i="1"/>
  <c r="A575" i="1"/>
  <c r="A576" i="1"/>
  <c r="A577" i="1"/>
  <c r="A578" i="1"/>
  <c r="A579" i="1"/>
  <c r="A561" i="1"/>
  <c r="A533" i="1"/>
  <c r="A534" i="1"/>
  <c r="A535" i="1"/>
  <c r="A536" i="1"/>
  <c r="A537" i="1"/>
  <c r="A538" i="1"/>
  <c r="A539" i="1"/>
  <c r="A540" i="1"/>
  <c r="A541" i="1"/>
  <c r="A542" i="1"/>
  <c r="A543" i="1"/>
  <c r="A544" i="1"/>
  <c r="A545" i="1"/>
  <c r="A546" i="1"/>
  <c r="A547" i="1"/>
  <c r="A548" i="1"/>
  <c r="A549" i="1"/>
  <c r="A550" i="1"/>
  <c r="A532" i="1"/>
  <c r="A504" i="1"/>
  <c r="A505" i="1"/>
  <c r="A506" i="1"/>
  <c r="A507" i="1"/>
  <c r="A508" i="1"/>
  <c r="A509" i="1"/>
  <c r="A510" i="1"/>
  <c r="A511" i="1"/>
  <c r="A512" i="1"/>
  <c r="A513" i="1"/>
  <c r="A514" i="1"/>
  <c r="A515" i="1"/>
  <c r="A516" i="1"/>
  <c r="A517" i="1"/>
  <c r="A518" i="1"/>
  <c r="A519" i="1"/>
  <c r="A520" i="1"/>
  <c r="A521" i="1"/>
  <c r="A503" i="1"/>
  <c r="A475" i="1"/>
  <c r="A476" i="1"/>
  <c r="A477" i="1"/>
  <c r="A478" i="1"/>
  <c r="A479" i="1"/>
  <c r="A480" i="1"/>
  <c r="A481" i="1"/>
  <c r="A482" i="1"/>
  <c r="A483" i="1"/>
  <c r="A484" i="1"/>
  <c r="A485" i="1"/>
  <c r="A486" i="1"/>
  <c r="A487" i="1"/>
  <c r="A488" i="1"/>
  <c r="A489" i="1"/>
  <c r="A490" i="1"/>
  <c r="A491" i="1"/>
  <c r="A492" i="1"/>
  <c r="A474" i="1"/>
  <c r="A446" i="1"/>
  <c r="A447" i="1"/>
  <c r="A448" i="1"/>
  <c r="A449" i="1"/>
  <c r="A450" i="1"/>
  <c r="A451" i="1"/>
  <c r="A452" i="1"/>
  <c r="A453" i="1"/>
  <c r="A454" i="1"/>
  <c r="A455" i="1"/>
  <c r="A456" i="1"/>
  <c r="A457" i="1"/>
  <c r="A458" i="1"/>
  <c r="A459" i="1"/>
  <c r="A460" i="1"/>
  <c r="A461" i="1"/>
  <c r="A462" i="1"/>
  <c r="A463" i="1"/>
  <c r="A445" i="1"/>
  <c r="A417" i="1"/>
  <c r="A418" i="1"/>
  <c r="A419" i="1"/>
  <c r="A420" i="1"/>
  <c r="A421" i="1"/>
  <c r="A422" i="1"/>
  <c r="A423" i="1"/>
  <c r="A424" i="1"/>
  <c r="A425" i="1"/>
  <c r="A426" i="1"/>
  <c r="A427" i="1"/>
  <c r="A428" i="1"/>
  <c r="A429" i="1"/>
  <c r="A430" i="1"/>
  <c r="A431" i="1"/>
  <c r="A432" i="1"/>
  <c r="A433" i="1"/>
  <c r="A434" i="1"/>
  <c r="A416" i="1"/>
  <c r="A388" i="1"/>
  <c r="A389" i="1"/>
  <c r="A390" i="1"/>
  <c r="A391" i="1"/>
  <c r="A392" i="1"/>
  <c r="A393" i="1"/>
  <c r="A394" i="1"/>
  <c r="A395" i="1"/>
  <c r="A396" i="1"/>
  <c r="A397" i="1"/>
  <c r="A398" i="1"/>
  <c r="A399" i="1"/>
  <c r="A400" i="1"/>
  <c r="A401" i="1"/>
  <c r="A402" i="1"/>
  <c r="A403" i="1"/>
  <c r="A404" i="1"/>
  <c r="A405" i="1"/>
  <c r="A387" i="1"/>
  <c r="A359" i="1"/>
  <c r="A360" i="1"/>
  <c r="A361" i="1"/>
  <c r="A362" i="1"/>
  <c r="A363" i="1"/>
  <c r="A364" i="1"/>
  <c r="A365" i="1"/>
  <c r="A366" i="1"/>
  <c r="A367" i="1"/>
  <c r="A368" i="1"/>
  <c r="A369" i="1"/>
  <c r="A370" i="1"/>
  <c r="A371" i="1"/>
  <c r="A372" i="1"/>
  <c r="A373" i="1"/>
  <c r="A374" i="1"/>
  <c r="A375" i="1"/>
  <c r="A376" i="1"/>
  <c r="A358" i="1"/>
  <c r="A330" i="1"/>
  <c r="A331" i="1"/>
  <c r="A332" i="1"/>
  <c r="A333" i="1"/>
  <c r="A334" i="1"/>
  <c r="A335" i="1"/>
  <c r="A336" i="1"/>
  <c r="A337" i="1"/>
  <c r="A338" i="1"/>
  <c r="A339" i="1"/>
  <c r="A340" i="1"/>
  <c r="A341" i="1"/>
  <c r="A342" i="1"/>
  <c r="A343" i="1"/>
  <c r="A344" i="1"/>
  <c r="A345" i="1"/>
  <c r="A346" i="1"/>
  <c r="A347" i="1"/>
  <c r="A329" i="1"/>
  <c r="A301" i="1"/>
  <c r="A302" i="1"/>
  <c r="A303" i="1"/>
  <c r="A304" i="1"/>
  <c r="A305" i="1"/>
  <c r="A306" i="1"/>
  <c r="A307" i="1"/>
  <c r="A308" i="1"/>
  <c r="A309" i="1"/>
  <c r="A310" i="1"/>
  <c r="A311" i="1"/>
  <c r="A312" i="1"/>
  <c r="A313" i="1"/>
  <c r="A314" i="1"/>
  <c r="A315" i="1"/>
  <c r="A316" i="1"/>
  <c r="A317" i="1"/>
  <c r="A318" i="1"/>
  <c r="A300" i="1"/>
  <c r="A272" i="1"/>
  <c r="A273" i="1"/>
  <c r="A274" i="1"/>
  <c r="A275" i="1"/>
  <c r="A276" i="1"/>
  <c r="A277" i="1"/>
  <c r="A278" i="1"/>
  <c r="A279" i="1"/>
  <c r="A280" i="1"/>
  <c r="A281" i="1"/>
  <c r="A282" i="1"/>
  <c r="A283" i="1"/>
  <c r="A284" i="1"/>
  <c r="A285" i="1"/>
  <c r="A286" i="1"/>
  <c r="A287" i="1"/>
  <c r="A288" i="1"/>
  <c r="A289" i="1"/>
  <c r="A271" i="1"/>
  <c r="A243" i="1"/>
  <c r="A244" i="1"/>
  <c r="A245" i="1"/>
  <c r="A246" i="1"/>
  <c r="A247" i="1"/>
  <c r="A248" i="1"/>
  <c r="A249" i="1"/>
  <c r="A250" i="1"/>
  <c r="A251" i="1"/>
  <c r="A252" i="1"/>
  <c r="A253" i="1"/>
  <c r="A254" i="1"/>
  <c r="A255" i="1"/>
  <c r="A256" i="1"/>
  <c r="A257" i="1"/>
  <c r="A258" i="1"/>
  <c r="A259" i="1"/>
  <c r="A260" i="1"/>
  <c r="A242" i="1"/>
  <c r="A214" i="1"/>
  <c r="A215" i="1"/>
  <c r="A216" i="1"/>
  <c r="A217" i="1"/>
  <c r="A218" i="1"/>
  <c r="A219" i="1"/>
  <c r="A220" i="1"/>
  <c r="A221" i="1"/>
  <c r="A222" i="1"/>
  <c r="A223" i="1"/>
  <c r="A224" i="1"/>
  <c r="A225" i="1"/>
  <c r="A226" i="1"/>
  <c r="A227" i="1"/>
  <c r="A228" i="1"/>
  <c r="A229" i="1"/>
  <c r="A230" i="1"/>
  <c r="A231" i="1"/>
  <c r="A213" i="1"/>
  <c r="A185" i="1"/>
  <c r="A186" i="1"/>
  <c r="A187" i="1"/>
  <c r="A188" i="1"/>
  <c r="A189" i="1"/>
  <c r="A190" i="1"/>
  <c r="A191" i="1"/>
  <c r="A192" i="1"/>
  <c r="A193" i="1"/>
  <c r="A194" i="1"/>
  <c r="A195" i="1"/>
  <c r="A196" i="1"/>
  <c r="A197" i="1"/>
  <c r="A198" i="1"/>
  <c r="A199" i="1"/>
  <c r="A200" i="1"/>
  <c r="A201" i="1"/>
  <c r="A202" i="1"/>
  <c r="A184" i="1"/>
  <c r="A156" i="1"/>
  <c r="A157" i="1"/>
  <c r="A158" i="1"/>
  <c r="A159" i="1"/>
  <c r="A160" i="1"/>
  <c r="A161" i="1"/>
  <c r="A162" i="1"/>
  <c r="A163" i="1"/>
  <c r="A164" i="1"/>
  <c r="A165" i="1"/>
  <c r="A166" i="1"/>
  <c r="A167" i="1"/>
  <c r="A168" i="1"/>
  <c r="A169" i="1"/>
  <c r="A170" i="1"/>
  <c r="A171" i="1"/>
  <c r="A172" i="1"/>
  <c r="A173" i="1"/>
  <c r="A155" i="1"/>
  <c r="A127" i="1"/>
  <c r="A128" i="1"/>
  <c r="A129" i="1"/>
  <c r="A130" i="1"/>
  <c r="A131" i="1"/>
  <c r="A132" i="1"/>
  <c r="A133" i="1"/>
  <c r="A134" i="1"/>
  <c r="A135" i="1"/>
  <c r="A136" i="1"/>
  <c r="A137" i="1"/>
  <c r="A138" i="1"/>
  <c r="A139" i="1"/>
  <c r="A140" i="1"/>
  <c r="A141" i="1"/>
  <c r="A142" i="1"/>
  <c r="A143" i="1"/>
  <c r="A144" i="1"/>
  <c r="A126" i="1"/>
  <c r="A98" i="1"/>
  <c r="A99" i="1"/>
  <c r="A100" i="1"/>
  <c r="A101" i="1"/>
  <c r="A102" i="1"/>
  <c r="A103" i="1"/>
  <c r="A104" i="1"/>
  <c r="A105" i="1"/>
  <c r="A106" i="1"/>
  <c r="A107" i="1"/>
  <c r="A108" i="1"/>
  <c r="A109" i="1"/>
  <c r="A110" i="1"/>
  <c r="A111" i="1"/>
  <c r="A112" i="1"/>
  <c r="A113" i="1"/>
  <c r="A114" i="1"/>
  <c r="A115" i="1"/>
  <c r="A97" i="1"/>
  <c r="A69" i="1"/>
  <c r="A70" i="1"/>
  <c r="A71" i="1"/>
  <c r="A72" i="1"/>
  <c r="A73" i="1"/>
  <c r="A74" i="1"/>
  <c r="A75" i="1"/>
  <c r="A76" i="1"/>
  <c r="A77" i="1"/>
  <c r="A78" i="1"/>
  <c r="A79" i="1"/>
  <c r="A80" i="1"/>
  <c r="A81" i="1"/>
  <c r="A82" i="1"/>
  <c r="A83" i="1"/>
  <c r="A84" i="1"/>
  <c r="A85" i="1"/>
  <c r="A86" i="1"/>
  <c r="A68" i="1"/>
  <c r="A40" i="1"/>
  <c r="A41" i="1"/>
  <c r="A42" i="1"/>
  <c r="A43" i="1"/>
  <c r="A44" i="1"/>
  <c r="A45" i="1"/>
  <c r="A46" i="1"/>
  <c r="A47" i="1"/>
  <c r="A48" i="1"/>
  <c r="A49" i="1"/>
  <c r="A50" i="1"/>
  <c r="A51" i="1"/>
  <c r="A52" i="1"/>
  <c r="A53" i="1"/>
  <c r="A54" i="1"/>
  <c r="A55" i="1"/>
  <c r="A56" i="1"/>
  <c r="A57" i="1"/>
  <c r="A39" i="1"/>
  <c r="A12" i="1"/>
  <c r="A13" i="1"/>
  <c r="A14" i="1"/>
  <c r="A15" i="1"/>
  <c r="A16" i="1"/>
  <c r="A17" i="1"/>
  <c r="A18" i="1"/>
  <c r="BL18" i="1" s="1"/>
  <c r="A19" i="1"/>
  <c r="BL19" i="1" s="1"/>
  <c r="A20" i="1"/>
  <c r="BL20" i="1" s="1"/>
  <c r="A21" i="1"/>
  <c r="BL21" i="1" s="1"/>
  <c r="A22" i="1"/>
  <c r="BL22" i="1" s="1"/>
  <c r="A23" i="1"/>
  <c r="BL23" i="1" s="1"/>
  <c r="A24" i="1"/>
  <c r="BL24" i="1" s="1"/>
  <c r="A25" i="1"/>
  <c r="BL25" i="1" s="1"/>
  <c r="A26" i="1"/>
  <c r="BL26" i="1" s="1"/>
  <c r="A27" i="1"/>
  <c r="BL27" i="1" s="1"/>
  <c r="A28" i="1"/>
  <c r="BL28" i="1" s="1"/>
  <c r="A29" i="1"/>
  <c r="BL29" i="1" s="1"/>
  <c r="A11" i="1"/>
  <c r="AA34" i="2"/>
  <c r="U34" i="2"/>
  <c r="E10" i="10"/>
  <c r="E8" i="10"/>
  <c r="E6" i="10"/>
  <c r="E3" i="10"/>
  <c r="BL652" i="1" l="1"/>
  <c r="BL536" i="1"/>
  <c r="BL420" i="1"/>
  <c r="BL304" i="1"/>
  <c r="BL188" i="1"/>
  <c r="BL72" i="1"/>
  <c r="BL681" i="1"/>
  <c r="BL565" i="1"/>
  <c r="BL449" i="1"/>
  <c r="BL333" i="1"/>
  <c r="BL217" i="1"/>
  <c r="BL101" i="1"/>
  <c r="BL14" i="1"/>
  <c r="BL710" i="1"/>
  <c r="BL594" i="1"/>
  <c r="BL478" i="1"/>
  <c r="BL362" i="1"/>
  <c r="BL246" i="1"/>
  <c r="BL130" i="1"/>
  <c r="BL43" i="1"/>
  <c r="BL739" i="1"/>
  <c r="BL623" i="1"/>
  <c r="BL507" i="1"/>
  <c r="BL391" i="1"/>
  <c r="BL275" i="1"/>
  <c r="BL159" i="1"/>
  <c r="BK739" i="1"/>
  <c r="BH710" i="1"/>
  <c r="BK681" i="1"/>
  <c r="BH652" i="1"/>
  <c r="BK623" i="1"/>
  <c r="BH594" i="1"/>
  <c r="BJ652" i="1"/>
  <c r="BJ739" i="1"/>
  <c r="BG710" i="1"/>
  <c r="BJ681" i="1"/>
  <c r="BG652" i="1"/>
  <c r="BJ623" i="1"/>
  <c r="BG594" i="1"/>
  <c r="BH739" i="1"/>
  <c r="BK710" i="1"/>
  <c r="BH681" i="1"/>
  <c r="BK652" i="1"/>
  <c r="BH623" i="1"/>
  <c r="BK594" i="1"/>
  <c r="BG739" i="1"/>
  <c r="BJ710" i="1"/>
  <c r="BG681" i="1"/>
  <c r="BG623" i="1"/>
  <c r="BJ594" i="1"/>
  <c r="BL678" i="1"/>
  <c r="BL562" i="1"/>
  <c r="BL446" i="1"/>
  <c r="BL330" i="1"/>
  <c r="BL214" i="1"/>
  <c r="BL98" i="1"/>
  <c r="BL707" i="1"/>
  <c r="BL591" i="1"/>
  <c r="BL475" i="1"/>
  <c r="BL359" i="1"/>
  <c r="BL243" i="1"/>
  <c r="BL127" i="1"/>
  <c r="BL11" i="1"/>
  <c r="BL736" i="1"/>
  <c r="BL620" i="1"/>
  <c r="BL504" i="1"/>
  <c r="BL388" i="1"/>
  <c r="BL272" i="1"/>
  <c r="BL156" i="1"/>
  <c r="BL40" i="1"/>
  <c r="H14" i="4"/>
  <c r="BL649" i="1"/>
  <c r="BL533" i="1"/>
  <c r="BL417" i="1"/>
  <c r="BL301" i="1"/>
  <c r="BL185" i="1"/>
  <c r="BL69" i="1"/>
  <c r="BJ736" i="1"/>
  <c r="BG707" i="1"/>
  <c r="BJ678" i="1"/>
  <c r="BG649" i="1"/>
  <c r="BJ620" i="1"/>
  <c r="BG591" i="1"/>
  <c r="BH736" i="1"/>
  <c r="BK707" i="1"/>
  <c r="BH678" i="1"/>
  <c r="BK649" i="1"/>
  <c r="BH620" i="1"/>
  <c r="BK591" i="1"/>
  <c r="BH591" i="1"/>
  <c r="BG736" i="1"/>
  <c r="BJ707" i="1"/>
  <c r="BG678" i="1"/>
  <c r="BJ649" i="1"/>
  <c r="BG620" i="1"/>
  <c r="BJ591" i="1"/>
  <c r="BK736" i="1"/>
  <c r="BH707" i="1"/>
  <c r="BK678" i="1"/>
  <c r="BH649" i="1"/>
  <c r="BK620" i="1"/>
  <c r="BL742" i="1"/>
  <c r="BL626" i="1"/>
  <c r="BL510" i="1"/>
  <c r="BL394" i="1"/>
  <c r="BL278" i="1"/>
  <c r="BL162" i="1"/>
  <c r="BL46" i="1"/>
  <c r="BL17" i="1"/>
  <c r="BL75" i="1"/>
  <c r="BL655" i="1"/>
  <c r="BL539" i="1"/>
  <c r="BL423" i="1"/>
  <c r="BL307" i="1"/>
  <c r="BL191" i="1"/>
  <c r="BL684" i="1"/>
  <c r="BL568" i="1"/>
  <c r="BL452" i="1"/>
  <c r="BL336" i="1"/>
  <c r="BL220" i="1"/>
  <c r="BL104" i="1"/>
  <c r="BL713" i="1"/>
  <c r="BL597" i="1"/>
  <c r="BL481" i="1"/>
  <c r="BL365" i="1"/>
  <c r="BL249" i="1"/>
  <c r="BL133" i="1"/>
  <c r="BG742" i="1"/>
  <c r="BJ713" i="1"/>
  <c r="BG684" i="1"/>
  <c r="BJ655" i="1"/>
  <c r="BG626" i="1"/>
  <c r="BJ597" i="1"/>
  <c r="BK742" i="1"/>
  <c r="BH713" i="1"/>
  <c r="BK684" i="1"/>
  <c r="BH655" i="1"/>
  <c r="BK626" i="1"/>
  <c r="BH597" i="1"/>
  <c r="BH626" i="1"/>
  <c r="BK597" i="1"/>
  <c r="BJ742" i="1"/>
  <c r="BG713" i="1"/>
  <c r="BJ684" i="1"/>
  <c r="BG655" i="1"/>
  <c r="BJ626" i="1"/>
  <c r="BG597" i="1"/>
  <c r="BH742" i="1"/>
  <c r="BK713" i="1"/>
  <c r="BH684" i="1"/>
  <c r="BK655" i="1"/>
  <c r="BL738" i="1"/>
  <c r="BL622" i="1"/>
  <c r="BL506" i="1"/>
  <c r="BL390" i="1"/>
  <c r="BL274" i="1"/>
  <c r="BL158" i="1"/>
  <c r="BL42" i="1"/>
  <c r="BL13" i="1"/>
  <c r="BL71" i="1"/>
  <c r="BL651" i="1"/>
  <c r="BL535" i="1"/>
  <c r="BL419" i="1"/>
  <c r="BL303" i="1"/>
  <c r="BL187" i="1"/>
  <c r="BL680" i="1"/>
  <c r="BL564" i="1"/>
  <c r="BL448" i="1"/>
  <c r="BL332" i="1"/>
  <c r="BL216" i="1"/>
  <c r="BL100" i="1"/>
  <c r="BL709" i="1"/>
  <c r="BL593" i="1"/>
  <c r="BL477" i="1"/>
  <c r="BL361" i="1"/>
  <c r="BL245" i="1"/>
  <c r="BL129" i="1"/>
  <c r="BG738" i="1"/>
  <c r="BJ709" i="1"/>
  <c r="BG680" i="1"/>
  <c r="BJ651" i="1"/>
  <c r="BG622" i="1"/>
  <c r="BJ593" i="1"/>
  <c r="BH622" i="1"/>
  <c r="BK738" i="1"/>
  <c r="BH709" i="1"/>
  <c r="BK680" i="1"/>
  <c r="BH651" i="1"/>
  <c r="BK622" i="1"/>
  <c r="BH593" i="1"/>
  <c r="BJ738" i="1"/>
  <c r="BG709" i="1"/>
  <c r="BJ680" i="1"/>
  <c r="BG651" i="1"/>
  <c r="BJ622" i="1"/>
  <c r="BG593" i="1"/>
  <c r="BH738" i="1"/>
  <c r="BK709" i="1"/>
  <c r="BH680" i="1"/>
  <c r="BK651" i="1"/>
  <c r="BK593" i="1"/>
  <c r="BL712" i="1"/>
  <c r="BL596" i="1"/>
  <c r="BL480" i="1"/>
  <c r="BL364" i="1"/>
  <c r="BL248" i="1"/>
  <c r="BL132" i="1"/>
  <c r="BL741" i="1"/>
  <c r="BL625" i="1"/>
  <c r="BL509" i="1"/>
  <c r="BL393" i="1"/>
  <c r="BL277" i="1"/>
  <c r="BL161" i="1"/>
  <c r="BL45" i="1"/>
  <c r="BL654" i="1"/>
  <c r="BL538" i="1"/>
  <c r="BL422" i="1"/>
  <c r="BL306" i="1"/>
  <c r="BL190" i="1"/>
  <c r="BL74" i="1"/>
  <c r="BL16" i="1"/>
  <c r="BL683" i="1"/>
  <c r="BL567" i="1"/>
  <c r="BL451" i="1"/>
  <c r="BL335" i="1"/>
  <c r="BL219" i="1"/>
  <c r="BL103" i="1"/>
  <c r="BH741" i="1"/>
  <c r="BK712" i="1"/>
  <c r="BH683" i="1"/>
  <c r="BK654" i="1"/>
  <c r="BH625" i="1"/>
  <c r="BK596" i="1"/>
  <c r="BG741" i="1"/>
  <c r="BJ712" i="1"/>
  <c r="BG683" i="1"/>
  <c r="BJ654" i="1"/>
  <c r="BG625" i="1"/>
  <c r="BJ596" i="1"/>
  <c r="BK741" i="1"/>
  <c r="BH712" i="1"/>
  <c r="BK683" i="1"/>
  <c r="BH654" i="1"/>
  <c r="BK625" i="1"/>
  <c r="BH596" i="1"/>
  <c r="BJ625" i="1"/>
  <c r="BG596" i="1"/>
  <c r="BJ741" i="1"/>
  <c r="BG712" i="1"/>
  <c r="BJ683" i="1"/>
  <c r="BG654" i="1"/>
  <c r="BL708" i="1"/>
  <c r="BL592" i="1"/>
  <c r="BL476" i="1"/>
  <c r="BL360" i="1"/>
  <c r="BL244" i="1"/>
  <c r="BL128" i="1"/>
  <c r="BL737" i="1"/>
  <c r="BL621" i="1"/>
  <c r="BL505" i="1"/>
  <c r="BL389" i="1"/>
  <c r="BL273" i="1"/>
  <c r="BL157" i="1"/>
  <c r="BL41" i="1"/>
  <c r="BL650" i="1"/>
  <c r="BL534" i="1"/>
  <c r="BL418" i="1"/>
  <c r="BL302" i="1"/>
  <c r="BL186" i="1"/>
  <c r="BL70" i="1"/>
  <c r="BL12" i="1"/>
  <c r="BL679" i="1"/>
  <c r="BL563" i="1"/>
  <c r="BL447" i="1"/>
  <c r="BL331" i="1"/>
  <c r="BL215" i="1"/>
  <c r="BL99" i="1"/>
  <c r="BH737" i="1"/>
  <c r="BK708" i="1"/>
  <c r="BH679" i="1"/>
  <c r="BK650" i="1"/>
  <c r="BH621" i="1"/>
  <c r="BK592" i="1"/>
  <c r="BG650" i="1"/>
  <c r="BG592" i="1"/>
  <c r="BG737" i="1"/>
  <c r="BJ708" i="1"/>
  <c r="BG679" i="1"/>
  <c r="BJ650" i="1"/>
  <c r="BG621" i="1"/>
  <c r="BJ592" i="1"/>
  <c r="BK737" i="1"/>
  <c r="BH708" i="1"/>
  <c r="BK679" i="1"/>
  <c r="BH650" i="1"/>
  <c r="BK621" i="1"/>
  <c r="BH592" i="1"/>
  <c r="BJ737" i="1"/>
  <c r="BG708" i="1"/>
  <c r="BJ679" i="1"/>
  <c r="BJ621" i="1"/>
  <c r="BL682" i="1"/>
  <c r="BL566" i="1"/>
  <c r="BL450" i="1"/>
  <c r="BL334" i="1"/>
  <c r="BL218" i="1"/>
  <c r="BL102" i="1"/>
  <c r="BL711" i="1"/>
  <c r="BL595" i="1"/>
  <c r="BL479" i="1"/>
  <c r="BL363" i="1"/>
  <c r="BL247" i="1"/>
  <c r="BL131" i="1"/>
  <c r="BL740" i="1"/>
  <c r="BL624" i="1"/>
  <c r="BL508" i="1"/>
  <c r="BL392" i="1"/>
  <c r="BL276" i="1"/>
  <c r="BL160" i="1"/>
  <c r="BL44" i="1"/>
  <c r="BL15" i="1"/>
  <c r="BL653" i="1"/>
  <c r="BL537" i="1"/>
  <c r="BL421" i="1"/>
  <c r="BL305" i="1"/>
  <c r="BL189" i="1"/>
  <c r="BL73" i="1"/>
  <c r="BJ740" i="1"/>
  <c r="BG711" i="1"/>
  <c r="BJ682" i="1"/>
  <c r="BG653" i="1"/>
  <c r="BJ624" i="1"/>
  <c r="BG595" i="1"/>
  <c r="BH653" i="1"/>
  <c r="BH595" i="1"/>
  <c r="BH740" i="1"/>
  <c r="BK711" i="1"/>
  <c r="BH682" i="1"/>
  <c r="BK653" i="1"/>
  <c r="BH624" i="1"/>
  <c r="BK595" i="1"/>
  <c r="BK624" i="1"/>
  <c r="BG740" i="1"/>
  <c r="BJ711" i="1"/>
  <c r="BG682" i="1"/>
  <c r="BJ653" i="1"/>
  <c r="BG624" i="1"/>
  <c r="BJ595" i="1"/>
  <c r="BK740" i="1"/>
  <c r="BH711" i="1"/>
  <c r="BK682" i="1"/>
  <c r="BI574" i="1"/>
  <c r="BE574" i="1"/>
  <c r="Y574" i="1"/>
  <c r="R574" i="1"/>
  <c r="BM574" i="1"/>
  <c r="BH574" i="1"/>
  <c r="X574" i="1"/>
  <c r="M574" i="1"/>
  <c r="BK574" i="1"/>
  <c r="BG574" i="1"/>
  <c r="BJ574" i="1"/>
  <c r="BF574" i="1"/>
  <c r="L574" i="1"/>
  <c r="AM574" i="1" s="1"/>
  <c r="P574" i="1"/>
  <c r="BC574" i="1" s="1"/>
  <c r="BI576" i="1"/>
  <c r="BE576" i="1"/>
  <c r="Y576" i="1"/>
  <c r="R576" i="1"/>
  <c r="BM576" i="1"/>
  <c r="BH576" i="1"/>
  <c r="X576" i="1"/>
  <c r="M576" i="1"/>
  <c r="BK576" i="1"/>
  <c r="BG576" i="1"/>
  <c r="BJ576" i="1"/>
  <c r="BF576" i="1"/>
  <c r="L576" i="1"/>
  <c r="AM576" i="1" s="1"/>
  <c r="P576" i="1"/>
  <c r="BC576" i="1" s="1"/>
  <c r="BI572" i="1"/>
  <c r="BE572" i="1"/>
  <c r="Y572" i="1"/>
  <c r="R572" i="1"/>
  <c r="BM572" i="1"/>
  <c r="BH572" i="1"/>
  <c r="X572" i="1"/>
  <c r="M572" i="1"/>
  <c r="BK572" i="1"/>
  <c r="BG572" i="1"/>
  <c r="BJ572" i="1"/>
  <c r="BF572" i="1"/>
  <c r="L572" i="1"/>
  <c r="AM572" i="1" s="1"/>
  <c r="P572" i="1"/>
  <c r="BC572" i="1" s="1"/>
  <c r="BG568" i="1"/>
  <c r="V568" i="1"/>
  <c r="BK568" i="1"/>
  <c r="E568" i="1"/>
  <c r="BH568" i="1"/>
  <c r="W568" i="1"/>
  <c r="BJ568" i="1"/>
  <c r="BG564" i="1"/>
  <c r="V564" i="1"/>
  <c r="BK564" i="1"/>
  <c r="E564" i="1"/>
  <c r="BH564" i="1"/>
  <c r="W564" i="1"/>
  <c r="BJ564" i="1"/>
  <c r="BI578" i="1"/>
  <c r="BE578" i="1"/>
  <c r="Y578" i="1"/>
  <c r="R578" i="1"/>
  <c r="BM578" i="1"/>
  <c r="BH578" i="1"/>
  <c r="X578" i="1"/>
  <c r="M578" i="1"/>
  <c r="BK578" i="1"/>
  <c r="BG578" i="1"/>
  <c r="BJ578" i="1"/>
  <c r="BF578" i="1"/>
  <c r="L578" i="1"/>
  <c r="AM578" i="1" s="1"/>
  <c r="P578" i="1"/>
  <c r="BC578" i="1" s="1"/>
  <c r="BI570" i="1"/>
  <c r="BE570" i="1"/>
  <c r="Y570" i="1"/>
  <c r="R570" i="1"/>
  <c r="BM570" i="1"/>
  <c r="BH570" i="1"/>
  <c r="X570" i="1"/>
  <c r="M570" i="1"/>
  <c r="BK570" i="1"/>
  <c r="BG570" i="1"/>
  <c r="BJ570" i="1"/>
  <c r="BF570" i="1"/>
  <c r="P570" i="1"/>
  <c r="BC570" i="1" s="1"/>
  <c r="L570" i="1"/>
  <c r="AM570" i="1" s="1"/>
  <c r="BJ562" i="1"/>
  <c r="BH562" i="1"/>
  <c r="W562" i="1"/>
  <c r="BK562" i="1"/>
  <c r="E562" i="1"/>
  <c r="V562" i="1"/>
  <c r="BG562" i="1"/>
  <c r="BK577" i="1"/>
  <c r="BG577" i="1"/>
  <c r="BJ577" i="1"/>
  <c r="BF577" i="1"/>
  <c r="BI577" i="1"/>
  <c r="BE577" i="1"/>
  <c r="Y577" i="1"/>
  <c r="R577" i="1"/>
  <c r="BM577" i="1"/>
  <c r="BH577" i="1"/>
  <c r="X577" i="1"/>
  <c r="M577" i="1"/>
  <c r="L577" i="1"/>
  <c r="AM577" i="1" s="1"/>
  <c r="P577" i="1"/>
  <c r="BC577" i="1" s="1"/>
  <c r="BK573" i="1"/>
  <c r="BG573" i="1"/>
  <c r="BJ573" i="1"/>
  <c r="BF573" i="1"/>
  <c r="BI573" i="1"/>
  <c r="BE573" i="1"/>
  <c r="Y573" i="1"/>
  <c r="R573" i="1"/>
  <c r="BM573" i="1"/>
  <c r="BH573" i="1"/>
  <c r="X573" i="1"/>
  <c r="M573" i="1"/>
  <c r="L573" i="1"/>
  <c r="AM573" i="1" s="1"/>
  <c r="P573" i="1"/>
  <c r="BC573" i="1" s="1"/>
  <c r="BK569" i="1"/>
  <c r="BG569" i="1"/>
  <c r="BJ569" i="1"/>
  <c r="BF569" i="1"/>
  <c r="BI569" i="1"/>
  <c r="BE569" i="1"/>
  <c r="Y569" i="1"/>
  <c r="R569" i="1"/>
  <c r="BM569" i="1"/>
  <c r="BH569" i="1"/>
  <c r="X569" i="1"/>
  <c r="M569" i="1"/>
  <c r="L569" i="1"/>
  <c r="AM569" i="1" s="1"/>
  <c r="P569" i="1"/>
  <c r="BC569" i="1" s="1"/>
  <c r="BK565" i="1"/>
  <c r="E565" i="1"/>
  <c r="BJ565" i="1"/>
  <c r="BG565" i="1"/>
  <c r="V565" i="1"/>
  <c r="BH565" i="1"/>
  <c r="W565" i="1"/>
  <c r="BK579" i="1"/>
  <c r="BG579" i="1"/>
  <c r="BJ579" i="1"/>
  <c r="BF579" i="1"/>
  <c r="BI579" i="1"/>
  <c r="BE579" i="1"/>
  <c r="Y579" i="1"/>
  <c r="R579" i="1"/>
  <c r="BM579" i="1"/>
  <c r="BH579" i="1"/>
  <c r="X579" i="1"/>
  <c r="M579" i="1"/>
  <c r="L579" i="1"/>
  <c r="AM579" i="1" s="1"/>
  <c r="P579" i="1"/>
  <c r="BC579" i="1" s="1"/>
  <c r="BK575" i="1"/>
  <c r="BG575" i="1"/>
  <c r="BJ575" i="1"/>
  <c r="BF575" i="1"/>
  <c r="BI575" i="1"/>
  <c r="BE575" i="1"/>
  <c r="Y575" i="1"/>
  <c r="R575" i="1"/>
  <c r="BM575" i="1"/>
  <c r="BH575" i="1"/>
  <c r="X575" i="1"/>
  <c r="M575" i="1"/>
  <c r="L575" i="1"/>
  <c r="AM575" i="1" s="1"/>
  <c r="P575" i="1"/>
  <c r="BC575" i="1" s="1"/>
  <c r="BK571" i="1"/>
  <c r="BG571" i="1"/>
  <c r="BJ571" i="1"/>
  <c r="BF571" i="1"/>
  <c r="BI571" i="1"/>
  <c r="BE571" i="1"/>
  <c r="Y571" i="1"/>
  <c r="R571" i="1"/>
  <c r="BM571" i="1"/>
  <c r="BH571" i="1"/>
  <c r="X571" i="1"/>
  <c r="M571" i="1"/>
  <c r="P571" i="1"/>
  <c r="BC571" i="1" s="1"/>
  <c r="L571" i="1"/>
  <c r="AM571" i="1" s="1"/>
  <c r="BH567" i="1"/>
  <c r="W567" i="1"/>
  <c r="BG567" i="1"/>
  <c r="V567" i="1"/>
  <c r="BJ567" i="1"/>
  <c r="BK567" i="1"/>
  <c r="E567" i="1"/>
  <c r="BH563" i="1"/>
  <c r="W563" i="1"/>
  <c r="BG563" i="1"/>
  <c r="V563" i="1"/>
  <c r="BJ563" i="1"/>
  <c r="E563" i="1"/>
  <c r="BK563" i="1"/>
  <c r="BJ566" i="1"/>
  <c r="BH566" i="1"/>
  <c r="W566" i="1"/>
  <c r="BK566" i="1"/>
  <c r="E566" i="1"/>
  <c r="BG566" i="1"/>
  <c r="V566" i="1"/>
  <c r="BI547" i="1"/>
  <c r="BE547" i="1"/>
  <c r="Y547" i="1"/>
  <c r="R547" i="1"/>
  <c r="BM547" i="1"/>
  <c r="BH547" i="1"/>
  <c r="X547" i="1"/>
  <c r="M547" i="1"/>
  <c r="BK547" i="1"/>
  <c r="BG547" i="1"/>
  <c r="BJ547" i="1"/>
  <c r="BF547" i="1"/>
  <c r="L547" i="1"/>
  <c r="AM547" i="1" s="1"/>
  <c r="P547" i="1"/>
  <c r="BC547" i="1" s="1"/>
  <c r="BI543" i="1"/>
  <c r="BE543" i="1"/>
  <c r="Y543" i="1"/>
  <c r="R543" i="1"/>
  <c r="BM543" i="1"/>
  <c r="BH543" i="1"/>
  <c r="X543" i="1"/>
  <c r="M543" i="1"/>
  <c r="BK543" i="1"/>
  <c r="BG543" i="1"/>
  <c r="BJ543" i="1"/>
  <c r="BF543" i="1"/>
  <c r="L543" i="1"/>
  <c r="AM543" i="1" s="1"/>
  <c r="P543" i="1"/>
  <c r="BC543" i="1" s="1"/>
  <c r="BG539" i="1"/>
  <c r="V539" i="1"/>
  <c r="BK539" i="1"/>
  <c r="E539" i="1"/>
  <c r="BJ539" i="1"/>
  <c r="BH539" i="1"/>
  <c r="W539" i="1"/>
  <c r="BG535" i="1"/>
  <c r="V535" i="1"/>
  <c r="BK535" i="1"/>
  <c r="E535" i="1"/>
  <c r="BJ535" i="1"/>
  <c r="BH535" i="1"/>
  <c r="W535" i="1"/>
  <c r="BK550" i="1"/>
  <c r="BG550" i="1"/>
  <c r="BJ550" i="1"/>
  <c r="BF550" i="1"/>
  <c r="BI550" i="1"/>
  <c r="BE550" i="1"/>
  <c r="Y550" i="1"/>
  <c r="R550" i="1"/>
  <c r="BM550" i="1"/>
  <c r="BH550" i="1"/>
  <c r="X550" i="1"/>
  <c r="M550" i="1"/>
  <c r="L550" i="1"/>
  <c r="AM550" i="1" s="1"/>
  <c r="P550" i="1"/>
  <c r="BC550" i="1" s="1"/>
  <c r="BK546" i="1"/>
  <c r="BG546" i="1"/>
  <c r="BJ546" i="1"/>
  <c r="BF546" i="1"/>
  <c r="BI546" i="1"/>
  <c r="BE546" i="1"/>
  <c r="Y546" i="1"/>
  <c r="R546" i="1"/>
  <c r="BM546" i="1"/>
  <c r="BH546" i="1"/>
  <c r="X546" i="1"/>
  <c r="M546" i="1"/>
  <c r="L546" i="1"/>
  <c r="AM546" i="1" s="1"/>
  <c r="P546" i="1"/>
  <c r="BC546" i="1" s="1"/>
  <c r="BK542" i="1"/>
  <c r="BG542" i="1"/>
  <c r="BJ542" i="1"/>
  <c r="BF542" i="1"/>
  <c r="BI542" i="1"/>
  <c r="BE542" i="1"/>
  <c r="Y542" i="1"/>
  <c r="R542" i="1"/>
  <c r="BM542" i="1"/>
  <c r="BH542" i="1"/>
  <c r="X542" i="1"/>
  <c r="M542" i="1"/>
  <c r="L542" i="1"/>
  <c r="AM542" i="1" s="1"/>
  <c r="P542" i="1"/>
  <c r="BC542" i="1" s="1"/>
  <c r="BH538" i="1"/>
  <c r="W538" i="1"/>
  <c r="BG538" i="1"/>
  <c r="V538" i="1"/>
  <c r="BK538" i="1"/>
  <c r="E538" i="1"/>
  <c r="BJ538" i="1"/>
  <c r="BH534" i="1"/>
  <c r="W534" i="1"/>
  <c r="BG534" i="1"/>
  <c r="V534" i="1"/>
  <c r="BK534" i="1"/>
  <c r="E534" i="1"/>
  <c r="BJ534" i="1"/>
  <c r="BI549" i="1"/>
  <c r="BE549" i="1"/>
  <c r="Y549" i="1"/>
  <c r="R549" i="1"/>
  <c r="BM549" i="1"/>
  <c r="BH549" i="1"/>
  <c r="X549" i="1"/>
  <c r="M549" i="1"/>
  <c r="BK549" i="1"/>
  <c r="BG549" i="1"/>
  <c r="BJ549" i="1"/>
  <c r="BF549" i="1"/>
  <c r="P549" i="1"/>
  <c r="BC549" i="1" s="1"/>
  <c r="L549" i="1"/>
  <c r="AM549" i="1" s="1"/>
  <c r="BI545" i="1"/>
  <c r="BE545" i="1"/>
  <c r="Y545" i="1"/>
  <c r="R545" i="1"/>
  <c r="BM545" i="1"/>
  <c r="BH545" i="1"/>
  <c r="X545" i="1"/>
  <c r="M545" i="1"/>
  <c r="BK545" i="1"/>
  <c r="BG545" i="1"/>
  <c r="BJ545" i="1"/>
  <c r="BF545" i="1"/>
  <c r="P545" i="1"/>
  <c r="BC545" i="1" s="1"/>
  <c r="L545" i="1"/>
  <c r="AM545" i="1" s="1"/>
  <c r="BI541" i="1"/>
  <c r="BE541" i="1"/>
  <c r="Y541" i="1"/>
  <c r="R541" i="1"/>
  <c r="BM541" i="1"/>
  <c r="BH541" i="1"/>
  <c r="X541" i="1"/>
  <c r="M541" i="1"/>
  <c r="BK541" i="1"/>
  <c r="BG541" i="1"/>
  <c r="BJ541" i="1"/>
  <c r="BF541" i="1"/>
  <c r="P541" i="1"/>
  <c r="BC541" i="1" s="1"/>
  <c r="L541" i="1"/>
  <c r="AM541" i="1" s="1"/>
  <c r="BJ537" i="1"/>
  <c r="BH537" i="1"/>
  <c r="W537" i="1"/>
  <c r="BG537" i="1"/>
  <c r="V537" i="1"/>
  <c r="BK537" i="1"/>
  <c r="E537" i="1"/>
  <c r="BJ533" i="1"/>
  <c r="BH533" i="1"/>
  <c r="W533" i="1"/>
  <c r="BG533" i="1"/>
  <c r="V533" i="1"/>
  <c r="BK533" i="1"/>
  <c r="E533" i="1"/>
  <c r="BK548" i="1"/>
  <c r="BG548" i="1"/>
  <c r="BJ548" i="1"/>
  <c r="BF548" i="1"/>
  <c r="BI548" i="1"/>
  <c r="BE548" i="1"/>
  <c r="Y548" i="1"/>
  <c r="R548" i="1"/>
  <c r="BM548" i="1"/>
  <c r="BH548" i="1"/>
  <c r="X548" i="1"/>
  <c r="M548" i="1"/>
  <c r="P548" i="1"/>
  <c r="BC548" i="1" s="1"/>
  <c r="L548" i="1"/>
  <c r="AM548" i="1" s="1"/>
  <c r="BK544" i="1"/>
  <c r="BG544" i="1"/>
  <c r="BJ544" i="1"/>
  <c r="BF544" i="1"/>
  <c r="BI544" i="1"/>
  <c r="BE544" i="1"/>
  <c r="Y544" i="1"/>
  <c r="R544" i="1"/>
  <c r="BM544" i="1"/>
  <c r="BH544" i="1"/>
  <c r="X544" i="1"/>
  <c r="M544" i="1"/>
  <c r="L544" i="1"/>
  <c r="AM544" i="1" s="1"/>
  <c r="P544" i="1"/>
  <c r="BC544" i="1" s="1"/>
  <c r="BK540" i="1"/>
  <c r="BG540" i="1"/>
  <c r="BJ540" i="1"/>
  <c r="BF540" i="1"/>
  <c r="BI540" i="1"/>
  <c r="BE540" i="1"/>
  <c r="Y540" i="1"/>
  <c r="R540" i="1"/>
  <c r="BM540" i="1"/>
  <c r="BH540" i="1"/>
  <c r="X540" i="1"/>
  <c r="M540" i="1"/>
  <c r="P540" i="1"/>
  <c r="BC540" i="1" s="1"/>
  <c r="L540" i="1"/>
  <c r="AM540" i="1" s="1"/>
  <c r="BK536" i="1"/>
  <c r="E536" i="1"/>
  <c r="BJ536" i="1"/>
  <c r="BH536" i="1"/>
  <c r="W536" i="1"/>
  <c r="BG536" i="1"/>
  <c r="V536" i="1"/>
  <c r="BK521" i="1"/>
  <c r="BG521" i="1"/>
  <c r="BJ521" i="1"/>
  <c r="BF521" i="1"/>
  <c r="BI521" i="1"/>
  <c r="BE521" i="1"/>
  <c r="Y521" i="1"/>
  <c r="R521" i="1"/>
  <c r="BM521" i="1"/>
  <c r="BH521" i="1"/>
  <c r="X521" i="1"/>
  <c r="M521" i="1"/>
  <c r="L521" i="1"/>
  <c r="AM521" i="1" s="1"/>
  <c r="P521" i="1"/>
  <c r="BC521" i="1" s="1"/>
  <c r="BK517" i="1"/>
  <c r="BG517" i="1"/>
  <c r="BJ517" i="1"/>
  <c r="BF517" i="1"/>
  <c r="BI517" i="1"/>
  <c r="BE517" i="1"/>
  <c r="Y517" i="1"/>
  <c r="R517" i="1"/>
  <c r="BM517" i="1"/>
  <c r="BH517" i="1"/>
  <c r="X517" i="1"/>
  <c r="M517" i="1"/>
  <c r="P517" i="1"/>
  <c r="BC517" i="1" s="1"/>
  <c r="L517" i="1"/>
  <c r="AM517" i="1" s="1"/>
  <c r="BK513" i="1"/>
  <c r="BG513" i="1"/>
  <c r="BJ513" i="1"/>
  <c r="BF513" i="1"/>
  <c r="BI513" i="1"/>
  <c r="BE513" i="1"/>
  <c r="Y513" i="1"/>
  <c r="R513" i="1"/>
  <c r="BM513" i="1"/>
  <c r="BH513" i="1"/>
  <c r="X513" i="1"/>
  <c r="M513" i="1"/>
  <c r="L513" i="1"/>
  <c r="AM513" i="1" s="1"/>
  <c r="P513" i="1"/>
  <c r="BC513" i="1" s="1"/>
  <c r="BH509" i="1"/>
  <c r="W509" i="1"/>
  <c r="BG509" i="1"/>
  <c r="V509" i="1"/>
  <c r="BK509" i="1"/>
  <c r="E509" i="1"/>
  <c r="BJ509" i="1"/>
  <c r="BH505" i="1"/>
  <c r="W505" i="1"/>
  <c r="BG505" i="1"/>
  <c r="V505" i="1"/>
  <c r="BK505" i="1"/>
  <c r="E505" i="1"/>
  <c r="BJ505" i="1"/>
  <c r="BI520" i="1"/>
  <c r="BE520" i="1"/>
  <c r="Y520" i="1"/>
  <c r="R520" i="1"/>
  <c r="BM520" i="1"/>
  <c r="BH520" i="1"/>
  <c r="X520" i="1"/>
  <c r="M520" i="1"/>
  <c r="BK520" i="1"/>
  <c r="BG520" i="1"/>
  <c r="BJ520" i="1"/>
  <c r="BF520" i="1"/>
  <c r="P520" i="1"/>
  <c r="BC520" i="1" s="1"/>
  <c r="L520" i="1"/>
  <c r="AM520" i="1" s="1"/>
  <c r="BI516" i="1"/>
  <c r="BE516" i="1"/>
  <c r="Y516" i="1"/>
  <c r="R516" i="1"/>
  <c r="BM516" i="1"/>
  <c r="BH516" i="1"/>
  <c r="X516" i="1"/>
  <c r="M516" i="1"/>
  <c r="BK516" i="1"/>
  <c r="BG516" i="1"/>
  <c r="BJ516" i="1"/>
  <c r="BF516" i="1"/>
  <c r="L516" i="1"/>
  <c r="AM516" i="1" s="1"/>
  <c r="P516" i="1"/>
  <c r="BC516" i="1" s="1"/>
  <c r="BI512" i="1"/>
  <c r="BE512" i="1"/>
  <c r="Y512" i="1"/>
  <c r="R512" i="1"/>
  <c r="BM512" i="1"/>
  <c r="BH512" i="1"/>
  <c r="X512" i="1"/>
  <c r="M512" i="1"/>
  <c r="BK512" i="1"/>
  <c r="BG512" i="1"/>
  <c r="BJ512" i="1"/>
  <c r="BF512" i="1"/>
  <c r="P512" i="1"/>
  <c r="BC512" i="1" s="1"/>
  <c r="L512" i="1"/>
  <c r="AM512" i="1" s="1"/>
  <c r="BJ508" i="1"/>
  <c r="BH508" i="1"/>
  <c r="W508" i="1"/>
  <c r="BG508" i="1"/>
  <c r="V508" i="1"/>
  <c r="BK508" i="1"/>
  <c r="E508" i="1"/>
  <c r="BJ504" i="1"/>
  <c r="BH504" i="1"/>
  <c r="W504" i="1"/>
  <c r="BG504" i="1"/>
  <c r="V504" i="1"/>
  <c r="BK504" i="1"/>
  <c r="E504" i="1"/>
  <c r="BK519" i="1"/>
  <c r="BG519" i="1"/>
  <c r="BJ519" i="1"/>
  <c r="BF519" i="1"/>
  <c r="BI519" i="1"/>
  <c r="BE519" i="1"/>
  <c r="Y519" i="1"/>
  <c r="R519" i="1"/>
  <c r="BM519" i="1"/>
  <c r="BH519" i="1"/>
  <c r="X519" i="1"/>
  <c r="M519" i="1"/>
  <c r="L519" i="1"/>
  <c r="AM519" i="1" s="1"/>
  <c r="P519" i="1"/>
  <c r="BC519" i="1" s="1"/>
  <c r="BK515" i="1"/>
  <c r="BG515" i="1"/>
  <c r="BJ515" i="1"/>
  <c r="BF515" i="1"/>
  <c r="BI515" i="1"/>
  <c r="BE515" i="1"/>
  <c r="Y515" i="1"/>
  <c r="R515" i="1"/>
  <c r="BM515" i="1"/>
  <c r="BH515" i="1"/>
  <c r="X515" i="1"/>
  <c r="M515" i="1"/>
  <c r="P515" i="1"/>
  <c r="BC515" i="1" s="1"/>
  <c r="L515" i="1"/>
  <c r="AM515" i="1" s="1"/>
  <c r="BK511" i="1"/>
  <c r="BG511" i="1"/>
  <c r="BJ511" i="1"/>
  <c r="BF511" i="1"/>
  <c r="BI511" i="1"/>
  <c r="BE511" i="1"/>
  <c r="Y511" i="1"/>
  <c r="R511" i="1"/>
  <c r="BM511" i="1"/>
  <c r="BH511" i="1"/>
  <c r="X511" i="1"/>
  <c r="M511" i="1"/>
  <c r="P511" i="1"/>
  <c r="BC511" i="1" s="1"/>
  <c r="L511" i="1"/>
  <c r="AM511" i="1" s="1"/>
  <c r="BK507" i="1"/>
  <c r="E507" i="1"/>
  <c r="BJ507" i="1"/>
  <c r="BH507" i="1"/>
  <c r="W507" i="1"/>
  <c r="BG507" i="1"/>
  <c r="V507" i="1"/>
  <c r="BI518" i="1"/>
  <c r="BE518" i="1"/>
  <c r="Y518" i="1"/>
  <c r="R518" i="1"/>
  <c r="BM518" i="1"/>
  <c r="BH518" i="1"/>
  <c r="X518" i="1"/>
  <c r="M518" i="1"/>
  <c r="BK518" i="1"/>
  <c r="BG518" i="1"/>
  <c r="BJ518" i="1"/>
  <c r="BF518" i="1"/>
  <c r="L518" i="1"/>
  <c r="AM518" i="1" s="1"/>
  <c r="P518" i="1"/>
  <c r="BC518" i="1" s="1"/>
  <c r="BI514" i="1"/>
  <c r="BE514" i="1"/>
  <c r="Y514" i="1"/>
  <c r="R514" i="1"/>
  <c r="BM514" i="1"/>
  <c r="BH514" i="1"/>
  <c r="X514" i="1"/>
  <c r="M514" i="1"/>
  <c r="BK514" i="1"/>
  <c r="BG514" i="1"/>
  <c r="BJ514" i="1"/>
  <c r="BF514" i="1"/>
  <c r="P514" i="1"/>
  <c r="BC514" i="1" s="1"/>
  <c r="L514" i="1"/>
  <c r="AM514" i="1" s="1"/>
  <c r="BG510" i="1"/>
  <c r="V510" i="1"/>
  <c r="BK510" i="1"/>
  <c r="E510" i="1"/>
  <c r="BJ510" i="1"/>
  <c r="BH510" i="1"/>
  <c r="W510" i="1"/>
  <c r="BG506" i="1"/>
  <c r="V506" i="1"/>
  <c r="BK506" i="1"/>
  <c r="E506" i="1"/>
  <c r="BJ506" i="1"/>
  <c r="BH506" i="1"/>
  <c r="W506" i="1"/>
  <c r="BI491" i="1"/>
  <c r="BE491" i="1"/>
  <c r="Y491" i="1"/>
  <c r="R491" i="1"/>
  <c r="BM491" i="1"/>
  <c r="BH491" i="1"/>
  <c r="X491" i="1"/>
  <c r="M491" i="1"/>
  <c r="BK491" i="1"/>
  <c r="BG491" i="1"/>
  <c r="BJ491" i="1"/>
  <c r="BF491" i="1"/>
  <c r="L491" i="1"/>
  <c r="AM491" i="1" s="1"/>
  <c r="P491" i="1"/>
  <c r="BC491" i="1" s="1"/>
  <c r="BI487" i="1"/>
  <c r="BE487" i="1"/>
  <c r="Y487" i="1"/>
  <c r="R487" i="1"/>
  <c r="BM487" i="1"/>
  <c r="BH487" i="1"/>
  <c r="X487" i="1"/>
  <c r="M487" i="1"/>
  <c r="BK487" i="1"/>
  <c r="BG487" i="1"/>
  <c r="BJ487" i="1"/>
  <c r="BF487" i="1"/>
  <c r="L487" i="1"/>
  <c r="AM487" i="1" s="1"/>
  <c r="P487" i="1"/>
  <c r="BC487" i="1" s="1"/>
  <c r="BI483" i="1"/>
  <c r="BE483" i="1"/>
  <c r="Y483" i="1"/>
  <c r="R483" i="1"/>
  <c r="BM483" i="1"/>
  <c r="BH483" i="1"/>
  <c r="X483" i="1"/>
  <c r="M483" i="1"/>
  <c r="BK483" i="1"/>
  <c r="BG483" i="1"/>
  <c r="BJ483" i="1"/>
  <c r="BF483" i="1"/>
  <c r="P483" i="1"/>
  <c r="BC483" i="1" s="1"/>
  <c r="L483" i="1"/>
  <c r="AM483" i="1" s="1"/>
  <c r="BJ479" i="1"/>
  <c r="BH479" i="1"/>
  <c r="W479" i="1"/>
  <c r="BG479" i="1"/>
  <c r="V479" i="1"/>
  <c r="BK479" i="1"/>
  <c r="E479" i="1"/>
  <c r="BJ475" i="1"/>
  <c r="BH475" i="1"/>
  <c r="W475" i="1"/>
  <c r="BG475" i="1"/>
  <c r="V475" i="1"/>
  <c r="BK475" i="1"/>
  <c r="E475" i="1"/>
  <c r="BK490" i="1"/>
  <c r="BG490" i="1"/>
  <c r="BJ490" i="1"/>
  <c r="BF490" i="1"/>
  <c r="BI490" i="1"/>
  <c r="BE490" i="1"/>
  <c r="Y490" i="1"/>
  <c r="R490" i="1"/>
  <c r="BM490" i="1"/>
  <c r="BH490" i="1"/>
  <c r="X490" i="1"/>
  <c r="M490" i="1"/>
  <c r="P490" i="1"/>
  <c r="BC490" i="1" s="1"/>
  <c r="L490" i="1"/>
  <c r="AM490" i="1" s="1"/>
  <c r="BK486" i="1"/>
  <c r="BG486" i="1"/>
  <c r="BJ486" i="1"/>
  <c r="BF486" i="1"/>
  <c r="BI486" i="1"/>
  <c r="BE486" i="1"/>
  <c r="Y486" i="1"/>
  <c r="R486" i="1"/>
  <c r="BM486" i="1"/>
  <c r="BH486" i="1"/>
  <c r="X486" i="1"/>
  <c r="M486" i="1"/>
  <c r="L486" i="1"/>
  <c r="AM486" i="1" s="1"/>
  <c r="P486" i="1"/>
  <c r="BC486" i="1" s="1"/>
  <c r="BK482" i="1"/>
  <c r="BG482" i="1"/>
  <c r="BJ482" i="1"/>
  <c r="BF482" i="1"/>
  <c r="BI482" i="1"/>
  <c r="BE482" i="1"/>
  <c r="Y482" i="1"/>
  <c r="R482" i="1"/>
  <c r="BM482" i="1"/>
  <c r="BH482" i="1"/>
  <c r="X482" i="1"/>
  <c r="M482" i="1"/>
  <c r="L482" i="1"/>
  <c r="AM482" i="1" s="1"/>
  <c r="P482" i="1"/>
  <c r="BC482" i="1" s="1"/>
  <c r="BK478" i="1"/>
  <c r="E478" i="1"/>
  <c r="BJ478" i="1"/>
  <c r="BH478" i="1"/>
  <c r="W478" i="1"/>
  <c r="BG478" i="1"/>
  <c r="V478" i="1"/>
  <c r="BI489" i="1"/>
  <c r="BE489" i="1"/>
  <c r="Y489" i="1"/>
  <c r="R489" i="1"/>
  <c r="BM489" i="1"/>
  <c r="BH489" i="1"/>
  <c r="X489" i="1"/>
  <c r="M489" i="1"/>
  <c r="BK489" i="1"/>
  <c r="BG489" i="1"/>
  <c r="BJ489" i="1"/>
  <c r="BF489" i="1"/>
  <c r="P489" i="1"/>
  <c r="BC489" i="1" s="1"/>
  <c r="L489" i="1"/>
  <c r="AM489" i="1" s="1"/>
  <c r="BI485" i="1"/>
  <c r="BE485" i="1"/>
  <c r="Y485" i="1"/>
  <c r="R485" i="1"/>
  <c r="BM485" i="1"/>
  <c r="BH485" i="1"/>
  <c r="X485" i="1"/>
  <c r="M485" i="1"/>
  <c r="BK485" i="1"/>
  <c r="BG485" i="1"/>
  <c r="BJ485" i="1"/>
  <c r="BF485" i="1"/>
  <c r="L485" i="1"/>
  <c r="AM485" i="1" s="1"/>
  <c r="P485" i="1"/>
  <c r="BC485" i="1" s="1"/>
  <c r="BG481" i="1"/>
  <c r="V481" i="1"/>
  <c r="BK481" i="1"/>
  <c r="E481" i="1"/>
  <c r="BJ481" i="1"/>
  <c r="BH481" i="1"/>
  <c r="W481" i="1"/>
  <c r="BG477" i="1"/>
  <c r="V477" i="1"/>
  <c r="BK477" i="1"/>
  <c r="E477" i="1"/>
  <c r="BJ477" i="1"/>
  <c r="BH477" i="1"/>
  <c r="W477" i="1"/>
  <c r="BK492" i="1"/>
  <c r="BG492" i="1"/>
  <c r="BJ492" i="1"/>
  <c r="BF492" i="1"/>
  <c r="BI492" i="1"/>
  <c r="BE492" i="1"/>
  <c r="Y492" i="1"/>
  <c r="R492" i="1"/>
  <c r="BM492" i="1"/>
  <c r="BH492" i="1"/>
  <c r="X492" i="1"/>
  <c r="M492" i="1"/>
  <c r="L492" i="1"/>
  <c r="AM492" i="1" s="1"/>
  <c r="P492" i="1"/>
  <c r="BC492" i="1" s="1"/>
  <c r="BK488" i="1"/>
  <c r="BG488" i="1"/>
  <c r="BJ488" i="1"/>
  <c r="BF488" i="1"/>
  <c r="BI488" i="1"/>
  <c r="BE488" i="1"/>
  <c r="Y488" i="1"/>
  <c r="R488" i="1"/>
  <c r="BM488" i="1"/>
  <c r="BH488" i="1"/>
  <c r="X488" i="1"/>
  <c r="M488" i="1"/>
  <c r="L488" i="1"/>
  <c r="AM488" i="1" s="1"/>
  <c r="P488" i="1"/>
  <c r="BC488" i="1" s="1"/>
  <c r="BK484" i="1"/>
  <c r="BG484" i="1"/>
  <c r="BJ484" i="1"/>
  <c r="BF484" i="1"/>
  <c r="BI484" i="1"/>
  <c r="BE484" i="1"/>
  <c r="Y484" i="1"/>
  <c r="R484" i="1"/>
  <c r="BM484" i="1"/>
  <c r="BH484" i="1"/>
  <c r="X484" i="1"/>
  <c r="M484" i="1"/>
  <c r="P484" i="1"/>
  <c r="BC484" i="1" s="1"/>
  <c r="L484" i="1"/>
  <c r="AM484" i="1" s="1"/>
  <c r="BH480" i="1"/>
  <c r="W480" i="1"/>
  <c r="BG480" i="1"/>
  <c r="V480" i="1"/>
  <c r="BK480" i="1"/>
  <c r="E480" i="1"/>
  <c r="BJ480" i="1"/>
  <c r="BH476" i="1"/>
  <c r="W476" i="1"/>
  <c r="BG476" i="1"/>
  <c r="V476" i="1"/>
  <c r="BK476" i="1"/>
  <c r="E476" i="1"/>
  <c r="BJ476" i="1"/>
  <c r="BK461" i="1"/>
  <c r="BG461" i="1"/>
  <c r="BJ461" i="1"/>
  <c r="BF461" i="1"/>
  <c r="BM461" i="1"/>
  <c r="BH461" i="1"/>
  <c r="X461" i="1"/>
  <c r="BI461" i="1"/>
  <c r="BE461" i="1"/>
  <c r="Y461" i="1"/>
  <c r="R461" i="1"/>
  <c r="M461" i="1"/>
  <c r="P461" i="1"/>
  <c r="BC461" i="1" s="1"/>
  <c r="L461" i="1"/>
  <c r="AM461" i="1" s="1"/>
  <c r="BK457" i="1"/>
  <c r="BG457" i="1"/>
  <c r="BJ457" i="1"/>
  <c r="BF457" i="1"/>
  <c r="BH457" i="1"/>
  <c r="X457" i="1"/>
  <c r="M457" i="1"/>
  <c r="BI457" i="1"/>
  <c r="BE457" i="1"/>
  <c r="Y457" i="1"/>
  <c r="R457" i="1"/>
  <c r="BM457" i="1"/>
  <c r="L457" i="1"/>
  <c r="AM457" i="1" s="1"/>
  <c r="P457" i="1"/>
  <c r="BC457" i="1" s="1"/>
  <c r="BK453" i="1"/>
  <c r="BG453" i="1"/>
  <c r="BJ453" i="1"/>
  <c r="BF453" i="1"/>
  <c r="BI453" i="1"/>
  <c r="BE453" i="1"/>
  <c r="Y453" i="1"/>
  <c r="R453" i="1"/>
  <c r="BM453" i="1"/>
  <c r="BH453" i="1"/>
  <c r="X453" i="1"/>
  <c r="M453" i="1"/>
  <c r="P453" i="1"/>
  <c r="BC453" i="1" s="1"/>
  <c r="L453" i="1"/>
  <c r="AM453" i="1" s="1"/>
  <c r="BK449" i="1"/>
  <c r="E449" i="1"/>
  <c r="BJ449" i="1"/>
  <c r="BG449" i="1"/>
  <c r="V449" i="1"/>
  <c r="BH449" i="1"/>
  <c r="W449" i="1"/>
  <c r="BI460" i="1"/>
  <c r="BE460" i="1"/>
  <c r="Y460" i="1"/>
  <c r="R460" i="1"/>
  <c r="BM460" i="1"/>
  <c r="BH460" i="1"/>
  <c r="X460" i="1"/>
  <c r="M460" i="1"/>
  <c r="BJ460" i="1"/>
  <c r="BF460" i="1"/>
  <c r="BK460" i="1"/>
  <c r="BG460" i="1"/>
  <c r="P460" i="1"/>
  <c r="BC460" i="1" s="1"/>
  <c r="L460" i="1"/>
  <c r="AM460" i="1" s="1"/>
  <c r="BI456" i="1"/>
  <c r="BE456" i="1"/>
  <c r="Y456" i="1"/>
  <c r="R456" i="1"/>
  <c r="BM456" i="1"/>
  <c r="BH456" i="1"/>
  <c r="X456" i="1"/>
  <c r="M456" i="1"/>
  <c r="BJ456" i="1"/>
  <c r="BF456" i="1"/>
  <c r="BK456" i="1"/>
  <c r="BG456" i="1"/>
  <c r="P456" i="1"/>
  <c r="BC456" i="1" s="1"/>
  <c r="L456" i="1"/>
  <c r="AM456" i="1" s="1"/>
  <c r="BG452" i="1"/>
  <c r="V452" i="1"/>
  <c r="BK452" i="1"/>
  <c r="E452" i="1"/>
  <c r="BJ452" i="1"/>
  <c r="BH452" i="1"/>
  <c r="W452" i="1"/>
  <c r="BG448" i="1"/>
  <c r="V448" i="1"/>
  <c r="BK448" i="1"/>
  <c r="E448" i="1"/>
  <c r="BH448" i="1"/>
  <c r="W448" i="1"/>
  <c r="BJ448" i="1"/>
  <c r="BK463" i="1"/>
  <c r="BG463" i="1"/>
  <c r="BJ463" i="1"/>
  <c r="BF463" i="1"/>
  <c r="BM463" i="1"/>
  <c r="BH463" i="1"/>
  <c r="X463" i="1"/>
  <c r="M463" i="1"/>
  <c r="BI463" i="1"/>
  <c r="BE463" i="1"/>
  <c r="Y463" i="1"/>
  <c r="R463" i="1"/>
  <c r="P463" i="1"/>
  <c r="BC463" i="1" s="1"/>
  <c r="L463" i="1"/>
  <c r="AM463" i="1" s="1"/>
  <c r="BK459" i="1"/>
  <c r="BG459" i="1"/>
  <c r="BJ459" i="1"/>
  <c r="BF459" i="1"/>
  <c r="BH459" i="1"/>
  <c r="X459" i="1"/>
  <c r="M459" i="1"/>
  <c r="BI459" i="1"/>
  <c r="BE459" i="1"/>
  <c r="Y459" i="1"/>
  <c r="R459" i="1"/>
  <c r="BM459" i="1"/>
  <c r="P459" i="1"/>
  <c r="BC459" i="1" s="1"/>
  <c r="L459" i="1"/>
  <c r="AM459" i="1" s="1"/>
  <c r="BK455" i="1"/>
  <c r="BG455" i="1"/>
  <c r="BJ455" i="1"/>
  <c r="BF455" i="1"/>
  <c r="X455" i="1"/>
  <c r="M455" i="1"/>
  <c r="BI455" i="1"/>
  <c r="BE455" i="1"/>
  <c r="Y455" i="1"/>
  <c r="R455" i="1"/>
  <c r="BM455" i="1"/>
  <c r="BH455" i="1"/>
  <c r="P455" i="1"/>
  <c r="BC455" i="1" s="1"/>
  <c r="L455" i="1"/>
  <c r="AM455" i="1" s="1"/>
  <c r="BH451" i="1"/>
  <c r="W451" i="1"/>
  <c r="BG451" i="1"/>
  <c r="V451" i="1"/>
  <c r="BJ451" i="1"/>
  <c r="BK451" i="1"/>
  <c r="E451" i="1"/>
  <c r="BH447" i="1"/>
  <c r="W447" i="1"/>
  <c r="BG447" i="1"/>
  <c r="V447" i="1"/>
  <c r="BJ447" i="1"/>
  <c r="BK447" i="1"/>
  <c r="E447" i="1"/>
  <c r="BI462" i="1"/>
  <c r="BE462" i="1"/>
  <c r="Y462" i="1"/>
  <c r="R462" i="1"/>
  <c r="BM462" i="1"/>
  <c r="BH462" i="1"/>
  <c r="X462" i="1"/>
  <c r="M462" i="1"/>
  <c r="BJ462" i="1"/>
  <c r="BF462" i="1"/>
  <c r="BK462" i="1"/>
  <c r="BG462" i="1"/>
  <c r="L462" i="1"/>
  <c r="AM462" i="1" s="1"/>
  <c r="P462" i="1"/>
  <c r="BC462" i="1" s="1"/>
  <c r="BI458" i="1"/>
  <c r="BE458" i="1"/>
  <c r="Y458" i="1"/>
  <c r="R458" i="1"/>
  <c r="BM458" i="1"/>
  <c r="BH458" i="1"/>
  <c r="X458" i="1"/>
  <c r="M458" i="1"/>
  <c r="BJ458" i="1"/>
  <c r="BF458" i="1"/>
  <c r="BK458" i="1"/>
  <c r="BG458" i="1"/>
  <c r="L458" i="1"/>
  <c r="AM458" i="1" s="1"/>
  <c r="P458" i="1"/>
  <c r="BC458" i="1" s="1"/>
  <c r="BI454" i="1"/>
  <c r="BE454" i="1"/>
  <c r="Y454" i="1"/>
  <c r="R454" i="1"/>
  <c r="BM454" i="1"/>
  <c r="BH454" i="1"/>
  <c r="X454" i="1"/>
  <c r="M454" i="1"/>
  <c r="BJ454" i="1"/>
  <c r="BF454" i="1"/>
  <c r="BK454" i="1"/>
  <c r="BG454" i="1"/>
  <c r="P454" i="1"/>
  <c r="BC454" i="1" s="1"/>
  <c r="L454" i="1"/>
  <c r="AM454" i="1" s="1"/>
  <c r="BJ450" i="1"/>
  <c r="BH450" i="1"/>
  <c r="W450" i="1"/>
  <c r="BK450" i="1"/>
  <c r="E450" i="1"/>
  <c r="BG450" i="1"/>
  <c r="V450" i="1"/>
  <c r="BJ446" i="1"/>
  <c r="BH446" i="1"/>
  <c r="W446" i="1"/>
  <c r="BK446" i="1"/>
  <c r="BG446" i="1"/>
  <c r="V446" i="1"/>
  <c r="E446" i="1"/>
  <c r="BI431" i="1"/>
  <c r="BE431" i="1"/>
  <c r="Y431" i="1"/>
  <c r="R431" i="1"/>
  <c r="BM431" i="1"/>
  <c r="BH431" i="1"/>
  <c r="X431" i="1"/>
  <c r="M431" i="1"/>
  <c r="BK431" i="1"/>
  <c r="BG431" i="1"/>
  <c r="BJ431" i="1"/>
  <c r="BF431" i="1"/>
  <c r="P431" i="1"/>
  <c r="BC431" i="1" s="1"/>
  <c r="L431" i="1"/>
  <c r="AM431" i="1" s="1"/>
  <c r="BI427" i="1"/>
  <c r="BE427" i="1"/>
  <c r="Y427" i="1"/>
  <c r="R427" i="1"/>
  <c r="X427" i="1"/>
  <c r="M427" i="1"/>
  <c r="BM427" i="1"/>
  <c r="BH427" i="1"/>
  <c r="BF427" i="1"/>
  <c r="BK427" i="1"/>
  <c r="BJ427" i="1"/>
  <c r="BG427" i="1"/>
  <c r="L427" i="1"/>
  <c r="AM427" i="1" s="1"/>
  <c r="P427" i="1"/>
  <c r="BC427" i="1" s="1"/>
  <c r="BG423" i="1"/>
  <c r="V423" i="1"/>
  <c r="E423" i="1"/>
  <c r="BK423" i="1"/>
  <c r="BJ423" i="1"/>
  <c r="W423" i="1"/>
  <c r="BH423" i="1"/>
  <c r="BG419" i="1"/>
  <c r="V419" i="1"/>
  <c r="BK419" i="1"/>
  <c r="E419" i="1"/>
  <c r="BJ419" i="1"/>
  <c r="W419" i="1"/>
  <c r="BH419" i="1"/>
  <c r="BK434" i="1"/>
  <c r="BG434" i="1"/>
  <c r="BI434" i="1"/>
  <c r="BE434" i="1"/>
  <c r="Y434" i="1"/>
  <c r="R434" i="1"/>
  <c r="BJ434" i="1"/>
  <c r="BF434" i="1"/>
  <c r="BM434" i="1"/>
  <c r="M434" i="1"/>
  <c r="BH434" i="1"/>
  <c r="X434" i="1"/>
  <c r="L434" i="1"/>
  <c r="AM434" i="1" s="1"/>
  <c r="P434" i="1"/>
  <c r="BC434" i="1" s="1"/>
  <c r="BK430" i="1"/>
  <c r="BG430" i="1"/>
  <c r="BI430" i="1"/>
  <c r="BE430" i="1"/>
  <c r="Y430" i="1"/>
  <c r="R430" i="1"/>
  <c r="BJ430" i="1"/>
  <c r="BF430" i="1"/>
  <c r="BM430" i="1"/>
  <c r="M430" i="1"/>
  <c r="BH430" i="1"/>
  <c r="X430" i="1"/>
  <c r="P430" i="1"/>
  <c r="BC430" i="1" s="1"/>
  <c r="L430" i="1"/>
  <c r="AM430" i="1" s="1"/>
  <c r="BK426" i="1"/>
  <c r="BG426" i="1"/>
  <c r="BJ426" i="1"/>
  <c r="BF426" i="1"/>
  <c r="BI426" i="1"/>
  <c r="BH426" i="1"/>
  <c r="M426" i="1"/>
  <c r="BE426" i="1"/>
  <c r="Y426" i="1"/>
  <c r="R426" i="1"/>
  <c r="BM426" i="1"/>
  <c r="X426" i="1"/>
  <c r="P426" i="1"/>
  <c r="BC426" i="1" s="1"/>
  <c r="L426" i="1"/>
  <c r="AM426" i="1" s="1"/>
  <c r="BH422" i="1"/>
  <c r="W422" i="1"/>
  <c r="BG422" i="1"/>
  <c r="V422" i="1"/>
  <c r="BK422" i="1"/>
  <c r="E422" i="1"/>
  <c r="BJ422" i="1"/>
  <c r="BH418" i="1"/>
  <c r="W418" i="1"/>
  <c r="V418" i="1"/>
  <c r="BG418" i="1"/>
  <c r="BJ418" i="1"/>
  <c r="BK418" i="1"/>
  <c r="E418" i="1"/>
  <c r="BI433" i="1"/>
  <c r="BE433" i="1"/>
  <c r="Y433" i="1"/>
  <c r="R433" i="1"/>
  <c r="X433" i="1"/>
  <c r="M433" i="1"/>
  <c r="BK433" i="1"/>
  <c r="BM433" i="1"/>
  <c r="BH433" i="1"/>
  <c r="BG433" i="1"/>
  <c r="BF433" i="1"/>
  <c r="BJ433" i="1"/>
  <c r="L433" i="1"/>
  <c r="AM433" i="1" s="1"/>
  <c r="P433" i="1"/>
  <c r="BC433" i="1" s="1"/>
  <c r="BI429" i="1"/>
  <c r="BE429" i="1"/>
  <c r="Y429" i="1"/>
  <c r="R429" i="1"/>
  <c r="BM429" i="1"/>
  <c r="X429" i="1"/>
  <c r="M429" i="1"/>
  <c r="BK429" i="1"/>
  <c r="BG429" i="1"/>
  <c r="BH429" i="1"/>
  <c r="BF429" i="1"/>
  <c r="BJ429" i="1"/>
  <c r="P429" i="1"/>
  <c r="BC429" i="1" s="1"/>
  <c r="L429" i="1"/>
  <c r="AM429" i="1" s="1"/>
  <c r="BI425" i="1"/>
  <c r="BE425" i="1"/>
  <c r="Y425" i="1"/>
  <c r="R425" i="1"/>
  <c r="X425" i="1"/>
  <c r="M425" i="1"/>
  <c r="BM425" i="1"/>
  <c r="BH425" i="1"/>
  <c r="BF425" i="1"/>
  <c r="BK425" i="1"/>
  <c r="BJ425" i="1"/>
  <c r="BG425" i="1"/>
  <c r="L425" i="1"/>
  <c r="AM425" i="1" s="1"/>
  <c r="P425" i="1"/>
  <c r="BC425" i="1" s="1"/>
  <c r="BJ421" i="1"/>
  <c r="W421" i="1"/>
  <c r="BH421" i="1"/>
  <c r="BK421" i="1"/>
  <c r="V421" i="1"/>
  <c r="BG421" i="1"/>
  <c r="E421" i="1"/>
  <c r="BJ417" i="1"/>
  <c r="W417" i="1"/>
  <c r="BH417" i="1"/>
  <c r="BK417" i="1"/>
  <c r="V417" i="1"/>
  <c r="BG417" i="1"/>
  <c r="E417" i="1"/>
  <c r="BK432" i="1"/>
  <c r="BG432" i="1"/>
  <c r="BJ432" i="1"/>
  <c r="BF432" i="1"/>
  <c r="BI432" i="1"/>
  <c r="BE432" i="1"/>
  <c r="Y432" i="1"/>
  <c r="R432" i="1"/>
  <c r="BH432" i="1"/>
  <c r="X432" i="1"/>
  <c r="BM432" i="1"/>
  <c r="M432" i="1"/>
  <c r="P432" i="1"/>
  <c r="BC432" i="1" s="1"/>
  <c r="L432" i="1"/>
  <c r="AM432" i="1" s="1"/>
  <c r="BK428" i="1"/>
  <c r="BG428" i="1"/>
  <c r="BJ428" i="1"/>
  <c r="BF428" i="1"/>
  <c r="BI428" i="1"/>
  <c r="BH428" i="1"/>
  <c r="M428" i="1"/>
  <c r="BE428" i="1"/>
  <c r="Y428" i="1"/>
  <c r="R428" i="1"/>
  <c r="BM428" i="1"/>
  <c r="X428" i="1"/>
  <c r="L428" i="1"/>
  <c r="AM428" i="1" s="1"/>
  <c r="P428" i="1"/>
  <c r="BC428" i="1" s="1"/>
  <c r="BK424" i="1"/>
  <c r="BG424" i="1"/>
  <c r="BJ424" i="1"/>
  <c r="BF424" i="1"/>
  <c r="BI424" i="1"/>
  <c r="BH424" i="1"/>
  <c r="X424" i="1"/>
  <c r="BE424" i="1"/>
  <c r="Y424" i="1"/>
  <c r="R424" i="1"/>
  <c r="BM424" i="1"/>
  <c r="M424" i="1"/>
  <c r="L424" i="1"/>
  <c r="AM424" i="1" s="1"/>
  <c r="P424" i="1"/>
  <c r="BC424" i="1" s="1"/>
  <c r="BK420" i="1"/>
  <c r="E420" i="1"/>
  <c r="BJ420" i="1"/>
  <c r="BH420" i="1"/>
  <c r="W420" i="1"/>
  <c r="BG420" i="1"/>
  <c r="V420" i="1"/>
  <c r="BK397" i="1"/>
  <c r="BG397" i="1"/>
  <c r="Y397" i="1"/>
  <c r="R397" i="1"/>
  <c r="BM397" i="1"/>
  <c r="M397" i="1"/>
  <c r="BJ397" i="1"/>
  <c r="BF397" i="1"/>
  <c r="BI397" i="1"/>
  <c r="X397" i="1"/>
  <c r="BE397" i="1"/>
  <c r="BH397" i="1"/>
  <c r="L397" i="1"/>
  <c r="AM397" i="1" s="1"/>
  <c r="P397" i="1"/>
  <c r="BC397" i="1" s="1"/>
  <c r="BI404" i="1"/>
  <c r="BE404" i="1"/>
  <c r="Y404" i="1"/>
  <c r="R404" i="1"/>
  <c r="BJ404" i="1"/>
  <c r="BM404" i="1"/>
  <c r="BH404" i="1"/>
  <c r="X404" i="1"/>
  <c r="M404" i="1"/>
  <c r="BF404" i="1"/>
  <c r="BK404" i="1"/>
  <c r="BG404" i="1"/>
  <c r="L404" i="1"/>
  <c r="AM404" i="1" s="1"/>
  <c r="P404" i="1"/>
  <c r="BC404" i="1" s="1"/>
  <c r="BI400" i="1"/>
  <c r="BE400" i="1"/>
  <c r="Y400" i="1"/>
  <c r="R400" i="1"/>
  <c r="BG400" i="1"/>
  <c r="BM400" i="1"/>
  <c r="BH400" i="1"/>
  <c r="X400" i="1"/>
  <c r="M400" i="1"/>
  <c r="BK400" i="1"/>
  <c r="BJ400" i="1"/>
  <c r="BF400" i="1"/>
  <c r="L400" i="1"/>
  <c r="AM400" i="1" s="1"/>
  <c r="P400" i="1"/>
  <c r="BC400" i="1" s="1"/>
  <c r="BI396" i="1"/>
  <c r="BE396" i="1"/>
  <c r="Y396" i="1"/>
  <c r="R396" i="1"/>
  <c r="BK396" i="1"/>
  <c r="BG396" i="1"/>
  <c r="BM396" i="1"/>
  <c r="BH396" i="1"/>
  <c r="X396" i="1"/>
  <c r="M396" i="1"/>
  <c r="BF396" i="1"/>
  <c r="BJ396" i="1"/>
  <c r="L396" i="1"/>
  <c r="AM396" i="1" s="1"/>
  <c r="P396" i="1"/>
  <c r="BC396" i="1" s="1"/>
  <c r="BJ392" i="1"/>
  <c r="BG392" i="1"/>
  <c r="V392" i="1"/>
  <c r="BH392" i="1"/>
  <c r="W392" i="1"/>
  <c r="BK392" i="1"/>
  <c r="E392" i="1"/>
  <c r="BJ388" i="1"/>
  <c r="BK388" i="1"/>
  <c r="E388" i="1"/>
  <c r="BH388" i="1"/>
  <c r="W388" i="1"/>
  <c r="V388" i="1"/>
  <c r="BG388" i="1"/>
  <c r="BK405" i="1"/>
  <c r="BG405" i="1"/>
  <c r="BJ405" i="1"/>
  <c r="BF405" i="1"/>
  <c r="X405" i="1"/>
  <c r="BI405" i="1"/>
  <c r="BE405" i="1"/>
  <c r="Y405" i="1"/>
  <c r="R405" i="1"/>
  <c r="BM405" i="1"/>
  <c r="BH405" i="1"/>
  <c r="M405" i="1"/>
  <c r="P405" i="1"/>
  <c r="BC405" i="1" s="1"/>
  <c r="L405" i="1"/>
  <c r="AM405" i="1" s="1"/>
  <c r="BH389" i="1"/>
  <c r="W389" i="1"/>
  <c r="BG389" i="1"/>
  <c r="V389" i="1"/>
  <c r="BK389" i="1"/>
  <c r="E389" i="1"/>
  <c r="BJ389" i="1"/>
  <c r="BK403" i="1"/>
  <c r="BG403" i="1"/>
  <c r="BE403" i="1"/>
  <c r="BH403" i="1"/>
  <c r="BJ403" i="1"/>
  <c r="BF403" i="1"/>
  <c r="BI403" i="1"/>
  <c r="X403" i="1"/>
  <c r="Y403" i="1"/>
  <c r="R403" i="1"/>
  <c r="BM403" i="1"/>
  <c r="M403" i="1"/>
  <c r="P403" i="1"/>
  <c r="BC403" i="1" s="1"/>
  <c r="L403" i="1"/>
  <c r="AM403" i="1" s="1"/>
  <c r="BK399" i="1"/>
  <c r="BG399" i="1"/>
  <c r="BE399" i="1"/>
  <c r="Y399" i="1"/>
  <c r="R399" i="1"/>
  <c r="M399" i="1"/>
  <c r="BJ399" i="1"/>
  <c r="BF399" i="1"/>
  <c r="BM399" i="1"/>
  <c r="X399" i="1"/>
  <c r="BI399" i="1"/>
  <c r="BH399" i="1"/>
  <c r="L399" i="1"/>
  <c r="AM399" i="1" s="1"/>
  <c r="P399" i="1"/>
  <c r="BC399" i="1" s="1"/>
  <c r="BK395" i="1"/>
  <c r="BG395" i="1"/>
  <c r="BE395" i="1"/>
  <c r="M395" i="1"/>
  <c r="BJ395" i="1"/>
  <c r="BF395" i="1"/>
  <c r="Y395" i="1"/>
  <c r="R395" i="1"/>
  <c r="BM395" i="1"/>
  <c r="X395" i="1"/>
  <c r="BI395" i="1"/>
  <c r="BH395" i="1"/>
  <c r="L395" i="1"/>
  <c r="AM395" i="1" s="1"/>
  <c r="P395" i="1"/>
  <c r="BC395" i="1" s="1"/>
  <c r="BK391" i="1"/>
  <c r="E391" i="1"/>
  <c r="BH391" i="1"/>
  <c r="V391" i="1"/>
  <c r="BJ391" i="1"/>
  <c r="W391" i="1"/>
  <c r="BG391" i="1"/>
  <c r="BK401" i="1"/>
  <c r="BG401" i="1"/>
  <c r="Y401" i="1"/>
  <c r="R401" i="1"/>
  <c r="BH401" i="1"/>
  <c r="M401" i="1"/>
  <c r="BJ401" i="1"/>
  <c r="BF401" i="1"/>
  <c r="BM401" i="1"/>
  <c r="BI401" i="1"/>
  <c r="BE401" i="1"/>
  <c r="X401" i="1"/>
  <c r="L401" i="1"/>
  <c r="AM401" i="1" s="1"/>
  <c r="P401" i="1"/>
  <c r="BC401" i="1" s="1"/>
  <c r="BH393" i="1"/>
  <c r="W393" i="1"/>
  <c r="BG393" i="1"/>
  <c r="V393" i="1"/>
  <c r="BK393" i="1"/>
  <c r="E393" i="1"/>
  <c r="BJ393" i="1"/>
  <c r="BI402" i="1"/>
  <c r="BE402" i="1"/>
  <c r="Y402" i="1"/>
  <c r="R402" i="1"/>
  <c r="BF402" i="1"/>
  <c r="BM402" i="1"/>
  <c r="BH402" i="1"/>
  <c r="X402" i="1"/>
  <c r="M402" i="1"/>
  <c r="BJ402" i="1"/>
  <c r="BK402" i="1"/>
  <c r="BG402" i="1"/>
  <c r="L402" i="1"/>
  <c r="AM402" i="1" s="1"/>
  <c r="P402" i="1"/>
  <c r="BC402" i="1" s="1"/>
  <c r="BI398" i="1"/>
  <c r="BE398" i="1"/>
  <c r="Y398" i="1"/>
  <c r="R398" i="1"/>
  <c r="BK398" i="1"/>
  <c r="BG398" i="1"/>
  <c r="BM398" i="1"/>
  <c r="BH398" i="1"/>
  <c r="X398" i="1"/>
  <c r="M398" i="1"/>
  <c r="BJ398" i="1"/>
  <c r="BF398" i="1"/>
  <c r="P398" i="1"/>
  <c r="BC398" i="1" s="1"/>
  <c r="L398" i="1"/>
  <c r="AM398" i="1" s="1"/>
  <c r="BG394" i="1"/>
  <c r="V394" i="1"/>
  <c r="BK394" i="1"/>
  <c r="E394" i="1"/>
  <c r="BJ394" i="1"/>
  <c r="BH394" i="1"/>
  <c r="W394" i="1"/>
  <c r="BG390" i="1"/>
  <c r="V390" i="1"/>
  <c r="BH390" i="1"/>
  <c r="BK390" i="1"/>
  <c r="E390" i="1"/>
  <c r="BJ390" i="1"/>
  <c r="W390" i="1"/>
  <c r="BM375" i="1"/>
  <c r="BH375" i="1"/>
  <c r="X375" i="1"/>
  <c r="M375" i="1"/>
  <c r="BE375" i="1"/>
  <c r="BK375" i="1"/>
  <c r="BG375" i="1"/>
  <c r="BI375" i="1"/>
  <c r="Y375" i="1"/>
  <c r="R375" i="1"/>
  <c r="BJ375" i="1"/>
  <c r="BF375" i="1"/>
  <c r="L375" i="1"/>
  <c r="AM375" i="1" s="1"/>
  <c r="P375" i="1"/>
  <c r="BC375" i="1" s="1"/>
  <c r="BM371" i="1"/>
  <c r="BH371" i="1"/>
  <c r="X371" i="1"/>
  <c r="M371" i="1"/>
  <c r="BK371" i="1"/>
  <c r="BG371" i="1"/>
  <c r="BI371" i="1"/>
  <c r="Y371" i="1"/>
  <c r="BJ371" i="1"/>
  <c r="BF371" i="1"/>
  <c r="BE371" i="1"/>
  <c r="R371" i="1"/>
  <c r="L371" i="1"/>
  <c r="AM371" i="1" s="1"/>
  <c r="P371" i="1"/>
  <c r="BC371" i="1" s="1"/>
  <c r="BM367" i="1"/>
  <c r="BH367" i="1"/>
  <c r="X367" i="1"/>
  <c r="M367" i="1"/>
  <c r="BE367" i="1"/>
  <c r="Y367" i="1"/>
  <c r="BK367" i="1"/>
  <c r="BG367" i="1"/>
  <c r="BI367" i="1"/>
  <c r="R367" i="1"/>
  <c r="BJ367" i="1"/>
  <c r="BF367" i="1"/>
  <c r="P367" i="1"/>
  <c r="BC367" i="1" s="1"/>
  <c r="L367" i="1"/>
  <c r="AM367" i="1" s="1"/>
  <c r="BH363" i="1"/>
  <c r="W363" i="1"/>
  <c r="BG363" i="1"/>
  <c r="V363" i="1"/>
  <c r="BK363" i="1"/>
  <c r="E363" i="1"/>
  <c r="BJ363" i="1"/>
  <c r="BH359" i="1"/>
  <c r="W359" i="1"/>
  <c r="BJ359" i="1"/>
  <c r="BG359" i="1"/>
  <c r="V359" i="1"/>
  <c r="BK359" i="1"/>
  <c r="E359" i="1"/>
  <c r="BJ374" i="1"/>
  <c r="BF374" i="1"/>
  <c r="BI374" i="1"/>
  <c r="BE374" i="1"/>
  <c r="Y374" i="1"/>
  <c r="R374" i="1"/>
  <c r="BK374" i="1"/>
  <c r="BG374" i="1"/>
  <c r="BM374" i="1"/>
  <c r="BH374" i="1"/>
  <c r="X374" i="1"/>
  <c r="M374" i="1"/>
  <c r="L374" i="1"/>
  <c r="AM374" i="1" s="1"/>
  <c r="P374" i="1"/>
  <c r="BC374" i="1" s="1"/>
  <c r="BJ370" i="1"/>
  <c r="BF370" i="1"/>
  <c r="BI370" i="1"/>
  <c r="BE370" i="1"/>
  <c r="Y370" i="1"/>
  <c r="R370" i="1"/>
  <c r="BK370" i="1"/>
  <c r="BM370" i="1"/>
  <c r="BH370" i="1"/>
  <c r="X370" i="1"/>
  <c r="M370" i="1"/>
  <c r="BG370" i="1"/>
  <c r="L370" i="1"/>
  <c r="AM370" i="1" s="1"/>
  <c r="P370" i="1"/>
  <c r="BC370" i="1" s="1"/>
  <c r="BJ366" i="1"/>
  <c r="BF366" i="1"/>
  <c r="BG366" i="1"/>
  <c r="BI366" i="1"/>
  <c r="BE366" i="1"/>
  <c r="Y366" i="1"/>
  <c r="R366" i="1"/>
  <c r="BK366" i="1"/>
  <c r="BM366" i="1"/>
  <c r="BH366" i="1"/>
  <c r="X366" i="1"/>
  <c r="M366" i="1"/>
  <c r="P366" i="1"/>
  <c r="BC366" i="1" s="1"/>
  <c r="L366" i="1"/>
  <c r="AM366" i="1" s="1"/>
  <c r="BK362" i="1"/>
  <c r="BJ362" i="1"/>
  <c r="E362" i="1"/>
  <c r="BH362" i="1"/>
  <c r="W362" i="1"/>
  <c r="BG362" i="1"/>
  <c r="V362" i="1"/>
  <c r="BE373" i="1"/>
  <c r="R373" i="1"/>
  <c r="BM373" i="1"/>
  <c r="BH373" i="1"/>
  <c r="X373" i="1"/>
  <c r="M373" i="1"/>
  <c r="BK373" i="1"/>
  <c r="BG373" i="1"/>
  <c r="BJ373" i="1"/>
  <c r="BF373" i="1"/>
  <c r="BI373" i="1"/>
  <c r="Y373" i="1"/>
  <c r="L373" i="1"/>
  <c r="AM373" i="1" s="1"/>
  <c r="P373" i="1"/>
  <c r="BC373" i="1" s="1"/>
  <c r="Y369" i="1"/>
  <c r="BM369" i="1"/>
  <c r="BH369" i="1"/>
  <c r="X369" i="1"/>
  <c r="M369" i="1"/>
  <c r="BK369" i="1"/>
  <c r="BG369" i="1"/>
  <c r="BE369" i="1"/>
  <c r="R369" i="1"/>
  <c r="BJ369" i="1"/>
  <c r="BF369" i="1"/>
  <c r="BI369" i="1"/>
  <c r="P369" i="1"/>
  <c r="BC369" i="1" s="1"/>
  <c r="L369" i="1"/>
  <c r="AM369" i="1" s="1"/>
  <c r="V365" i="1"/>
  <c r="BK365" i="1"/>
  <c r="E365" i="1"/>
  <c r="BJ365" i="1"/>
  <c r="BG365" i="1"/>
  <c r="BH365" i="1"/>
  <c r="W365" i="1"/>
  <c r="BK361" i="1"/>
  <c r="E361" i="1"/>
  <c r="BG361" i="1"/>
  <c r="BJ361" i="1"/>
  <c r="V361" i="1"/>
  <c r="BH361" i="1"/>
  <c r="W361" i="1"/>
  <c r="BJ376" i="1"/>
  <c r="BF376" i="1"/>
  <c r="BI376" i="1"/>
  <c r="BE376" i="1"/>
  <c r="Y376" i="1"/>
  <c r="R376" i="1"/>
  <c r="BM376" i="1"/>
  <c r="BH376" i="1"/>
  <c r="X376" i="1"/>
  <c r="M376" i="1"/>
  <c r="BK376" i="1"/>
  <c r="BG376" i="1"/>
  <c r="P376" i="1"/>
  <c r="BC376" i="1" s="1"/>
  <c r="L376" i="1"/>
  <c r="AM376" i="1" s="1"/>
  <c r="BG372" i="1"/>
  <c r="BJ372" i="1"/>
  <c r="BF372" i="1"/>
  <c r="BI372" i="1"/>
  <c r="BE372" i="1"/>
  <c r="Y372" i="1"/>
  <c r="R372" i="1"/>
  <c r="BM372" i="1"/>
  <c r="BH372" i="1"/>
  <c r="X372" i="1"/>
  <c r="M372" i="1"/>
  <c r="BK372" i="1"/>
  <c r="P372" i="1"/>
  <c r="BC372" i="1" s="1"/>
  <c r="L372" i="1"/>
  <c r="AM372" i="1" s="1"/>
  <c r="BG368" i="1"/>
  <c r="BJ368" i="1"/>
  <c r="BF368" i="1"/>
  <c r="BI368" i="1"/>
  <c r="BE368" i="1"/>
  <c r="Y368" i="1"/>
  <c r="R368" i="1"/>
  <c r="BK368" i="1"/>
  <c r="BM368" i="1"/>
  <c r="BH368" i="1"/>
  <c r="X368" i="1"/>
  <c r="M368" i="1"/>
  <c r="L368" i="1"/>
  <c r="AM368" i="1" s="1"/>
  <c r="P368" i="1"/>
  <c r="BC368" i="1" s="1"/>
  <c r="BG364" i="1"/>
  <c r="V364" i="1"/>
  <c r="W364" i="1"/>
  <c r="BK364" i="1"/>
  <c r="E364" i="1"/>
  <c r="BH364" i="1"/>
  <c r="BJ364" i="1"/>
  <c r="W360" i="1"/>
  <c r="BG360" i="1"/>
  <c r="V360" i="1"/>
  <c r="BK360" i="1"/>
  <c r="E360" i="1"/>
  <c r="BJ360" i="1"/>
  <c r="BH360" i="1"/>
  <c r="BK345" i="1"/>
  <c r="BG345" i="1"/>
  <c r="BJ345" i="1"/>
  <c r="BF345" i="1"/>
  <c r="BI345" i="1"/>
  <c r="BE345" i="1"/>
  <c r="Y345" i="1"/>
  <c r="R345" i="1"/>
  <c r="BM345" i="1"/>
  <c r="BH345" i="1"/>
  <c r="X345" i="1"/>
  <c r="M345" i="1"/>
  <c r="L345" i="1"/>
  <c r="AM345" i="1" s="1"/>
  <c r="P345" i="1"/>
  <c r="BC345" i="1" s="1"/>
  <c r="BK341" i="1"/>
  <c r="BG341" i="1"/>
  <c r="BJ341" i="1"/>
  <c r="BF341" i="1"/>
  <c r="BI341" i="1"/>
  <c r="BE341" i="1"/>
  <c r="Y341" i="1"/>
  <c r="R341" i="1"/>
  <c r="BM341" i="1"/>
  <c r="BH341" i="1"/>
  <c r="X341" i="1"/>
  <c r="M341" i="1"/>
  <c r="P341" i="1"/>
  <c r="BC341" i="1" s="1"/>
  <c r="L341" i="1"/>
  <c r="AM341" i="1" s="1"/>
  <c r="BK337" i="1"/>
  <c r="BG337" i="1"/>
  <c r="BJ337" i="1"/>
  <c r="BF337" i="1"/>
  <c r="BI337" i="1"/>
  <c r="BE337" i="1"/>
  <c r="Y337" i="1"/>
  <c r="R337" i="1"/>
  <c r="BM337" i="1"/>
  <c r="BH337" i="1"/>
  <c r="X337" i="1"/>
  <c r="M337" i="1"/>
  <c r="L337" i="1"/>
  <c r="AM337" i="1" s="1"/>
  <c r="P337" i="1"/>
  <c r="BC337" i="1" s="1"/>
  <c r="E333" i="1"/>
  <c r="W333" i="1"/>
  <c r="V333" i="1"/>
  <c r="BI344" i="1"/>
  <c r="BE344" i="1"/>
  <c r="Y344" i="1"/>
  <c r="R344" i="1"/>
  <c r="BM344" i="1"/>
  <c r="BH344" i="1"/>
  <c r="X344" i="1"/>
  <c r="M344" i="1"/>
  <c r="BK344" i="1"/>
  <c r="BG344" i="1"/>
  <c r="BJ344" i="1"/>
  <c r="BF344" i="1"/>
  <c r="L344" i="1"/>
  <c r="AM344" i="1" s="1"/>
  <c r="P344" i="1"/>
  <c r="BC344" i="1" s="1"/>
  <c r="BI340" i="1"/>
  <c r="BE340" i="1"/>
  <c r="Y340" i="1"/>
  <c r="R340" i="1"/>
  <c r="BM340" i="1"/>
  <c r="BH340" i="1"/>
  <c r="X340" i="1"/>
  <c r="M340" i="1"/>
  <c r="BK340" i="1"/>
  <c r="BG340" i="1"/>
  <c r="BJ340" i="1"/>
  <c r="BF340" i="1"/>
  <c r="P340" i="1"/>
  <c r="BC340" i="1" s="1"/>
  <c r="L340" i="1"/>
  <c r="AM340" i="1" s="1"/>
  <c r="V336" i="1"/>
  <c r="E336" i="1"/>
  <c r="W336" i="1"/>
  <c r="V332" i="1"/>
  <c r="E332" i="1"/>
  <c r="W332" i="1"/>
  <c r="BK347" i="1"/>
  <c r="BG347" i="1"/>
  <c r="BJ347" i="1"/>
  <c r="BF347" i="1"/>
  <c r="BI347" i="1"/>
  <c r="BE347" i="1"/>
  <c r="Y347" i="1"/>
  <c r="R347" i="1"/>
  <c r="BM347" i="1"/>
  <c r="BH347" i="1"/>
  <c r="X347" i="1"/>
  <c r="M347" i="1"/>
  <c r="L347" i="1"/>
  <c r="AM347" i="1" s="1"/>
  <c r="P347" i="1"/>
  <c r="BC347" i="1" s="1"/>
  <c r="BK343" i="1"/>
  <c r="BG343" i="1"/>
  <c r="BJ343" i="1"/>
  <c r="BF343" i="1"/>
  <c r="BI343" i="1"/>
  <c r="BE343" i="1"/>
  <c r="Y343" i="1"/>
  <c r="R343" i="1"/>
  <c r="BM343" i="1"/>
  <c r="BH343" i="1"/>
  <c r="X343" i="1"/>
  <c r="M343" i="1"/>
  <c r="L343" i="1"/>
  <c r="AM343" i="1" s="1"/>
  <c r="P343" i="1"/>
  <c r="BC343" i="1" s="1"/>
  <c r="BK339" i="1"/>
  <c r="BG339" i="1"/>
  <c r="BJ339" i="1"/>
  <c r="BF339" i="1"/>
  <c r="BI339" i="1"/>
  <c r="BE339" i="1"/>
  <c r="Y339" i="1"/>
  <c r="R339" i="1"/>
  <c r="BM339" i="1"/>
  <c r="BH339" i="1"/>
  <c r="X339" i="1"/>
  <c r="M339" i="1"/>
  <c r="P339" i="1"/>
  <c r="BC339" i="1" s="1"/>
  <c r="L339" i="1"/>
  <c r="AM339" i="1" s="1"/>
  <c r="W335" i="1"/>
  <c r="V335" i="1"/>
  <c r="E335" i="1"/>
  <c r="W331" i="1"/>
  <c r="V331" i="1"/>
  <c r="E331" i="1"/>
  <c r="BI346" i="1"/>
  <c r="BE346" i="1"/>
  <c r="Y346" i="1"/>
  <c r="R346" i="1"/>
  <c r="BM346" i="1"/>
  <c r="BH346" i="1"/>
  <c r="X346" i="1"/>
  <c r="M346" i="1"/>
  <c r="BK346" i="1"/>
  <c r="BG346" i="1"/>
  <c r="BJ346" i="1"/>
  <c r="BF346" i="1"/>
  <c r="L346" i="1"/>
  <c r="AM346" i="1" s="1"/>
  <c r="P346" i="1"/>
  <c r="BC346" i="1" s="1"/>
  <c r="BI342" i="1"/>
  <c r="BE342" i="1"/>
  <c r="Y342" i="1"/>
  <c r="R342" i="1"/>
  <c r="BM342" i="1"/>
  <c r="BH342" i="1"/>
  <c r="X342" i="1"/>
  <c r="M342" i="1"/>
  <c r="BK342" i="1"/>
  <c r="BG342" i="1"/>
  <c r="BJ342" i="1"/>
  <c r="BF342" i="1"/>
  <c r="P342" i="1"/>
  <c r="BC342" i="1" s="1"/>
  <c r="L342" i="1"/>
  <c r="AM342" i="1" s="1"/>
  <c r="BI338" i="1"/>
  <c r="BE338" i="1"/>
  <c r="Y338" i="1"/>
  <c r="R338" i="1"/>
  <c r="BM338" i="1"/>
  <c r="BH338" i="1"/>
  <c r="X338" i="1"/>
  <c r="M338" i="1"/>
  <c r="BK338" i="1"/>
  <c r="BG338" i="1"/>
  <c r="BJ338" i="1"/>
  <c r="BF338" i="1"/>
  <c r="L338" i="1"/>
  <c r="AM338" i="1" s="1"/>
  <c r="P338" i="1"/>
  <c r="BC338" i="1" s="1"/>
  <c r="W334" i="1"/>
  <c r="V334" i="1"/>
  <c r="E334" i="1"/>
  <c r="W330" i="1"/>
  <c r="V330" i="1"/>
  <c r="E330" i="1"/>
  <c r="BM315" i="1"/>
  <c r="BH315" i="1"/>
  <c r="X315" i="1"/>
  <c r="M315" i="1"/>
  <c r="BK315" i="1"/>
  <c r="BG315" i="1"/>
  <c r="BJ315" i="1"/>
  <c r="BF315" i="1"/>
  <c r="BI315" i="1"/>
  <c r="BE315" i="1"/>
  <c r="Y315" i="1"/>
  <c r="R315" i="1"/>
  <c r="P315" i="1"/>
  <c r="BC315" i="1" s="1"/>
  <c r="L315" i="1"/>
  <c r="AM315" i="1" s="1"/>
  <c r="BM311" i="1"/>
  <c r="BH311" i="1"/>
  <c r="X311" i="1"/>
  <c r="M311" i="1"/>
  <c r="BK311" i="1"/>
  <c r="BG311" i="1"/>
  <c r="BJ311" i="1"/>
  <c r="BF311" i="1"/>
  <c r="BI311" i="1"/>
  <c r="BE311" i="1"/>
  <c r="Y311" i="1"/>
  <c r="R311" i="1"/>
  <c r="P311" i="1"/>
  <c r="BC311" i="1" s="1"/>
  <c r="L311" i="1"/>
  <c r="AM311" i="1" s="1"/>
  <c r="E307" i="1"/>
  <c r="W307" i="1"/>
  <c r="V307" i="1"/>
  <c r="E303" i="1"/>
  <c r="W303" i="1"/>
  <c r="V303" i="1"/>
  <c r="BJ318" i="1"/>
  <c r="BF318" i="1"/>
  <c r="BI318" i="1"/>
  <c r="BE318" i="1"/>
  <c r="Y318" i="1"/>
  <c r="R318" i="1"/>
  <c r="BM318" i="1"/>
  <c r="BH318" i="1"/>
  <c r="X318" i="1"/>
  <c r="M318" i="1"/>
  <c r="BK318" i="1"/>
  <c r="BG318" i="1"/>
  <c r="L318" i="1"/>
  <c r="AM318" i="1" s="1"/>
  <c r="P318" i="1"/>
  <c r="BC318" i="1" s="1"/>
  <c r="BJ314" i="1"/>
  <c r="BF314" i="1"/>
  <c r="BI314" i="1"/>
  <c r="BE314" i="1"/>
  <c r="Y314" i="1"/>
  <c r="R314" i="1"/>
  <c r="BM314" i="1"/>
  <c r="BH314" i="1"/>
  <c r="X314" i="1"/>
  <c r="M314" i="1"/>
  <c r="BK314" i="1"/>
  <c r="BG314" i="1"/>
  <c r="P314" i="1"/>
  <c r="BC314" i="1" s="1"/>
  <c r="L314" i="1"/>
  <c r="AM314" i="1" s="1"/>
  <c r="BJ310" i="1"/>
  <c r="BF310" i="1"/>
  <c r="BI310" i="1"/>
  <c r="BE310" i="1"/>
  <c r="Y310" i="1"/>
  <c r="R310" i="1"/>
  <c r="BM310" i="1"/>
  <c r="BH310" i="1"/>
  <c r="X310" i="1"/>
  <c r="M310" i="1"/>
  <c r="BK310" i="1"/>
  <c r="BG310" i="1"/>
  <c r="P310" i="1"/>
  <c r="BC310" i="1" s="1"/>
  <c r="L310" i="1"/>
  <c r="AM310" i="1" s="1"/>
  <c r="V306" i="1"/>
  <c r="E306" i="1"/>
  <c r="W306" i="1"/>
  <c r="V302" i="1"/>
  <c r="W302" i="1"/>
  <c r="E302" i="1"/>
  <c r="BM317" i="1"/>
  <c r="BH317" i="1"/>
  <c r="X317" i="1"/>
  <c r="M317" i="1"/>
  <c r="BK317" i="1"/>
  <c r="BG317" i="1"/>
  <c r="BJ317" i="1"/>
  <c r="BF317" i="1"/>
  <c r="BI317" i="1"/>
  <c r="BE317" i="1"/>
  <c r="Y317" i="1"/>
  <c r="R317" i="1"/>
  <c r="L317" i="1"/>
  <c r="AM317" i="1" s="1"/>
  <c r="P317" i="1"/>
  <c r="BC317" i="1" s="1"/>
  <c r="BM313" i="1"/>
  <c r="BH313" i="1"/>
  <c r="X313" i="1"/>
  <c r="M313" i="1"/>
  <c r="BK313" i="1"/>
  <c r="BG313" i="1"/>
  <c r="BJ313" i="1"/>
  <c r="BF313" i="1"/>
  <c r="BI313" i="1"/>
  <c r="BE313" i="1"/>
  <c r="Y313" i="1"/>
  <c r="R313" i="1"/>
  <c r="P313" i="1"/>
  <c r="BC313" i="1" s="1"/>
  <c r="L313" i="1"/>
  <c r="AM313" i="1" s="1"/>
  <c r="BM309" i="1"/>
  <c r="BH309" i="1"/>
  <c r="X309" i="1"/>
  <c r="M309" i="1"/>
  <c r="BK309" i="1"/>
  <c r="BG309" i="1"/>
  <c r="BJ309" i="1"/>
  <c r="BF309" i="1"/>
  <c r="BI309" i="1"/>
  <c r="BE309" i="1"/>
  <c r="Y309" i="1"/>
  <c r="R309" i="1"/>
  <c r="L309" i="1"/>
  <c r="AM309" i="1" s="1"/>
  <c r="P309" i="1"/>
  <c r="BC309" i="1" s="1"/>
  <c r="W305" i="1"/>
  <c r="V305" i="1"/>
  <c r="E305" i="1"/>
  <c r="V301" i="1"/>
  <c r="E301" i="1"/>
  <c r="W301" i="1"/>
  <c r="BJ316" i="1"/>
  <c r="BF316" i="1"/>
  <c r="BI316" i="1"/>
  <c r="BE316" i="1"/>
  <c r="Y316" i="1"/>
  <c r="R316" i="1"/>
  <c r="BM316" i="1"/>
  <c r="BH316" i="1"/>
  <c r="X316" i="1"/>
  <c r="M316" i="1"/>
  <c r="BK316" i="1"/>
  <c r="BG316" i="1"/>
  <c r="L316" i="1"/>
  <c r="AM316" i="1" s="1"/>
  <c r="P316" i="1"/>
  <c r="BC316" i="1" s="1"/>
  <c r="BJ312" i="1"/>
  <c r="BF312" i="1"/>
  <c r="BI312" i="1"/>
  <c r="BE312" i="1"/>
  <c r="Y312" i="1"/>
  <c r="R312" i="1"/>
  <c r="BM312" i="1"/>
  <c r="BH312" i="1"/>
  <c r="X312" i="1"/>
  <c r="M312" i="1"/>
  <c r="BK312" i="1"/>
  <c r="BG312" i="1"/>
  <c r="P312" i="1"/>
  <c r="BC312" i="1" s="1"/>
  <c r="L312" i="1"/>
  <c r="AM312" i="1" s="1"/>
  <c r="BJ308" i="1"/>
  <c r="BF308" i="1"/>
  <c r="BI308" i="1"/>
  <c r="BE308" i="1"/>
  <c r="Y308" i="1"/>
  <c r="R308" i="1"/>
  <c r="BM308" i="1"/>
  <c r="BH308" i="1"/>
  <c r="X308" i="1"/>
  <c r="M308" i="1"/>
  <c r="BK308" i="1"/>
  <c r="BG308" i="1"/>
  <c r="L308" i="1"/>
  <c r="AM308" i="1" s="1"/>
  <c r="P308" i="1"/>
  <c r="BC308" i="1" s="1"/>
  <c r="W304" i="1"/>
  <c r="V304" i="1"/>
  <c r="E304" i="1"/>
  <c r="BI289" i="1"/>
  <c r="BE289" i="1"/>
  <c r="Y289" i="1"/>
  <c r="R289" i="1"/>
  <c r="BM289" i="1"/>
  <c r="BH289" i="1"/>
  <c r="X289" i="1"/>
  <c r="M289" i="1"/>
  <c r="BK289" i="1"/>
  <c r="BG289" i="1"/>
  <c r="BJ289" i="1"/>
  <c r="BF289" i="1"/>
  <c r="L289" i="1"/>
  <c r="AM289" i="1" s="1"/>
  <c r="P289" i="1"/>
  <c r="BC289" i="1" s="1"/>
  <c r="BI285" i="1"/>
  <c r="BE285" i="1"/>
  <c r="Y285" i="1"/>
  <c r="R285" i="1"/>
  <c r="X285" i="1"/>
  <c r="M285" i="1"/>
  <c r="BM285" i="1"/>
  <c r="BH285" i="1"/>
  <c r="BK285" i="1"/>
  <c r="BG285" i="1"/>
  <c r="BJ285" i="1"/>
  <c r="BF285" i="1"/>
  <c r="P285" i="1"/>
  <c r="BC285" i="1" s="1"/>
  <c r="L285" i="1"/>
  <c r="AM285" i="1" s="1"/>
  <c r="BI281" i="1"/>
  <c r="BE281" i="1"/>
  <c r="Y281" i="1"/>
  <c r="R281" i="1"/>
  <c r="BM281" i="1"/>
  <c r="BH281" i="1"/>
  <c r="X281" i="1"/>
  <c r="M281" i="1"/>
  <c r="BK281" i="1"/>
  <c r="BG281" i="1"/>
  <c r="BJ281" i="1"/>
  <c r="BF281" i="1"/>
  <c r="L281" i="1"/>
  <c r="AM281" i="1" s="1"/>
  <c r="P281" i="1"/>
  <c r="BC281" i="1" s="1"/>
  <c r="E277" i="1"/>
  <c r="W277" i="1"/>
  <c r="V277" i="1"/>
  <c r="W273" i="1"/>
  <c r="V273" i="1"/>
  <c r="E273" i="1"/>
  <c r="BK288" i="1"/>
  <c r="BG288" i="1"/>
  <c r="BJ288" i="1"/>
  <c r="BF288" i="1"/>
  <c r="BI288" i="1"/>
  <c r="BE288" i="1"/>
  <c r="Y288" i="1"/>
  <c r="R288" i="1"/>
  <c r="BM288" i="1"/>
  <c r="BH288" i="1"/>
  <c r="X288" i="1"/>
  <c r="M288" i="1"/>
  <c r="P288" i="1"/>
  <c r="BC288" i="1" s="1"/>
  <c r="L288" i="1"/>
  <c r="AM288" i="1" s="1"/>
  <c r="BK284" i="1"/>
  <c r="BG284" i="1"/>
  <c r="BJ284" i="1"/>
  <c r="BF284" i="1"/>
  <c r="BI284" i="1"/>
  <c r="BE284" i="1"/>
  <c r="Y284" i="1"/>
  <c r="R284" i="1"/>
  <c r="BM284" i="1"/>
  <c r="BH284" i="1"/>
  <c r="X284" i="1"/>
  <c r="M284" i="1"/>
  <c r="P284" i="1"/>
  <c r="BC284" i="1" s="1"/>
  <c r="L284" i="1"/>
  <c r="AM284" i="1" s="1"/>
  <c r="BK280" i="1"/>
  <c r="BG280" i="1"/>
  <c r="BJ280" i="1"/>
  <c r="BF280" i="1"/>
  <c r="BI280" i="1"/>
  <c r="BE280" i="1"/>
  <c r="Y280" i="1"/>
  <c r="R280" i="1"/>
  <c r="BM280" i="1"/>
  <c r="BH280" i="1"/>
  <c r="X280" i="1"/>
  <c r="M280" i="1"/>
  <c r="P280" i="1"/>
  <c r="BC280" i="1" s="1"/>
  <c r="L280" i="1"/>
  <c r="AM280" i="1" s="1"/>
  <c r="V276" i="1"/>
  <c r="E276" i="1"/>
  <c r="W276" i="1"/>
  <c r="E272" i="1"/>
  <c r="W272" i="1"/>
  <c r="V272" i="1"/>
  <c r="BI287" i="1"/>
  <c r="BE287" i="1"/>
  <c r="Y287" i="1"/>
  <c r="R287" i="1"/>
  <c r="X287" i="1"/>
  <c r="M287" i="1"/>
  <c r="BM287" i="1"/>
  <c r="BH287" i="1"/>
  <c r="BK287" i="1"/>
  <c r="BG287" i="1"/>
  <c r="BJ287" i="1"/>
  <c r="BF287" i="1"/>
  <c r="L287" i="1"/>
  <c r="AM287" i="1" s="1"/>
  <c r="P287" i="1"/>
  <c r="BC287" i="1" s="1"/>
  <c r="BI283" i="1"/>
  <c r="BE283" i="1"/>
  <c r="Y283" i="1"/>
  <c r="R283" i="1"/>
  <c r="BM283" i="1"/>
  <c r="BH283" i="1"/>
  <c r="X283" i="1"/>
  <c r="M283" i="1"/>
  <c r="BK283" i="1"/>
  <c r="BG283" i="1"/>
  <c r="BJ283" i="1"/>
  <c r="BF283" i="1"/>
  <c r="P283" i="1"/>
  <c r="BC283" i="1" s="1"/>
  <c r="L283" i="1"/>
  <c r="AM283" i="1" s="1"/>
  <c r="BI279" i="1"/>
  <c r="BE279" i="1"/>
  <c r="Y279" i="1"/>
  <c r="R279" i="1"/>
  <c r="BM279" i="1"/>
  <c r="BH279" i="1"/>
  <c r="X279" i="1"/>
  <c r="M279" i="1"/>
  <c r="BK279" i="1"/>
  <c r="BG279" i="1"/>
  <c r="BJ279" i="1"/>
  <c r="BF279" i="1"/>
  <c r="L279" i="1"/>
  <c r="AM279" i="1" s="1"/>
  <c r="P279" i="1"/>
  <c r="BC279" i="1" s="1"/>
  <c r="W275" i="1"/>
  <c r="V275" i="1"/>
  <c r="E275" i="1"/>
  <c r="BK286" i="1"/>
  <c r="BG286" i="1"/>
  <c r="BJ286" i="1"/>
  <c r="BF286" i="1"/>
  <c r="BI286" i="1"/>
  <c r="BE286" i="1"/>
  <c r="Y286" i="1"/>
  <c r="R286" i="1"/>
  <c r="BM286" i="1"/>
  <c r="BH286" i="1"/>
  <c r="X286" i="1"/>
  <c r="M286" i="1"/>
  <c r="P286" i="1"/>
  <c r="BC286" i="1" s="1"/>
  <c r="L286" i="1"/>
  <c r="AM286" i="1" s="1"/>
  <c r="BK282" i="1"/>
  <c r="BG282" i="1"/>
  <c r="BJ282" i="1"/>
  <c r="BF282" i="1"/>
  <c r="BI282" i="1"/>
  <c r="BE282" i="1"/>
  <c r="Y282" i="1"/>
  <c r="R282" i="1"/>
  <c r="BM282" i="1"/>
  <c r="BH282" i="1"/>
  <c r="X282" i="1"/>
  <c r="M282" i="1"/>
  <c r="L282" i="1"/>
  <c r="AM282" i="1" s="1"/>
  <c r="P282" i="1"/>
  <c r="BC282" i="1" s="1"/>
  <c r="W278" i="1"/>
  <c r="V278" i="1"/>
  <c r="E278" i="1"/>
  <c r="W274" i="1"/>
  <c r="V274" i="1"/>
  <c r="E274" i="1"/>
  <c r="BJ259" i="1"/>
  <c r="BF259" i="1"/>
  <c r="BI259" i="1"/>
  <c r="BE259" i="1"/>
  <c r="Y259" i="1"/>
  <c r="R259" i="1"/>
  <c r="BM259" i="1"/>
  <c r="BH259" i="1"/>
  <c r="X259" i="1"/>
  <c r="M259" i="1"/>
  <c r="BK259" i="1"/>
  <c r="BG259" i="1"/>
  <c r="P259" i="1"/>
  <c r="BC259" i="1" s="1"/>
  <c r="L259" i="1"/>
  <c r="AM259" i="1" s="1"/>
  <c r="BJ255" i="1"/>
  <c r="BF255" i="1"/>
  <c r="BI255" i="1"/>
  <c r="Y255" i="1"/>
  <c r="R255" i="1"/>
  <c r="BE255" i="1"/>
  <c r="BM255" i="1"/>
  <c r="BH255" i="1"/>
  <c r="X255" i="1"/>
  <c r="M255" i="1"/>
  <c r="BK255" i="1"/>
  <c r="BG255" i="1"/>
  <c r="L255" i="1"/>
  <c r="AM255" i="1" s="1"/>
  <c r="P255" i="1"/>
  <c r="BC255" i="1" s="1"/>
  <c r="BJ251" i="1"/>
  <c r="BF251" i="1"/>
  <c r="BI251" i="1"/>
  <c r="BE251" i="1"/>
  <c r="Y251" i="1"/>
  <c r="R251" i="1"/>
  <c r="BM251" i="1"/>
  <c r="BH251" i="1"/>
  <c r="X251" i="1"/>
  <c r="M251" i="1"/>
  <c r="BK251" i="1"/>
  <c r="BG251" i="1"/>
  <c r="L251" i="1"/>
  <c r="AM251" i="1" s="1"/>
  <c r="P251" i="1"/>
  <c r="BC251" i="1" s="1"/>
  <c r="E247" i="1"/>
  <c r="W247" i="1"/>
  <c r="V247" i="1"/>
  <c r="W243" i="1"/>
  <c r="V243" i="1"/>
  <c r="E243" i="1"/>
  <c r="BM258" i="1"/>
  <c r="BH258" i="1"/>
  <c r="X258" i="1"/>
  <c r="M258" i="1"/>
  <c r="BK258" i="1"/>
  <c r="BG258" i="1"/>
  <c r="BJ258" i="1"/>
  <c r="BF258" i="1"/>
  <c r="BI258" i="1"/>
  <c r="BE258" i="1"/>
  <c r="Y258" i="1"/>
  <c r="R258" i="1"/>
  <c r="L258" i="1"/>
  <c r="AM258" i="1" s="1"/>
  <c r="P258" i="1"/>
  <c r="BC258" i="1" s="1"/>
  <c r="BM254" i="1"/>
  <c r="BH254" i="1"/>
  <c r="X254" i="1"/>
  <c r="M254" i="1"/>
  <c r="BK254" i="1"/>
  <c r="BG254" i="1"/>
  <c r="BJ254" i="1"/>
  <c r="BF254" i="1"/>
  <c r="BI254" i="1"/>
  <c r="BE254" i="1"/>
  <c r="Y254" i="1"/>
  <c r="R254" i="1"/>
  <c r="P254" i="1"/>
  <c r="BC254" i="1" s="1"/>
  <c r="L254" i="1"/>
  <c r="AM254" i="1" s="1"/>
  <c r="BM250" i="1"/>
  <c r="BH250" i="1"/>
  <c r="X250" i="1"/>
  <c r="M250" i="1"/>
  <c r="BK250" i="1"/>
  <c r="BG250" i="1"/>
  <c r="BJ250" i="1"/>
  <c r="BF250" i="1"/>
  <c r="BI250" i="1"/>
  <c r="BE250" i="1"/>
  <c r="Y250" i="1"/>
  <c r="R250" i="1"/>
  <c r="P250" i="1"/>
  <c r="BC250" i="1" s="1"/>
  <c r="L250" i="1"/>
  <c r="AM250" i="1" s="1"/>
  <c r="V246" i="1"/>
  <c r="E246" i="1"/>
  <c r="W246" i="1"/>
  <c r="BJ257" i="1"/>
  <c r="BF257" i="1"/>
  <c r="BI257" i="1"/>
  <c r="BE257" i="1"/>
  <c r="Y257" i="1"/>
  <c r="R257" i="1"/>
  <c r="BM257" i="1"/>
  <c r="BH257" i="1"/>
  <c r="X257" i="1"/>
  <c r="M257" i="1"/>
  <c r="BK257" i="1"/>
  <c r="BG257" i="1"/>
  <c r="L257" i="1"/>
  <c r="AM257" i="1" s="1"/>
  <c r="P257" i="1"/>
  <c r="BC257" i="1" s="1"/>
  <c r="BJ253" i="1"/>
  <c r="BF253" i="1"/>
  <c r="BI253" i="1"/>
  <c r="BE253" i="1"/>
  <c r="Y253" i="1"/>
  <c r="R253" i="1"/>
  <c r="BM253" i="1"/>
  <c r="BH253" i="1"/>
  <c r="X253" i="1"/>
  <c r="M253" i="1"/>
  <c r="BK253" i="1"/>
  <c r="BG253" i="1"/>
  <c r="L253" i="1"/>
  <c r="AM253" i="1" s="1"/>
  <c r="P253" i="1"/>
  <c r="BC253" i="1" s="1"/>
  <c r="W249" i="1"/>
  <c r="V249" i="1"/>
  <c r="E249" i="1"/>
  <c r="W245" i="1"/>
  <c r="V245" i="1"/>
  <c r="E245" i="1"/>
  <c r="BM260" i="1"/>
  <c r="BH260" i="1"/>
  <c r="X260" i="1"/>
  <c r="M260" i="1"/>
  <c r="BK260" i="1"/>
  <c r="BG260" i="1"/>
  <c r="BJ260" i="1"/>
  <c r="BF260" i="1"/>
  <c r="BI260" i="1"/>
  <c r="BE260" i="1"/>
  <c r="Y260" i="1"/>
  <c r="R260" i="1"/>
  <c r="L260" i="1"/>
  <c r="AM260" i="1" s="1"/>
  <c r="P260" i="1"/>
  <c r="BC260" i="1" s="1"/>
  <c r="BM256" i="1"/>
  <c r="BH256" i="1"/>
  <c r="X256" i="1"/>
  <c r="M256" i="1"/>
  <c r="BK256" i="1"/>
  <c r="BG256" i="1"/>
  <c r="BJ256" i="1"/>
  <c r="BF256" i="1"/>
  <c r="BI256" i="1"/>
  <c r="BE256" i="1"/>
  <c r="Y256" i="1"/>
  <c r="R256" i="1"/>
  <c r="L256" i="1"/>
  <c r="AM256" i="1" s="1"/>
  <c r="P256" i="1"/>
  <c r="BC256" i="1" s="1"/>
  <c r="BM252" i="1"/>
  <c r="BH252" i="1"/>
  <c r="X252" i="1"/>
  <c r="M252" i="1"/>
  <c r="BK252" i="1"/>
  <c r="BG252" i="1"/>
  <c r="BJ252" i="1"/>
  <c r="BF252" i="1"/>
  <c r="BI252" i="1"/>
  <c r="BE252" i="1"/>
  <c r="Y252" i="1"/>
  <c r="R252" i="1"/>
  <c r="L252" i="1"/>
  <c r="AM252" i="1" s="1"/>
  <c r="P252" i="1"/>
  <c r="BC252" i="1" s="1"/>
  <c r="W248" i="1"/>
  <c r="V248" i="1"/>
  <c r="E248" i="1"/>
  <c r="W244" i="1"/>
  <c r="V244" i="1"/>
  <c r="E244" i="1"/>
  <c r="BK229" i="1"/>
  <c r="BG229" i="1"/>
  <c r="BJ229" i="1"/>
  <c r="BF229" i="1"/>
  <c r="BI229" i="1"/>
  <c r="BE229" i="1"/>
  <c r="Y229" i="1"/>
  <c r="R229" i="1"/>
  <c r="BH229" i="1"/>
  <c r="X229" i="1"/>
  <c r="BM229" i="1"/>
  <c r="M229" i="1"/>
  <c r="L229" i="1"/>
  <c r="AM229" i="1" s="1"/>
  <c r="P229" i="1"/>
  <c r="BC229" i="1" s="1"/>
  <c r="BK225" i="1"/>
  <c r="BG225" i="1"/>
  <c r="BJ225" i="1"/>
  <c r="BF225" i="1"/>
  <c r="BI225" i="1"/>
  <c r="BE225" i="1"/>
  <c r="Y225" i="1"/>
  <c r="R225" i="1"/>
  <c r="BM225" i="1"/>
  <c r="BH225" i="1"/>
  <c r="X225" i="1"/>
  <c r="M225" i="1"/>
  <c r="L225" i="1"/>
  <c r="AM225" i="1" s="1"/>
  <c r="P225" i="1"/>
  <c r="BC225" i="1" s="1"/>
  <c r="BK221" i="1"/>
  <c r="BG221" i="1"/>
  <c r="BJ221" i="1"/>
  <c r="BF221" i="1"/>
  <c r="BI221" i="1"/>
  <c r="BE221" i="1"/>
  <c r="Y221" i="1"/>
  <c r="R221" i="1"/>
  <c r="X221" i="1"/>
  <c r="M221" i="1"/>
  <c r="BM221" i="1"/>
  <c r="BH221" i="1"/>
  <c r="P221" i="1"/>
  <c r="BC221" i="1" s="1"/>
  <c r="L221" i="1"/>
  <c r="AM221" i="1" s="1"/>
  <c r="E217" i="1"/>
  <c r="W217" i="1"/>
  <c r="V217" i="1"/>
  <c r="BI228" i="1"/>
  <c r="BE228" i="1"/>
  <c r="Y228" i="1"/>
  <c r="R228" i="1"/>
  <c r="BM228" i="1"/>
  <c r="BH228" i="1"/>
  <c r="X228" i="1"/>
  <c r="M228" i="1"/>
  <c r="BK228" i="1"/>
  <c r="BG228" i="1"/>
  <c r="BJ228" i="1"/>
  <c r="BF228" i="1"/>
  <c r="P228" i="1"/>
  <c r="BC228" i="1" s="1"/>
  <c r="L228" i="1"/>
  <c r="AM228" i="1" s="1"/>
  <c r="BI224" i="1"/>
  <c r="BE224" i="1"/>
  <c r="Y224" i="1"/>
  <c r="R224" i="1"/>
  <c r="BM224" i="1"/>
  <c r="BH224" i="1"/>
  <c r="X224" i="1"/>
  <c r="M224" i="1"/>
  <c r="BK224" i="1"/>
  <c r="BG224" i="1"/>
  <c r="BJ224" i="1"/>
  <c r="BF224" i="1"/>
  <c r="P224" i="1"/>
  <c r="BC224" i="1" s="1"/>
  <c r="L224" i="1"/>
  <c r="AM224" i="1" s="1"/>
  <c r="V220" i="1"/>
  <c r="E220" i="1"/>
  <c r="W220" i="1"/>
  <c r="V216" i="1"/>
  <c r="E216" i="1"/>
  <c r="W216" i="1"/>
  <c r="BK231" i="1"/>
  <c r="BG231" i="1"/>
  <c r="BJ231" i="1"/>
  <c r="BF231" i="1"/>
  <c r="BI231" i="1"/>
  <c r="BE231" i="1"/>
  <c r="Y231" i="1"/>
  <c r="R231" i="1"/>
  <c r="BM231" i="1"/>
  <c r="BH231" i="1"/>
  <c r="X231" i="1"/>
  <c r="M231" i="1"/>
  <c r="L231" i="1"/>
  <c r="AM231" i="1" s="1"/>
  <c r="P231" i="1"/>
  <c r="BC231" i="1" s="1"/>
  <c r="BK227" i="1"/>
  <c r="BG227" i="1"/>
  <c r="BJ227" i="1"/>
  <c r="BF227" i="1"/>
  <c r="BI227" i="1"/>
  <c r="BE227" i="1"/>
  <c r="Y227" i="1"/>
  <c r="R227" i="1"/>
  <c r="BM227" i="1"/>
  <c r="BH227" i="1"/>
  <c r="X227" i="1"/>
  <c r="M227" i="1"/>
  <c r="P227" i="1"/>
  <c r="BC227" i="1" s="1"/>
  <c r="L227" i="1"/>
  <c r="AM227" i="1" s="1"/>
  <c r="BK223" i="1"/>
  <c r="BG223" i="1"/>
  <c r="BJ223" i="1"/>
  <c r="BF223" i="1"/>
  <c r="BI223" i="1"/>
  <c r="BE223" i="1"/>
  <c r="Y223" i="1"/>
  <c r="R223" i="1"/>
  <c r="X223" i="1"/>
  <c r="M223" i="1"/>
  <c r="BM223" i="1"/>
  <c r="BH223" i="1"/>
  <c r="P223" i="1"/>
  <c r="BC223" i="1" s="1"/>
  <c r="L223" i="1"/>
  <c r="AM223" i="1" s="1"/>
  <c r="W219" i="1"/>
  <c r="V219" i="1"/>
  <c r="E219" i="1"/>
  <c r="W215" i="1"/>
  <c r="V215" i="1"/>
  <c r="E215" i="1"/>
  <c r="BI230" i="1"/>
  <c r="BE230" i="1"/>
  <c r="Y230" i="1"/>
  <c r="R230" i="1"/>
  <c r="BM230" i="1"/>
  <c r="BH230" i="1"/>
  <c r="X230" i="1"/>
  <c r="M230" i="1"/>
  <c r="BK230" i="1"/>
  <c r="BG230" i="1"/>
  <c r="BJ230" i="1"/>
  <c r="BF230" i="1"/>
  <c r="P230" i="1"/>
  <c r="BC230" i="1" s="1"/>
  <c r="L230" i="1"/>
  <c r="AM230" i="1" s="1"/>
  <c r="BI226" i="1"/>
  <c r="BE226" i="1"/>
  <c r="Y226" i="1"/>
  <c r="R226" i="1"/>
  <c r="BM226" i="1"/>
  <c r="BH226" i="1"/>
  <c r="X226" i="1"/>
  <c r="M226" i="1"/>
  <c r="BK226" i="1"/>
  <c r="BG226" i="1"/>
  <c r="BF226" i="1"/>
  <c r="BJ226" i="1"/>
  <c r="P226" i="1"/>
  <c r="BC226" i="1" s="1"/>
  <c r="L226" i="1"/>
  <c r="AM226" i="1" s="1"/>
  <c r="BI222" i="1"/>
  <c r="BE222" i="1"/>
  <c r="Y222" i="1"/>
  <c r="R222" i="1"/>
  <c r="BM222" i="1"/>
  <c r="BH222" i="1"/>
  <c r="X222" i="1"/>
  <c r="M222" i="1"/>
  <c r="BK222" i="1"/>
  <c r="BG222" i="1"/>
  <c r="BJ222" i="1"/>
  <c r="BF222" i="1"/>
  <c r="P222" i="1"/>
  <c r="BC222" i="1" s="1"/>
  <c r="L222" i="1"/>
  <c r="AM222" i="1" s="1"/>
  <c r="W218" i="1"/>
  <c r="V218" i="1"/>
  <c r="E218" i="1"/>
  <c r="W214" i="1"/>
  <c r="V214" i="1"/>
  <c r="E214" i="1"/>
  <c r="X199" i="1"/>
  <c r="M199" i="1"/>
  <c r="BK199" i="1"/>
  <c r="BG199" i="1"/>
  <c r="BJ199" i="1"/>
  <c r="BF199" i="1"/>
  <c r="BI199" i="1"/>
  <c r="BE199" i="1"/>
  <c r="Y199" i="1"/>
  <c r="R199" i="1"/>
  <c r="BM199" i="1"/>
  <c r="BH199" i="1"/>
  <c r="L199" i="1"/>
  <c r="AM199" i="1" s="1"/>
  <c r="P199" i="1"/>
  <c r="BC199" i="1" s="1"/>
  <c r="X195" i="1"/>
  <c r="M195" i="1"/>
  <c r="BK195" i="1"/>
  <c r="BG195" i="1"/>
  <c r="BJ195" i="1"/>
  <c r="BF195" i="1"/>
  <c r="BI195" i="1"/>
  <c r="BE195" i="1"/>
  <c r="Y195" i="1"/>
  <c r="R195" i="1"/>
  <c r="BM195" i="1"/>
  <c r="BH195" i="1"/>
  <c r="P195" i="1"/>
  <c r="BC195" i="1" s="1"/>
  <c r="L195" i="1"/>
  <c r="AM195" i="1" s="1"/>
  <c r="W191" i="1"/>
  <c r="V191" i="1"/>
  <c r="E191" i="1"/>
  <c r="W187" i="1"/>
  <c r="V187" i="1"/>
  <c r="E187" i="1"/>
  <c r="BF202" i="1"/>
  <c r="BI202" i="1"/>
  <c r="BE202" i="1"/>
  <c r="Y202" i="1"/>
  <c r="R202" i="1"/>
  <c r="BM202" i="1"/>
  <c r="BH202" i="1"/>
  <c r="X202" i="1"/>
  <c r="M202" i="1"/>
  <c r="BK202" i="1"/>
  <c r="BG202" i="1"/>
  <c r="BJ202" i="1"/>
  <c r="L202" i="1"/>
  <c r="AM202" i="1" s="1"/>
  <c r="P202" i="1"/>
  <c r="BC202" i="1" s="1"/>
  <c r="BJ198" i="1"/>
  <c r="BF198" i="1"/>
  <c r="BI198" i="1"/>
  <c r="BE198" i="1"/>
  <c r="Y198" i="1"/>
  <c r="R198" i="1"/>
  <c r="BM198" i="1"/>
  <c r="BH198" i="1"/>
  <c r="X198" i="1"/>
  <c r="M198" i="1"/>
  <c r="BK198" i="1"/>
  <c r="BG198" i="1"/>
  <c r="P198" i="1"/>
  <c r="BC198" i="1" s="1"/>
  <c r="L198" i="1"/>
  <c r="AM198" i="1" s="1"/>
  <c r="BJ194" i="1"/>
  <c r="BF194" i="1"/>
  <c r="BI194" i="1"/>
  <c r="BE194" i="1"/>
  <c r="Y194" i="1"/>
  <c r="R194" i="1"/>
  <c r="BM194" i="1"/>
  <c r="BH194" i="1"/>
  <c r="X194" i="1"/>
  <c r="M194" i="1"/>
  <c r="BK194" i="1"/>
  <c r="BG194" i="1"/>
  <c r="L194" i="1"/>
  <c r="AM194" i="1" s="1"/>
  <c r="P194" i="1"/>
  <c r="BC194" i="1" s="1"/>
  <c r="E190" i="1"/>
  <c r="W190" i="1"/>
  <c r="V190" i="1"/>
  <c r="V186" i="1"/>
  <c r="W186" i="1"/>
  <c r="E186" i="1"/>
  <c r="BH201" i="1"/>
  <c r="X201" i="1"/>
  <c r="M201" i="1"/>
  <c r="BK201" i="1"/>
  <c r="BG201" i="1"/>
  <c r="BJ201" i="1"/>
  <c r="BF201" i="1"/>
  <c r="BI201" i="1"/>
  <c r="BE201" i="1"/>
  <c r="Y201" i="1"/>
  <c r="R201" i="1"/>
  <c r="BM201" i="1"/>
  <c r="P201" i="1"/>
  <c r="BC201" i="1" s="1"/>
  <c r="L201" i="1"/>
  <c r="AM201" i="1" s="1"/>
  <c r="BM197" i="1"/>
  <c r="BH197" i="1"/>
  <c r="X197" i="1"/>
  <c r="M197" i="1"/>
  <c r="BK197" i="1"/>
  <c r="BG197" i="1"/>
  <c r="BJ197" i="1"/>
  <c r="BF197" i="1"/>
  <c r="BI197" i="1"/>
  <c r="BE197" i="1"/>
  <c r="Y197" i="1"/>
  <c r="R197" i="1"/>
  <c r="L197" i="1"/>
  <c r="AM197" i="1" s="1"/>
  <c r="P197" i="1"/>
  <c r="BC197" i="1" s="1"/>
  <c r="BM193" i="1"/>
  <c r="BH193" i="1"/>
  <c r="BK193" i="1"/>
  <c r="BG193" i="1"/>
  <c r="BJ193" i="1"/>
  <c r="BF193" i="1"/>
  <c r="BI193" i="1"/>
  <c r="BE193" i="1"/>
  <c r="Y193" i="1"/>
  <c r="R193" i="1"/>
  <c r="X193" i="1"/>
  <c r="M193" i="1"/>
  <c r="L193" i="1"/>
  <c r="AM193" i="1" s="1"/>
  <c r="P193" i="1"/>
  <c r="BC193" i="1" s="1"/>
  <c r="W189" i="1"/>
  <c r="V189" i="1"/>
  <c r="E189" i="1"/>
  <c r="E185" i="1"/>
  <c r="W185" i="1"/>
  <c r="V185" i="1"/>
  <c r="BJ200" i="1"/>
  <c r="BF200" i="1"/>
  <c r="BI200" i="1"/>
  <c r="BE200" i="1"/>
  <c r="Y200" i="1"/>
  <c r="R200" i="1"/>
  <c r="BM200" i="1"/>
  <c r="BH200" i="1"/>
  <c r="X200" i="1"/>
  <c r="M200" i="1"/>
  <c r="BK200" i="1"/>
  <c r="BG200" i="1"/>
  <c r="P200" i="1"/>
  <c r="BC200" i="1" s="1"/>
  <c r="L200" i="1"/>
  <c r="AM200" i="1" s="1"/>
  <c r="BJ196" i="1"/>
  <c r="BF196" i="1"/>
  <c r="BI196" i="1"/>
  <c r="BE196" i="1"/>
  <c r="Y196" i="1"/>
  <c r="R196" i="1"/>
  <c r="BM196" i="1"/>
  <c r="BH196" i="1"/>
  <c r="X196" i="1"/>
  <c r="M196" i="1"/>
  <c r="BK196" i="1"/>
  <c r="BG196" i="1"/>
  <c r="L196" i="1"/>
  <c r="AM196" i="1" s="1"/>
  <c r="P196" i="1"/>
  <c r="BC196" i="1" s="1"/>
  <c r="BI192" i="1"/>
  <c r="BE192" i="1"/>
  <c r="Y192" i="1"/>
  <c r="R192" i="1"/>
  <c r="BM192" i="1"/>
  <c r="BH192" i="1"/>
  <c r="X192" i="1"/>
  <c r="M192" i="1"/>
  <c r="BK192" i="1"/>
  <c r="BG192" i="1"/>
  <c r="BJ192" i="1"/>
  <c r="BF192" i="1"/>
  <c r="L192" i="1"/>
  <c r="AM192" i="1" s="1"/>
  <c r="P192" i="1"/>
  <c r="BC192" i="1" s="1"/>
  <c r="W188" i="1"/>
  <c r="V188" i="1"/>
  <c r="E188" i="1"/>
  <c r="BM173" i="1"/>
  <c r="BH173" i="1"/>
  <c r="X173" i="1"/>
  <c r="M173" i="1"/>
  <c r="BK173" i="1"/>
  <c r="BG173" i="1"/>
  <c r="BJ173" i="1"/>
  <c r="BF173" i="1"/>
  <c r="BI173" i="1"/>
  <c r="BE173" i="1"/>
  <c r="Y173" i="1"/>
  <c r="R173" i="1"/>
  <c r="P173" i="1"/>
  <c r="BC173" i="1" s="1"/>
  <c r="L173" i="1"/>
  <c r="AM173" i="1" s="1"/>
  <c r="BE169" i="1"/>
  <c r="BM169" i="1"/>
  <c r="BH169" i="1"/>
  <c r="X169" i="1"/>
  <c r="M169" i="1"/>
  <c r="BK169" i="1"/>
  <c r="BG169" i="1"/>
  <c r="BJ169" i="1"/>
  <c r="BF169" i="1"/>
  <c r="BI169" i="1"/>
  <c r="Y169" i="1"/>
  <c r="R169" i="1"/>
  <c r="L169" i="1"/>
  <c r="AM169" i="1" s="1"/>
  <c r="P169" i="1"/>
  <c r="BC169" i="1" s="1"/>
  <c r="BI165" i="1"/>
  <c r="BE165" i="1"/>
  <c r="Y165" i="1"/>
  <c r="R165" i="1"/>
  <c r="BM165" i="1"/>
  <c r="BH165" i="1"/>
  <c r="X165" i="1"/>
  <c r="M165" i="1"/>
  <c r="BK165" i="1"/>
  <c r="BG165" i="1"/>
  <c r="BJ165" i="1"/>
  <c r="BF165" i="1"/>
  <c r="L165" i="1"/>
  <c r="AM165" i="1" s="1"/>
  <c r="P165" i="1"/>
  <c r="BC165" i="1" s="1"/>
  <c r="W161" i="1"/>
  <c r="V161" i="1"/>
  <c r="E161" i="1"/>
  <c r="W157" i="1"/>
  <c r="V157" i="1"/>
  <c r="E157" i="1"/>
  <c r="BJ172" i="1"/>
  <c r="BF172" i="1"/>
  <c r="BI172" i="1"/>
  <c r="BE172" i="1"/>
  <c r="Y172" i="1"/>
  <c r="R172" i="1"/>
  <c r="BM172" i="1"/>
  <c r="BH172" i="1"/>
  <c r="X172" i="1"/>
  <c r="M172" i="1"/>
  <c r="BK172" i="1"/>
  <c r="BG172" i="1"/>
  <c r="P172" i="1"/>
  <c r="BC172" i="1" s="1"/>
  <c r="L172" i="1"/>
  <c r="AM172" i="1" s="1"/>
  <c r="BJ168" i="1"/>
  <c r="BF168" i="1"/>
  <c r="BI168" i="1"/>
  <c r="BE168" i="1"/>
  <c r="Y168" i="1"/>
  <c r="R168" i="1"/>
  <c r="BM168" i="1"/>
  <c r="BH168" i="1"/>
  <c r="X168" i="1"/>
  <c r="M168" i="1"/>
  <c r="BK168" i="1"/>
  <c r="BG168" i="1"/>
  <c r="P168" i="1"/>
  <c r="BC168" i="1" s="1"/>
  <c r="L168" i="1"/>
  <c r="AM168" i="1" s="1"/>
  <c r="BK164" i="1"/>
  <c r="BJ164" i="1"/>
  <c r="BF164" i="1"/>
  <c r="BI164" i="1"/>
  <c r="BE164" i="1"/>
  <c r="Y164" i="1"/>
  <c r="R164" i="1"/>
  <c r="BM164" i="1"/>
  <c r="BH164" i="1"/>
  <c r="X164" i="1"/>
  <c r="M164" i="1"/>
  <c r="BG164" i="1"/>
  <c r="P164" i="1"/>
  <c r="BC164" i="1" s="1"/>
  <c r="L164" i="1"/>
  <c r="AM164" i="1" s="1"/>
  <c r="E160" i="1"/>
  <c r="W160" i="1"/>
  <c r="V160" i="1"/>
  <c r="E156" i="1"/>
  <c r="W156" i="1"/>
  <c r="V156" i="1"/>
  <c r="BM171" i="1"/>
  <c r="BH171" i="1"/>
  <c r="X171" i="1"/>
  <c r="M171" i="1"/>
  <c r="BK171" i="1"/>
  <c r="BG171" i="1"/>
  <c r="BJ171" i="1"/>
  <c r="BF171" i="1"/>
  <c r="BI171" i="1"/>
  <c r="BE171" i="1"/>
  <c r="Y171" i="1"/>
  <c r="R171" i="1"/>
  <c r="L171" i="1"/>
  <c r="AM171" i="1" s="1"/>
  <c r="P171" i="1"/>
  <c r="BC171" i="1" s="1"/>
  <c r="BI167" i="1"/>
  <c r="BM167" i="1"/>
  <c r="BH167" i="1"/>
  <c r="X167" i="1"/>
  <c r="M167" i="1"/>
  <c r="BK167" i="1"/>
  <c r="BG167" i="1"/>
  <c r="BJ167" i="1"/>
  <c r="BF167" i="1"/>
  <c r="BE167" i="1"/>
  <c r="Y167" i="1"/>
  <c r="R167" i="1"/>
  <c r="L167" i="1"/>
  <c r="AM167" i="1" s="1"/>
  <c r="P167" i="1"/>
  <c r="BC167" i="1" s="1"/>
  <c r="BM163" i="1"/>
  <c r="BH163" i="1"/>
  <c r="X163" i="1"/>
  <c r="M163" i="1"/>
  <c r="BK163" i="1"/>
  <c r="BG163" i="1"/>
  <c r="BJ163" i="1"/>
  <c r="BF163" i="1"/>
  <c r="BI163" i="1"/>
  <c r="BE163" i="1"/>
  <c r="Y163" i="1"/>
  <c r="R163" i="1"/>
  <c r="L163" i="1"/>
  <c r="AM163" i="1" s="1"/>
  <c r="P163" i="1"/>
  <c r="BC163" i="1" s="1"/>
  <c r="V159" i="1"/>
  <c r="E159" i="1"/>
  <c r="W159" i="1"/>
  <c r="BJ170" i="1"/>
  <c r="BF170" i="1"/>
  <c r="BI170" i="1"/>
  <c r="BE170" i="1"/>
  <c r="Y170" i="1"/>
  <c r="R170" i="1"/>
  <c r="BM170" i="1"/>
  <c r="BH170" i="1"/>
  <c r="X170" i="1"/>
  <c r="M170" i="1"/>
  <c r="BK170" i="1"/>
  <c r="BG170" i="1"/>
  <c r="P170" i="1"/>
  <c r="BC170" i="1" s="1"/>
  <c r="L170" i="1"/>
  <c r="AM170" i="1" s="1"/>
  <c r="BJ166" i="1"/>
  <c r="BF166" i="1"/>
  <c r="BI166" i="1"/>
  <c r="BE166" i="1"/>
  <c r="Y166" i="1"/>
  <c r="R166" i="1"/>
  <c r="BM166" i="1"/>
  <c r="BH166" i="1"/>
  <c r="X166" i="1"/>
  <c r="M166" i="1"/>
  <c r="BK166" i="1"/>
  <c r="BG166" i="1"/>
  <c r="P166" i="1"/>
  <c r="BC166" i="1" s="1"/>
  <c r="L166" i="1"/>
  <c r="AM166" i="1" s="1"/>
  <c r="W162" i="1"/>
  <c r="V162" i="1"/>
  <c r="E162" i="1"/>
  <c r="W158" i="1"/>
  <c r="V158" i="1"/>
  <c r="E158" i="1"/>
  <c r="BJ143" i="1"/>
  <c r="BF143" i="1"/>
  <c r="Y143" i="1"/>
  <c r="R143" i="1"/>
  <c r="BI143" i="1"/>
  <c r="BE143" i="1"/>
  <c r="BM143" i="1"/>
  <c r="BH143" i="1"/>
  <c r="X143" i="1"/>
  <c r="M143" i="1"/>
  <c r="BK143" i="1"/>
  <c r="BG143" i="1"/>
  <c r="P143" i="1"/>
  <c r="BC143" i="1" s="1"/>
  <c r="L143" i="1"/>
  <c r="AM143" i="1" s="1"/>
  <c r="BJ139" i="1"/>
  <c r="BF139" i="1"/>
  <c r="BI139" i="1"/>
  <c r="BE139" i="1"/>
  <c r="Y139" i="1"/>
  <c r="R139" i="1"/>
  <c r="BM139" i="1"/>
  <c r="BH139" i="1"/>
  <c r="X139" i="1"/>
  <c r="M139" i="1"/>
  <c r="BK139" i="1"/>
  <c r="BG139" i="1"/>
  <c r="L139" i="1"/>
  <c r="AM139" i="1" s="1"/>
  <c r="P139" i="1"/>
  <c r="BC139" i="1" s="1"/>
  <c r="BJ135" i="1"/>
  <c r="BF135" i="1"/>
  <c r="Y135" i="1"/>
  <c r="R135" i="1"/>
  <c r="BI135" i="1"/>
  <c r="BE135" i="1"/>
  <c r="BM135" i="1"/>
  <c r="BH135" i="1"/>
  <c r="X135" i="1"/>
  <c r="M135" i="1"/>
  <c r="BG135" i="1"/>
  <c r="BK135" i="1"/>
  <c r="L135" i="1"/>
  <c r="AM135" i="1" s="1"/>
  <c r="P135" i="1"/>
  <c r="BC135" i="1" s="1"/>
  <c r="E131" i="1"/>
  <c r="W131" i="1"/>
  <c r="V131" i="1"/>
  <c r="W127" i="1"/>
  <c r="V127" i="1"/>
  <c r="E127" i="1"/>
  <c r="BM142" i="1"/>
  <c r="BH142" i="1"/>
  <c r="X142" i="1"/>
  <c r="M142" i="1"/>
  <c r="BK142" i="1"/>
  <c r="BG142" i="1"/>
  <c r="BJ142" i="1"/>
  <c r="BF142" i="1"/>
  <c r="Y142" i="1"/>
  <c r="R142" i="1"/>
  <c r="BI142" i="1"/>
  <c r="BE142" i="1"/>
  <c r="L142" i="1"/>
  <c r="AM142" i="1" s="1"/>
  <c r="P142" i="1"/>
  <c r="BC142" i="1" s="1"/>
  <c r="BM138" i="1"/>
  <c r="BH138" i="1"/>
  <c r="X138" i="1"/>
  <c r="M138" i="1"/>
  <c r="BK138" i="1"/>
  <c r="BG138" i="1"/>
  <c r="BJ138" i="1"/>
  <c r="BF138" i="1"/>
  <c r="BI138" i="1"/>
  <c r="BE138" i="1"/>
  <c r="Y138" i="1"/>
  <c r="R138" i="1"/>
  <c r="L138" i="1"/>
  <c r="AM138" i="1" s="1"/>
  <c r="P138" i="1"/>
  <c r="BC138" i="1" s="1"/>
  <c r="BM134" i="1"/>
  <c r="BH134" i="1"/>
  <c r="X134" i="1"/>
  <c r="M134" i="1"/>
  <c r="BK134" i="1"/>
  <c r="BG134" i="1"/>
  <c r="BJ134" i="1"/>
  <c r="BF134" i="1"/>
  <c r="BI134" i="1"/>
  <c r="BE134" i="1"/>
  <c r="Y134" i="1"/>
  <c r="R134" i="1"/>
  <c r="L134" i="1"/>
  <c r="AM134" i="1" s="1"/>
  <c r="P134" i="1"/>
  <c r="BC134" i="1" s="1"/>
  <c r="V130" i="1"/>
  <c r="E130" i="1"/>
  <c r="W130" i="1"/>
  <c r="BJ141" i="1"/>
  <c r="BF141" i="1"/>
  <c r="BI141" i="1"/>
  <c r="BE141" i="1"/>
  <c r="Y141" i="1"/>
  <c r="R141" i="1"/>
  <c r="BM141" i="1"/>
  <c r="BH141" i="1"/>
  <c r="X141" i="1"/>
  <c r="M141" i="1"/>
  <c r="BK141" i="1"/>
  <c r="BG141" i="1"/>
  <c r="L141" i="1"/>
  <c r="AM141" i="1" s="1"/>
  <c r="P141" i="1"/>
  <c r="BC141" i="1" s="1"/>
  <c r="BJ137" i="1"/>
  <c r="BF137" i="1"/>
  <c r="BI137" i="1"/>
  <c r="BE137" i="1"/>
  <c r="Y137" i="1"/>
  <c r="R137" i="1"/>
  <c r="BM137" i="1"/>
  <c r="BH137" i="1"/>
  <c r="X137" i="1"/>
  <c r="M137" i="1"/>
  <c r="BK137" i="1"/>
  <c r="BG137" i="1"/>
  <c r="L137" i="1"/>
  <c r="AM137" i="1" s="1"/>
  <c r="P137" i="1"/>
  <c r="BC137" i="1" s="1"/>
  <c r="W133" i="1"/>
  <c r="V133" i="1"/>
  <c r="E133" i="1"/>
  <c r="W129" i="1"/>
  <c r="V129" i="1"/>
  <c r="E129" i="1"/>
  <c r="BM144" i="1"/>
  <c r="BH144" i="1"/>
  <c r="X144" i="1"/>
  <c r="M144" i="1"/>
  <c r="BK144" i="1"/>
  <c r="BG144" i="1"/>
  <c r="BJ144" i="1"/>
  <c r="BF144" i="1"/>
  <c r="BE144" i="1"/>
  <c r="BI144" i="1"/>
  <c r="Y144" i="1"/>
  <c r="R144" i="1"/>
  <c r="L144" i="1"/>
  <c r="AM144" i="1" s="1"/>
  <c r="P144" i="1"/>
  <c r="BC144" i="1" s="1"/>
  <c r="BM140" i="1"/>
  <c r="BH140" i="1"/>
  <c r="X140" i="1"/>
  <c r="M140" i="1"/>
  <c r="BG140" i="1"/>
  <c r="BK140" i="1"/>
  <c r="BJ140" i="1"/>
  <c r="BF140" i="1"/>
  <c r="BI140" i="1"/>
  <c r="BE140" i="1"/>
  <c r="Y140" i="1"/>
  <c r="R140" i="1"/>
  <c r="L140" i="1"/>
  <c r="AM140" i="1" s="1"/>
  <c r="P140" i="1"/>
  <c r="BC140" i="1" s="1"/>
  <c r="BM136" i="1"/>
  <c r="BH136" i="1"/>
  <c r="X136" i="1"/>
  <c r="M136" i="1"/>
  <c r="BK136" i="1"/>
  <c r="BG136" i="1"/>
  <c r="BJ136" i="1"/>
  <c r="BF136" i="1"/>
  <c r="BI136" i="1"/>
  <c r="BE136" i="1"/>
  <c r="Y136" i="1"/>
  <c r="R136" i="1"/>
  <c r="L136" i="1"/>
  <c r="AM136" i="1" s="1"/>
  <c r="P136" i="1"/>
  <c r="BC136" i="1" s="1"/>
  <c r="W132" i="1"/>
  <c r="V132" i="1"/>
  <c r="E132" i="1"/>
  <c r="W128" i="1"/>
  <c r="V128" i="1"/>
  <c r="E128" i="1"/>
  <c r="BK113" i="1"/>
  <c r="BG113" i="1"/>
  <c r="BJ113" i="1"/>
  <c r="BF113" i="1"/>
  <c r="BI113" i="1"/>
  <c r="Y113" i="1"/>
  <c r="R113" i="1"/>
  <c r="BM113" i="1"/>
  <c r="BH113" i="1"/>
  <c r="BE113" i="1"/>
  <c r="X113" i="1"/>
  <c r="M113" i="1"/>
  <c r="P113" i="1"/>
  <c r="BC113" i="1" s="1"/>
  <c r="L113" i="1"/>
  <c r="AM113" i="1" s="1"/>
  <c r="BK109" i="1"/>
  <c r="BG109" i="1"/>
  <c r="BJ109" i="1"/>
  <c r="BF109" i="1"/>
  <c r="BE109" i="1"/>
  <c r="BI109" i="1"/>
  <c r="BM109" i="1"/>
  <c r="BH109" i="1"/>
  <c r="Y109" i="1"/>
  <c r="R109" i="1"/>
  <c r="X109" i="1"/>
  <c r="M109" i="1"/>
  <c r="P109" i="1"/>
  <c r="BC109" i="1" s="1"/>
  <c r="L109" i="1"/>
  <c r="AM109" i="1" s="1"/>
  <c r="BK105" i="1"/>
  <c r="BG105" i="1"/>
  <c r="BE105" i="1"/>
  <c r="Y105" i="1"/>
  <c r="R105" i="1"/>
  <c r="BJ105" i="1"/>
  <c r="BF105" i="1"/>
  <c r="M105" i="1"/>
  <c r="BI105" i="1"/>
  <c r="BM105" i="1"/>
  <c r="X105" i="1"/>
  <c r="BH105" i="1"/>
  <c r="P105" i="1"/>
  <c r="BC105" i="1" s="1"/>
  <c r="L105" i="1"/>
  <c r="AM105" i="1" s="1"/>
  <c r="E101" i="1"/>
  <c r="W101" i="1"/>
  <c r="V101" i="1"/>
  <c r="BI112" i="1"/>
  <c r="BE112" i="1"/>
  <c r="Y112" i="1"/>
  <c r="R112" i="1"/>
  <c r="X112" i="1"/>
  <c r="M112" i="1"/>
  <c r="BM112" i="1"/>
  <c r="BH112" i="1"/>
  <c r="BK112" i="1"/>
  <c r="BG112" i="1"/>
  <c r="BJ112" i="1"/>
  <c r="BF112" i="1"/>
  <c r="L112" i="1"/>
  <c r="AM112" i="1" s="1"/>
  <c r="P112" i="1"/>
  <c r="BC112" i="1" s="1"/>
  <c r="BI108" i="1"/>
  <c r="BE108" i="1"/>
  <c r="Y108" i="1"/>
  <c r="R108" i="1"/>
  <c r="BM108" i="1"/>
  <c r="BH108" i="1"/>
  <c r="X108" i="1"/>
  <c r="M108" i="1"/>
  <c r="BK108" i="1"/>
  <c r="BG108" i="1"/>
  <c r="BJ108" i="1"/>
  <c r="BF108" i="1"/>
  <c r="L108" i="1"/>
  <c r="AM108" i="1" s="1"/>
  <c r="P108" i="1"/>
  <c r="BC108" i="1" s="1"/>
  <c r="V104" i="1"/>
  <c r="E104" i="1"/>
  <c r="W104" i="1"/>
  <c r="V100" i="1"/>
  <c r="E100" i="1"/>
  <c r="W100" i="1"/>
  <c r="BK115" i="1"/>
  <c r="BG115" i="1"/>
  <c r="BJ115" i="1"/>
  <c r="BF115" i="1"/>
  <c r="BM115" i="1"/>
  <c r="BH115" i="1"/>
  <c r="X115" i="1"/>
  <c r="M115" i="1"/>
  <c r="BI115" i="1"/>
  <c r="BE115" i="1"/>
  <c r="Y115" i="1"/>
  <c r="R115" i="1"/>
  <c r="L115" i="1"/>
  <c r="AM115" i="1" s="1"/>
  <c r="P115" i="1"/>
  <c r="BC115" i="1" s="1"/>
  <c r="BK111" i="1"/>
  <c r="BG111" i="1"/>
  <c r="BJ111" i="1"/>
  <c r="BF111" i="1"/>
  <c r="BE111" i="1"/>
  <c r="BI111" i="1"/>
  <c r="Y111" i="1"/>
  <c r="R111" i="1"/>
  <c r="BM111" i="1"/>
  <c r="BH111" i="1"/>
  <c r="X111" i="1"/>
  <c r="M111" i="1"/>
  <c r="L111" i="1"/>
  <c r="AM111" i="1" s="1"/>
  <c r="P111" i="1"/>
  <c r="BC111" i="1" s="1"/>
  <c r="BK107" i="1"/>
  <c r="BG107" i="1"/>
  <c r="Y107" i="1"/>
  <c r="R107" i="1"/>
  <c r="BJ107" i="1"/>
  <c r="BF107" i="1"/>
  <c r="BE107" i="1"/>
  <c r="BM107" i="1"/>
  <c r="X107" i="1"/>
  <c r="BI107" i="1"/>
  <c r="BH107" i="1"/>
  <c r="M107" i="1"/>
  <c r="P107" i="1"/>
  <c r="BC107" i="1" s="1"/>
  <c r="L107" i="1"/>
  <c r="AM107" i="1" s="1"/>
  <c r="W103" i="1"/>
  <c r="V103" i="1"/>
  <c r="E103" i="1"/>
  <c r="W99" i="1"/>
  <c r="V99" i="1"/>
  <c r="E99" i="1"/>
  <c r="BI114" i="1"/>
  <c r="BE114" i="1"/>
  <c r="Y114" i="1"/>
  <c r="R114" i="1"/>
  <c r="X114" i="1"/>
  <c r="M114" i="1"/>
  <c r="BM114" i="1"/>
  <c r="BH114" i="1"/>
  <c r="BJ114" i="1"/>
  <c r="BF114" i="1"/>
  <c r="BK114" i="1"/>
  <c r="BG114" i="1"/>
  <c r="L114" i="1"/>
  <c r="AM114" i="1" s="1"/>
  <c r="P114" i="1"/>
  <c r="BC114" i="1" s="1"/>
  <c r="BI110" i="1"/>
  <c r="BE110" i="1"/>
  <c r="Y110" i="1"/>
  <c r="R110" i="1"/>
  <c r="X110" i="1"/>
  <c r="M110" i="1"/>
  <c r="BM110" i="1"/>
  <c r="BH110" i="1"/>
  <c r="BK110" i="1"/>
  <c r="BG110" i="1"/>
  <c r="BJ110" i="1"/>
  <c r="BF110" i="1"/>
  <c r="L110" i="1"/>
  <c r="AM110" i="1" s="1"/>
  <c r="P110" i="1"/>
  <c r="BC110" i="1" s="1"/>
  <c r="BI106" i="1"/>
  <c r="BE106" i="1"/>
  <c r="Y106" i="1"/>
  <c r="R106" i="1"/>
  <c r="BM106" i="1"/>
  <c r="BH106" i="1"/>
  <c r="BK106" i="1"/>
  <c r="BG106" i="1"/>
  <c r="X106" i="1"/>
  <c r="M106" i="1"/>
  <c r="BJ106" i="1"/>
  <c r="BF106" i="1"/>
  <c r="L106" i="1"/>
  <c r="AM106" i="1" s="1"/>
  <c r="P106" i="1"/>
  <c r="BC106" i="1" s="1"/>
  <c r="W102" i="1"/>
  <c r="V102" i="1"/>
  <c r="E102" i="1"/>
  <c r="W98" i="1"/>
  <c r="V98" i="1"/>
  <c r="E98" i="1"/>
  <c r="R82" i="1"/>
  <c r="BM82" i="1"/>
  <c r="BH82" i="1"/>
  <c r="X82" i="1"/>
  <c r="M82" i="1"/>
  <c r="BK82" i="1"/>
  <c r="BG82" i="1"/>
  <c r="BJ82" i="1"/>
  <c r="BE82" i="1"/>
  <c r="BF82" i="1"/>
  <c r="BI82" i="1"/>
  <c r="Y82" i="1"/>
  <c r="L82" i="1"/>
  <c r="AM82" i="1" s="1"/>
  <c r="P82" i="1"/>
  <c r="BC82" i="1" s="1"/>
  <c r="BM81" i="1"/>
  <c r="BJ81" i="1"/>
  <c r="BF81" i="1"/>
  <c r="BH81" i="1"/>
  <c r="M81" i="1"/>
  <c r="BI81" i="1"/>
  <c r="BE81" i="1"/>
  <c r="Y81" i="1"/>
  <c r="R81" i="1"/>
  <c r="X81" i="1"/>
  <c r="BK81" i="1"/>
  <c r="BG81" i="1"/>
  <c r="L81" i="1"/>
  <c r="AM81" i="1" s="1"/>
  <c r="P81" i="1"/>
  <c r="BC81" i="1" s="1"/>
  <c r="BJ77" i="1"/>
  <c r="BF77" i="1"/>
  <c r="Y77" i="1"/>
  <c r="R77" i="1"/>
  <c r="BM77" i="1"/>
  <c r="M77" i="1"/>
  <c r="BI77" i="1"/>
  <c r="BE77" i="1"/>
  <c r="BH77" i="1"/>
  <c r="X77" i="1"/>
  <c r="BK77" i="1"/>
  <c r="BG77" i="1"/>
  <c r="P77" i="1"/>
  <c r="BC77" i="1" s="1"/>
  <c r="L77" i="1"/>
  <c r="AM77" i="1" s="1"/>
  <c r="M83" i="1"/>
  <c r="BJ83" i="1"/>
  <c r="BF83" i="1"/>
  <c r="BI83" i="1"/>
  <c r="BE83" i="1"/>
  <c r="Y83" i="1"/>
  <c r="R83" i="1"/>
  <c r="BH83" i="1"/>
  <c r="BK83" i="1"/>
  <c r="BM83" i="1"/>
  <c r="X83" i="1"/>
  <c r="BG83" i="1"/>
  <c r="P83" i="1"/>
  <c r="BC83" i="1" s="1"/>
  <c r="L83" i="1"/>
  <c r="AM83" i="1" s="1"/>
  <c r="BH79" i="1"/>
  <c r="BJ79" i="1"/>
  <c r="BF79" i="1"/>
  <c r="BI79" i="1"/>
  <c r="BE79" i="1"/>
  <c r="Y79" i="1"/>
  <c r="R79" i="1"/>
  <c r="BM79" i="1"/>
  <c r="X79" i="1"/>
  <c r="M79" i="1"/>
  <c r="BG79" i="1"/>
  <c r="BK79" i="1"/>
  <c r="L79" i="1"/>
  <c r="AM79" i="1" s="1"/>
  <c r="P79" i="1"/>
  <c r="BC79" i="1" s="1"/>
  <c r="W75" i="1"/>
  <c r="E75" i="1"/>
  <c r="V75" i="1"/>
  <c r="W71" i="1"/>
  <c r="V71" i="1"/>
  <c r="E71" i="1"/>
  <c r="BJ78" i="1"/>
  <c r="BM78" i="1"/>
  <c r="BH78" i="1"/>
  <c r="X78" i="1"/>
  <c r="M78" i="1"/>
  <c r="BK78" i="1"/>
  <c r="BF78" i="1"/>
  <c r="BG78" i="1"/>
  <c r="BE78" i="1"/>
  <c r="Y78" i="1"/>
  <c r="BI78" i="1"/>
  <c r="R78" i="1"/>
  <c r="L78" i="1"/>
  <c r="AM78" i="1" s="1"/>
  <c r="P78" i="1"/>
  <c r="BC78" i="1" s="1"/>
  <c r="V74" i="1"/>
  <c r="W74" i="1"/>
  <c r="E74" i="1"/>
  <c r="V70" i="1"/>
  <c r="W70" i="1"/>
  <c r="E70" i="1"/>
  <c r="W69" i="1"/>
  <c r="V69" i="1"/>
  <c r="E69" i="1"/>
  <c r="BE86" i="1"/>
  <c r="Y86" i="1"/>
  <c r="R86" i="1"/>
  <c r="BM86" i="1"/>
  <c r="BH86" i="1"/>
  <c r="X86" i="1"/>
  <c r="M86" i="1"/>
  <c r="BF86" i="1"/>
  <c r="BI86" i="1"/>
  <c r="BK86" i="1"/>
  <c r="BG86" i="1"/>
  <c r="BJ86" i="1"/>
  <c r="L86" i="1"/>
  <c r="AM86" i="1" s="1"/>
  <c r="P86" i="1"/>
  <c r="BC86" i="1" s="1"/>
  <c r="BM85" i="1"/>
  <c r="BK85" i="1"/>
  <c r="BG85" i="1"/>
  <c r="BJ85" i="1"/>
  <c r="BF85" i="1"/>
  <c r="BI85" i="1"/>
  <c r="Y85" i="1"/>
  <c r="R85" i="1"/>
  <c r="BH85" i="1"/>
  <c r="X85" i="1"/>
  <c r="M85" i="1"/>
  <c r="BE85" i="1"/>
  <c r="P85" i="1"/>
  <c r="BC85" i="1" s="1"/>
  <c r="L85" i="1"/>
  <c r="AM85" i="1" s="1"/>
  <c r="W73" i="1"/>
  <c r="E73" i="1"/>
  <c r="V73" i="1"/>
  <c r="BF84" i="1"/>
  <c r="BM84" i="1"/>
  <c r="BH84" i="1"/>
  <c r="X84" i="1"/>
  <c r="M84" i="1"/>
  <c r="BK84" i="1"/>
  <c r="BG84" i="1"/>
  <c r="BI84" i="1"/>
  <c r="Y84" i="1"/>
  <c r="BJ84" i="1"/>
  <c r="BE84" i="1"/>
  <c r="R84" i="1"/>
  <c r="L84" i="1"/>
  <c r="AM84" i="1" s="1"/>
  <c r="P84" i="1"/>
  <c r="BC84" i="1" s="1"/>
  <c r="BF80" i="1"/>
  <c r="BM80" i="1"/>
  <c r="BH80" i="1"/>
  <c r="X80" i="1"/>
  <c r="M80" i="1"/>
  <c r="BG80" i="1"/>
  <c r="BK80" i="1"/>
  <c r="BJ80" i="1"/>
  <c r="BI80" i="1"/>
  <c r="R80" i="1"/>
  <c r="BE80" i="1"/>
  <c r="Y80" i="1"/>
  <c r="P80" i="1"/>
  <c r="BC80" i="1" s="1"/>
  <c r="L80" i="1"/>
  <c r="AM80" i="1" s="1"/>
  <c r="BJ76" i="1"/>
  <c r="BM76" i="1"/>
  <c r="BH76" i="1"/>
  <c r="X76" i="1"/>
  <c r="M76" i="1"/>
  <c r="BK76" i="1"/>
  <c r="BG76" i="1"/>
  <c r="BF76" i="1"/>
  <c r="BI76" i="1"/>
  <c r="R76" i="1"/>
  <c r="BE76" i="1"/>
  <c r="Y76" i="1"/>
  <c r="L76" i="1"/>
  <c r="AM76" i="1" s="1"/>
  <c r="P76" i="1"/>
  <c r="BC76" i="1" s="1"/>
  <c r="V72" i="1"/>
  <c r="E72" i="1"/>
  <c r="W72" i="1"/>
  <c r="BK56" i="1"/>
  <c r="BG56" i="1"/>
  <c r="BJ56" i="1"/>
  <c r="BF56" i="1"/>
  <c r="BI56" i="1"/>
  <c r="BE56" i="1"/>
  <c r="Y56" i="1"/>
  <c r="R56" i="1"/>
  <c r="BM56" i="1"/>
  <c r="BH56" i="1"/>
  <c r="X56" i="1"/>
  <c r="M56" i="1"/>
  <c r="P56" i="1"/>
  <c r="BC56" i="1" s="1"/>
  <c r="L56" i="1"/>
  <c r="AM56" i="1" s="1"/>
  <c r="BI57" i="1"/>
  <c r="BE57" i="1"/>
  <c r="Y57" i="1"/>
  <c r="R57" i="1"/>
  <c r="BM57" i="1"/>
  <c r="X57" i="1"/>
  <c r="M57" i="1"/>
  <c r="BK57" i="1"/>
  <c r="BG57" i="1"/>
  <c r="BJ57" i="1"/>
  <c r="BF57" i="1"/>
  <c r="BH57" i="1"/>
  <c r="L57" i="1"/>
  <c r="AM57" i="1" s="1"/>
  <c r="P57" i="1"/>
  <c r="BC57" i="1" s="1"/>
  <c r="BI53" i="1"/>
  <c r="BE53" i="1"/>
  <c r="Y53" i="1"/>
  <c r="R53" i="1"/>
  <c r="X53" i="1"/>
  <c r="M53" i="1"/>
  <c r="BM53" i="1"/>
  <c r="BH53" i="1"/>
  <c r="BK53" i="1"/>
  <c r="BG53" i="1"/>
  <c r="BJ53" i="1"/>
  <c r="BF53" i="1"/>
  <c r="P53" i="1"/>
  <c r="BC53" i="1" s="1"/>
  <c r="L53" i="1"/>
  <c r="AM53" i="1" s="1"/>
  <c r="BI49" i="1"/>
  <c r="BE49" i="1"/>
  <c r="Y49" i="1"/>
  <c r="R49" i="1"/>
  <c r="BM49" i="1"/>
  <c r="BH49" i="1"/>
  <c r="BK49" i="1"/>
  <c r="BG49" i="1"/>
  <c r="BJ49" i="1"/>
  <c r="BF49" i="1"/>
  <c r="X49" i="1"/>
  <c r="M49" i="1"/>
  <c r="L49" i="1"/>
  <c r="AM49" i="1" s="1"/>
  <c r="P49" i="1"/>
  <c r="BC49" i="1" s="1"/>
  <c r="E45" i="1"/>
  <c r="W45" i="1"/>
  <c r="V45" i="1"/>
  <c r="W41" i="1"/>
  <c r="V41" i="1"/>
  <c r="E41" i="1"/>
  <c r="BK52" i="1"/>
  <c r="BG52" i="1"/>
  <c r="BJ52" i="1"/>
  <c r="BI52" i="1"/>
  <c r="BE52" i="1"/>
  <c r="Y52" i="1"/>
  <c r="R52" i="1"/>
  <c r="BM52" i="1"/>
  <c r="BH52" i="1"/>
  <c r="BF52" i="1"/>
  <c r="X52" i="1"/>
  <c r="M52" i="1"/>
  <c r="L52" i="1"/>
  <c r="AM52" i="1" s="1"/>
  <c r="P52" i="1"/>
  <c r="BC52" i="1" s="1"/>
  <c r="BK48" i="1"/>
  <c r="BG48" i="1"/>
  <c r="BI48" i="1"/>
  <c r="BE48" i="1"/>
  <c r="Y48" i="1"/>
  <c r="R48" i="1"/>
  <c r="BM48" i="1"/>
  <c r="BH48" i="1"/>
  <c r="X48" i="1"/>
  <c r="M48" i="1"/>
  <c r="BJ48" i="1"/>
  <c r="BF48" i="1"/>
  <c r="L48" i="1"/>
  <c r="AM48" i="1" s="1"/>
  <c r="P48" i="1"/>
  <c r="BC48" i="1" s="1"/>
  <c r="V44" i="1"/>
  <c r="W44" i="1"/>
  <c r="E44" i="1"/>
  <c r="E40" i="1"/>
  <c r="W40" i="1"/>
  <c r="V40" i="1"/>
  <c r="BI55" i="1"/>
  <c r="BE55" i="1"/>
  <c r="Y55" i="1"/>
  <c r="R55" i="1"/>
  <c r="X55" i="1"/>
  <c r="M55" i="1"/>
  <c r="BK55" i="1"/>
  <c r="BG55" i="1"/>
  <c r="BJ55" i="1"/>
  <c r="BF55" i="1"/>
  <c r="BM55" i="1"/>
  <c r="BH55" i="1"/>
  <c r="L55" i="1"/>
  <c r="AM55" i="1" s="1"/>
  <c r="P55" i="1"/>
  <c r="BC55" i="1" s="1"/>
  <c r="BI51" i="1"/>
  <c r="BE51" i="1"/>
  <c r="Y51" i="1"/>
  <c r="R51" i="1"/>
  <c r="BK51" i="1"/>
  <c r="BG51" i="1"/>
  <c r="X51" i="1"/>
  <c r="M51" i="1"/>
  <c r="BJ51" i="1"/>
  <c r="BF51" i="1"/>
  <c r="BM51" i="1"/>
  <c r="BH51" i="1"/>
  <c r="L51" i="1"/>
  <c r="AM51" i="1" s="1"/>
  <c r="P51" i="1"/>
  <c r="BC51" i="1" s="1"/>
  <c r="BI47" i="1"/>
  <c r="BE47" i="1"/>
  <c r="Y47" i="1"/>
  <c r="R47" i="1"/>
  <c r="X47" i="1"/>
  <c r="M47" i="1"/>
  <c r="BM47" i="1"/>
  <c r="BH47" i="1"/>
  <c r="BK47" i="1"/>
  <c r="BG47" i="1"/>
  <c r="BF47" i="1"/>
  <c r="BJ47" i="1"/>
  <c r="L47" i="1"/>
  <c r="AM47" i="1" s="1"/>
  <c r="P47" i="1"/>
  <c r="BC47" i="1" s="1"/>
  <c r="W43" i="1"/>
  <c r="E43" i="1"/>
  <c r="V43" i="1"/>
  <c r="BK54" i="1"/>
  <c r="BG54" i="1"/>
  <c r="BJ54" i="1"/>
  <c r="BF54" i="1"/>
  <c r="BI54" i="1"/>
  <c r="BE54" i="1"/>
  <c r="Y54" i="1"/>
  <c r="R54" i="1"/>
  <c r="BM54" i="1"/>
  <c r="BH54" i="1"/>
  <c r="X54" i="1"/>
  <c r="M54" i="1"/>
  <c r="P54" i="1"/>
  <c r="BC54" i="1" s="1"/>
  <c r="L54" i="1"/>
  <c r="AM54" i="1" s="1"/>
  <c r="BK50" i="1"/>
  <c r="BG50" i="1"/>
  <c r="BI50" i="1"/>
  <c r="BE50" i="1"/>
  <c r="Y50" i="1"/>
  <c r="R50" i="1"/>
  <c r="BJ50" i="1"/>
  <c r="BF50" i="1"/>
  <c r="BM50" i="1"/>
  <c r="BH50" i="1"/>
  <c r="X50" i="1"/>
  <c r="M50" i="1"/>
  <c r="L50" i="1"/>
  <c r="AM50" i="1" s="1"/>
  <c r="P50" i="1"/>
  <c r="BC50" i="1" s="1"/>
  <c r="W46" i="1"/>
  <c r="V46" i="1"/>
  <c r="E46" i="1"/>
  <c r="V42" i="1"/>
  <c r="E42" i="1"/>
  <c r="W42" i="1"/>
  <c r="BM27" i="1"/>
  <c r="BK27" i="1"/>
  <c r="BI27" i="1"/>
  <c r="BG27" i="1"/>
  <c r="BE27" i="1"/>
  <c r="BH27" i="1"/>
  <c r="BJ27" i="1"/>
  <c r="P27" i="1"/>
  <c r="BC27" i="1" s="1"/>
  <c r="H27" i="4"/>
  <c r="H28" i="4"/>
  <c r="BJ330" i="1"/>
  <c r="BJ301" i="1"/>
  <c r="BJ272" i="1"/>
  <c r="BJ243" i="1"/>
  <c r="BJ214" i="1"/>
  <c r="BJ185" i="1"/>
  <c r="BJ156" i="1"/>
  <c r="BJ127" i="1"/>
  <c r="BJ98" i="1"/>
  <c r="BJ69" i="1"/>
  <c r="BH330" i="1"/>
  <c r="BH301" i="1"/>
  <c r="BH272" i="1"/>
  <c r="BH243" i="1"/>
  <c r="BH214" i="1"/>
  <c r="BH185" i="1"/>
  <c r="BH156" i="1"/>
  <c r="BH127" i="1"/>
  <c r="BH98" i="1"/>
  <c r="BH69" i="1"/>
  <c r="BH40" i="1"/>
  <c r="BG330" i="1"/>
  <c r="BG301" i="1"/>
  <c r="BG272" i="1"/>
  <c r="BG243" i="1"/>
  <c r="BG214" i="1"/>
  <c r="BG185" i="1"/>
  <c r="BG156" i="1"/>
  <c r="BG127" i="1"/>
  <c r="BG98" i="1"/>
  <c r="BG69" i="1"/>
  <c r="BK330" i="1"/>
  <c r="BK301" i="1"/>
  <c r="BK272" i="1"/>
  <c r="BK243" i="1"/>
  <c r="BK214" i="1"/>
  <c r="BK185" i="1"/>
  <c r="BK156" i="1"/>
  <c r="BK127" i="1"/>
  <c r="BK98" i="1"/>
  <c r="BK69" i="1"/>
  <c r="BK40" i="1"/>
  <c r="BJ40" i="1"/>
  <c r="BG40" i="1"/>
  <c r="E11" i="1"/>
  <c r="O11" i="1" s="1"/>
  <c r="BJ26" i="1"/>
  <c r="BI26" i="1"/>
  <c r="BG26" i="1"/>
  <c r="BE26" i="1"/>
  <c r="BK26" i="1"/>
  <c r="BM26" i="1"/>
  <c r="BH26" i="1"/>
  <c r="P26" i="1"/>
  <c r="BC26" i="1" s="1"/>
  <c r="BH28" i="1"/>
  <c r="BM28" i="1"/>
  <c r="BK28" i="1"/>
  <c r="BJ28" i="1"/>
  <c r="BI28" i="1"/>
  <c r="BG28" i="1"/>
  <c r="BE28" i="1"/>
  <c r="P28" i="1"/>
  <c r="BC28" i="1" s="1"/>
  <c r="BM24" i="1"/>
  <c r="BH24" i="1"/>
  <c r="BK24" i="1"/>
  <c r="BJ24" i="1"/>
  <c r="BI24" i="1"/>
  <c r="BG24" i="1"/>
  <c r="BE24" i="1"/>
  <c r="P24" i="1"/>
  <c r="BC24" i="1" s="1"/>
  <c r="BH20" i="1"/>
  <c r="BK20" i="1"/>
  <c r="BM20" i="1"/>
  <c r="BJ20" i="1"/>
  <c r="BI20" i="1"/>
  <c r="BG20" i="1"/>
  <c r="BE20" i="1"/>
  <c r="P20" i="1"/>
  <c r="BC20" i="1" s="1"/>
  <c r="BH335" i="1"/>
  <c r="BH306" i="1"/>
  <c r="BH277" i="1"/>
  <c r="BH248" i="1"/>
  <c r="BH219" i="1"/>
  <c r="BH190" i="1"/>
  <c r="BH161" i="1"/>
  <c r="BH132" i="1"/>
  <c r="BH103" i="1"/>
  <c r="BH74" i="1"/>
  <c r="BG335" i="1"/>
  <c r="BG306" i="1"/>
  <c r="BG277" i="1"/>
  <c r="BG248" i="1"/>
  <c r="BG219" i="1"/>
  <c r="BG190" i="1"/>
  <c r="BG161" i="1"/>
  <c r="BG132" i="1"/>
  <c r="BG103" i="1"/>
  <c r="BG74" i="1"/>
  <c r="BG45" i="1"/>
  <c r="BK335" i="1"/>
  <c r="BK306" i="1"/>
  <c r="BK277" i="1"/>
  <c r="BK248" i="1"/>
  <c r="BK219" i="1"/>
  <c r="BK190" i="1"/>
  <c r="BK161" i="1"/>
  <c r="BK132" i="1"/>
  <c r="BK103" i="1"/>
  <c r="BK74" i="1"/>
  <c r="BJ335" i="1"/>
  <c r="BJ306" i="1"/>
  <c r="BJ277" i="1"/>
  <c r="BJ248" i="1"/>
  <c r="BJ219" i="1"/>
  <c r="BJ190" i="1"/>
  <c r="BJ161" i="1"/>
  <c r="BJ132" i="1"/>
  <c r="BJ103" i="1"/>
  <c r="BJ74" i="1"/>
  <c r="BK45" i="1"/>
  <c r="BK16" i="1"/>
  <c r="BH16" i="1"/>
  <c r="BJ45" i="1"/>
  <c r="BH45" i="1"/>
  <c r="BJ16" i="1"/>
  <c r="BG16" i="1"/>
  <c r="E16" i="1"/>
  <c r="O16" i="1" s="1"/>
  <c r="BH331" i="1"/>
  <c r="BH302" i="1"/>
  <c r="BH273" i="1"/>
  <c r="BH244" i="1"/>
  <c r="BH215" i="1"/>
  <c r="BH186" i="1"/>
  <c r="BH157" i="1"/>
  <c r="BH128" i="1"/>
  <c r="BH99" i="1"/>
  <c r="BH70" i="1"/>
  <c r="BG331" i="1"/>
  <c r="BG302" i="1"/>
  <c r="BG273" i="1"/>
  <c r="BG244" i="1"/>
  <c r="BG215" i="1"/>
  <c r="BG186" i="1"/>
  <c r="BG157" i="1"/>
  <c r="BG128" i="1"/>
  <c r="BG99" i="1"/>
  <c r="BG70" i="1"/>
  <c r="BG41" i="1"/>
  <c r="BK331" i="1"/>
  <c r="BK302" i="1"/>
  <c r="BK273" i="1"/>
  <c r="BK244" i="1"/>
  <c r="BK215" i="1"/>
  <c r="BK186" i="1"/>
  <c r="BK157" i="1"/>
  <c r="BK128" i="1"/>
  <c r="BK99" i="1"/>
  <c r="BK70" i="1"/>
  <c r="BJ331" i="1"/>
  <c r="BJ302" i="1"/>
  <c r="BJ273" i="1"/>
  <c r="BJ244" i="1"/>
  <c r="BJ215" i="1"/>
  <c r="BJ186" i="1"/>
  <c r="BJ157" i="1"/>
  <c r="BJ128" i="1"/>
  <c r="BJ99" i="1"/>
  <c r="BJ70" i="1"/>
  <c r="BK41" i="1"/>
  <c r="BH12" i="1"/>
  <c r="BJ41" i="1"/>
  <c r="BK12" i="1"/>
  <c r="BH41" i="1"/>
  <c r="BJ12" i="1"/>
  <c r="BG12" i="1"/>
  <c r="E12" i="1"/>
  <c r="O12" i="1" s="1"/>
  <c r="BM23" i="1"/>
  <c r="BH23" i="1"/>
  <c r="BE23" i="1"/>
  <c r="BK23" i="1"/>
  <c r="BJ23" i="1"/>
  <c r="BI23" i="1"/>
  <c r="BG23" i="1"/>
  <c r="P23" i="1"/>
  <c r="BC23" i="1" s="1"/>
  <c r="BM19" i="1"/>
  <c r="BJ19" i="1"/>
  <c r="BG19" i="1"/>
  <c r="BI19" i="1"/>
  <c r="BE19" i="1"/>
  <c r="BH19" i="1"/>
  <c r="BK19" i="1"/>
  <c r="P19" i="1"/>
  <c r="BC19" i="1" s="1"/>
  <c r="BJ334" i="1"/>
  <c r="BJ305" i="1"/>
  <c r="BJ276" i="1"/>
  <c r="BJ247" i="1"/>
  <c r="BJ218" i="1"/>
  <c r="BJ189" i="1"/>
  <c r="BJ160" i="1"/>
  <c r="BJ131" i="1"/>
  <c r="BJ102" i="1"/>
  <c r="BJ73" i="1"/>
  <c r="BH334" i="1"/>
  <c r="BH305" i="1"/>
  <c r="BH276" i="1"/>
  <c r="BH247" i="1"/>
  <c r="BH218" i="1"/>
  <c r="BH189" i="1"/>
  <c r="BH160" i="1"/>
  <c r="BH131" i="1"/>
  <c r="BH102" i="1"/>
  <c r="BH73" i="1"/>
  <c r="BH44" i="1"/>
  <c r="BG334" i="1"/>
  <c r="BG305" i="1"/>
  <c r="BG276" i="1"/>
  <c r="BG247" i="1"/>
  <c r="BG218" i="1"/>
  <c r="BG189" i="1"/>
  <c r="BG160" i="1"/>
  <c r="BG131" i="1"/>
  <c r="BG102" i="1"/>
  <c r="BG73" i="1"/>
  <c r="BK334" i="1"/>
  <c r="BK305" i="1"/>
  <c r="BK276" i="1"/>
  <c r="BK247" i="1"/>
  <c r="BK218" i="1"/>
  <c r="BK189" i="1"/>
  <c r="BK160" i="1"/>
  <c r="BK131" i="1"/>
  <c r="BK102" i="1"/>
  <c r="BK73" i="1"/>
  <c r="BK44" i="1"/>
  <c r="BG15" i="1"/>
  <c r="BK15" i="1"/>
  <c r="BH15" i="1"/>
  <c r="BJ44" i="1"/>
  <c r="BJ15" i="1"/>
  <c r="BG44" i="1"/>
  <c r="E15" i="1"/>
  <c r="O15" i="1" s="1"/>
  <c r="BM18" i="1"/>
  <c r="BJ18" i="1"/>
  <c r="BI18" i="1"/>
  <c r="BG18" i="1"/>
  <c r="BE18" i="1"/>
  <c r="BK18" i="1"/>
  <c r="BH18" i="1"/>
  <c r="P18" i="1"/>
  <c r="BC18" i="1" s="1"/>
  <c r="BK333" i="1"/>
  <c r="BK304" i="1"/>
  <c r="BK275" i="1"/>
  <c r="BK246" i="1"/>
  <c r="BK217" i="1"/>
  <c r="BK188" i="1"/>
  <c r="BK159" i="1"/>
  <c r="BK130" i="1"/>
  <c r="BK101" i="1"/>
  <c r="BK72" i="1"/>
  <c r="BJ333" i="1"/>
  <c r="BJ304" i="1"/>
  <c r="BJ275" i="1"/>
  <c r="BJ246" i="1"/>
  <c r="BJ217" i="1"/>
  <c r="BJ188" i="1"/>
  <c r="BJ159" i="1"/>
  <c r="BJ130" i="1"/>
  <c r="BJ101" i="1"/>
  <c r="BJ72" i="1"/>
  <c r="BJ43" i="1"/>
  <c r="BH333" i="1"/>
  <c r="BH304" i="1"/>
  <c r="BH275" i="1"/>
  <c r="BH246" i="1"/>
  <c r="BH217" i="1"/>
  <c r="BH188" i="1"/>
  <c r="BH159" i="1"/>
  <c r="BH130" i="1"/>
  <c r="BH101" i="1"/>
  <c r="BH72" i="1"/>
  <c r="BG333" i="1"/>
  <c r="BG304" i="1"/>
  <c r="BG275" i="1"/>
  <c r="BG246" i="1"/>
  <c r="BG217" i="1"/>
  <c r="BG188" i="1"/>
  <c r="BG159" i="1"/>
  <c r="BG130" i="1"/>
  <c r="BG101" i="1"/>
  <c r="BG72" i="1"/>
  <c r="BK43" i="1"/>
  <c r="BJ14" i="1"/>
  <c r="BG14" i="1"/>
  <c r="BH43" i="1"/>
  <c r="BG43" i="1"/>
  <c r="BK14" i="1"/>
  <c r="BH14" i="1"/>
  <c r="E14" i="1"/>
  <c r="O14" i="1" s="1"/>
  <c r="BK22" i="1"/>
  <c r="BJ22" i="1"/>
  <c r="BI22" i="1"/>
  <c r="BG22" i="1"/>
  <c r="BE22" i="1"/>
  <c r="BM22" i="1"/>
  <c r="BH22" i="1"/>
  <c r="P22" i="1"/>
  <c r="BC22" i="1" s="1"/>
  <c r="BK29" i="1"/>
  <c r="BM29" i="1"/>
  <c r="BJ29" i="1"/>
  <c r="BI29" i="1"/>
  <c r="BG29" i="1"/>
  <c r="BE29" i="1"/>
  <c r="BH29" i="1"/>
  <c r="P29" i="1"/>
  <c r="BC29" i="1" s="1"/>
  <c r="BK25" i="1"/>
  <c r="BI25" i="1"/>
  <c r="BH25" i="1"/>
  <c r="BM25" i="1"/>
  <c r="BJ25" i="1"/>
  <c r="BG25" i="1"/>
  <c r="BE25" i="1"/>
  <c r="P25" i="1"/>
  <c r="BC25" i="1" s="1"/>
  <c r="BK21" i="1"/>
  <c r="BG21" i="1"/>
  <c r="BE21" i="1"/>
  <c r="BJ21" i="1"/>
  <c r="BI21" i="1"/>
  <c r="BH21" i="1"/>
  <c r="BM21" i="1"/>
  <c r="P21" i="1"/>
  <c r="BC21" i="1" s="1"/>
  <c r="BG336" i="1"/>
  <c r="BG307" i="1"/>
  <c r="BG278" i="1"/>
  <c r="BG249" i="1"/>
  <c r="BG220" i="1"/>
  <c r="BG191" i="1"/>
  <c r="BG162" i="1"/>
  <c r="BG133" i="1"/>
  <c r="BG104" i="1"/>
  <c r="BG75" i="1"/>
  <c r="BK336" i="1"/>
  <c r="BK307" i="1"/>
  <c r="BK278" i="1"/>
  <c r="BK249" i="1"/>
  <c r="BK220" i="1"/>
  <c r="BK191" i="1"/>
  <c r="BK162" i="1"/>
  <c r="BK133" i="1"/>
  <c r="BK104" i="1"/>
  <c r="BK75" i="1"/>
  <c r="BK46" i="1"/>
  <c r="BK17" i="1"/>
  <c r="BJ336" i="1"/>
  <c r="BJ307" i="1"/>
  <c r="BJ278" i="1"/>
  <c r="BJ249" i="1"/>
  <c r="BJ220" i="1"/>
  <c r="BJ191" i="1"/>
  <c r="BJ162" i="1"/>
  <c r="BJ133" i="1"/>
  <c r="BJ104" i="1"/>
  <c r="BJ75" i="1"/>
  <c r="BH336" i="1"/>
  <c r="BH307" i="1"/>
  <c r="BH278" i="1"/>
  <c r="BH249" i="1"/>
  <c r="BH220" i="1"/>
  <c r="BH191" i="1"/>
  <c r="BH162" i="1"/>
  <c r="BH133" i="1"/>
  <c r="BH104" i="1"/>
  <c r="BH75" i="1"/>
  <c r="BJ46" i="1"/>
  <c r="BH17" i="1"/>
  <c r="BJ17" i="1"/>
  <c r="BG17" i="1"/>
  <c r="BH46" i="1"/>
  <c r="BG46" i="1"/>
  <c r="E17" i="1"/>
  <c r="O17" i="1" s="1"/>
  <c r="BG332" i="1"/>
  <c r="BG303" i="1"/>
  <c r="BG274" i="1"/>
  <c r="BG245" i="1"/>
  <c r="BG216" i="1"/>
  <c r="BG187" i="1"/>
  <c r="BG158" i="1"/>
  <c r="BG129" i="1"/>
  <c r="BG100" i="1"/>
  <c r="BG71" i="1"/>
  <c r="BK332" i="1"/>
  <c r="BK303" i="1"/>
  <c r="BK274" i="1"/>
  <c r="BK245" i="1"/>
  <c r="BK216" i="1"/>
  <c r="BK187" i="1"/>
  <c r="BK158" i="1"/>
  <c r="BK129" i="1"/>
  <c r="BK100" i="1"/>
  <c r="BK71" i="1"/>
  <c r="BK42" i="1"/>
  <c r="BK13" i="1"/>
  <c r="BJ332" i="1"/>
  <c r="BJ303" i="1"/>
  <c r="BJ274" i="1"/>
  <c r="BJ245" i="1"/>
  <c r="BJ216" i="1"/>
  <c r="BJ187" i="1"/>
  <c r="BJ158" i="1"/>
  <c r="BJ129" i="1"/>
  <c r="BJ100" i="1"/>
  <c r="BJ71" i="1"/>
  <c r="BH332" i="1"/>
  <c r="BH303" i="1"/>
  <c r="BH274" i="1"/>
  <c r="BH245" i="1"/>
  <c r="BH216" i="1"/>
  <c r="BH187" i="1"/>
  <c r="BH158" i="1"/>
  <c r="BH129" i="1"/>
  <c r="BH100" i="1"/>
  <c r="BH71" i="1"/>
  <c r="BJ13" i="1"/>
  <c r="BJ42" i="1"/>
  <c r="BH42" i="1"/>
  <c r="BH13" i="1"/>
  <c r="BG13" i="1"/>
  <c r="BG42" i="1"/>
  <c r="E13" i="1"/>
  <c r="O13" i="1" s="1"/>
  <c r="BJ11" i="1"/>
  <c r="BH11" i="1"/>
  <c r="BK11" i="1"/>
  <c r="BG11" i="1"/>
  <c r="BF26" i="1"/>
  <c r="BF22" i="1"/>
  <c r="BF28" i="1"/>
  <c r="BF24" i="1"/>
  <c r="BF29" i="1"/>
  <c r="BF25" i="1"/>
  <c r="BF27" i="1"/>
  <c r="BF23" i="1"/>
  <c r="V11" i="1"/>
  <c r="W11" i="1"/>
  <c r="R26" i="1"/>
  <c r="M26" i="1"/>
  <c r="Y26" i="1"/>
  <c r="X26" i="1"/>
  <c r="R22" i="1"/>
  <c r="M22" i="1"/>
  <c r="Y22" i="1"/>
  <c r="X22" i="1"/>
  <c r="V18" i="1"/>
  <c r="W18" i="1"/>
  <c r="V14" i="1"/>
  <c r="W14" i="1"/>
  <c r="R29" i="1"/>
  <c r="Y29" i="1"/>
  <c r="X29" i="1"/>
  <c r="M29" i="1"/>
  <c r="R25" i="1"/>
  <c r="Y25" i="1"/>
  <c r="X25" i="1"/>
  <c r="M25" i="1"/>
  <c r="V21" i="1"/>
  <c r="W21" i="1"/>
  <c r="V17" i="1"/>
  <c r="W17" i="1"/>
  <c r="V13" i="1"/>
  <c r="W13" i="1"/>
  <c r="Y28" i="1"/>
  <c r="X28" i="1"/>
  <c r="M28" i="1"/>
  <c r="R28" i="1"/>
  <c r="Y24" i="1"/>
  <c r="X24" i="1"/>
  <c r="M24" i="1"/>
  <c r="R24" i="1"/>
  <c r="V20" i="1"/>
  <c r="W20" i="1"/>
  <c r="V16" i="1"/>
  <c r="W16" i="1"/>
  <c r="V12" i="1"/>
  <c r="W12" i="1"/>
  <c r="Y27" i="1"/>
  <c r="X27" i="1"/>
  <c r="R27" i="1"/>
  <c r="M27" i="1"/>
  <c r="Y23" i="1"/>
  <c r="X23" i="1"/>
  <c r="R23" i="1"/>
  <c r="M23" i="1"/>
  <c r="W19" i="1"/>
  <c r="V19" i="1"/>
  <c r="W15" i="1"/>
  <c r="V15" i="1"/>
  <c r="H19" i="4"/>
  <c r="H13" i="4"/>
  <c r="R18" i="1"/>
  <c r="X32" i="2"/>
  <c r="Y32" i="2" s="1"/>
  <c r="X28" i="2"/>
  <c r="Y28" i="2" s="1"/>
  <c r="X20" i="2"/>
  <c r="Y20" i="2" s="1"/>
  <c r="X16" i="2"/>
  <c r="Y16" i="2" s="1"/>
  <c r="X12" i="2"/>
  <c r="Y12" i="2" s="1"/>
  <c r="X17" i="2"/>
  <c r="Y17" i="2" s="1"/>
  <c r="X27" i="2"/>
  <c r="Y27" i="2" s="1"/>
  <c r="X23" i="2"/>
  <c r="Y23" i="2" s="1"/>
  <c r="X19" i="2"/>
  <c r="Y19" i="2" s="1"/>
  <c r="X15" i="2"/>
  <c r="Y15" i="2" s="1"/>
  <c r="X22" i="2"/>
  <c r="Y22" i="2" s="1"/>
  <c r="X18" i="2"/>
  <c r="Y18" i="2" s="1"/>
  <c r="X26" i="2"/>
  <c r="Y26" i="2" s="1"/>
  <c r="X31" i="2"/>
  <c r="Y31" i="2" s="1"/>
  <c r="X30" i="2"/>
  <c r="Y30" i="2" s="1"/>
  <c r="X14" i="2"/>
  <c r="Y14" i="2" s="1"/>
  <c r="X33" i="2"/>
  <c r="Y33" i="2" s="1"/>
  <c r="X21" i="2"/>
  <c r="Y21" i="2" s="1"/>
  <c r="X25" i="2"/>
  <c r="Y25" i="2" s="1"/>
  <c r="X29" i="2"/>
  <c r="Y29" i="2" s="1"/>
  <c r="X13" i="2"/>
  <c r="Y13" i="2" s="1"/>
  <c r="G4" i="10"/>
  <c r="G6" i="10" s="1"/>
  <c r="E4" i="10"/>
  <c r="C4" i="10"/>
  <c r="C6" i="10"/>
  <c r="C10" i="10" s="1"/>
  <c r="C8" i="10"/>
  <c r="I14" i="4" l="1"/>
  <c r="BK697" i="1"/>
  <c r="BG639" i="1"/>
  <c r="BG755" i="1"/>
  <c r="BK668" i="1"/>
  <c r="BG610" i="1"/>
  <c r="BG726" i="1"/>
  <c r="BL204" i="1"/>
  <c r="BL668" i="1"/>
  <c r="BL291" i="1"/>
  <c r="BL755" i="1"/>
  <c r="BL378" i="1"/>
  <c r="BL117" i="1"/>
  <c r="BL581" i="1"/>
  <c r="BH726" i="1"/>
  <c r="BJ668" i="1"/>
  <c r="BH610" i="1"/>
  <c r="BH697" i="1"/>
  <c r="BJ639" i="1"/>
  <c r="BJ755" i="1"/>
  <c r="BL320" i="1"/>
  <c r="BL407" i="1"/>
  <c r="BL30" i="1"/>
  <c r="BL494" i="1"/>
  <c r="BL233" i="1"/>
  <c r="BL697" i="1"/>
  <c r="BK639" i="1"/>
  <c r="BK755" i="1"/>
  <c r="BG697" i="1"/>
  <c r="BK610" i="1"/>
  <c r="BK726" i="1"/>
  <c r="BG668" i="1"/>
  <c r="BL436" i="1"/>
  <c r="BL59" i="1"/>
  <c r="BL523" i="1"/>
  <c r="BL146" i="1"/>
  <c r="BL610" i="1"/>
  <c r="BL349" i="1"/>
  <c r="BH668" i="1"/>
  <c r="BJ610" i="1"/>
  <c r="BJ726" i="1"/>
  <c r="BH639" i="1"/>
  <c r="BH755" i="1"/>
  <c r="BJ697" i="1"/>
  <c r="BL88" i="1"/>
  <c r="BL552" i="1"/>
  <c r="BL175" i="1"/>
  <c r="BL639" i="1"/>
  <c r="BL262" i="1"/>
  <c r="BL726" i="1"/>
  <c r="BL465" i="1"/>
  <c r="I19" i="4"/>
  <c r="W117" i="1"/>
  <c r="W233" i="1"/>
  <c r="W349" i="1"/>
  <c r="J563" i="1"/>
  <c r="O563" i="1"/>
  <c r="P563" i="1" s="1"/>
  <c r="BC563" i="1" s="1"/>
  <c r="J565" i="1"/>
  <c r="O565" i="1"/>
  <c r="P565" i="1" s="1"/>
  <c r="BC565" i="1" s="1"/>
  <c r="J568" i="1"/>
  <c r="O568" i="1"/>
  <c r="J566" i="1"/>
  <c r="L566" i="1" s="1"/>
  <c r="AM566" i="1" s="1"/>
  <c r="O566" i="1"/>
  <c r="P566" i="1" s="1"/>
  <c r="BC566" i="1" s="1"/>
  <c r="J567" i="1"/>
  <c r="O567" i="1"/>
  <c r="J562" i="1"/>
  <c r="O562" i="1"/>
  <c r="P562" i="1" s="1"/>
  <c r="J564" i="1"/>
  <c r="O564" i="1"/>
  <c r="J534" i="1"/>
  <c r="O534" i="1"/>
  <c r="P534" i="1" s="1"/>
  <c r="BC534" i="1" s="1"/>
  <c r="J539" i="1"/>
  <c r="O539" i="1"/>
  <c r="J537" i="1"/>
  <c r="O537" i="1"/>
  <c r="P537" i="1" s="1"/>
  <c r="BC537" i="1" s="1"/>
  <c r="J535" i="1"/>
  <c r="O535" i="1"/>
  <c r="J536" i="1"/>
  <c r="O536" i="1"/>
  <c r="P536" i="1" s="1"/>
  <c r="BC536" i="1" s="1"/>
  <c r="J533" i="1"/>
  <c r="O533" i="1"/>
  <c r="P533" i="1" s="1"/>
  <c r="BC533" i="1" s="1"/>
  <c r="J538" i="1"/>
  <c r="O538" i="1"/>
  <c r="P538" i="1" s="1"/>
  <c r="BC538" i="1" s="1"/>
  <c r="J510" i="1"/>
  <c r="O510" i="1"/>
  <c r="J508" i="1"/>
  <c r="O508" i="1"/>
  <c r="P508" i="1" s="1"/>
  <c r="BC508" i="1" s="1"/>
  <c r="J506" i="1"/>
  <c r="O506" i="1"/>
  <c r="J507" i="1"/>
  <c r="O507" i="1"/>
  <c r="P507" i="1" s="1"/>
  <c r="BC507" i="1" s="1"/>
  <c r="J504" i="1"/>
  <c r="O504" i="1"/>
  <c r="J509" i="1"/>
  <c r="O509" i="1"/>
  <c r="P509" i="1" s="1"/>
  <c r="BC509" i="1" s="1"/>
  <c r="J505" i="1"/>
  <c r="O505" i="1"/>
  <c r="J480" i="1"/>
  <c r="O480" i="1"/>
  <c r="P480" i="1" s="1"/>
  <c r="BC480" i="1" s="1"/>
  <c r="J476" i="1"/>
  <c r="O476" i="1"/>
  <c r="J481" i="1"/>
  <c r="O481" i="1"/>
  <c r="P481" i="1" s="1"/>
  <c r="BC481" i="1" s="1"/>
  <c r="J479" i="1"/>
  <c r="O479" i="1"/>
  <c r="J477" i="1"/>
  <c r="O477" i="1"/>
  <c r="P477" i="1" s="1"/>
  <c r="BC477" i="1" s="1"/>
  <c r="J478" i="1"/>
  <c r="O478" i="1"/>
  <c r="J475" i="1"/>
  <c r="O475" i="1"/>
  <c r="P475" i="1" s="1"/>
  <c r="BC475" i="1" s="1"/>
  <c r="J451" i="1"/>
  <c r="O451" i="1"/>
  <c r="J448" i="1"/>
  <c r="O448" i="1"/>
  <c r="P448" i="1" s="1"/>
  <c r="BC448" i="1" s="1"/>
  <c r="J449" i="1"/>
  <c r="O449" i="1"/>
  <c r="J446" i="1"/>
  <c r="O446" i="1"/>
  <c r="P446" i="1" s="1"/>
  <c r="BC446" i="1" s="1"/>
  <c r="J447" i="1"/>
  <c r="O447" i="1"/>
  <c r="J450" i="1"/>
  <c r="O450" i="1"/>
  <c r="P450" i="1" s="1"/>
  <c r="BC450" i="1" s="1"/>
  <c r="J452" i="1"/>
  <c r="O452" i="1"/>
  <c r="J421" i="1"/>
  <c r="O421" i="1"/>
  <c r="P421" i="1" s="1"/>
  <c r="BC421" i="1" s="1"/>
  <c r="J419" i="1"/>
  <c r="O419" i="1"/>
  <c r="J423" i="1"/>
  <c r="O423" i="1"/>
  <c r="P423" i="1" s="1"/>
  <c r="BC423" i="1" s="1"/>
  <c r="J420" i="1"/>
  <c r="O420" i="1"/>
  <c r="J417" i="1"/>
  <c r="O417" i="1"/>
  <c r="P417" i="1" s="1"/>
  <c r="BC417" i="1" s="1"/>
  <c r="J418" i="1"/>
  <c r="O418" i="1"/>
  <c r="J422" i="1"/>
  <c r="O422" i="1"/>
  <c r="P422" i="1" s="1"/>
  <c r="BC422" i="1" s="1"/>
  <c r="J389" i="1"/>
  <c r="O389" i="1"/>
  <c r="J388" i="1"/>
  <c r="O388" i="1"/>
  <c r="P388" i="1" s="1"/>
  <c r="J390" i="1"/>
  <c r="O390" i="1"/>
  <c r="J394" i="1"/>
  <c r="O394" i="1"/>
  <c r="J393" i="1"/>
  <c r="O393" i="1"/>
  <c r="J391" i="1"/>
  <c r="O391" i="1"/>
  <c r="P391" i="1" s="1"/>
  <c r="BC391" i="1" s="1"/>
  <c r="J392" i="1"/>
  <c r="O392" i="1"/>
  <c r="J364" i="1"/>
  <c r="O364" i="1"/>
  <c r="P364" i="1" s="1"/>
  <c r="BC364" i="1" s="1"/>
  <c r="J361" i="1"/>
  <c r="O361" i="1"/>
  <c r="J360" i="1"/>
  <c r="O360" i="1"/>
  <c r="P360" i="1" s="1"/>
  <c r="BC360" i="1" s="1"/>
  <c r="J362" i="1"/>
  <c r="O362" i="1"/>
  <c r="J365" i="1"/>
  <c r="O365" i="1"/>
  <c r="P365" i="1" s="1"/>
  <c r="BC365" i="1" s="1"/>
  <c r="J359" i="1"/>
  <c r="O359" i="1"/>
  <c r="J363" i="1"/>
  <c r="O363" i="1"/>
  <c r="P363" i="1" s="1"/>
  <c r="BC363" i="1" s="1"/>
  <c r="J334" i="1"/>
  <c r="O334" i="1"/>
  <c r="J335" i="1"/>
  <c r="L335" i="1" s="1"/>
  <c r="AM335" i="1" s="1"/>
  <c r="O335" i="1"/>
  <c r="P335" i="1" s="1"/>
  <c r="BC335" i="1" s="1"/>
  <c r="J330" i="1"/>
  <c r="O330" i="1"/>
  <c r="J331" i="1"/>
  <c r="L331" i="1" s="1"/>
  <c r="AM331" i="1" s="1"/>
  <c r="O331" i="1"/>
  <c r="P331" i="1" s="1"/>
  <c r="BC331" i="1" s="1"/>
  <c r="J336" i="1"/>
  <c r="O336" i="1"/>
  <c r="J333" i="1"/>
  <c r="L333" i="1" s="1"/>
  <c r="AM333" i="1" s="1"/>
  <c r="O333" i="1"/>
  <c r="P333" i="1" s="1"/>
  <c r="BC333" i="1" s="1"/>
  <c r="J332" i="1"/>
  <c r="O332" i="1"/>
  <c r="J301" i="1"/>
  <c r="O301" i="1"/>
  <c r="J307" i="1"/>
  <c r="L307" i="1" s="1"/>
  <c r="AM307" i="1" s="1"/>
  <c r="O307" i="1"/>
  <c r="P307" i="1" s="1"/>
  <c r="BC307" i="1" s="1"/>
  <c r="J303" i="1"/>
  <c r="O303" i="1"/>
  <c r="P303" i="1" s="1"/>
  <c r="BC303" i="1" s="1"/>
  <c r="J304" i="1"/>
  <c r="L304" i="1" s="1"/>
  <c r="AM304" i="1" s="1"/>
  <c r="O304" i="1"/>
  <c r="P304" i="1" s="1"/>
  <c r="BC304" i="1" s="1"/>
  <c r="J305" i="1"/>
  <c r="L305" i="1" s="1"/>
  <c r="AM305" i="1" s="1"/>
  <c r="O305" i="1"/>
  <c r="P305" i="1" s="1"/>
  <c r="BC305" i="1" s="1"/>
  <c r="J302" i="1"/>
  <c r="O302" i="1"/>
  <c r="P302" i="1" s="1"/>
  <c r="BC302" i="1" s="1"/>
  <c r="J306" i="1"/>
  <c r="O306" i="1"/>
  <c r="P306" i="1" s="1"/>
  <c r="BC306" i="1" s="1"/>
  <c r="J272" i="1"/>
  <c r="O272" i="1"/>
  <c r="J275" i="1"/>
  <c r="O275" i="1"/>
  <c r="P275" i="1" s="1"/>
  <c r="BC275" i="1" s="1"/>
  <c r="J278" i="1"/>
  <c r="L278" i="1" s="1"/>
  <c r="AM278" i="1" s="1"/>
  <c r="O278" i="1"/>
  <c r="P278" i="1" s="1"/>
  <c r="BC278" i="1" s="1"/>
  <c r="J276" i="1"/>
  <c r="L276" i="1" s="1"/>
  <c r="AM276" i="1" s="1"/>
  <c r="O276" i="1"/>
  <c r="P276" i="1" s="1"/>
  <c r="BC276" i="1" s="1"/>
  <c r="J273" i="1"/>
  <c r="L273" i="1" s="1"/>
  <c r="AM273" i="1" s="1"/>
  <c r="O273" i="1"/>
  <c r="P273" i="1" s="1"/>
  <c r="BC273" i="1" s="1"/>
  <c r="J274" i="1"/>
  <c r="L274" i="1" s="1"/>
  <c r="AM274" i="1" s="1"/>
  <c r="O274" i="1"/>
  <c r="P274" i="1" s="1"/>
  <c r="BC274" i="1" s="1"/>
  <c r="J277" i="1"/>
  <c r="L277" i="1" s="1"/>
  <c r="AM277" i="1" s="1"/>
  <c r="O277" i="1"/>
  <c r="J244" i="1"/>
  <c r="O244" i="1"/>
  <c r="P244" i="1" s="1"/>
  <c r="BC244" i="1" s="1"/>
  <c r="J248" i="1"/>
  <c r="L248" i="1" s="1"/>
  <c r="AM248" i="1" s="1"/>
  <c r="O248" i="1"/>
  <c r="P248" i="1" s="1"/>
  <c r="BC248" i="1" s="1"/>
  <c r="J245" i="1"/>
  <c r="O245" i="1"/>
  <c r="P245" i="1" s="1"/>
  <c r="BC245" i="1" s="1"/>
  <c r="J249" i="1"/>
  <c r="L249" i="1" s="1"/>
  <c r="AM249" i="1" s="1"/>
  <c r="O249" i="1"/>
  <c r="P249" i="1" s="1"/>
  <c r="BC249" i="1" s="1"/>
  <c r="J246" i="1"/>
  <c r="L246" i="1" s="1"/>
  <c r="AM246" i="1" s="1"/>
  <c r="O246" i="1"/>
  <c r="P246" i="1" s="1"/>
  <c r="BC246" i="1" s="1"/>
  <c r="J243" i="1"/>
  <c r="O243" i="1"/>
  <c r="J247" i="1"/>
  <c r="O247" i="1"/>
  <c r="P247" i="1" s="1"/>
  <c r="BC247" i="1" s="1"/>
  <c r="J218" i="1"/>
  <c r="L218" i="1" s="1"/>
  <c r="AM218" i="1" s="1"/>
  <c r="O218" i="1"/>
  <c r="P218" i="1" s="1"/>
  <c r="BC218" i="1" s="1"/>
  <c r="J219" i="1"/>
  <c r="L219" i="1" s="1"/>
  <c r="AM219" i="1" s="1"/>
  <c r="O219" i="1"/>
  <c r="P219" i="1" s="1"/>
  <c r="BC219" i="1" s="1"/>
  <c r="J214" i="1"/>
  <c r="O214" i="1"/>
  <c r="J215" i="1"/>
  <c r="L215" i="1" s="1"/>
  <c r="AM215" i="1" s="1"/>
  <c r="O215" i="1"/>
  <c r="P215" i="1" s="1"/>
  <c r="BC215" i="1" s="1"/>
  <c r="J220" i="1"/>
  <c r="L220" i="1" s="1"/>
  <c r="AM220" i="1" s="1"/>
  <c r="O220" i="1"/>
  <c r="P220" i="1" s="1"/>
  <c r="BC220" i="1" s="1"/>
  <c r="J217" i="1"/>
  <c r="L217" i="1" s="1"/>
  <c r="AM217" i="1" s="1"/>
  <c r="O217" i="1"/>
  <c r="P217" i="1" s="1"/>
  <c r="BC217" i="1" s="1"/>
  <c r="J216" i="1"/>
  <c r="L216" i="1" s="1"/>
  <c r="AM216" i="1" s="1"/>
  <c r="O216" i="1"/>
  <c r="P216" i="1" s="1"/>
  <c r="BC216" i="1" s="1"/>
  <c r="J190" i="1"/>
  <c r="O190" i="1"/>
  <c r="P190" i="1" s="1"/>
  <c r="BC190" i="1" s="1"/>
  <c r="J185" i="1"/>
  <c r="O185" i="1"/>
  <c r="J188" i="1"/>
  <c r="L188" i="1" s="1"/>
  <c r="AM188" i="1" s="1"/>
  <c r="O188" i="1"/>
  <c r="P188" i="1" s="1"/>
  <c r="BC188" i="1" s="1"/>
  <c r="J189" i="1"/>
  <c r="L189" i="1" s="1"/>
  <c r="AM189" i="1" s="1"/>
  <c r="O189" i="1"/>
  <c r="P189" i="1" s="1"/>
  <c r="BC189" i="1" s="1"/>
  <c r="J191" i="1"/>
  <c r="L191" i="1" s="1"/>
  <c r="AM191" i="1" s="1"/>
  <c r="O191" i="1"/>
  <c r="P191" i="1" s="1"/>
  <c r="BC191" i="1" s="1"/>
  <c r="J186" i="1"/>
  <c r="L186" i="1" s="1"/>
  <c r="AM186" i="1" s="1"/>
  <c r="O186" i="1"/>
  <c r="P186" i="1" s="1"/>
  <c r="BC186" i="1" s="1"/>
  <c r="J187" i="1"/>
  <c r="L187" i="1" s="1"/>
  <c r="AM187" i="1" s="1"/>
  <c r="O187" i="1"/>
  <c r="P187" i="1" s="1"/>
  <c r="BC187" i="1" s="1"/>
  <c r="J156" i="1"/>
  <c r="O156" i="1"/>
  <c r="J161" i="1"/>
  <c r="L161" i="1" s="1"/>
  <c r="AM161" i="1" s="1"/>
  <c r="O161" i="1"/>
  <c r="P161" i="1" s="1"/>
  <c r="BC161" i="1" s="1"/>
  <c r="J162" i="1"/>
  <c r="L162" i="1" s="1"/>
  <c r="AM162" i="1" s="1"/>
  <c r="O162" i="1"/>
  <c r="P162" i="1" s="1"/>
  <c r="BC162" i="1" s="1"/>
  <c r="J159" i="1"/>
  <c r="L159" i="1" s="1"/>
  <c r="AM159" i="1" s="1"/>
  <c r="O159" i="1"/>
  <c r="P159" i="1" s="1"/>
  <c r="BC159" i="1" s="1"/>
  <c r="J157" i="1"/>
  <c r="L157" i="1" s="1"/>
  <c r="AM157" i="1" s="1"/>
  <c r="O157" i="1"/>
  <c r="P157" i="1" s="1"/>
  <c r="BC157" i="1" s="1"/>
  <c r="J158" i="1"/>
  <c r="L158" i="1" s="1"/>
  <c r="AM158" i="1" s="1"/>
  <c r="O158" i="1"/>
  <c r="P158" i="1" s="1"/>
  <c r="BC158" i="1" s="1"/>
  <c r="J160" i="1"/>
  <c r="L160" i="1" s="1"/>
  <c r="AM160" i="1" s="1"/>
  <c r="O160" i="1"/>
  <c r="P160" i="1" s="1"/>
  <c r="BC160" i="1" s="1"/>
  <c r="J128" i="1"/>
  <c r="L128" i="1" s="1"/>
  <c r="AM128" i="1" s="1"/>
  <c r="O128" i="1"/>
  <c r="P128" i="1" s="1"/>
  <c r="BC128" i="1" s="1"/>
  <c r="J129" i="1"/>
  <c r="L129" i="1" s="1"/>
  <c r="AM129" i="1" s="1"/>
  <c r="O129" i="1"/>
  <c r="P129" i="1" s="1"/>
  <c r="BC129" i="1" s="1"/>
  <c r="J131" i="1"/>
  <c r="L131" i="1" s="1"/>
  <c r="AM131" i="1" s="1"/>
  <c r="O131" i="1"/>
  <c r="P131" i="1" s="1"/>
  <c r="BC131" i="1" s="1"/>
  <c r="J132" i="1"/>
  <c r="L132" i="1" s="1"/>
  <c r="AM132" i="1" s="1"/>
  <c r="O132" i="1"/>
  <c r="P132" i="1" s="1"/>
  <c r="BC132" i="1" s="1"/>
  <c r="J133" i="1"/>
  <c r="L133" i="1" s="1"/>
  <c r="AM133" i="1" s="1"/>
  <c r="O133" i="1"/>
  <c r="P133" i="1" s="1"/>
  <c r="BC133" i="1" s="1"/>
  <c r="J130" i="1"/>
  <c r="L130" i="1" s="1"/>
  <c r="AM130" i="1" s="1"/>
  <c r="O130" i="1"/>
  <c r="P130" i="1" s="1"/>
  <c r="BC130" i="1" s="1"/>
  <c r="J127" i="1"/>
  <c r="O127" i="1"/>
  <c r="J102" i="1"/>
  <c r="O102" i="1"/>
  <c r="P102" i="1" s="1"/>
  <c r="BC102" i="1" s="1"/>
  <c r="J103" i="1"/>
  <c r="L103" i="1" s="1"/>
  <c r="AM103" i="1" s="1"/>
  <c r="O103" i="1"/>
  <c r="P103" i="1" s="1"/>
  <c r="BC103" i="1" s="1"/>
  <c r="J98" i="1"/>
  <c r="O98" i="1"/>
  <c r="J99" i="1"/>
  <c r="O99" i="1"/>
  <c r="P99" i="1" s="1"/>
  <c r="BC99" i="1" s="1"/>
  <c r="J104" i="1"/>
  <c r="O104" i="1"/>
  <c r="P104" i="1" s="1"/>
  <c r="BC104" i="1" s="1"/>
  <c r="J101" i="1"/>
  <c r="L101" i="1" s="1"/>
  <c r="AM101" i="1" s="1"/>
  <c r="O101" i="1"/>
  <c r="P101" i="1" s="1"/>
  <c r="BC101" i="1" s="1"/>
  <c r="J100" i="1"/>
  <c r="L100" i="1" s="1"/>
  <c r="AM100" i="1" s="1"/>
  <c r="O100" i="1"/>
  <c r="J72" i="1"/>
  <c r="O72" i="1"/>
  <c r="P72" i="1" s="1"/>
  <c r="BC72" i="1" s="1"/>
  <c r="J73" i="1"/>
  <c r="L73" i="1" s="1"/>
  <c r="AM73" i="1" s="1"/>
  <c r="O73" i="1"/>
  <c r="P73" i="1" s="1"/>
  <c r="BC73" i="1" s="1"/>
  <c r="J74" i="1"/>
  <c r="L74" i="1" s="1"/>
  <c r="AM74" i="1" s="1"/>
  <c r="O74" i="1"/>
  <c r="P74" i="1" s="1"/>
  <c r="BC74" i="1" s="1"/>
  <c r="J70" i="1"/>
  <c r="L70" i="1" s="1"/>
  <c r="AM70" i="1" s="1"/>
  <c r="O70" i="1"/>
  <c r="P70" i="1" s="1"/>
  <c r="BC70" i="1" s="1"/>
  <c r="J71" i="1"/>
  <c r="L71" i="1" s="1"/>
  <c r="AM71" i="1" s="1"/>
  <c r="O71" i="1"/>
  <c r="P71" i="1" s="1"/>
  <c r="BC71" i="1" s="1"/>
  <c r="J75" i="1"/>
  <c r="L75" i="1" s="1"/>
  <c r="AM75" i="1" s="1"/>
  <c r="O75" i="1"/>
  <c r="P75" i="1" s="1"/>
  <c r="BC75" i="1" s="1"/>
  <c r="J69" i="1"/>
  <c r="O69" i="1"/>
  <c r="J42" i="1"/>
  <c r="L42" i="1" s="1"/>
  <c r="AM42" i="1" s="1"/>
  <c r="O42" i="1"/>
  <c r="P42" i="1" s="1"/>
  <c r="BC42" i="1" s="1"/>
  <c r="J40" i="1"/>
  <c r="O40" i="1"/>
  <c r="J41" i="1"/>
  <c r="L41" i="1" s="1"/>
  <c r="AM41" i="1" s="1"/>
  <c r="O41" i="1"/>
  <c r="P41" i="1" s="1"/>
  <c r="BC41" i="1" s="1"/>
  <c r="J44" i="1"/>
  <c r="O44" i="1"/>
  <c r="P44" i="1" s="1"/>
  <c r="BC44" i="1" s="1"/>
  <c r="J45" i="1"/>
  <c r="O45" i="1"/>
  <c r="P45" i="1" s="1"/>
  <c r="BC45" i="1" s="1"/>
  <c r="J46" i="1"/>
  <c r="L46" i="1" s="1"/>
  <c r="AM46" i="1" s="1"/>
  <c r="O46" i="1"/>
  <c r="P46" i="1" s="1"/>
  <c r="BC46" i="1" s="1"/>
  <c r="J43" i="1"/>
  <c r="L43" i="1" s="1"/>
  <c r="AM43" i="1" s="1"/>
  <c r="O43" i="1"/>
  <c r="P43" i="1" s="1"/>
  <c r="BC43" i="1" s="1"/>
  <c r="J13" i="1"/>
  <c r="J12" i="1"/>
  <c r="J17" i="1"/>
  <c r="J14" i="1"/>
  <c r="J11" i="1"/>
  <c r="J15" i="1"/>
  <c r="J16" i="1"/>
  <c r="BK465" i="1"/>
  <c r="W465" i="1"/>
  <c r="V117" i="1"/>
  <c r="V233" i="1"/>
  <c r="V349" i="1"/>
  <c r="W407" i="1"/>
  <c r="V407" i="1"/>
  <c r="V465" i="1"/>
  <c r="W552" i="1"/>
  <c r="BB573" i="1"/>
  <c r="AN573" i="1"/>
  <c r="BK581" i="1"/>
  <c r="AN570" i="1"/>
  <c r="BB570" i="1"/>
  <c r="AN575" i="1"/>
  <c r="BB575" i="1"/>
  <c r="BG581" i="1"/>
  <c r="W581" i="1"/>
  <c r="L564" i="1"/>
  <c r="AM564" i="1" s="1"/>
  <c r="P564" i="1"/>
  <c r="BC564" i="1" s="1"/>
  <c r="BB576" i="1"/>
  <c r="AN576" i="1"/>
  <c r="AN571" i="1"/>
  <c r="BB571" i="1"/>
  <c r="BB569" i="1"/>
  <c r="AN569" i="1"/>
  <c r="BB577" i="1"/>
  <c r="AN577" i="1"/>
  <c r="V581" i="1"/>
  <c r="BH581" i="1"/>
  <c r="L568" i="1"/>
  <c r="AM568" i="1" s="1"/>
  <c r="P568" i="1"/>
  <c r="BC568" i="1" s="1"/>
  <c r="L563" i="1"/>
  <c r="L567" i="1"/>
  <c r="AM567" i="1" s="1"/>
  <c r="P567" i="1"/>
  <c r="BC567" i="1" s="1"/>
  <c r="AN579" i="1"/>
  <c r="BB579" i="1"/>
  <c r="L565" i="1"/>
  <c r="AM565" i="1" s="1"/>
  <c r="L562" i="1"/>
  <c r="AM562" i="1" s="1"/>
  <c r="E581" i="1"/>
  <c r="BJ581" i="1"/>
  <c r="AN578" i="1"/>
  <c r="BB578" i="1"/>
  <c r="BB572" i="1"/>
  <c r="AN572" i="1"/>
  <c r="BB574" i="1"/>
  <c r="AN574" i="1"/>
  <c r="BB540" i="1"/>
  <c r="AN540" i="1"/>
  <c r="AN548" i="1"/>
  <c r="BB548" i="1"/>
  <c r="L533" i="1"/>
  <c r="AM533" i="1" s="1"/>
  <c r="E552" i="1"/>
  <c r="BB541" i="1"/>
  <c r="AN541" i="1"/>
  <c r="BB549" i="1"/>
  <c r="AN549" i="1"/>
  <c r="L539" i="1"/>
  <c r="P539" i="1"/>
  <c r="BC539" i="1" s="1"/>
  <c r="BK552" i="1"/>
  <c r="BH552" i="1"/>
  <c r="L537" i="1"/>
  <c r="L534" i="1"/>
  <c r="AM534" i="1" s="1"/>
  <c r="BB542" i="1"/>
  <c r="AN542" i="1"/>
  <c r="AN550" i="1"/>
  <c r="BB550" i="1"/>
  <c r="BB543" i="1"/>
  <c r="AN543" i="1"/>
  <c r="L536" i="1"/>
  <c r="V552" i="1"/>
  <c r="BJ552" i="1"/>
  <c r="BB545" i="1"/>
  <c r="AN545" i="1"/>
  <c r="L538" i="1"/>
  <c r="AM538" i="1" s="1"/>
  <c r="BB544" i="1"/>
  <c r="AN544" i="1"/>
  <c r="BG552" i="1"/>
  <c r="BB546" i="1"/>
  <c r="AN546" i="1"/>
  <c r="L535" i="1"/>
  <c r="AM535" i="1" s="1"/>
  <c r="P535" i="1"/>
  <c r="BC535" i="1" s="1"/>
  <c r="BB547" i="1"/>
  <c r="AN547" i="1"/>
  <c r="L506" i="1"/>
  <c r="AM506" i="1" s="1"/>
  <c r="P506" i="1"/>
  <c r="BC506" i="1" s="1"/>
  <c r="BB518" i="1"/>
  <c r="AN518" i="1"/>
  <c r="L507" i="1"/>
  <c r="AM507" i="1" s="1"/>
  <c r="BB515" i="1"/>
  <c r="AN515" i="1"/>
  <c r="V523" i="1"/>
  <c r="BJ523" i="1"/>
  <c r="L509" i="1"/>
  <c r="AM509" i="1" s="1"/>
  <c r="BB517" i="1"/>
  <c r="AN517" i="1"/>
  <c r="BG465" i="1"/>
  <c r="L510" i="1"/>
  <c r="AM510" i="1" s="1"/>
  <c r="P510" i="1"/>
  <c r="BC510" i="1" s="1"/>
  <c r="BB514" i="1"/>
  <c r="AN514" i="1"/>
  <c r="BG523" i="1"/>
  <c r="AN516" i="1"/>
  <c r="BB516" i="1"/>
  <c r="AN509" i="1"/>
  <c r="AR509" i="1" s="1"/>
  <c r="AZ509" i="1" s="1"/>
  <c r="BB511" i="1"/>
  <c r="AN511" i="1"/>
  <c r="L504" i="1"/>
  <c r="AM504" i="1" s="1"/>
  <c r="P504" i="1"/>
  <c r="BC504" i="1" s="1"/>
  <c r="E523" i="1"/>
  <c r="W523" i="1"/>
  <c r="AN512" i="1"/>
  <c r="BB512" i="1"/>
  <c r="BB520" i="1"/>
  <c r="AN520" i="1"/>
  <c r="BB519" i="1"/>
  <c r="AN519" i="1"/>
  <c r="BK523" i="1"/>
  <c r="BH523" i="1"/>
  <c r="L508" i="1"/>
  <c r="L505" i="1"/>
  <c r="AM505" i="1" s="1"/>
  <c r="P505" i="1"/>
  <c r="BC505" i="1" s="1"/>
  <c r="AN513" i="1"/>
  <c r="BB513" i="1"/>
  <c r="BB521" i="1"/>
  <c r="AN521" i="1"/>
  <c r="BB488" i="1"/>
  <c r="AN488" i="1"/>
  <c r="L477" i="1"/>
  <c r="AM477" i="1" s="1"/>
  <c r="L478" i="1"/>
  <c r="AM478" i="1" s="1"/>
  <c r="P478" i="1"/>
  <c r="BC478" i="1" s="1"/>
  <c r="V494" i="1"/>
  <c r="BJ494" i="1"/>
  <c r="BH465" i="1"/>
  <c r="BB484" i="1"/>
  <c r="AN484" i="1"/>
  <c r="L481" i="1"/>
  <c r="AM481" i="1" s="1"/>
  <c r="BB486" i="1"/>
  <c r="AN486" i="1"/>
  <c r="BG494" i="1"/>
  <c r="AN487" i="1"/>
  <c r="BB487" i="1"/>
  <c r="BJ465" i="1"/>
  <c r="L476" i="1"/>
  <c r="P476" i="1"/>
  <c r="BC476" i="1" s="1"/>
  <c r="BB492" i="1"/>
  <c r="AN492" i="1"/>
  <c r="BB485" i="1"/>
  <c r="AN485" i="1"/>
  <c r="BB490" i="1"/>
  <c r="AN490" i="1"/>
  <c r="E494" i="1"/>
  <c r="L475" i="1"/>
  <c r="AM475" i="1" s="1"/>
  <c r="W494" i="1"/>
  <c r="AN483" i="1"/>
  <c r="BB483" i="1"/>
  <c r="L480" i="1"/>
  <c r="BB489" i="1"/>
  <c r="AN489" i="1"/>
  <c r="BB482" i="1"/>
  <c r="AN482" i="1"/>
  <c r="BK494" i="1"/>
  <c r="BH494" i="1"/>
  <c r="L479" i="1"/>
  <c r="P479" i="1"/>
  <c r="BC479" i="1" s="1"/>
  <c r="AN491" i="1"/>
  <c r="BB491" i="1"/>
  <c r="L450" i="1"/>
  <c r="AM450" i="1" s="1"/>
  <c r="BB458" i="1"/>
  <c r="AN458" i="1"/>
  <c r="L448" i="1"/>
  <c r="AM448" i="1" s="1"/>
  <c r="L449" i="1"/>
  <c r="P449" i="1"/>
  <c r="BC449" i="1" s="1"/>
  <c r="L446" i="1"/>
  <c r="AM446" i="1" s="1"/>
  <c r="E465" i="1"/>
  <c r="BB454" i="1"/>
  <c r="AN454" i="1"/>
  <c r="L447" i="1"/>
  <c r="P447" i="1"/>
  <c r="BC447" i="1" s="1"/>
  <c r="BB455" i="1"/>
  <c r="AN455" i="1"/>
  <c r="BB463" i="1"/>
  <c r="AN463" i="1"/>
  <c r="L452" i="1"/>
  <c r="AM452" i="1" s="1"/>
  <c r="P452" i="1"/>
  <c r="BC452" i="1" s="1"/>
  <c r="BB456" i="1"/>
  <c r="AN456" i="1"/>
  <c r="BB457" i="1"/>
  <c r="AN457" i="1"/>
  <c r="BB462" i="1"/>
  <c r="AN462" i="1"/>
  <c r="L451" i="1"/>
  <c r="P451" i="1"/>
  <c r="BC451" i="1" s="1"/>
  <c r="BB453" i="1"/>
  <c r="AN453" i="1"/>
  <c r="BB461" i="1"/>
  <c r="AN461" i="1"/>
  <c r="BB459" i="1"/>
  <c r="AN459" i="1"/>
  <c r="BB460" i="1"/>
  <c r="AN460" i="1"/>
  <c r="BK407" i="1"/>
  <c r="BB432" i="1"/>
  <c r="AN432" i="1"/>
  <c r="E436" i="1"/>
  <c r="L417" i="1"/>
  <c r="BH436" i="1"/>
  <c r="L418" i="1"/>
  <c r="AM418" i="1" s="1"/>
  <c r="P418" i="1"/>
  <c r="BC418" i="1" s="1"/>
  <c r="AN426" i="1"/>
  <c r="BB426" i="1"/>
  <c r="BJ407" i="1"/>
  <c r="BB424" i="1"/>
  <c r="AN424" i="1"/>
  <c r="BG436" i="1"/>
  <c r="W436" i="1"/>
  <c r="L421" i="1"/>
  <c r="BB425" i="1"/>
  <c r="AN425" i="1"/>
  <c r="AN433" i="1"/>
  <c r="BB433" i="1"/>
  <c r="BB434" i="1"/>
  <c r="AN434" i="1"/>
  <c r="L423" i="1"/>
  <c r="BB427" i="1"/>
  <c r="AN427" i="1"/>
  <c r="BH407" i="1"/>
  <c r="L420" i="1"/>
  <c r="AM420" i="1" s="1"/>
  <c r="P420" i="1"/>
  <c r="BC420" i="1" s="1"/>
  <c r="V436" i="1"/>
  <c r="BJ436" i="1"/>
  <c r="BB429" i="1"/>
  <c r="AN429" i="1"/>
  <c r="L422" i="1"/>
  <c r="AM422" i="1" s="1"/>
  <c r="BB430" i="1"/>
  <c r="AN430" i="1"/>
  <c r="BB431" i="1"/>
  <c r="AN431" i="1"/>
  <c r="BG407" i="1"/>
  <c r="BB428" i="1"/>
  <c r="AN428" i="1"/>
  <c r="BK436" i="1"/>
  <c r="L419" i="1"/>
  <c r="P419" i="1"/>
  <c r="BC419" i="1" s="1"/>
  <c r="L390" i="1"/>
  <c r="P390" i="1"/>
  <c r="BC390" i="1" s="1"/>
  <c r="L394" i="1"/>
  <c r="P394" i="1"/>
  <c r="BC394" i="1" s="1"/>
  <c r="AN398" i="1"/>
  <c r="BB398" i="1"/>
  <c r="AN402" i="1"/>
  <c r="BB402" i="1"/>
  <c r="L393" i="1"/>
  <c r="P393" i="1"/>
  <c r="BC393" i="1" s="1"/>
  <c r="AN401" i="1"/>
  <c r="BB401" i="1"/>
  <c r="L391" i="1"/>
  <c r="BB395" i="1"/>
  <c r="AN395" i="1"/>
  <c r="BB399" i="1"/>
  <c r="AN399" i="1"/>
  <c r="BB403" i="1"/>
  <c r="AN403" i="1"/>
  <c r="L389" i="1"/>
  <c r="AM389" i="1" s="1"/>
  <c r="P389" i="1"/>
  <c r="BC389" i="1" s="1"/>
  <c r="BB405" i="1"/>
  <c r="AN405" i="1"/>
  <c r="L388" i="1"/>
  <c r="AM388" i="1" s="1"/>
  <c r="E407" i="1"/>
  <c r="L392" i="1"/>
  <c r="AM392" i="1" s="1"/>
  <c r="P392" i="1"/>
  <c r="BC392" i="1" s="1"/>
  <c r="AN396" i="1"/>
  <c r="BB396" i="1"/>
  <c r="BB400" i="1"/>
  <c r="AN400" i="1"/>
  <c r="AN404" i="1"/>
  <c r="BB404" i="1"/>
  <c r="AN397" i="1"/>
  <c r="BB397" i="1"/>
  <c r="L364" i="1"/>
  <c r="BB373" i="1"/>
  <c r="AN373" i="1"/>
  <c r="V378" i="1"/>
  <c r="BH378" i="1"/>
  <c r="L363" i="1"/>
  <c r="BB376" i="1"/>
  <c r="AN376" i="1"/>
  <c r="BB369" i="1"/>
  <c r="AN369" i="1"/>
  <c r="AN370" i="1"/>
  <c r="BB370" i="1"/>
  <c r="BG378" i="1"/>
  <c r="BB371" i="1"/>
  <c r="AN371" i="1"/>
  <c r="BB368" i="1"/>
  <c r="AN368" i="1"/>
  <c r="L361" i="1"/>
  <c r="AM361" i="1" s="1"/>
  <c r="P361" i="1"/>
  <c r="BC361" i="1" s="1"/>
  <c r="L365" i="1"/>
  <c r="BB366" i="1"/>
  <c r="AN366" i="1"/>
  <c r="L359" i="1"/>
  <c r="AM359" i="1" s="1"/>
  <c r="P359" i="1"/>
  <c r="BC359" i="1" s="1"/>
  <c r="E378" i="1"/>
  <c r="BJ378" i="1"/>
  <c r="BB367" i="1"/>
  <c r="AN367" i="1"/>
  <c r="L360" i="1"/>
  <c r="BB372" i="1"/>
  <c r="AN372" i="1"/>
  <c r="L362" i="1"/>
  <c r="AM362" i="1" s="1"/>
  <c r="P362" i="1"/>
  <c r="BC362" i="1" s="1"/>
  <c r="BB374" i="1"/>
  <c r="AN374" i="1"/>
  <c r="BK378" i="1"/>
  <c r="W378" i="1"/>
  <c r="AN375" i="1"/>
  <c r="BB375" i="1"/>
  <c r="BB343" i="1"/>
  <c r="AN343" i="1"/>
  <c r="BB344" i="1"/>
  <c r="AN344" i="1"/>
  <c r="BB341" i="1"/>
  <c r="AN341" i="1"/>
  <c r="E349" i="1"/>
  <c r="BB339" i="1"/>
  <c r="AN339" i="1"/>
  <c r="BB340" i="1"/>
  <c r="AN340" i="1"/>
  <c r="L334" i="1"/>
  <c r="AM334" i="1" s="1"/>
  <c r="P334" i="1"/>
  <c r="BC334" i="1" s="1"/>
  <c r="AN338" i="1"/>
  <c r="BB338" i="1"/>
  <c r="AN346" i="1"/>
  <c r="BB346" i="1"/>
  <c r="BB347" i="1"/>
  <c r="AN347" i="1"/>
  <c r="L332" i="1"/>
  <c r="AM332" i="1" s="1"/>
  <c r="P332" i="1"/>
  <c r="BC332" i="1" s="1"/>
  <c r="AN342" i="1"/>
  <c r="BB342" i="1"/>
  <c r="L336" i="1"/>
  <c r="AM336" i="1" s="1"/>
  <c r="P336" i="1"/>
  <c r="BC336" i="1" s="1"/>
  <c r="BB337" i="1"/>
  <c r="AN337" i="1"/>
  <c r="BB345" i="1"/>
  <c r="AN345" i="1"/>
  <c r="W320" i="1"/>
  <c r="L302" i="1"/>
  <c r="AM302" i="1" s="1"/>
  <c r="BB310" i="1"/>
  <c r="AN310" i="1"/>
  <c r="AN311" i="1"/>
  <c r="BB311" i="1"/>
  <c r="BB308" i="1"/>
  <c r="AN308" i="1"/>
  <c r="BB316" i="1"/>
  <c r="AN316" i="1"/>
  <c r="E320" i="1"/>
  <c r="AN309" i="1"/>
  <c r="BB309" i="1"/>
  <c r="BB317" i="1"/>
  <c r="AN317" i="1"/>
  <c r="AN318" i="1"/>
  <c r="BB318" i="1"/>
  <c r="BB312" i="1"/>
  <c r="AN312" i="1"/>
  <c r="V320" i="1"/>
  <c r="BB313" i="1"/>
  <c r="AN313" i="1"/>
  <c r="L306" i="1"/>
  <c r="AM306" i="1" s="1"/>
  <c r="BB314" i="1"/>
  <c r="AN314" i="1"/>
  <c r="L303" i="1"/>
  <c r="AM303" i="1" s="1"/>
  <c r="AN315" i="1"/>
  <c r="BB315" i="1"/>
  <c r="BB283" i="1"/>
  <c r="AN283" i="1"/>
  <c r="E291" i="1"/>
  <c r="BB284" i="1"/>
  <c r="AN284" i="1"/>
  <c r="AN285" i="1"/>
  <c r="BB285" i="1"/>
  <c r="P277" i="1"/>
  <c r="BC277" i="1" s="1"/>
  <c r="BB282" i="1"/>
  <c r="AN282" i="1"/>
  <c r="V291" i="1"/>
  <c r="BB280" i="1"/>
  <c r="AN280" i="1"/>
  <c r="BB288" i="1"/>
  <c r="AN288" i="1"/>
  <c r="BB286" i="1"/>
  <c r="AN286" i="1"/>
  <c r="L275" i="1"/>
  <c r="AM275" i="1" s="1"/>
  <c r="BB279" i="1"/>
  <c r="AN279" i="1"/>
  <c r="BB287" i="1"/>
  <c r="AN287" i="1"/>
  <c r="W291" i="1"/>
  <c r="AN281" i="1"/>
  <c r="BB281" i="1"/>
  <c r="BB289" i="1"/>
  <c r="AN289" i="1"/>
  <c r="BB257" i="1"/>
  <c r="AN257" i="1"/>
  <c r="BB254" i="1"/>
  <c r="AN254" i="1"/>
  <c r="W262" i="1"/>
  <c r="BB256" i="1"/>
  <c r="AN256" i="1"/>
  <c r="L247" i="1"/>
  <c r="AM247" i="1" s="1"/>
  <c r="BB255" i="1"/>
  <c r="AN255" i="1"/>
  <c r="L245" i="1"/>
  <c r="AM245" i="1" s="1"/>
  <c r="BB253" i="1"/>
  <c r="AN253" i="1"/>
  <c r="BB250" i="1"/>
  <c r="AN250" i="1"/>
  <c r="E262" i="1"/>
  <c r="AN259" i="1"/>
  <c r="BB259" i="1"/>
  <c r="L244" i="1"/>
  <c r="AM244" i="1" s="1"/>
  <c r="BB252" i="1"/>
  <c r="AN252" i="1"/>
  <c r="AN260" i="1"/>
  <c r="BB260" i="1"/>
  <c r="BB258" i="1"/>
  <c r="AN258" i="1"/>
  <c r="V262" i="1"/>
  <c r="AN251" i="1"/>
  <c r="BB251" i="1"/>
  <c r="E233" i="1"/>
  <c r="AN222" i="1"/>
  <c r="BB222" i="1"/>
  <c r="AN230" i="1"/>
  <c r="BB230" i="1"/>
  <c r="BB223" i="1"/>
  <c r="AN223" i="1"/>
  <c r="BB224" i="1"/>
  <c r="AN224" i="1"/>
  <c r="BB225" i="1"/>
  <c r="AN225" i="1"/>
  <c r="BB231" i="1"/>
  <c r="AN231" i="1"/>
  <c r="BB221" i="1"/>
  <c r="AN221" i="1"/>
  <c r="AN226" i="1"/>
  <c r="BB226" i="1"/>
  <c r="BB227" i="1"/>
  <c r="AN227" i="1"/>
  <c r="BB228" i="1"/>
  <c r="AN228" i="1"/>
  <c r="BB229" i="1"/>
  <c r="AN229" i="1"/>
  <c r="AN200" i="1"/>
  <c r="BB200" i="1"/>
  <c r="V204" i="1"/>
  <c r="BB201" i="1"/>
  <c r="AN201" i="1"/>
  <c r="BB195" i="1"/>
  <c r="AN195" i="1"/>
  <c r="BB192" i="1"/>
  <c r="AN192" i="1"/>
  <c r="W204" i="1"/>
  <c r="BB193" i="1"/>
  <c r="AN193" i="1"/>
  <c r="BB194" i="1"/>
  <c r="AN194" i="1"/>
  <c r="BB202" i="1"/>
  <c r="AN202" i="1"/>
  <c r="E204" i="1"/>
  <c r="AN198" i="1"/>
  <c r="BB198" i="1"/>
  <c r="BB196" i="1"/>
  <c r="AN196" i="1"/>
  <c r="BB197" i="1"/>
  <c r="AN197" i="1"/>
  <c r="L190" i="1"/>
  <c r="AM190" i="1" s="1"/>
  <c r="BB199" i="1"/>
  <c r="AN199" i="1"/>
  <c r="BB170" i="1"/>
  <c r="AN170" i="1"/>
  <c r="BB163" i="1"/>
  <c r="AN163" i="1"/>
  <c r="AN171" i="1"/>
  <c r="BB171" i="1"/>
  <c r="W175" i="1"/>
  <c r="BB168" i="1"/>
  <c r="AN168" i="1"/>
  <c r="E175" i="1"/>
  <c r="AN169" i="1"/>
  <c r="BB169" i="1"/>
  <c r="BB166" i="1"/>
  <c r="AN166" i="1"/>
  <c r="BB167" i="1"/>
  <c r="AN167" i="1"/>
  <c r="BB164" i="1"/>
  <c r="AN164" i="1"/>
  <c r="BB172" i="1"/>
  <c r="AN172" i="1"/>
  <c r="BB173" i="1"/>
  <c r="AN173" i="1"/>
  <c r="V175" i="1"/>
  <c r="BB165" i="1"/>
  <c r="AN165" i="1"/>
  <c r="BB136" i="1"/>
  <c r="AN136" i="1"/>
  <c r="BB144" i="1"/>
  <c r="AN144" i="1"/>
  <c r="BB134" i="1"/>
  <c r="AN134" i="1"/>
  <c r="BB142" i="1"/>
  <c r="AN142" i="1"/>
  <c r="V146" i="1"/>
  <c r="BB141" i="1"/>
  <c r="AN141" i="1"/>
  <c r="W146" i="1"/>
  <c r="BB139" i="1"/>
  <c r="AN139" i="1"/>
  <c r="BB140" i="1"/>
  <c r="AN140" i="1"/>
  <c r="BB138" i="1"/>
  <c r="AN138" i="1"/>
  <c r="BB143" i="1"/>
  <c r="AN143" i="1"/>
  <c r="BB137" i="1"/>
  <c r="AN137" i="1"/>
  <c r="E146" i="1"/>
  <c r="BB135" i="1"/>
  <c r="AN135" i="1"/>
  <c r="BB112" i="1"/>
  <c r="AN112" i="1"/>
  <c r="BB109" i="1"/>
  <c r="AN109" i="1"/>
  <c r="AN110" i="1"/>
  <c r="BB110" i="1"/>
  <c r="BB111" i="1"/>
  <c r="AN111" i="1"/>
  <c r="L99" i="1"/>
  <c r="AM99" i="1" s="1"/>
  <c r="BB107" i="1"/>
  <c r="AN107" i="1"/>
  <c r="P100" i="1"/>
  <c r="BC100" i="1" s="1"/>
  <c r="BB108" i="1"/>
  <c r="AN108" i="1"/>
  <c r="BB105" i="1"/>
  <c r="AN105" i="1"/>
  <c r="BB113" i="1"/>
  <c r="AN113" i="1"/>
  <c r="E117" i="1"/>
  <c r="L102" i="1"/>
  <c r="AM102" i="1" s="1"/>
  <c r="BB106" i="1"/>
  <c r="AN106" i="1"/>
  <c r="BB114" i="1"/>
  <c r="AN114" i="1"/>
  <c r="AN115" i="1"/>
  <c r="BB115" i="1"/>
  <c r="L104" i="1"/>
  <c r="AM104" i="1" s="1"/>
  <c r="BB76" i="1"/>
  <c r="AN76" i="1"/>
  <c r="BB84" i="1"/>
  <c r="AN84" i="1"/>
  <c r="E88" i="1"/>
  <c r="BB83" i="1"/>
  <c r="AN83" i="1"/>
  <c r="L72" i="1"/>
  <c r="AM72" i="1" s="1"/>
  <c r="BB80" i="1"/>
  <c r="AN80" i="1"/>
  <c r="BB86" i="1"/>
  <c r="AN86" i="1"/>
  <c r="V88" i="1"/>
  <c r="BB78" i="1"/>
  <c r="AN78" i="1"/>
  <c r="AN81" i="1"/>
  <c r="BB81" i="1"/>
  <c r="AN85" i="1"/>
  <c r="BB85" i="1"/>
  <c r="W88" i="1"/>
  <c r="AN77" i="1"/>
  <c r="BB77" i="1"/>
  <c r="I13" i="4"/>
  <c r="BB79" i="1"/>
  <c r="AN79" i="1"/>
  <c r="BB82" i="1"/>
  <c r="AN82" i="1"/>
  <c r="AN50" i="1"/>
  <c r="BB50" i="1"/>
  <c r="BB47" i="1"/>
  <c r="AN47" i="1"/>
  <c r="BB55" i="1"/>
  <c r="AN55" i="1"/>
  <c r="W59" i="1"/>
  <c r="L44" i="1"/>
  <c r="AM44" i="1" s="1"/>
  <c r="BB48" i="1"/>
  <c r="AN48" i="1"/>
  <c r="BB54" i="1"/>
  <c r="AN54" i="1"/>
  <c r="E59" i="1"/>
  <c r="BB49" i="1"/>
  <c r="AN49" i="1"/>
  <c r="BB57" i="1"/>
  <c r="AN57" i="1"/>
  <c r="BB51" i="1"/>
  <c r="AN51" i="1"/>
  <c r="BB52" i="1"/>
  <c r="AN52" i="1"/>
  <c r="BB53" i="1"/>
  <c r="AN53" i="1"/>
  <c r="BB56" i="1"/>
  <c r="AN56" i="1"/>
  <c r="V59" i="1"/>
  <c r="L45" i="1"/>
  <c r="AM45" i="1" s="1"/>
  <c r="P13" i="1"/>
  <c r="BC13" i="1" s="1"/>
  <c r="P15" i="1"/>
  <c r="BK59" i="1"/>
  <c r="BK175" i="1"/>
  <c r="BK291" i="1"/>
  <c r="BG117" i="1"/>
  <c r="BG233" i="1"/>
  <c r="BG349" i="1"/>
  <c r="BH146" i="1"/>
  <c r="BH262" i="1"/>
  <c r="BJ88" i="1"/>
  <c r="BJ204" i="1"/>
  <c r="BJ320" i="1"/>
  <c r="BK88" i="1"/>
  <c r="BK204" i="1"/>
  <c r="BK320" i="1"/>
  <c r="BG146" i="1"/>
  <c r="BG262" i="1"/>
  <c r="BH59" i="1"/>
  <c r="BH175" i="1"/>
  <c r="BH291" i="1"/>
  <c r="BJ117" i="1"/>
  <c r="BJ233" i="1"/>
  <c r="BJ349" i="1"/>
  <c r="BG59" i="1"/>
  <c r="BK117" i="1"/>
  <c r="BK233" i="1"/>
  <c r="BK349" i="1"/>
  <c r="BG175" i="1"/>
  <c r="BG291" i="1"/>
  <c r="BH88" i="1"/>
  <c r="BH204" i="1"/>
  <c r="BH320" i="1"/>
  <c r="BJ146" i="1"/>
  <c r="BJ262" i="1"/>
  <c r="BJ59" i="1"/>
  <c r="BK146" i="1"/>
  <c r="BK262" i="1"/>
  <c r="BG88" i="1"/>
  <c r="BG204" i="1"/>
  <c r="BG320" i="1"/>
  <c r="BH117" i="1"/>
  <c r="BH233" i="1"/>
  <c r="BH349" i="1"/>
  <c r="BJ175" i="1"/>
  <c r="BJ291" i="1"/>
  <c r="Y450" i="1"/>
  <c r="Y392" i="1"/>
  <c r="Y566" i="1"/>
  <c r="Y421" i="1"/>
  <c r="Y595" i="1"/>
  <c r="Y508" i="1"/>
  <c r="Y653" i="1"/>
  <c r="Y363" i="1"/>
  <c r="Y537" i="1"/>
  <c r="Y624" i="1"/>
  <c r="Y711" i="1"/>
  <c r="Y479" i="1"/>
  <c r="Y740" i="1"/>
  <c r="Y682" i="1"/>
  <c r="X737" i="1"/>
  <c r="X621" i="1"/>
  <c r="X534" i="1"/>
  <c r="X650" i="1"/>
  <c r="X476" i="1"/>
  <c r="X679" i="1"/>
  <c r="X360" i="1"/>
  <c r="X708" i="1"/>
  <c r="X505" i="1"/>
  <c r="X418" i="1"/>
  <c r="X447" i="1"/>
  <c r="X592" i="1"/>
  <c r="X563" i="1"/>
  <c r="X389" i="1"/>
  <c r="X684" i="1"/>
  <c r="X597" i="1"/>
  <c r="X510" i="1"/>
  <c r="X713" i="1"/>
  <c r="X452" i="1"/>
  <c r="X394" i="1"/>
  <c r="X742" i="1"/>
  <c r="X626" i="1"/>
  <c r="X568" i="1"/>
  <c r="X539" i="1"/>
  <c r="X655" i="1"/>
  <c r="X481" i="1"/>
  <c r="X423" i="1"/>
  <c r="X365" i="1"/>
  <c r="X565" i="1"/>
  <c r="X420" i="1"/>
  <c r="X594" i="1"/>
  <c r="X507" i="1"/>
  <c r="X449" i="1"/>
  <c r="X391" i="1"/>
  <c r="X652" i="1"/>
  <c r="X362" i="1"/>
  <c r="X739" i="1"/>
  <c r="X478" i="1"/>
  <c r="X710" i="1"/>
  <c r="X681" i="1"/>
  <c r="X536" i="1"/>
  <c r="X623" i="1"/>
  <c r="X359" i="1"/>
  <c r="X504" i="1"/>
  <c r="X388" i="1"/>
  <c r="X736" i="1"/>
  <c r="X591" i="1"/>
  <c r="X533" i="1"/>
  <c r="X417" i="1"/>
  <c r="X707" i="1"/>
  <c r="X649" i="1"/>
  <c r="X562" i="1"/>
  <c r="X475" i="1"/>
  <c r="X678" i="1"/>
  <c r="X620" i="1"/>
  <c r="X446" i="1"/>
  <c r="Y360" i="1"/>
  <c r="Y505" i="1"/>
  <c r="Y592" i="1"/>
  <c r="Y737" i="1"/>
  <c r="Y447" i="1"/>
  <c r="Y476" i="1"/>
  <c r="Y563" i="1"/>
  <c r="Y708" i="1"/>
  <c r="Y389" i="1"/>
  <c r="Y679" i="1"/>
  <c r="Y534" i="1"/>
  <c r="Y621" i="1"/>
  <c r="Y650" i="1"/>
  <c r="Y418" i="1"/>
  <c r="Y364" i="1"/>
  <c r="Y683" i="1"/>
  <c r="Y422" i="1"/>
  <c r="Y538" i="1"/>
  <c r="Y625" i="1"/>
  <c r="Y509" i="1"/>
  <c r="Y596" i="1"/>
  <c r="Y654" i="1"/>
  <c r="Y451" i="1"/>
  <c r="Y741" i="1"/>
  <c r="Y393" i="1"/>
  <c r="Y480" i="1"/>
  <c r="Y567" i="1"/>
  <c r="Y712" i="1"/>
  <c r="Y709" i="1"/>
  <c r="Y738" i="1"/>
  <c r="Y622" i="1"/>
  <c r="Y535" i="1"/>
  <c r="Y651" i="1"/>
  <c r="Y477" i="1"/>
  <c r="Y680" i="1"/>
  <c r="Y361" i="1"/>
  <c r="Y390" i="1"/>
  <c r="Y419" i="1"/>
  <c r="Y448" i="1"/>
  <c r="Y564" i="1"/>
  <c r="Y506" i="1"/>
  <c r="Y593" i="1"/>
  <c r="X741" i="1"/>
  <c r="X625" i="1"/>
  <c r="X538" i="1"/>
  <c r="X654" i="1"/>
  <c r="X480" i="1"/>
  <c r="X683" i="1"/>
  <c r="X364" i="1"/>
  <c r="X712" i="1"/>
  <c r="X393" i="1"/>
  <c r="X509" i="1"/>
  <c r="X422" i="1"/>
  <c r="X451" i="1"/>
  <c r="X567" i="1"/>
  <c r="X596" i="1"/>
  <c r="X680" i="1"/>
  <c r="X593" i="1"/>
  <c r="X506" i="1"/>
  <c r="X709" i="1"/>
  <c r="X448" i="1"/>
  <c r="X390" i="1"/>
  <c r="X738" i="1"/>
  <c r="X622" i="1"/>
  <c r="X564" i="1"/>
  <c r="X535" i="1"/>
  <c r="X651" i="1"/>
  <c r="X477" i="1"/>
  <c r="X419" i="1"/>
  <c r="X361" i="1"/>
  <c r="X363" i="1"/>
  <c r="X566" i="1"/>
  <c r="X624" i="1"/>
  <c r="X508" i="1"/>
  <c r="X595" i="1"/>
  <c r="X740" i="1"/>
  <c r="X682" i="1"/>
  <c r="X653" i="1"/>
  <c r="X537" i="1"/>
  <c r="X392" i="1"/>
  <c r="X711" i="1"/>
  <c r="X421" i="1"/>
  <c r="X479" i="1"/>
  <c r="X450" i="1"/>
  <c r="Y713" i="1"/>
  <c r="Y742" i="1"/>
  <c r="Y626" i="1"/>
  <c r="Y539" i="1"/>
  <c r="Y655" i="1"/>
  <c r="Y481" i="1"/>
  <c r="Y684" i="1"/>
  <c r="Y365" i="1"/>
  <c r="Y452" i="1"/>
  <c r="Y568" i="1"/>
  <c r="Y510" i="1"/>
  <c r="Y597" i="1"/>
  <c r="Y394" i="1"/>
  <c r="Y423" i="1"/>
  <c r="Y652" i="1"/>
  <c r="Y478" i="1"/>
  <c r="Y420" i="1"/>
  <c r="Y681" i="1"/>
  <c r="Y594" i="1"/>
  <c r="Y507" i="1"/>
  <c r="Y710" i="1"/>
  <c r="Y449" i="1"/>
  <c r="Y391" i="1"/>
  <c r="Y739" i="1"/>
  <c r="Y623" i="1"/>
  <c r="Y565" i="1"/>
  <c r="Y536" i="1"/>
  <c r="Y362" i="1"/>
  <c r="Y446" i="1"/>
  <c r="Y388" i="1"/>
  <c r="Y562" i="1"/>
  <c r="Y417" i="1"/>
  <c r="Y591" i="1"/>
  <c r="Y504" i="1"/>
  <c r="Y678" i="1"/>
  <c r="Y620" i="1"/>
  <c r="Y359" i="1"/>
  <c r="Y707" i="1"/>
  <c r="Y533" i="1"/>
  <c r="Y475" i="1"/>
  <c r="Y736" i="1"/>
  <c r="Y649" i="1"/>
  <c r="X331" i="1"/>
  <c r="X215" i="1"/>
  <c r="X244" i="1"/>
  <c r="X70" i="1"/>
  <c r="X99" i="1"/>
  <c r="X41" i="1"/>
  <c r="X302" i="1"/>
  <c r="X128" i="1"/>
  <c r="X186" i="1"/>
  <c r="X157" i="1"/>
  <c r="X273" i="1"/>
  <c r="X307" i="1"/>
  <c r="X162" i="1"/>
  <c r="X191" i="1"/>
  <c r="X336" i="1"/>
  <c r="X249" i="1"/>
  <c r="X220" i="1"/>
  <c r="X104" i="1"/>
  <c r="X75" i="1"/>
  <c r="X278" i="1"/>
  <c r="X46" i="1"/>
  <c r="X133" i="1"/>
  <c r="X275" i="1"/>
  <c r="X304" i="1"/>
  <c r="X159" i="1"/>
  <c r="X188" i="1"/>
  <c r="X43" i="1"/>
  <c r="X130" i="1"/>
  <c r="X101" i="1"/>
  <c r="X72" i="1"/>
  <c r="X333" i="1"/>
  <c r="X246" i="1"/>
  <c r="X217" i="1"/>
  <c r="X272" i="1"/>
  <c r="X330" i="1"/>
  <c r="X243" i="1"/>
  <c r="X214" i="1"/>
  <c r="X127" i="1"/>
  <c r="X185" i="1"/>
  <c r="X156" i="1"/>
  <c r="X40" i="1"/>
  <c r="X98" i="1"/>
  <c r="X69" i="1"/>
  <c r="X301" i="1"/>
  <c r="Y277" i="1"/>
  <c r="Y132" i="1"/>
  <c r="Y103" i="1"/>
  <c r="Y45" i="1"/>
  <c r="Y74" i="1"/>
  <c r="Y190" i="1"/>
  <c r="Y161" i="1"/>
  <c r="Y335" i="1"/>
  <c r="Y248" i="1"/>
  <c r="Y219" i="1"/>
  <c r="Y306" i="1"/>
  <c r="Y332" i="1"/>
  <c r="Y245" i="1"/>
  <c r="Y216" i="1"/>
  <c r="Y71" i="1"/>
  <c r="Y303" i="1"/>
  <c r="Y129" i="1"/>
  <c r="Y42" i="1"/>
  <c r="Y274" i="1"/>
  <c r="Y187" i="1"/>
  <c r="Y100" i="1"/>
  <c r="Y158" i="1"/>
  <c r="X276" i="1"/>
  <c r="X102" i="1"/>
  <c r="X160" i="1"/>
  <c r="X131" i="1"/>
  <c r="X73" i="1"/>
  <c r="X44" i="1"/>
  <c r="X305" i="1"/>
  <c r="X247" i="1"/>
  <c r="X334" i="1"/>
  <c r="X189" i="1"/>
  <c r="X218" i="1"/>
  <c r="Y189" i="1"/>
  <c r="Y276" i="1"/>
  <c r="Y305" i="1"/>
  <c r="Y160" i="1"/>
  <c r="Y102" i="1"/>
  <c r="Y44" i="1"/>
  <c r="Y131" i="1"/>
  <c r="Y247" i="1"/>
  <c r="Y334" i="1"/>
  <c r="Y73" i="1"/>
  <c r="Y218" i="1"/>
  <c r="X335" i="1"/>
  <c r="X248" i="1"/>
  <c r="X219" i="1"/>
  <c r="X74" i="1"/>
  <c r="X132" i="1"/>
  <c r="X306" i="1"/>
  <c r="X277" i="1"/>
  <c r="X190" i="1"/>
  <c r="X45" i="1"/>
  <c r="X103" i="1"/>
  <c r="X161" i="1"/>
  <c r="X303" i="1"/>
  <c r="X158" i="1"/>
  <c r="X187" i="1"/>
  <c r="X332" i="1"/>
  <c r="X245" i="1"/>
  <c r="X216" i="1"/>
  <c r="X100" i="1"/>
  <c r="X71" i="1"/>
  <c r="X129" i="1"/>
  <c r="X42" i="1"/>
  <c r="X274" i="1"/>
  <c r="Y273" i="1"/>
  <c r="Y244" i="1"/>
  <c r="Y302" i="1"/>
  <c r="Y128" i="1"/>
  <c r="Y215" i="1"/>
  <c r="Y70" i="1"/>
  <c r="Y99" i="1"/>
  <c r="Y157" i="1"/>
  <c r="Y41" i="1"/>
  <c r="Y331" i="1"/>
  <c r="Y186" i="1"/>
  <c r="Y336" i="1"/>
  <c r="Y249" i="1"/>
  <c r="Y220" i="1"/>
  <c r="Y75" i="1"/>
  <c r="Y191" i="1"/>
  <c r="Y104" i="1"/>
  <c r="Y162" i="1"/>
  <c r="Y133" i="1"/>
  <c r="Y46" i="1"/>
  <c r="Y307" i="1"/>
  <c r="Y278" i="1"/>
  <c r="Y246" i="1"/>
  <c r="Y217" i="1"/>
  <c r="Y130" i="1"/>
  <c r="Y304" i="1"/>
  <c r="Y159" i="1"/>
  <c r="Y188" i="1"/>
  <c r="Y333" i="1"/>
  <c r="Y101" i="1"/>
  <c r="Y72" i="1"/>
  <c r="Y275" i="1"/>
  <c r="Y43" i="1"/>
  <c r="Y301" i="1"/>
  <c r="Y156" i="1"/>
  <c r="Y185" i="1"/>
  <c r="Y272" i="1"/>
  <c r="Y40" i="1"/>
  <c r="Y98" i="1"/>
  <c r="Y127" i="1"/>
  <c r="Y69" i="1"/>
  <c r="Y330" i="1"/>
  <c r="Y243" i="1"/>
  <c r="Y214" i="1"/>
  <c r="X15" i="1"/>
  <c r="Y12" i="1"/>
  <c r="Y17" i="1"/>
  <c r="Y14" i="1"/>
  <c r="Y11" i="1"/>
  <c r="X12" i="1"/>
  <c r="X20" i="1"/>
  <c r="X17" i="1"/>
  <c r="X14" i="1"/>
  <c r="X11" i="1"/>
  <c r="Y16" i="1"/>
  <c r="Y13" i="1"/>
  <c r="Y21" i="1"/>
  <c r="Y18" i="1"/>
  <c r="X19" i="1"/>
  <c r="Y19" i="1"/>
  <c r="X16" i="1"/>
  <c r="X13" i="1"/>
  <c r="X21" i="1"/>
  <c r="X18" i="1"/>
  <c r="BG30" i="1"/>
  <c r="BK30" i="1"/>
  <c r="BH30" i="1"/>
  <c r="BJ30" i="1"/>
  <c r="Y15" i="1"/>
  <c r="Y20" i="1"/>
  <c r="R19" i="1"/>
  <c r="H29" i="4"/>
  <c r="W30" i="1"/>
  <c r="G10" i="10"/>
  <c r="G8" i="10"/>
  <c r="AC6" i="2"/>
  <c r="AC7" i="2"/>
  <c r="AD7" i="2" s="1"/>
  <c r="AC9" i="2"/>
  <c r="AC11" i="2"/>
  <c r="AC12" i="2"/>
  <c r="AD12" i="2" s="1"/>
  <c r="AC13" i="2"/>
  <c r="AD13" i="2" s="1"/>
  <c r="AC14" i="2"/>
  <c r="AD14" i="2" s="1"/>
  <c r="AC15" i="2"/>
  <c r="AD15" i="2" s="1"/>
  <c r="AC16" i="2"/>
  <c r="AD16" i="2" s="1"/>
  <c r="AC17" i="2"/>
  <c r="AD17" i="2" s="1"/>
  <c r="AC18" i="2"/>
  <c r="AD18" i="2" s="1"/>
  <c r="AC19" i="2"/>
  <c r="AD19" i="2" s="1"/>
  <c r="AC20" i="2"/>
  <c r="AD20" i="2" s="1"/>
  <c r="AC21" i="2"/>
  <c r="AD21" i="2" s="1"/>
  <c r="AC22" i="2"/>
  <c r="AD22" i="2" s="1"/>
  <c r="AC23" i="2"/>
  <c r="AD23" i="2" s="1"/>
  <c r="AC24" i="2"/>
  <c r="AC25" i="2"/>
  <c r="AD25" i="2" s="1"/>
  <c r="AC26" i="2"/>
  <c r="AD26" i="2" s="1"/>
  <c r="AC27" i="2"/>
  <c r="AD27" i="2" s="1"/>
  <c r="AC28" i="2"/>
  <c r="AD28" i="2" s="1"/>
  <c r="AC29" i="2"/>
  <c r="AD29" i="2" s="1"/>
  <c r="AC30" i="2"/>
  <c r="AD30" i="2" s="1"/>
  <c r="AC31" i="2"/>
  <c r="AD31" i="2" s="1"/>
  <c r="AC32" i="2"/>
  <c r="AD32" i="2" s="1"/>
  <c r="AC33" i="2"/>
  <c r="AD33" i="2" s="1"/>
  <c r="AC8" i="2"/>
  <c r="AN363" i="1" l="1"/>
  <c r="AM363" i="1"/>
  <c r="AN393" i="1"/>
  <c r="AR393" i="1" s="1"/>
  <c r="AZ393" i="1" s="1"/>
  <c r="AM393" i="1"/>
  <c r="AN390" i="1"/>
  <c r="AM390" i="1"/>
  <c r="AN421" i="1"/>
  <c r="AM421" i="1"/>
  <c r="AN391" i="1"/>
  <c r="AM391" i="1"/>
  <c r="AN480" i="1"/>
  <c r="AR480" i="1" s="1"/>
  <c r="AZ480" i="1" s="1"/>
  <c r="AM480" i="1"/>
  <c r="AN360" i="1"/>
  <c r="AW360" i="1" s="1"/>
  <c r="AM360" i="1"/>
  <c r="AN364" i="1"/>
  <c r="AR364" i="1" s="1"/>
  <c r="AZ364" i="1" s="1"/>
  <c r="AM364" i="1"/>
  <c r="AN423" i="1"/>
  <c r="AM423" i="1"/>
  <c r="AN451" i="1"/>
  <c r="AR451" i="1" s="1"/>
  <c r="AZ451" i="1" s="1"/>
  <c r="AM451" i="1"/>
  <c r="AN449" i="1"/>
  <c r="AM449" i="1"/>
  <c r="AN479" i="1"/>
  <c r="AM479" i="1"/>
  <c r="AN476" i="1"/>
  <c r="AW476" i="1" s="1"/>
  <c r="AM476" i="1"/>
  <c r="AN508" i="1"/>
  <c r="AM508" i="1"/>
  <c r="AN365" i="1"/>
  <c r="AM365" i="1"/>
  <c r="AN394" i="1"/>
  <c r="AM394" i="1"/>
  <c r="AN419" i="1"/>
  <c r="AM419" i="1"/>
  <c r="AN563" i="1"/>
  <c r="AW563" i="1" s="1"/>
  <c r="AM563" i="1"/>
  <c r="AM581" i="1" s="1"/>
  <c r="AN417" i="1"/>
  <c r="AP417" i="1" s="1"/>
  <c r="AM417" i="1"/>
  <c r="AN447" i="1"/>
  <c r="AW447" i="1" s="1"/>
  <c r="AM447" i="1"/>
  <c r="AN536" i="1"/>
  <c r="AM536" i="1"/>
  <c r="AN537" i="1"/>
  <c r="AM537" i="1"/>
  <c r="AN539" i="1"/>
  <c r="AM539" i="1"/>
  <c r="V5" i="2"/>
  <c r="AB10" i="2"/>
  <c r="AB11" i="2"/>
  <c r="AB6" i="2"/>
  <c r="AB8" i="2"/>
  <c r="V10" i="2"/>
  <c r="AB5" i="2"/>
  <c r="V6" i="2"/>
  <c r="V8" i="2"/>
  <c r="V11" i="2"/>
  <c r="AN533" i="1"/>
  <c r="AN534" i="1"/>
  <c r="AW534" i="1" s="1"/>
  <c r="AN507" i="1"/>
  <c r="AN388" i="1"/>
  <c r="AP388" i="1" s="1"/>
  <c r="BC465" i="1"/>
  <c r="P407" i="1"/>
  <c r="AN478" i="1"/>
  <c r="AN389" i="1"/>
  <c r="AW389" i="1" s="1"/>
  <c r="AN481" i="1"/>
  <c r="BC494" i="1"/>
  <c r="AN538" i="1"/>
  <c r="AR538" i="1" s="1"/>
  <c r="AZ538" i="1" s="1"/>
  <c r="BB538" i="1" s="1"/>
  <c r="AN535" i="1"/>
  <c r="BC378" i="1"/>
  <c r="AN420" i="1"/>
  <c r="AN448" i="1"/>
  <c r="AN450" i="1"/>
  <c r="AN475" i="1"/>
  <c r="L378" i="1"/>
  <c r="L465" i="1"/>
  <c r="AN446" i="1"/>
  <c r="AN506" i="1"/>
  <c r="BC523" i="1"/>
  <c r="AN510" i="1"/>
  <c r="P581" i="1"/>
  <c r="L407" i="1"/>
  <c r="AN418" i="1"/>
  <c r="AW418" i="1" s="1"/>
  <c r="L494" i="1"/>
  <c r="L523" i="1"/>
  <c r="AN566" i="1"/>
  <c r="P378" i="1"/>
  <c r="AN362" i="1"/>
  <c r="AN422" i="1"/>
  <c r="AR422" i="1" s="1"/>
  <c r="AZ422" i="1" s="1"/>
  <c r="BB422" i="1" s="1"/>
  <c r="P465" i="1"/>
  <c r="P523" i="1"/>
  <c r="L552" i="1"/>
  <c r="AN359" i="1"/>
  <c r="AN392" i="1"/>
  <c r="BC388" i="1"/>
  <c r="BC407" i="1" s="1"/>
  <c r="L436" i="1"/>
  <c r="P436" i="1"/>
  <c r="AN477" i="1"/>
  <c r="AN568" i="1"/>
  <c r="AN567" i="1"/>
  <c r="AR567" i="1" s="1"/>
  <c r="AZ567" i="1" s="1"/>
  <c r="BB567" i="1" s="1"/>
  <c r="AN564" i="1"/>
  <c r="R738" i="1"/>
  <c r="AN361" i="1"/>
  <c r="BC436" i="1"/>
  <c r="P494" i="1"/>
  <c r="AN505" i="1"/>
  <c r="AW505" i="1" s="1"/>
  <c r="AN504" i="1"/>
  <c r="AN562" i="1"/>
  <c r="BC562" i="1"/>
  <c r="BC581" i="1" s="1"/>
  <c r="AN565" i="1"/>
  <c r="AN452" i="1"/>
  <c r="P552" i="1"/>
  <c r="L581" i="1"/>
  <c r="BC552" i="1"/>
  <c r="J581" i="1"/>
  <c r="O494" i="1"/>
  <c r="O465" i="1"/>
  <c r="O581" i="1"/>
  <c r="BB509" i="1"/>
  <c r="O552" i="1"/>
  <c r="J552" i="1"/>
  <c r="O523" i="1"/>
  <c r="J523" i="1"/>
  <c r="J407" i="1"/>
  <c r="J465" i="1"/>
  <c r="J494" i="1"/>
  <c r="AV417" i="1"/>
  <c r="O436" i="1"/>
  <c r="O407" i="1"/>
  <c r="J436" i="1"/>
  <c r="AV388" i="1"/>
  <c r="O378" i="1"/>
  <c r="J378" i="1"/>
  <c r="AN336" i="1"/>
  <c r="AN332" i="1"/>
  <c r="AN335" i="1"/>
  <c r="AR335" i="1" s="1"/>
  <c r="AZ335" i="1" s="1"/>
  <c r="AN333" i="1"/>
  <c r="O349" i="1"/>
  <c r="P330" i="1"/>
  <c r="J349" i="1"/>
  <c r="L330" i="1"/>
  <c r="AM330" i="1" s="1"/>
  <c r="AN334" i="1"/>
  <c r="AN331" i="1"/>
  <c r="AW331" i="1" s="1"/>
  <c r="AN304" i="1"/>
  <c r="O320" i="1"/>
  <c r="P301" i="1"/>
  <c r="AN302" i="1"/>
  <c r="AW302" i="1" s="1"/>
  <c r="AN307" i="1"/>
  <c r="AN303" i="1"/>
  <c r="AN306" i="1"/>
  <c r="AR306" i="1" s="1"/>
  <c r="AZ306" i="1" s="1"/>
  <c r="J320" i="1"/>
  <c r="L301" i="1"/>
  <c r="AM301" i="1" s="1"/>
  <c r="AN305" i="1"/>
  <c r="AN278" i="1"/>
  <c r="AN274" i="1"/>
  <c r="O291" i="1"/>
  <c r="P272" i="1"/>
  <c r="J291" i="1"/>
  <c r="L272" i="1"/>
  <c r="AM272" i="1" s="1"/>
  <c r="AN277" i="1"/>
  <c r="AR277" i="1" s="1"/>
  <c r="AZ277" i="1" s="1"/>
  <c r="AN276" i="1"/>
  <c r="AN275" i="1"/>
  <c r="AN273" i="1"/>
  <c r="AW273" i="1" s="1"/>
  <c r="AN244" i="1"/>
  <c r="AW244" i="1" s="1"/>
  <c r="AN249" i="1"/>
  <c r="O262" i="1"/>
  <c r="P243" i="1"/>
  <c r="AN246" i="1"/>
  <c r="J262" i="1"/>
  <c r="L243" i="1"/>
  <c r="AM243" i="1" s="1"/>
  <c r="AN245" i="1"/>
  <c r="AN247" i="1"/>
  <c r="AN248" i="1"/>
  <c r="AR248" i="1" s="1"/>
  <c r="AZ248" i="1" s="1"/>
  <c r="AN220" i="1"/>
  <c r="AN216" i="1"/>
  <c r="AN219" i="1"/>
  <c r="AR219" i="1" s="1"/>
  <c r="AZ219" i="1" s="1"/>
  <c r="AN215" i="1"/>
  <c r="AW215" i="1" s="1"/>
  <c r="AN218" i="1"/>
  <c r="AN217" i="1"/>
  <c r="O233" i="1"/>
  <c r="P214" i="1"/>
  <c r="J233" i="1"/>
  <c r="L214" i="1"/>
  <c r="AM214" i="1" s="1"/>
  <c r="AN190" i="1"/>
  <c r="AR190" i="1" s="1"/>
  <c r="AZ190" i="1" s="1"/>
  <c r="O204" i="1"/>
  <c r="P185" i="1"/>
  <c r="AN188" i="1"/>
  <c r="AN187" i="1"/>
  <c r="J204" i="1"/>
  <c r="L185" i="1"/>
  <c r="AM185" i="1" s="1"/>
  <c r="AN186" i="1"/>
  <c r="AW186" i="1" s="1"/>
  <c r="AN191" i="1"/>
  <c r="AN189" i="1"/>
  <c r="AN161" i="1"/>
  <c r="AR161" i="1" s="1"/>
  <c r="AZ161" i="1" s="1"/>
  <c r="J175" i="1"/>
  <c r="L156" i="1"/>
  <c r="AM156" i="1" s="1"/>
  <c r="AN158" i="1"/>
  <c r="AN157" i="1"/>
  <c r="AW157" i="1" s="1"/>
  <c r="AN160" i="1"/>
  <c r="AN159" i="1"/>
  <c r="AN162" i="1"/>
  <c r="O175" i="1"/>
  <c r="P156" i="1"/>
  <c r="O146" i="1"/>
  <c r="P127" i="1"/>
  <c r="J146" i="1"/>
  <c r="L127" i="1"/>
  <c r="AM127" i="1" s="1"/>
  <c r="AN133" i="1"/>
  <c r="AN128" i="1"/>
  <c r="AW128" i="1" s="1"/>
  <c r="AN130" i="1"/>
  <c r="AN129" i="1"/>
  <c r="AN131" i="1"/>
  <c r="AN132" i="1"/>
  <c r="AR132" i="1" s="1"/>
  <c r="AZ132" i="1" s="1"/>
  <c r="AN104" i="1"/>
  <c r="AN103" i="1"/>
  <c r="AR103" i="1" s="1"/>
  <c r="AZ103" i="1" s="1"/>
  <c r="O117" i="1"/>
  <c r="P98" i="1"/>
  <c r="J117" i="1"/>
  <c r="L98" i="1"/>
  <c r="AM98" i="1" s="1"/>
  <c r="AN100" i="1"/>
  <c r="AN99" i="1"/>
  <c r="AW99" i="1" s="1"/>
  <c r="AN102" i="1"/>
  <c r="AN101" i="1"/>
  <c r="O88" i="1"/>
  <c r="P69" i="1"/>
  <c r="AN71" i="1"/>
  <c r="AN74" i="1"/>
  <c r="AR74" i="1" s="1"/>
  <c r="AZ74" i="1" s="1"/>
  <c r="J88" i="1"/>
  <c r="L69" i="1"/>
  <c r="AM69" i="1" s="1"/>
  <c r="AN72" i="1"/>
  <c r="AN75" i="1"/>
  <c r="AN70" i="1"/>
  <c r="AW70" i="1" s="1"/>
  <c r="AN73" i="1"/>
  <c r="J59" i="1"/>
  <c r="L40" i="1"/>
  <c r="AM40" i="1" s="1"/>
  <c r="AN41" i="1"/>
  <c r="AW41" i="1" s="1"/>
  <c r="AN45" i="1"/>
  <c r="AR45" i="1" s="1"/>
  <c r="AZ45" i="1" s="1"/>
  <c r="AN43" i="1"/>
  <c r="AN42" i="1"/>
  <c r="AN44" i="1"/>
  <c r="O59" i="1"/>
  <c r="P40" i="1"/>
  <c r="AN46" i="1"/>
  <c r="R303" i="1"/>
  <c r="P14" i="1"/>
  <c r="R507" i="1" s="1"/>
  <c r="P17" i="1"/>
  <c r="R17" i="1" s="1"/>
  <c r="P12" i="1"/>
  <c r="R273" i="1" s="1"/>
  <c r="P16" i="1"/>
  <c r="R219" i="1" s="1"/>
  <c r="P11" i="1"/>
  <c r="R11" i="1" s="1"/>
  <c r="Y610" i="1"/>
  <c r="Y465" i="1"/>
  <c r="Y262" i="1"/>
  <c r="Y320" i="1"/>
  <c r="Y233" i="1"/>
  <c r="Y146" i="1"/>
  <c r="Y204" i="1"/>
  <c r="BM680" i="1"/>
  <c r="BM709" i="1"/>
  <c r="BM506" i="1"/>
  <c r="BM419" i="1"/>
  <c r="BM564" i="1"/>
  <c r="BM593" i="1"/>
  <c r="BM390" i="1"/>
  <c r="BM738" i="1"/>
  <c r="BM448" i="1"/>
  <c r="BM477" i="1"/>
  <c r="BM651" i="1"/>
  <c r="BM361" i="1"/>
  <c r="BM622" i="1"/>
  <c r="BM535" i="1"/>
  <c r="R274" i="1"/>
  <c r="R564" i="1"/>
  <c r="R506" i="1"/>
  <c r="R448" i="1"/>
  <c r="R419" i="1"/>
  <c r="R622" i="1"/>
  <c r="R593" i="1"/>
  <c r="R535" i="1"/>
  <c r="R477" i="1"/>
  <c r="R680" i="1"/>
  <c r="R651" i="1"/>
  <c r="R709" i="1"/>
  <c r="R390" i="1"/>
  <c r="R361" i="1"/>
  <c r="R711" i="1"/>
  <c r="R653" i="1"/>
  <c r="R595" i="1"/>
  <c r="R479" i="1"/>
  <c r="R363" i="1"/>
  <c r="R740" i="1"/>
  <c r="R682" i="1"/>
  <c r="R624" i="1"/>
  <c r="R508" i="1"/>
  <c r="R537" i="1"/>
  <c r="R421" i="1"/>
  <c r="R392" i="1"/>
  <c r="R566" i="1"/>
  <c r="R450" i="1"/>
  <c r="R654" i="1"/>
  <c r="R538" i="1"/>
  <c r="R364" i="1"/>
  <c r="R683" i="1"/>
  <c r="R567" i="1"/>
  <c r="R393" i="1"/>
  <c r="R712" i="1"/>
  <c r="R596" i="1"/>
  <c r="R480" i="1"/>
  <c r="R422" i="1"/>
  <c r="R741" i="1"/>
  <c r="R625" i="1"/>
  <c r="R509" i="1"/>
  <c r="R451" i="1"/>
  <c r="R245" i="1"/>
  <c r="R158" i="1"/>
  <c r="R100" i="1"/>
  <c r="R332" i="1"/>
  <c r="R187" i="1"/>
  <c r="R216" i="1"/>
  <c r="R129" i="1"/>
  <c r="R42" i="1"/>
  <c r="R71" i="1"/>
  <c r="BM100" i="1"/>
  <c r="BM158" i="1"/>
  <c r="BM245" i="1"/>
  <c r="BM216" i="1"/>
  <c r="BM274" i="1"/>
  <c r="BM42" i="1"/>
  <c r="BM129" i="1"/>
  <c r="BM187" i="1"/>
  <c r="BM71" i="1"/>
  <c r="BM303" i="1"/>
  <c r="BM13" i="1"/>
  <c r="BM332" i="1"/>
  <c r="Y494" i="1"/>
  <c r="Y639" i="1"/>
  <c r="Y436" i="1"/>
  <c r="R75" i="1"/>
  <c r="R133" i="1"/>
  <c r="Y697" i="1"/>
  <c r="Y581" i="1"/>
  <c r="R102" i="1"/>
  <c r="R247" i="1"/>
  <c r="R276" i="1"/>
  <c r="R305" i="1"/>
  <c r="R189" i="1"/>
  <c r="R218" i="1"/>
  <c r="R334" i="1"/>
  <c r="R131" i="1"/>
  <c r="BC15" i="1"/>
  <c r="R160" i="1"/>
  <c r="R44" i="1"/>
  <c r="R73" i="1"/>
  <c r="BC16" i="1"/>
  <c r="Y668" i="1"/>
  <c r="Y726" i="1"/>
  <c r="Y407" i="1"/>
  <c r="Y552" i="1"/>
  <c r="Y349" i="1"/>
  <c r="Y523" i="1"/>
  <c r="X697" i="1"/>
  <c r="X726" i="1"/>
  <c r="X755" i="1"/>
  <c r="Y291" i="1"/>
  <c r="Y755" i="1"/>
  <c r="Y378" i="1"/>
  <c r="X494" i="1"/>
  <c r="X436" i="1"/>
  <c r="X407" i="1"/>
  <c r="X465" i="1"/>
  <c r="X581" i="1"/>
  <c r="X552" i="1"/>
  <c r="X523" i="1"/>
  <c r="Y117" i="1"/>
  <c r="Y175" i="1"/>
  <c r="X639" i="1"/>
  <c r="X668" i="1"/>
  <c r="X610" i="1"/>
  <c r="X378" i="1"/>
  <c r="X320" i="1"/>
  <c r="X175" i="1"/>
  <c r="X262" i="1"/>
  <c r="Y88" i="1"/>
  <c r="Y59" i="1"/>
  <c r="X88" i="1"/>
  <c r="X204" i="1"/>
  <c r="X349" i="1"/>
  <c r="X117" i="1"/>
  <c r="X146" i="1"/>
  <c r="X291" i="1"/>
  <c r="X59" i="1"/>
  <c r="X233" i="1"/>
  <c r="X24" i="2"/>
  <c r="Y24" i="2" s="1"/>
  <c r="AD24" i="2"/>
  <c r="AE24" i="2" s="1"/>
  <c r="R21" i="1"/>
  <c r="R20" i="1"/>
  <c r="BC11" i="1"/>
  <c r="Y30" i="1"/>
  <c r="X30" i="1"/>
  <c r="AC10" i="2"/>
  <c r="AC5" i="2"/>
  <c r="I28" i="4" s="1"/>
  <c r="AE33" i="2"/>
  <c r="AE29" i="2"/>
  <c r="AE25" i="2"/>
  <c r="AE21" i="2"/>
  <c r="AE17" i="2"/>
  <c r="AE13" i="2"/>
  <c r="AE32" i="2"/>
  <c r="AE28" i="2"/>
  <c r="AE20" i="2"/>
  <c r="AE16" i="2"/>
  <c r="AE12" i="2"/>
  <c r="AE31" i="2"/>
  <c r="AE27" i="2"/>
  <c r="AE23" i="2"/>
  <c r="AE19" i="2"/>
  <c r="AE15" i="2"/>
  <c r="AE7" i="2"/>
  <c r="AE30" i="2"/>
  <c r="AE26" i="2"/>
  <c r="AE22" i="2"/>
  <c r="AE18" i="2"/>
  <c r="AE14" i="2"/>
  <c r="U30" i="1"/>
  <c r="V30" i="1"/>
  <c r="T30" i="1"/>
  <c r="F30" i="1"/>
  <c r="G30" i="1"/>
  <c r="AJ30" i="1"/>
  <c r="AG30" i="1"/>
  <c r="AC30" i="1"/>
  <c r="R130" i="1" l="1"/>
  <c r="BB451" i="1"/>
  <c r="BB393" i="1"/>
  <c r="AU417" i="1"/>
  <c r="BC17" i="1"/>
  <c r="R278" i="1"/>
  <c r="R46" i="1"/>
  <c r="R307" i="1"/>
  <c r="R220" i="1"/>
  <c r="R104" i="1"/>
  <c r="BB364" i="1"/>
  <c r="BB480" i="1"/>
  <c r="AX302" i="1"/>
  <c r="AU302" i="1"/>
  <c r="AX157" i="1"/>
  <c r="AU157" i="1"/>
  <c r="AX534" i="1"/>
  <c r="AU534" i="1"/>
  <c r="AX447" i="1"/>
  <c r="AU447" i="1"/>
  <c r="AX563" i="1"/>
  <c r="AU563" i="1"/>
  <c r="AX186" i="1"/>
  <c r="AU186" i="1"/>
  <c r="AX99" i="1"/>
  <c r="AU99" i="1"/>
  <c r="AX128" i="1"/>
  <c r="AU128" i="1"/>
  <c r="AX215" i="1"/>
  <c r="AU215" i="1"/>
  <c r="AX505" i="1"/>
  <c r="AU505" i="1"/>
  <c r="AX389" i="1"/>
  <c r="AU389" i="1"/>
  <c r="AX273" i="1"/>
  <c r="AU273" i="1"/>
  <c r="AX331" i="1"/>
  <c r="AU331" i="1"/>
  <c r="AX41" i="1"/>
  <c r="AU41" i="1"/>
  <c r="AX70" i="1"/>
  <c r="AU70" i="1"/>
  <c r="AX244" i="1"/>
  <c r="AU244" i="1"/>
  <c r="AX418" i="1"/>
  <c r="AU418" i="1"/>
  <c r="AX476" i="1"/>
  <c r="AU476" i="1"/>
  <c r="AX360" i="1"/>
  <c r="AU360" i="1"/>
  <c r="AT186" i="1"/>
  <c r="AY186" i="1"/>
  <c r="AT273" i="1"/>
  <c r="AY273" i="1"/>
  <c r="AT302" i="1"/>
  <c r="AY302" i="1"/>
  <c r="AT331" i="1"/>
  <c r="AY331" i="1"/>
  <c r="AT157" i="1"/>
  <c r="AY157" i="1"/>
  <c r="AT534" i="1"/>
  <c r="AY534" i="1"/>
  <c r="AT447" i="1"/>
  <c r="AY447" i="1"/>
  <c r="AT563" i="1"/>
  <c r="AY563" i="1"/>
  <c r="AT99" i="1"/>
  <c r="AY99" i="1"/>
  <c r="AT128" i="1"/>
  <c r="AY128" i="1"/>
  <c r="AT215" i="1"/>
  <c r="AY215" i="1"/>
  <c r="AT505" i="1"/>
  <c r="AY505" i="1"/>
  <c r="AT389" i="1"/>
  <c r="AY389" i="1"/>
  <c r="AT41" i="1"/>
  <c r="AY41" i="1"/>
  <c r="AT70" i="1"/>
  <c r="AY70" i="1"/>
  <c r="AT244" i="1"/>
  <c r="AY244" i="1"/>
  <c r="AT418" i="1"/>
  <c r="AY418" i="1"/>
  <c r="AT476" i="1"/>
  <c r="AY476" i="1"/>
  <c r="AT360" i="1"/>
  <c r="AY360" i="1"/>
  <c r="AQ186" i="1"/>
  <c r="AS186" i="1"/>
  <c r="AQ273" i="1"/>
  <c r="AS273" i="1"/>
  <c r="AQ302" i="1"/>
  <c r="AS302" i="1"/>
  <c r="AQ331" i="1"/>
  <c r="AS331" i="1"/>
  <c r="AQ157" i="1"/>
  <c r="AS157" i="1"/>
  <c r="AQ534" i="1"/>
  <c r="AS534" i="1"/>
  <c r="AQ447" i="1"/>
  <c r="AS447" i="1"/>
  <c r="AQ563" i="1"/>
  <c r="AS563" i="1"/>
  <c r="AQ99" i="1"/>
  <c r="AS99" i="1"/>
  <c r="AQ128" i="1"/>
  <c r="AS128" i="1"/>
  <c r="AQ215" i="1"/>
  <c r="AS215" i="1"/>
  <c r="AQ505" i="1"/>
  <c r="AS505" i="1"/>
  <c r="AQ389" i="1"/>
  <c r="AS389" i="1"/>
  <c r="AQ41" i="1"/>
  <c r="AS41" i="1"/>
  <c r="AQ70" i="1"/>
  <c r="AS70" i="1"/>
  <c r="AQ244" i="1"/>
  <c r="AS244" i="1"/>
  <c r="AQ418" i="1"/>
  <c r="AS418" i="1"/>
  <c r="AQ476" i="1"/>
  <c r="AS476" i="1"/>
  <c r="AQ360" i="1"/>
  <c r="AS360" i="1"/>
  <c r="AU44" i="1"/>
  <c r="AO44" i="1"/>
  <c r="AV41" i="1"/>
  <c r="AP41" i="1"/>
  <c r="AV70" i="1"/>
  <c r="AP70" i="1"/>
  <c r="AW100" i="1"/>
  <c r="AQ100" i="1"/>
  <c r="AU131" i="1"/>
  <c r="AO131" i="1"/>
  <c r="AY133" i="1"/>
  <c r="AT133" i="1"/>
  <c r="AX159" i="1"/>
  <c r="AS159" i="1"/>
  <c r="AY191" i="1"/>
  <c r="AT191" i="1"/>
  <c r="AW187" i="1"/>
  <c r="AQ187" i="1"/>
  <c r="AU247" i="1"/>
  <c r="AO247" i="1"/>
  <c r="AX246" i="1"/>
  <c r="AS246" i="1"/>
  <c r="AV244" i="1"/>
  <c r="AP244" i="1"/>
  <c r="AY307" i="1"/>
  <c r="AT307" i="1"/>
  <c r="AX304" i="1"/>
  <c r="AS304" i="1"/>
  <c r="AY452" i="1"/>
  <c r="AT452" i="1"/>
  <c r="AW477" i="1"/>
  <c r="AQ477" i="1"/>
  <c r="AW506" i="1"/>
  <c r="AQ506" i="1"/>
  <c r="AU450" i="1"/>
  <c r="AO450" i="1"/>
  <c r="AW535" i="1"/>
  <c r="AQ535" i="1"/>
  <c r="AV389" i="1"/>
  <c r="AP389" i="1"/>
  <c r="AV534" i="1"/>
  <c r="AP534" i="1"/>
  <c r="AY46" i="1"/>
  <c r="AT46" i="1"/>
  <c r="AW42" i="1"/>
  <c r="AQ42" i="1"/>
  <c r="AY75" i="1"/>
  <c r="AT75" i="1"/>
  <c r="AX101" i="1"/>
  <c r="AS101" i="1"/>
  <c r="AW129" i="1"/>
  <c r="AQ129" i="1"/>
  <c r="AU160" i="1"/>
  <c r="AO160" i="1"/>
  <c r="AV186" i="1"/>
  <c r="AP186" i="1"/>
  <c r="AX188" i="1"/>
  <c r="AS188" i="1"/>
  <c r="AX217" i="1"/>
  <c r="AS217" i="1"/>
  <c r="AW216" i="1"/>
  <c r="AQ216" i="1"/>
  <c r="AW245" i="1"/>
  <c r="AQ245" i="1"/>
  <c r="AV273" i="1"/>
  <c r="AP273" i="1"/>
  <c r="AW274" i="1"/>
  <c r="AQ274" i="1"/>
  <c r="AV302" i="1"/>
  <c r="AP302" i="1"/>
  <c r="AV331" i="1"/>
  <c r="AP331" i="1"/>
  <c r="AW332" i="1"/>
  <c r="AQ332" i="1"/>
  <c r="AX565" i="1"/>
  <c r="AS565" i="1"/>
  <c r="AV505" i="1"/>
  <c r="AP505" i="1"/>
  <c r="AW361" i="1"/>
  <c r="AQ361" i="1"/>
  <c r="AY568" i="1"/>
  <c r="AT568" i="1"/>
  <c r="AU392" i="1"/>
  <c r="AO392" i="1"/>
  <c r="AX362" i="1"/>
  <c r="AS362" i="1"/>
  <c r="AW448" i="1"/>
  <c r="AQ448" i="1"/>
  <c r="AU537" i="1"/>
  <c r="AO537" i="1"/>
  <c r="AV447" i="1"/>
  <c r="AP447" i="1"/>
  <c r="AV563" i="1"/>
  <c r="AP563" i="1"/>
  <c r="AY394" i="1"/>
  <c r="AT394" i="1"/>
  <c r="AU508" i="1"/>
  <c r="AO508" i="1"/>
  <c r="AU479" i="1"/>
  <c r="AO479" i="1"/>
  <c r="AU421" i="1"/>
  <c r="AO421" i="1"/>
  <c r="AX43" i="1"/>
  <c r="AS43" i="1"/>
  <c r="AX72" i="1"/>
  <c r="AS72" i="1"/>
  <c r="AW71" i="1"/>
  <c r="AQ71" i="1"/>
  <c r="AU102" i="1"/>
  <c r="AO102" i="1"/>
  <c r="AY104" i="1"/>
  <c r="AT104" i="1"/>
  <c r="AX130" i="1"/>
  <c r="AS130" i="1"/>
  <c r="AV157" i="1"/>
  <c r="AP157" i="1"/>
  <c r="AU218" i="1"/>
  <c r="AO218" i="1"/>
  <c r="AY220" i="1"/>
  <c r="AT220" i="1"/>
  <c r="AX275" i="1"/>
  <c r="AS275" i="1"/>
  <c r="AY278" i="1"/>
  <c r="AT278" i="1"/>
  <c r="AU334" i="1"/>
  <c r="AO334" i="1"/>
  <c r="AY336" i="1"/>
  <c r="AT336" i="1"/>
  <c r="AV418" i="1"/>
  <c r="AP418" i="1"/>
  <c r="AY510" i="1"/>
  <c r="AT510" i="1"/>
  <c r="AX420" i="1"/>
  <c r="AS420" i="1"/>
  <c r="AX478" i="1"/>
  <c r="AS478" i="1"/>
  <c r="AU73" i="1"/>
  <c r="AO73" i="1"/>
  <c r="AV99" i="1"/>
  <c r="AP99" i="1"/>
  <c r="AV128" i="1"/>
  <c r="AP128" i="1"/>
  <c r="AY162" i="1"/>
  <c r="AT162" i="1"/>
  <c r="AW158" i="1"/>
  <c r="AQ158" i="1"/>
  <c r="AU189" i="1"/>
  <c r="AO189" i="1"/>
  <c r="AV215" i="1"/>
  <c r="AP215" i="1"/>
  <c r="AY249" i="1"/>
  <c r="AT249" i="1"/>
  <c r="AU276" i="1"/>
  <c r="AO276" i="1"/>
  <c r="AU305" i="1"/>
  <c r="AO305" i="1"/>
  <c r="AW303" i="1"/>
  <c r="AQ303" i="1"/>
  <c r="AX333" i="1"/>
  <c r="AS333" i="1"/>
  <c r="AW564" i="1"/>
  <c r="AQ564" i="1"/>
  <c r="AU566" i="1"/>
  <c r="AO566" i="1"/>
  <c r="AY481" i="1"/>
  <c r="AT481" i="1"/>
  <c r="AX507" i="1"/>
  <c r="AS507" i="1"/>
  <c r="AY539" i="1"/>
  <c r="AT539" i="1"/>
  <c r="AX536" i="1"/>
  <c r="AS536" i="1"/>
  <c r="AW419" i="1"/>
  <c r="AQ419" i="1"/>
  <c r="AY365" i="1"/>
  <c r="AT365" i="1"/>
  <c r="AV476" i="1"/>
  <c r="AP476" i="1"/>
  <c r="AX449" i="1"/>
  <c r="AS449" i="1"/>
  <c r="AY423" i="1"/>
  <c r="AT423" i="1"/>
  <c r="AV360" i="1"/>
  <c r="AP360" i="1"/>
  <c r="AX391" i="1"/>
  <c r="AS391" i="1"/>
  <c r="AW390" i="1"/>
  <c r="AQ390" i="1"/>
  <c r="AU363" i="1"/>
  <c r="AO363" i="1"/>
  <c r="R190" i="1"/>
  <c r="R45" i="1"/>
  <c r="AO417" i="1"/>
  <c r="AZ417" i="1" s="1"/>
  <c r="AM552" i="1"/>
  <c r="AO562" i="1"/>
  <c r="AP562" i="1"/>
  <c r="AO504" i="1"/>
  <c r="AP504" i="1"/>
  <c r="AO359" i="1"/>
  <c r="AP359" i="1"/>
  <c r="AO475" i="1"/>
  <c r="AP475" i="1"/>
  <c r="AO533" i="1"/>
  <c r="AP533" i="1"/>
  <c r="AO446" i="1"/>
  <c r="AP446" i="1"/>
  <c r="AU388" i="1"/>
  <c r="AO388" i="1"/>
  <c r="AV359" i="1"/>
  <c r="AU359" i="1"/>
  <c r="AV475" i="1"/>
  <c r="AU475" i="1"/>
  <c r="AV533" i="1"/>
  <c r="AU533" i="1"/>
  <c r="AV446" i="1"/>
  <c r="AU446" i="1"/>
  <c r="AV562" i="1"/>
  <c r="AU562" i="1"/>
  <c r="AV504" i="1"/>
  <c r="AU504" i="1"/>
  <c r="R452" i="1"/>
  <c r="R742" i="1"/>
  <c r="R539" i="1"/>
  <c r="R362" i="1"/>
  <c r="R592" i="1"/>
  <c r="R447" i="1"/>
  <c r="AN378" i="1"/>
  <c r="BC14" i="1"/>
  <c r="R333" i="1"/>
  <c r="R215" i="1"/>
  <c r="BC12" i="1"/>
  <c r="R157" i="1"/>
  <c r="R249" i="1"/>
  <c r="R335" i="1"/>
  <c r="R306" i="1"/>
  <c r="R277" i="1"/>
  <c r="R248" i="1"/>
  <c r="R161" i="1"/>
  <c r="R132" i="1"/>
  <c r="AM465" i="1"/>
  <c r="R103" i="1"/>
  <c r="R74" i="1"/>
  <c r="R304" i="1"/>
  <c r="R217" i="1"/>
  <c r="R246" i="1"/>
  <c r="R101" i="1"/>
  <c r="R159" i="1"/>
  <c r="R188" i="1"/>
  <c r="R43" i="1"/>
  <c r="R72" i="1"/>
  <c r="R275" i="1"/>
  <c r="R623" i="1"/>
  <c r="R478" i="1"/>
  <c r="R449" i="1"/>
  <c r="R420" i="1"/>
  <c r="R565" i="1"/>
  <c r="R594" i="1"/>
  <c r="BB248" i="1"/>
  <c r="R739" i="1"/>
  <c r="R652" i="1"/>
  <c r="R684" i="1"/>
  <c r="R510" i="1"/>
  <c r="R365" i="1"/>
  <c r="R597" i="1"/>
  <c r="AM378" i="1"/>
  <c r="AN494" i="1"/>
  <c r="R655" i="1"/>
  <c r="R568" i="1"/>
  <c r="R423" i="1"/>
  <c r="R713" i="1"/>
  <c r="R710" i="1"/>
  <c r="AN465" i="1"/>
  <c r="R191" i="1"/>
  <c r="R336" i="1"/>
  <c r="R162" i="1"/>
  <c r="R394" i="1"/>
  <c r="R626" i="1"/>
  <c r="R481" i="1"/>
  <c r="R391" i="1"/>
  <c r="R681" i="1"/>
  <c r="R536" i="1"/>
  <c r="AN552" i="1"/>
  <c r="AM436" i="1"/>
  <c r="AN436" i="1"/>
  <c r="AM407" i="1"/>
  <c r="AN407" i="1"/>
  <c r="AM523" i="1"/>
  <c r="R360" i="1"/>
  <c r="AN523" i="1"/>
  <c r="R389" i="1"/>
  <c r="R505" i="1"/>
  <c r="R476" i="1"/>
  <c r="R621" i="1"/>
  <c r="R708" i="1"/>
  <c r="AM494" i="1"/>
  <c r="AN581" i="1"/>
  <c r="R563" i="1"/>
  <c r="R534" i="1"/>
  <c r="R737" i="1"/>
  <c r="R679" i="1"/>
  <c r="R650" i="1"/>
  <c r="R418" i="1"/>
  <c r="R707" i="1"/>
  <c r="R591" i="1"/>
  <c r="R475" i="1"/>
  <c r="R359" i="1"/>
  <c r="R736" i="1"/>
  <c r="R620" i="1"/>
  <c r="R504" i="1"/>
  <c r="R388" i="1"/>
  <c r="R649" i="1"/>
  <c r="R533" i="1"/>
  <c r="R417" i="1"/>
  <c r="R678" i="1"/>
  <c r="R562" i="1"/>
  <c r="R446" i="1"/>
  <c r="BB74" i="1"/>
  <c r="BC330" i="1"/>
  <c r="BC349" i="1" s="1"/>
  <c r="P349" i="1"/>
  <c r="BB306" i="1"/>
  <c r="AN330" i="1"/>
  <c r="AP330" i="1" s="1"/>
  <c r="L349" i="1"/>
  <c r="BB335" i="1"/>
  <c r="BC301" i="1"/>
  <c r="BC320" i="1" s="1"/>
  <c r="P320" i="1"/>
  <c r="BB219" i="1"/>
  <c r="AN301" i="1"/>
  <c r="AP301" i="1" s="1"/>
  <c r="AM320" i="1"/>
  <c r="L320" i="1"/>
  <c r="AN272" i="1"/>
  <c r="AP272" i="1" s="1"/>
  <c r="L291" i="1"/>
  <c r="BB277" i="1"/>
  <c r="BC272" i="1"/>
  <c r="BC291" i="1" s="1"/>
  <c r="P291" i="1"/>
  <c r="AN243" i="1"/>
  <c r="AP243" i="1" s="1"/>
  <c r="L262" i="1"/>
  <c r="BC243" i="1"/>
  <c r="BC262" i="1" s="1"/>
  <c r="P262" i="1"/>
  <c r="BB190" i="1"/>
  <c r="BC214" i="1"/>
  <c r="BC233" i="1" s="1"/>
  <c r="P233" i="1"/>
  <c r="AN214" i="1"/>
  <c r="AP214" i="1" s="1"/>
  <c r="AM233" i="1"/>
  <c r="L233" i="1"/>
  <c r="BC185" i="1"/>
  <c r="BC204" i="1" s="1"/>
  <c r="P204" i="1"/>
  <c r="AN185" i="1"/>
  <c r="AP185" i="1" s="1"/>
  <c r="L204" i="1"/>
  <c r="BB161" i="1"/>
  <c r="BC156" i="1"/>
  <c r="BC175" i="1" s="1"/>
  <c r="P175" i="1"/>
  <c r="AN156" i="1"/>
  <c r="AP156" i="1" s="1"/>
  <c r="L175" i="1"/>
  <c r="BB132" i="1"/>
  <c r="BC127" i="1"/>
  <c r="BC146" i="1" s="1"/>
  <c r="P146" i="1"/>
  <c r="AN127" i="1"/>
  <c r="AP127" i="1" s="1"/>
  <c r="L146" i="1"/>
  <c r="BB103" i="1"/>
  <c r="BC98" i="1"/>
  <c r="BC117" i="1" s="1"/>
  <c r="P117" i="1"/>
  <c r="AM117" i="1"/>
  <c r="AN98" i="1"/>
  <c r="AP98" i="1" s="1"/>
  <c r="L117" i="1"/>
  <c r="AN69" i="1"/>
  <c r="AP69" i="1" s="1"/>
  <c r="AM88" i="1"/>
  <c r="L88" i="1"/>
  <c r="BC69" i="1"/>
  <c r="BC88" i="1" s="1"/>
  <c r="P88" i="1"/>
  <c r="BC40" i="1"/>
  <c r="BC59" i="1" s="1"/>
  <c r="P59" i="1"/>
  <c r="AN40" i="1"/>
  <c r="AP40" i="1" s="1"/>
  <c r="L59" i="1"/>
  <c r="BB45" i="1"/>
  <c r="R186" i="1"/>
  <c r="R99" i="1"/>
  <c r="R128" i="1"/>
  <c r="R302" i="1"/>
  <c r="R70" i="1"/>
  <c r="R331" i="1"/>
  <c r="R244" i="1"/>
  <c r="R41" i="1"/>
  <c r="R272" i="1"/>
  <c r="R291" i="1" s="1"/>
  <c r="R156" i="1"/>
  <c r="R98" i="1"/>
  <c r="R301" i="1"/>
  <c r="R185" i="1"/>
  <c r="R69" i="1"/>
  <c r="R330" i="1"/>
  <c r="R243" i="1"/>
  <c r="R127" i="1"/>
  <c r="R40" i="1"/>
  <c r="R214" i="1"/>
  <c r="BM684" i="1"/>
  <c r="BM626" i="1"/>
  <c r="BM568" i="1"/>
  <c r="BM510" i="1"/>
  <c r="BM452" i="1"/>
  <c r="BM394" i="1"/>
  <c r="BM365" i="1"/>
  <c r="BM713" i="1"/>
  <c r="BM655" i="1"/>
  <c r="BM597" i="1"/>
  <c r="BM539" i="1"/>
  <c r="BM481" i="1"/>
  <c r="BM423" i="1"/>
  <c r="BM679" i="1"/>
  <c r="BM621" i="1"/>
  <c r="BM563" i="1"/>
  <c r="BM505" i="1"/>
  <c r="BM447" i="1"/>
  <c r="BM389" i="1"/>
  <c r="BM708" i="1"/>
  <c r="BM650" i="1"/>
  <c r="BM592" i="1"/>
  <c r="BM534" i="1"/>
  <c r="BM476" i="1"/>
  <c r="BM418" i="1"/>
  <c r="BM360" i="1"/>
  <c r="BM363" i="1"/>
  <c r="BM682" i="1"/>
  <c r="BM624" i="1"/>
  <c r="BM566" i="1"/>
  <c r="BM508" i="1"/>
  <c r="BM450" i="1"/>
  <c r="BM392" i="1"/>
  <c r="BM711" i="1"/>
  <c r="BM653" i="1"/>
  <c r="BM595" i="1"/>
  <c r="BM537" i="1"/>
  <c r="BM479" i="1"/>
  <c r="BM421" i="1"/>
  <c r="BM683" i="1"/>
  <c r="BM625" i="1"/>
  <c r="BM567" i="1"/>
  <c r="BM509" i="1"/>
  <c r="BM451" i="1"/>
  <c r="BM393" i="1"/>
  <c r="BM364" i="1"/>
  <c r="BM712" i="1"/>
  <c r="BM654" i="1"/>
  <c r="BM596" i="1"/>
  <c r="BM538" i="1"/>
  <c r="BM480" i="1"/>
  <c r="BM422" i="1"/>
  <c r="BM681" i="1"/>
  <c r="BM623" i="1"/>
  <c r="BM565" i="1"/>
  <c r="BM507" i="1"/>
  <c r="BM449" i="1"/>
  <c r="BM391" i="1"/>
  <c r="BM710" i="1"/>
  <c r="BM652" i="1"/>
  <c r="BM594" i="1"/>
  <c r="BM536" i="1"/>
  <c r="BM478" i="1"/>
  <c r="BM420" i="1"/>
  <c r="BM362" i="1"/>
  <c r="BM741" i="1"/>
  <c r="BM335" i="1"/>
  <c r="BM277" i="1"/>
  <c r="BM219" i="1"/>
  <c r="BM161" i="1"/>
  <c r="BM103" i="1"/>
  <c r="BM74" i="1"/>
  <c r="BM306" i="1"/>
  <c r="BM248" i="1"/>
  <c r="BM190" i="1"/>
  <c r="BM132" i="1"/>
  <c r="BM45" i="1"/>
  <c r="BM16" i="1"/>
  <c r="BM739" i="1"/>
  <c r="BM333" i="1"/>
  <c r="BM275" i="1"/>
  <c r="BM217" i="1"/>
  <c r="BM159" i="1"/>
  <c r="BM101" i="1"/>
  <c r="BM304" i="1"/>
  <c r="BM246" i="1"/>
  <c r="BM188" i="1"/>
  <c r="BM130" i="1"/>
  <c r="BM72" i="1"/>
  <c r="BM14" i="1"/>
  <c r="BM43" i="1"/>
  <c r="BM742" i="1"/>
  <c r="BM336" i="1"/>
  <c r="BM278" i="1"/>
  <c r="BM220" i="1"/>
  <c r="BM162" i="1"/>
  <c r="BM75" i="1"/>
  <c r="BM307" i="1"/>
  <c r="BM249" i="1"/>
  <c r="BM191" i="1"/>
  <c r="BM104" i="1"/>
  <c r="BM46" i="1"/>
  <c r="BM133" i="1"/>
  <c r="BM17" i="1"/>
  <c r="BM740" i="1"/>
  <c r="BM102" i="1"/>
  <c r="BM15" i="1"/>
  <c r="BM131" i="1"/>
  <c r="BM73" i="1"/>
  <c r="BM44" i="1"/>
  <c r="BM334" i="1"/>
  <c r="BM276" i="1"/>
  <c r="BM218" i="1"/>
  <c r="BM160" i="1"/>
  <c r="BM305" i="1"/>
  <c r="BM247" i="1"/>
  <c r="BM189" i="1"/>
  <c r="BM737" i="1"/>
  <c r="BM41" i="1"/>
  <c r="BM12" i="1"/>
  <c r="BM331" i="1"/>
  <c r="BM273" i="1"/>
  <c r="BM215" i="1"/>
  <c r="BM157" i="1"/>
  <c r="BM99" i="1"/>
  <c r="BM302" i="1"/>
  <c r="BM244" i="1"/>
  <c r="BM186" i="1"/>
  <c r="BM128" i="1"/>
  <c r="BM70" i="1"/>
  <c r="BM707" i="1"/>
  <c r="BM736" i="1"/>
  <c r="BM649" i="1"/>
  <c r="BM678" i="1"/>
  <c r="BM591" i="1"/>
  <c r="BM620" i="1"/>
  <c r="BM533" i="1"/>
  <c r="BM562" i="1"/>
  <c r="BM475" i="1"/>
  <c r="BM504" i="1"/>
  <c r="BM417" i="1"/>
  <c r="BM446" i="1"/>
  <c r="BM359" i="1"/>
  <c r="BM388" i="1"/>
  <c r="BM301" i="1"/>
  <c r="BM185" i="1"/>
  <c r="BM69" i="1"/>
  <c r="BM11" i="1"/>
  <c r="R13" i="1"/>
  <c r="R15" i="1"/>
  <c r="R12" i="1"/>
  <c r="R16" i="1"/>
  <c r="R14" i="1"/>
  <c r="AC34" i="2"/>
  <c r="R233" i="1" l="1"/>
  <c r="BM156" i="1"/>
  <c r="BM272" i="1"/>
  <c r="BM40" i="1"/>
  <c r="BM127" i="1"/>
  <c r="BM243" i="1"/>
  <c r="BM98" i="1"/>
  <c r="BM214" i="1"/>
  <c r="BM330" i="1"/>
  <c r="R204" i="1"/>
  <c r="R320" i="1"/>
  <c r="AZ390" i="1"/>
  <c r="BB390" i="1" s="1"/>
  <c r="AZ360" i="1"/>
  <c r="BB360" i="1" s="1"/>
  <c r="AZ449" i="1"/>
  <c r="BB449" i="1" s="1"/>
  <c r="AZ365" i="1"/>
  <c r="BB365" i="1" s="1"/>
  <c r="AZ536" i="1"/>
  <c r="BB536" i="1" s="1"/>
  <c r="AZ507" i="1"/>
  <c r="BB507" i="1" s="1"/>
  <c r="AZ566" i="1"/>
  <c r="BB566" i="1" s="1"/>
  <c r="AZ333" i="1"/>
  <c r="BB333" i="1" s="1"/>
  <c r="AZ305" i="1"/>
  <c r="BB305" i="1" s="1"/>
  <c r="AZ249" i="1"/>
  <c r="BB249" i="1" s="1"/>
  <c r="AZ189" i="1"/>
  <c r="BB189" i="1" s="1"/>
  <c r="AZ162" i="1"/>
  <c r="BB162" i="1" s="1"/>
  <c r="AZ99" i="1"/>
  <c r="BB99" i="1" s="1"/>
  <c r="AZ478" i="1"/>
  <c r="BB478" i="1" s="1"/>
  <c r="AZ510" i="1"/>
  <c r="BB510" i="1" s="1"/>
  <c r="AZ336" i="1"/>
  <c r="BB336" i="1" s="1"/>
  <c r="AZ278" i="1"/>
  <c r="BB278" i="1" s="1"/>
  <c r="AZ220" i="1"/>
  <c r="BB220" i="1" s="1"/>
  <c r="AZ157" i="1"/>
  <c r="BB157" i="1" s="1"/>
  <c r="AZ104" i="1"/>
  <c r="BB104" i="1" s="1"/>
  <c r="AZ71" i="1"/>
  <c r="BB71" i="1" s="1"/>
  <c r="AZ43" i="1"/>
  <c r="BB43" i="1" s="1"/>
  <c r="AZ479" i="1"/>
  <c r="BB479" i="1" s="1"/>
  <c r="AZ394" i="1"/>
  <c r="BB394" i="1" s="1"/>
  <c r="AZ447" i="1"/>
  <c r="BB447" i="1" s="1"/>
  <c r="AZ448" i="1"/>
  <c r="BB448" i="1" s="1"/>
  <c r="AZ392" i="1"/>
  <c r="BB392" i="1" s="1"/>
  <c r="AZ361" i="1"/>
  <c r="BB361" i="1" s="1"/>
  <c r="AZ565" i="1"/>
  <c r="BB565" i="1" s="1"/>
  <c r="AZ331" i="1"/>
  <c r="BB331" i="1" s="1"/>
  <c r="AZ274" i="1"/>
  <c r="BB274" i="1" s="1"/>
  <c r="AZ245" i="1"/>
  <c r="BB245" i="1" s="1"/>
  <c r="AZ217" i="1"/>
  <c r="BB217" i="1" s="1"/>
  <c r="AZ186" i="1"/>
  <c r="BB186" i="1" s="1"/>
  <c r="AZ129" i="1"/>
  <c r="BB129" i="1" s="1"/>
  <c r="AZ75" i="1"/>
  <c r="BB75" i="1" s="1"/>
  <c r="AZ46" i="1"/>
  <c r="BB46" i="1" s="1"/>
  <c r="AZ389" i="1"/>
  <c r="BB389" i="1" s="1"/>
  <c r="AZ450" i="1"/>
  <c r="BB450" i="1" s="1"/>
  <c r="AZ477" i="1"/>
  <c r="BB477" i="1" s="1"/>
  <c r="AZ304" i="1"/>
  <c r="BB304" i="1" s="1"/>
  <c r="AZ244" i="1"/>
  <c r="BB244" i="1" s="1"/>
  <c r="AZ247" i="1"/>
  <c r="BB247" i="1" s="1"/>
  <c r="AZ191" i="1"/>
  <c r="BB191" i="1" s="1"/>
  <c r="AZ133" i="1"/>
  <c r="BB133" i="1" s="1"/>
  <c r="AZ100" i="1"/>
  <c r="BB100" i="1" s="1"/>
  <c r="AZ41" i="1"/>
  <c r="BB41" i="1" s="1"/>
  <c r="AZ363" i="1"/>
  <c r="BB363" i="1" s="1"/>
  <c r="AZ391" i="1"/>
  <c r="BB391" i="1" s="1"/>
  <c r="AZ423" i="1"/>
  <c r="BB423" i="1" s="1"/>
  <c r="AZ476" i="1"/>
  <c r="BB476" i="1" s="1"/>
  <c r="AZ419" i="1"/>
  <c r="BB419" i="1" s="1"/>
  <c r="AZ539" i="1"/>
  <c r="BB539" i="1" s="1"/>
  <c r="AZ481" i="1"/>
  <c r="BB481" i="1" s="1"/>
  <c r="AZ564" i="1"/>
  <c r="BB564" i="1" s="1"/>
  <c r="AZ303" i="1"/>
  <c r="BB303" i="1" s="1"/>
  <c r="AZ276" i="1"/>
  <c r="BB276" i="1" s="1"/>
  <c r="AZ215" i="1"/>
  <c r="BB215" i="1" s="1"/>
  <c r="AZ158" i="1"/>
  <c r="BB158" i="1" s="1"/>
  <c r="AZ128" i="1"/>
  <c r="BB128" i="1" s="1"/>
  <c r="AZ73" i="1"/>
  <c r="BB73" i="1" s="1"/>
  <c r="AZ420" i="1"/>
  <c r="BB420" i="1" s="1"/>
  <c r="AZ418" i="1"/>
  <c r="BB418" i="1" s="1"/>
  <c r="AZ334" i="1"/>
  <c r="BB334" i="1" s="1"/>
  <c r="AZ275" i="1"/>
  <c r="BB275" i="1" s="1"/>
  <c r="AZ218" i="1"/>
  <c r="BB218" i="1" s="1"/>
  <c r="AZ130" i="1"/>
  <c r="BB130" i="1" s="1"/>
  <c r="AZ102" i="1"/>
  <c r="BB102" i="1" s="1"/>
  <c r="AZ72" i="1"/>
  <c r="BB72" i="1" s="1"/>
  <c r="AZ421" i="1"/>
  <c r="BB421" i="1" s="1"/>
  <c r="AZ508" i="1"/>
  <c r="BB508" i="1" s="1"/>
  <c r="AZ563" i="1"/>
  <c r="BB563" i="1" s="1"/>
  <c r="AZ537" i="1"/>
  <c r="BB537" i="1" s="1"/>
  <c r="AZ362" i="1"/>
  <c r="BB362" i="1" s="1"/>
  <c r="AZ568" i="1"/>
  <c r="BB568" i="1" s="1"/>
  <c r="AZ505" i="1"/>
  <c r="BB505" i="1" s="1"/>
  <c r="AZ332" i="1"/>
  <c r="BB332" i="1" s="1"/>
  <c r="AZ302" i="1"/>
  <c r="BB302" i="1" s="1"/>
  <c r="AZ273" i="1"/>
  <c r="BB273" i="1" s="1"/>
  <c r="AZ216" i="1"/>
  <c r="BB216" i="1" s="1"/>
  <c r="AZ188" i="1"/>
  <c r="BB188" i="1" s="1"/>
  <c r="AZ160" i="1"/>
  <c r="BB160" i="1" s="1"/>
  <c r="AZ101" i="1"/>
  <c r="BB101" i="1" s="1"/>
  <c r="AZ42" i="1"/>
  <c r="BB42" i="1" s="1"/>
  <c r="AZ534" i="1"/>
  <c r="BB534" i="1" s="1"/>
  <c r="AZ535" i="1"/>
  <c r="BB535" i="1" s="1"/>
  <c r="AZ506" i="1"/>
  <c r="BB506" i="1" s="1"/>
  <c r="AZ452" i="1"/>
  <c r="BB452" i="1" s="1"/>
  <c r="AZ307" i="1"/>
  <c r="BB307" i="1" s="1"/>
  <c r="AZ246" i="1"/>
  <c r="BB246" i="1" s="1"/>
  <c r="AZ187" i="1"/>
  <c r="BB187" i="1" s="1"/>
  <c r="AZ159" i="1"/>
  <c r="BB159" i="1" s="1"/>
  <c r="AZ131" i="1"/>
  <c r="BB131" i="1" s="1"/>
  <c r="AZ70" i="1"/>
  <c r="BB70" i="1" s="1"/>
  <c r="AZ44" i="1"/>
  <c r="BB44" i="1" s="1"/>
  <c r="R755" i="1"/>
  <c r="R697" i="1"/>
  <c r="R610" i="1"/>
  <c r="BB417" i="1"/>
  <c r="R465" i="1"/>
  <c r="R639" i="1"/>
  <c r="AZ388" i="1"/>
  <c r="BB388" i="1" s="1"/>
  <c r="R436" i="1"/>
  <c r="R523" i="1"/>
  <c r="R726" i="1"/>
  <c r="R175" i="1"/>
  <c r="AZ504" i="1"/>
  <c r="AZ446" i="1"/>
  <c r="AU98" i="1"/>
  <c r="AO98" i="1"/>
  <c r="AU127" i="1"/>
  <c r="AO127" i="1"/>
  <c r="AU272" i="1"/>
  <c r="AO272" i="1"/>
  <c r="AU330" i="1"/>
  <c r="AO330" i="1"/>
  <c r="AU69" i="1"/>
  <c r="AO69" i="1"/>
  <c r="AU156" i="1"/>
  <c r="AO156" i="1"/>
  <c r="AU185" i="1"/>
  <c r="AO185" i="1"/>
  <c r="AU214" i="1"/>
  <c r="AO214" i="1"/>
  <c r="AU40" i="1"/>
  <c r="AO40" i="1"/>
  <c r="AU243" i="1"/>
  <c r="AO243" i="1"/>
  <c r="AU301" i="1"/>
  <c r="AO301" i="1"/>
  <c r="AZ475" i="1"/>
  <c r="AZ562" i="1"/>
  <c r="AZ533" i="1"/>
  <c r="AZ359" i="1"/>
  <c r="BM407" i="1"/>
  <c r="BM639" i="1"/>
  <c r="R407" i="1"/>
  <c r="R552" i="1"/>
  <c r="R668" i="1"/>
  <c r="R581" i="1"/>
  <c r="R494" i="1"/>
  <c r="R378" i="1"/>
  <c r="I23" i="4"/>
  <c r="I24" i="4" s="1"/>
  <c r="R349" i="1"/>
  <c r="R117" i="1"/>
  <c r="BM610" i="1"/>
  <c r="AM349" i="1"/>
  <c r="AV330" i="1"/>
  <c r="AN349" i="1"/>
  <c r="AV301" i="1"/>
  <c r="AN320" i="1"/>
  <c r="AM291" i="1"/>
  <c r="AV272" i="1"/>
  <c r="AN291" i="1"/>
  <c r="AM262" i="1"/>
  <c r="AV243" i="1"/>
  <c r="AN262" i="1"/>
  <c r="AV214" i="1"/>
  <c r="AN233" i="1"/>
  <c r="AV185" i="1"/>
  <c r="AN204" i="1"/>
  <c r="AM204" i="1"/>
  <c r="AM175" i="1"/>
  <c r="AV156" i="1"/>
  <c r="AN175" i="1"/>
  <c r="AM146" i="1"/>
  <c r="AV127" i="1"/>
  <c r="AN146" i="1"/>
  <c r="AV98" i="1"/>
  <c r="AN117" i="1"/>
  <c r="R262" i="1"/>
  <c r="R146" i="1"/>
  <c r="AV69" i="1"/>
  <c r="AN88" i="1"/>
  <c r="AV40" i="1"/>
  <c r="AN59" i="1"/>
  <c r="AM59" i="1"/>
  <c r="BM465" i="1"/>
  <c r="BM581" i="1"/>
  <c r="BM697" i="1"/>
  <c r="BM523" i="1"/>
  <c r="R88" i="1"/>
  <c r="R59" i="1"/>
  <c r="BM436" i="1"/>
  <c r="BM552" i="1"/>
  <c r="BM668" i="1"/>
  <c r="BM378" i="1"/>
  <c r="BM494" i="1"/>
  <c r="BM726" i="1"/>
  <c r="BM117" i="1"/>
  <c r="BM204" i="1"/>
  <c r="BM262" i="1"/>
  <c r="BM88" i="1"/>
  <c r="BM175" i="1"/>
  <c r="BM291" i="1"/>
  <c r="BM755" i="1"/>
  <c r="BM59" i="1"/>
  <c r="BM233" i="1"/>
  <c r="BM349" i="1"/>
  <c r="BM320" i="1"/>
  <c r="BM146" i="1"/>
  <c r="H23" i="4"/>
  <c r="H24" i="4" s="1"/>
  <c r="L16" i="1"/>
  <c r="AM16" i="1" s="1"/>
  <c r="L12" i="1"/>
  <c r="AN12" i="1" s="1"/>
  <c r="AU12" i="1" s="1"/>
  <c r="L20" i="1"/>
  <c r="AM20" i="1" s="1"/>
  <c r="L23" i="1"/>
  <c r="AM23" i="1" s="1"/>
  <c r="L19" i="1"/>
  <c r="AM19" i="1" s="1"/>
  <c r="L15" i="1"/>
  <c r="L28" i="1"/>
  <c r="AM28" i="1" s="1"/>
  <c r="L26" i="1"/>
  <c r="AM26" i="1" s="1"/>
  <c r="L22" i="1"/>
  <c r="AM22" i="1" s="1"/>
  <c r="L18" i="1"/>
  <c r="AM18" i="1" s="1"/>
  <c r="L14" i="1"/>
  <c r="L24" i="1"/>
  <c r="AM24" i="1" s="1"/>
  <c r="L27" i="1"/>
  <c r="AM27" i="1" s="1"/>
  <c r="L29" i="1"/>
  <c r="AM29" i="1" s="1"/>
  <c r="L25" i="1"/>
  <c r="AM25" i="1" s="1"/>
  <c r="L21" i="1"/>
  <c r="AM21" i="1" s="1"/>
  <c r="L17" i="1"/>
  <c r="L13" i="1"/>
  <c r="W34" i="2"/>
  <c r="E30" i="1"/>
  <c r="AZ436" i="1" l="1"/>
  <c r="BB407" i="1"/>
  <c r="BB436" i="1"/>
  <c r="AZ156" i="1"/>
  <c r="AZ175" i="1" s="1"/>
  <c r="AZ330" i="1"/>
  <c r="AZ349" i="1" s="1"/>
  <c r="AZ69" i="1"/>
  <c r="AZ88" i="1" s="1"/>
  <c r="AZ40" i="1"/>
  <c r="AZ59" i="1" s="1"/>
  <c r="AZ98" i="1"/>
  <c r="AZ117" i="1" s="1"/>
  <c r="AZ272" i="1"/>
  <c r="AZ291" i="1" s="1"/>
  <c r="AZ185" i="1"/>
  <c r="AZ204" i="1" s="1"/>
  <c r="M742" i="1"/>
  <c r="AM17" i="1"/>
  <c r="M739" i="1"/>
  <c r="AM14" i="1"/>
  <c r="M738" i="1"/>
  <c r="AM13" i="1"/>
  <c r="M740" i="1"/>
  <c r="AM15" i="1"/>
  <c r="M737" i="1"/>
  <c r="AM12" i="1"/>
  <c r="AZ407" i="1"/>
  <c r="AZ301" i="1"/>
  <c r="AZ320" i="1" s="1"/>
  <c r="AZ243" i="1"/>
  <c r="AZ262" i="1" s="1"/>
  <c r="AZ127" i="1"/>
  <c r="AZ146" i="1" s="1"/>
  <c r="AZ214" i="1"/>
  <c r="AZ233" i="1" s="1"/>
  <c r="AZ523" i="1"/>
  <c r="BB504" i="1"/>
  <c r="BB523" i="1" s="1"/>
  <c r="BB446" i="1"/>
  <c r="BB465" i="1" s="1"/>
  <c r="AZ465" i="1"/>
  <c r="BB359" i="1"/>
  <c r="BB378" i="1" s="1"/>
  <c r="AZ378" i="1"/>
  <c r="AZ552" i="1"/>
  <c r="BB533" i="1"/>
  <c r="BB552" i="1" s="1"/>
  <c r="AZ581" i="1"/>
  <c r="BB562" i="1"/>
  <c r="BB581" i="1" s="1"/>
  <c r="AZ494" i="1"/>
  <c r="BB475" i="1"/>
  <c r="BB494" i="1" s="1"/>
  <c r="BB301" i="1"/>
  <c r="BB320" i="1" s="1"/>
  <c r="BB127" i="1"/>
  <c r="BB146" i="1" s="1"/>
  <c r="BB98" i="1"/>
  <c r="BB117" i="1" s="1"/>
  <c r="BB40" i="1"/>
  <c r="BB59" i="1" s="1"/>
  <c r="M712" i="1"/>
  <c r="M741" i="1"/>
  <c r="M684" i="1"/>
  <c r="M713" i="1"/>
  <c r="M681" i="1"/>
  <c r="M710" i="1"/>
  <c r="M680" i="1"/>
  <c r="M709" i="1"/>
  <c r="M682" i="1"/>
  <c r="M711" i="1"/>
  <c r="M679" i="1"/>
  <c r="M708" i="1"/>
  <c r="M654" i="1"/>
  <c r="M683" i="1"/>
  <c r="M626" i="1"/>
  <c r="M655" i="1"/>
  <c r="M623" i="1"/>
  <c r="M652" i="1"/>
  <c r="M622" i="1"/>
  <c r="M651" i="1"/>
  <c r="M624" i="1"/>
  <c r="M653" i="1"/>
  <c r="M621" i="1"/>
  <c r="M650" i="1"/>
  <c r="M596" i="1"/>
  <c r="M625" i="1"/>
  <c r="M568" i="1"/>
  <c r="M597" i="1"/>
  <c r="M565" i="1"/>
  <c r="M594" i="1"/>
  <c r="M564" i="1"/>
  <c r="M593" i="1"/>
  <c r="M566" i="1"/>
  <c r="M595" i="1"/>
  <c r="M563" i="1"/>
  <c r="M592" i="1"/>
  <c r="M538" i="1"/>
  <c r="M567" i="1"/>
  <c r="M507" i="1"/>
  <c r="M536" i="1"/>
  <c r="M506" i="1"/>
  <c r="M535" i="1"/>
  <c r="M508" i="1"/>
  <c r="M537" i="1"/>
  <c r="M505" i="1"/>
  <c r="M534" i="1"/>
  <c r="M510" i="1"/>
  <c r="M539" i="1"/>
  <c r="M480" i="1"/>
  <c r="M509" i="1"/>
  <c r="M452" i="1"/>
  <c r="M481" i="1"/>
  <c r="M449" i="1"/>
  <c r="M478" i="1"/>
  <c r="M448" i="1"/>
  <c r="M477" i="1"/>
  <c r="M450" i="1"/>
  <c r="M479" i="1"/>
  <c r="M447" i="1"/>
  <c r="M476" i="1"/>
  <c r="M422" i="1"/>
  <c r="M451" i="1"/>
  <c r="M394" i="1"/>
  <c r="M423" i="1"/>
  <c r="M391" i="1"/>
  <c r="M420" i="1"/>
  <c r="M390" i="1"/>
  <c r="M419" i="1"/>
  <c r="M392" i="1"/>
  <c r="M421" i="1"/>
  <c r="M389" i="1"/>
  <c r="M418" i="1"/>
  <c r="M364" i="1"/>
  <c r="M393" i="1"/>
  <c r="M336" i="1"/>
  <c r="M365" i="1"/>
  <c r="M333" i="1"/>
  <c r="M362" i="1"/>
  <c r="M332" i="1"/>
  <c r="M361" i="1"/>
  <c r="M334" i="1"/>
  <c r="M363" i="1"/>
  <c r="M331" i="1"/>
  <c r="M360" i="1"/>
  <c r="M306" i="1"/>
  <c r="M335" i="1"/>
  <c r="M278" i="1"/>
  <c r="M307" i="1"/>
  <c r="M275" i="1"/>
  <c r="M304" i="1"/>
  <c r="M274" i="1"/>
  <c r="M303" i="1"/>
  <c r="M276" i="1"/>
  <c r="M305" i="1"/>
  <c r="M273" i="1"/>
  <c r="M302" i="1"/>
  <c r="M248" i="1"/>
  <c r="M277" i="1"/>
  <c r="M220" i="1"/>
  <c r="M249" i="1"/>
  <c r="M217" i="1"/>
  <c r="M246" i="1"/>
  <c r="M216" i="1"/>
  <c r="M245" i="1"/>
  <c r="M218" i="1"/>
  <c r="M247" i="1"/>
  <c r="M215" i="1"/>
  <c r="M244" i="1"/>
  <c r="M190" i="1"/>
  <c r="M219" i="1"/>
  <c r="M159" i="1"/>
  <c r="M188" i="1"/>
  <c r="M158" i="1"/>
  <c r="M187" i="1"/>
  <c r="M160" i="1"/>
  <c r="M189" i="1"/>
  <c r="M157" i="1"/>
  <c r="M186" i="1"/>
  <c r="M162" i="1"/>
  <c r="M191" i="1"/>
  <c r="M132" i="1"/>
  <c r="M161" i="1"/>
  <c r="M100" i="1"/>
  <c r="M129" i="1"/>
  <c r="M104" i="1"/>
  <c r="M133" i="1"/>
  <c r="M101" i="1"/>
  <c r="M130" i="1"/>
  <c r="M102" i="1"/>
  <c r="M131" i="1"/>
  <c r="M99" i="1"/>
  <c r="M128" i="1"/>
  <c r="M74" i="1"/>
  <c r="M103" i="1"/>
  <c r="M75" i="1"/>
  <c r="M72" i="1"/>
  <c r="M71" i="1"/>
  <c r="M73" i="1"/>
  <c r="M70" i="1"/>
  <c r="M45" i="1"/>
  <c r="AN14" i="1"/>
  <c r="M43" i="1"/>
  <c r="AN13" i="1"/>
  <c r="M42" i="1"/>
  <c r="AN15" i="1"/>
  <c r="M44" i="1"/>
  <c r="AP12" i="1"/>
  <c r="M41" i="1"/>
  <c r="AN17" i="1"/>
  <c r="M46" i="1"/>
  <c r="AN27" i="1"/>
  <c r="AN19" i="1"/>
  <c r="AN22" i="1"/>
  <c r="BE741" i="1"/>
  <c r="AN16" i="1"/>
  <c r="AN21" i="1"/>
  <c r="AN24" i="1"/>
  <c r="AN26" i="1"/>
  <c r="AN23" i="1"/>
  <c r="AN25" i="1"/>
  <c r="BB20" i="1"/>
  <c r="AN20" i="1"/>
  <c r="AN28" i="1"/>
  <c r="AN29" i="1"/>
  <c r="AN18" i="1"/>
  <c r="BE739" i="1"/>
  <c r="BE738" i="1"/>
  <c r="BE740" i="1"/>
  <c r="BE737" i="1"/>
  <c r="BM30" i="1"/>
  <c r="BB18" i="1"/>
  <c r="M16" i="1"/>
  <c r="M14" i="1"/>
  <c r="M20" i="1"/>
  <c r="M13" i="1"/>
  <c r="M18" i="1"/>
  <c r="M15" i="1"/>
  <c r="M12" i="1"/>
  <c r="M17" i="1"/>
  <c r="M19" i="1"/>
  <c r="L11" i="1"/>
  <c r="AN11" i="1" s="1"/>
  <c r="F12" i="4"/>
  <c r="AD9" i="2"/>
  <c r="AE9" i="2" s="1"/>
  <c r="X9" i="2"/>
  <c r="Y9" i="2" s="1"/>
  <c r="AD11" i="2"/>
  <c r="AE11" i="2" s="1"/>
  <c r="X11" i="2"/>
  <c r="AD5" i="2"/>
  <c r="X10" i="2"/>
  <c r="Y10" i="2" s="1"/>
  <c r="X7" i="2"/>
  <c r="Y7" i="2" s="1"/>
  <c r="J30" i="1"/>
  <c r="P30" i="1"/>
  <c r="O30" i="1"/>
  <c r="BB156" i="1" l="1"/>
  <c r="BB175" i="1" s="1"/>
  <c r="BB330" i="1"/>
  <c r="BB349" i="1" s="1"/>
  <c r="BB69" i="1"/>
  <c r="BB88" i="1" s="1"/>
  <c r="BB185" i="1"/>
  <c r="BB204" i="1" s="1"/>
  <c r="BB214" i="1"/>
  <c r="BB233" i="1" s="1"/>
  <c r="BB272" i="1"/>
  <c r="BB291" i="1" s="1"/>
  <c r="AM11" i="1"/>
  <c r="BB243" i="1"/>
  <c r="BB262" i="1" s="1"/>
  <c r="M736" i="1"/>
  <c r="M755" i="1" s="1"/>
  <c r="BF708" i="1"/>
  <c r="BF737" i="1"/>
  <c r="BF709" i="1"/>
  <c r="BF738" i="1"/>
  <c r="BF712" i="1"/>
  <c r="BF741" i="1"/>
  <c r="BE713" i="1"/>
  <c r="BE742" i="1"/>
  <c r="BF713" i="1"/>
  <c r="BF742" i="1"/>
  <c r="BF711" i="1"/>
  <c r="BF740" i="1"/>
  <c r="BF710" i="1"/>
  <c r="BF739" i="1"/>
  <c r="BE680" i="1"/>
  <c r="BE709" i="1"/>
  <c r="BE681" i="1"/>
  <c r="BE710" i="1"/>
  <c r="BE683" i="1"/>
  <c r="BE712" i="1"/>
  <c r="M678" i="1"/>
  <c r="M697" i="1" s="1"/>
  <c r="M707" i="1"/>
  <c r="M726" i="1" s="1"/>
  <c r="BE679" i="1"/>
  <c r="BE708" i="1"/>
  <c r="BE682" i="1"/>
  <c r="BE711" i="1"/>
  <c r="BF650" i="1"/>
  <c r="BF679" i="1"/>
  <c r="BF651" i="1"/>
  <c r="BF680" i="1"/>
  <c r="BF654" i="1"/>
  <c r="BF683" i="1"/>
  <c r="BE655" i="1"/>
  <c r="BE684" i="1"/>
  <c r="BF655" i="1"/>
  <c r="BF684" i="1"/>
  <c r="BF653" i="1"/>
  <c r="BF682" i="1"/>
  <c r="BF652" i="1"/>
  <c r="BF681" i="1"/>
  <c r="M620" i="1"/>
  <c r="M639" i="1" s="1"/>
  <c r="M649" i="1"/>
  <c r="M668" i="1" s="1"/>
  <c r="BE622" i="1"/>
  <c r="BE651" i="1"/>
  <c r="BE623" i="1"/>
  <c r="BE652" i="1"/>
  <c r="BE625" i="1"/>
  <c r="BE654" i="1"/>
  <c r="BE621" i="1"/>
  <c r="BE650" i="1"/>
  <c r="BE624" i="1"/>
  <c r="BE653" i="1"/>
  <c r="BF592" i="1"/>
  <c r="BF621" i="1"/>
  <c r="BF593" i="1"/>
  <c r="BF622" i="1"/>
  <c r="BF596" i="1"/>
  <c r="BF625" i="1"/>
  <c r="BE597" i="1"/>
  <c r="BE626" i="1"/>
  <c r="BF597" i="1"/>
  <c r="BF626" i="1"/>
  <c r="BF595" i="1"/>
  <c r="BF624" i="1"/>
  <c r="BF594" i="1"/>
  <c r="BF623" i="1"/>
  <c r="BE564" i="1"/>
  <c r="BE593" i="1"/>
  <c r="BE565" i="1"/>
  <c r="BE594" i="1"/>
  <c r="BE567" i="1"/>
  <c r="BE596" i="1"/>
  <c r="M562" i="1"/>
  <c r="M581" i="1" s="1"/>
  <c r="M591" i="1"/>
  <c r="M610" i="1" s="1"/>
  <c r="BE563" i="1"/>
  <c r="BE592" i="1"/>
  <c r="BE566" i="1"/>
  <c r="BE595" i="1"/>
  <c r="BF534" i="1"/>
  <c r="BF563" i="1"/>
  <c r="BF535" i="1"/>
  <c r="BF564" i="1"/>
  <c r="BF538" i="1"/>
  <c r="BF567" i="1"/>
  <c r="BE539" i="1"/>
  <c r="BE568" i="1"/>
  <c r="BF539" i="1"/>
  <c r="BF568" i="1"/>
  <c r="BF537" i="1"/>
  <c r="BF566" i="1"/>
  <c r="BF536" i="1"/>
  <c r="BF565" i="1"/>
  <c r="M504" i="1"/>
  <c r="M523" i="1" s="1"/>
  <c r="M533" i="1"/>
  <c r="M552" i="1" s="1"/>
  <c r="BE506" i="1"/>
  <c r="BE535" i="1"/>
  <c r="BE507" i="1"/>
  <c r="BE536" i="1"/>
  <c r="BE509" i="1"/>
  <c r="BE538" i="1"/>
  <c r="BE505" i="1"/>
  <c r="BE534" i="1"/>
  <c r="BE508" i="1"/>
  <c r="BE537" i="1"/>
  <c r="BF476" i="1"/>
  <c r="BF505" i="1"/>
  <c r="BF477" i="1"/>
  <c r="BF506" i="1"/>
  <c r="BF480" i="1"/>
  <c r="BF509" i="1"/>
  <c r="BE481" i="1"/>
  <c r="BE510" i="1"/>
  <c r="BF481" i="1"/>
  <c r="BF510" i="1"/>
  <c r="BF479" i="1"/>
  <c r="BF508" i="1"/>
  <c r="BF478" i="1"/>
  <c r="BF507" i="1"/>
  <c r="BE448" i="1"/>
  <c r="BE477" i="1"/>
  <c r="BE449" i="1"/>
  <c r="BE478" i="1"/>
  <c r="BE451" i="1"/>
  <c r="BE480" i="1"/>
  <c r="M446" i="1"/>
  <c r="M465" i="1" s="1"/>
  <c r="M475" i="1"/>
  <c r="M494" i="1" s="1"/>
  <c r="BE447" i="1"/>
  <c r="BE476" i="1"/>
  <c r="BE450" i="1"/>
  <c r="BE479" i="1"/>
  <c r="BF418" i="1"/>
  <c r="BF447" i="1"/>
  <c r="BF419" i="1"/>
  <c r="BF448" i="1"/>
  <c r="BF422" i="1"/>
  <c r="BF451" i="1"/>
  <c r="BE423" i="1"/>
  <c r="BE452" i="1"/>
  <c r="BF423" i="1"/>
  <c r="BF452" i="1"/>
  <c r="BF421" i="1"/>
  <c r="BF450" i="1"/>
  <c r="BF420" i="1"/>
  <c r="BF449" i="1"/>
  <c r="M388" i="1"/>
  <c r="M407" i="1" s="1"/>
  <c r="M417" i="1"/>
  <c r="M436" i="1" s="1"/>
  <c r="BE390" i="1"/>
  <c r="BE419" i="1"/>
  <c r="BE391" i="1"/>
  <c r="BE420" i="1"/>
  <c r="BE393" i="1"/>
  <c r="BE422" i="1"/>
  <c r="BE389" i="1"/>
  <c r="BE418" i="1"/>
  <c r="BE392" i="1"/>
  <c r="BE421" i="1"/>
  <c r="BF360" i="1"/>
  <c r="BF389" i="1"/>
  <c r="BF361" i="1"/>
  <c r="BF390" i="1"/>
  <c r="BF364" i="1"/>
  <c r="BF393" i="1"/>
  <c r="BE365" i="1"/>
  <c r="BE394" i="1"/>
  <c r="BF365" i="1"/>
  <c r="BF394" i="1"/>
  <c r="BF363" i="1"/>
  <c r="BF392" i="1"/>
  <c r="BF362" i="1"/>
  <c r="BF391" i="1"/>
  <c r="BE332" i="1"/>
  <c r="BE361" i="1"/>
  <c r="BE333" i="1"/>
  <c r="BE362" i="1"/>
  <c r="BE335" i="1"/>
  <c r="BE364" i="1"/>
  <c r="M330" i="1"/>
  <c r="M349" i="1" s="1"/>
  <c r="M359" i="1"/>
  <c r="M378" i="1" s="1"/>
  <c r="BE331" i="1"/>
  <c r="BE360" i="1"/>
  <c r="BE334" i="1"/>
  <c r="BE363" i="1"/>
  <c r="BF302" i="1"/>
  <c r="BF331" i="1"/>
  <c r="BF303" i="1"/>
  <c r="BF332" i="1"/>
  <c r="BF306" i="1"/>
  <c r="BF335" i="1"/>
  <c r="BE307" i="1"/>
  <c r="BE336" i="1"/>
  <c r="BF307" i="1"/>
  <c r="BF336" i="1"/>
  <c r="BF305" i="1"/>
  <c r="BF334" i="1"/>
  <c r="BF304" i="1"/>
  <c r="BF333" i="1"/>
  <c r="M272" i="1"/>
  <c r="M291" i="1" s="1"/>
  <c r="M301" i="1"/>
  <c r="M320" i="1" s="1"/>
  <c r="BE274" i="1"/>
  <c r="BE303" i="1"/>
  <c r="BE275" i="1"/>
  <c r="BE304" i="1"/>
  <c r="BE277" i="1"/>
  <c r="BE306" i="1"/>
  <c r="BE273" i="1"/>
  <c r="BE302" i="1"/>
  <c r="BE276" i="1"/>
  <c r="BE305" i="1"/>
  <c r="BF244" i="1"/>
  <c r="BF273" i="1"/>
  <c r="BF245" i="1"/>
  <c r="BF274" i="1"/>
  <c r="BF248" i="1"/>
  <c r="BF277" i="1"/>
  <c r="BE278" i="1"/>
  <c r="BF249" i="1"/>
  <c r="BF278" i="1"/>
  <c r="BF247" i="1"/>
  <c r="BF276" i="1"/>
  <c r="BF246" i="1"/>
  <c r="BF275" i="1"/>
  <c r="M214" i="1"/>
  <c r="M233" i="1" s="1"/>
  <c r="M243" i="1"/>
  <c r="M262" i="1" s="1"/>
  <c r="BE216" i="1"/>
  <c r="BE245" i="1"/>
  <c r="BE215" i="1"/>
  <c r="BE244" i="1"/>
  <c r="BE220" i="1"/>
  <c r="BE249" i="1"/>
  <c r="BE217" i="1"/>
  <c r="BE246" i="1"/>
  <c r="BE219" i="1"/>
  <c r="BE248" i="1"/>
  <c r="BE218" i="1"/>
  <c r="BE247" i="1"/>
  <c r="BF186" i="1"/>
  <c r="BF215" i="1"/>
  <c r="BF187" i="1"/>
  <c r="BF216" i="1"/>
  <c r="BF190" i="1"/>
  <c r="BF219" i="1"/>
  <c r="BF191" i="1"/>
  <c r="BF220" i="1"/>
  <c r="BF189" i="1"/>
  <c r="BF218" i="1"/>
  <c r="BF188" i="1"/>
  <c r="BF217" i="1"/>
  <c r="BE158" i="1"/>
  <c r="BE187" i="1"/>
  <c r="BE162" i="1"/>
  <c r="BE191" i="1"/>
  <c r="BE159" i="1"/>
  <c r="BE188" i="1"/>
  <c r="BE161" i="1"/>
  <c r="BE190" i="1"/>
  <c r="M156" i="1"/>
  <c r="M175" i="1" s="1"/>
  <c r="M185" i="1"/>
  <c r="M204" i="1" s="1"/>
  <c r="BE157" i="1"/>
  <c r="BE186" i="1"/>
  <c r="BE160" i="1"/>
  <c r="BE189" i="1"/>
  <c r="BF128" i="1"/>
  <c r="BF157" i="1"/>
  <c r="BF129" i="1"/>
  <c r="BF158" i="1"/>
  <c r="BF132" i="1"/>
  <c r="BF161" i="1"/>
  <c r="BF133" i="1"/>
  <c r="BF162" i="1"/>
  <c r="BF131" i="1"/>
  <c r="BF160" i="1"/>
  <c r="BF130" i="1"/>
  <c r="BF159" i="1"/>
  <c r="M98" i="1"/>
  <c r="M117" i="1" s="1"/>
  <c r="M127" i="1"/>
  <c r="M146" i="1" s="1"/>
  <c r="BE104" i="1"/>
  <c r="BE133" i="1"/>
  <c r="BE99" i="1"/>
  <c r="BE128" i="1"/>
  <c r="BE102" i="1"/>
  <c r="BE131" i="1"/>
  <c r="BE100" i="1"/>
  <c r="BE129" i="1"/>
  <c r="BE101" i="1"/>
  <c r="BE130" i="1"/>
  <c r="BE103" i="1"/>
  <c r="BE132" i="1"/>
  <c r="BF74" i="1"/>
  <c r="BF103" i="1"/>
  <c r="BF75" i="1"/>
  <c r="BF104" i="1"/>
  <c r="BF73" i="1"/>
  <c r="BF102" i="1"/>
  <c r="BF72" i="1"/>
  <c r="BF101" i="1"/>
  <c r="BF70" i="1"/>
  <c r="BF99" i="1"/>
  <c r="BF71" i="1"/>
  <c r="BF100" i="1"/>
  <c r="AV12" i="1"/>
  <c r="AZ12" i="1" s="1"/>
  <c r="BI737" i="1" s="1"/>
  <c r="BE71" i="1"/>
  <c r="BE75" i="1"/>
  <c r="BE72" i="1"/>
  <c r="BE74" i="1"/>
  <c r="M69" i="1"/>
  <c r="M88" i="1" s="1"/>
  <c r="BE70" i="1"/>
  <c r="BE73" i="1"/>
  <c r="BF45" i="1"/>
  <c r="BF46" i="1"/>
  <c r="BF44" i="1"/>
  <c r="BF43" i="1"/>
  <c r="BF41" i="1"/>
  <c r="BF42" i="1"/>
  <c r="M40" i="1"/>
  <c r="M59" i="1" s="1"/>
  <c r="M11" i="1"/>
  <c r="BE41" i="1"/>
  <c r="BE12" i="1"/>
  <c r="BE15" i="1"/>
  <c r="BE44" i="1"/>
  <c r="BE13" i="1"/>
  <c r="BE42" i="1"/>
  <c r="BE17" i="1"/>
  <c r="BE46" i="1"/>
  <c r="BE14" i="1"/>
  <c r="BE43" i="1"/>
  <c r="BE45" i="1"/>
  <c r="BE16" i="1"/>
  <c r="AO15" i="1"/>
  <c r="AU15" i="1"/>
  <c r="AT17" i="1"/>
  <c r="AY17" i="1"/>
  <c r="AS14" i="1"/>
  <c r="AX14" i="1"/>
  <c r="AQ13" i="1"/>
  <c r="AW13" i="1"/>
  <c r="AP11" i="1"/>
  <c r="AR16" i="1"/>
  <c r="BB19" i="1"/>
  <c r="BB21" i="1"/>
  <c r="M21" i="1"/>
  <c r="Y11" i="2"/>
  <c r="X8" i="2"/>
  <c r="Y8" i="2" s="1"/>
  <c r="X5" i="2"/>
  <c r="Y5" i="2" s="1"/>
  <c r="BF20" i="1"/>
  <c r="BF12" i="1"/>
  <c r="BF13" i="1"/>
  <c r="BF14" i="1"/>
  <c r="BF21" i="1"/>
  <c r="BF16" i="1"/>
  <c r="BF15" i="1"/>
  <c r="BF17" i="1"/>
  <c r="BF19" i="1"/>
  <c r="BF18" i="1"/>
  <c r="H12" i="4"/>
  <c r="H15" i="4" s="1"/>
  <c r="BB28" i="1"/>
  <c r="BB24" i="1"/>
  <c r="BB23" i="1"/>
  <c r="BB26" i="1"/>
  <c r="BB22" i="1"/>
  <c r="BB25" i="1"/>
  <c r="BB27" i="1"/>
  <c r="BB29" i="1"/>
  <c r="AD6" i="2"/>
  <c r="AE6" i="2" s="1"/>
  <c r="AD10" i="2"/>
  <c r="AE10" i="2" s="1"/>
  <c r="AD8" i="2"/>
  <c r="AE8" i="2" s="1"/>
  <c r="AB34" i="2"/>
  <c r="AE5" i="2"/>
  <c r="X6" i="2"/>
  <c r="V34" i="2"/>
  <c r="R30" i="1"/>
  <c r="L30" i="1"/>
  <c r="BC30" i="1"/>
  <c r="AU11" i="1" l="1"/>
  <c r="AO11" i="1"/>
  <c r="AZ14" i="1"/>
  <c r="BI739" i="1" s="1"/>
  <c r="AZ15" i="1"/>
  <c r="BI740" i="1" s="1"/>
  <c r="AZ16" i="1"/>
  <c r="BI741" i="1" s="1"/>
  <c r="AZ13" i="1"/>
  <c r="BI680" i="1" s="1"/>
  <c r="AZ17" i="1"/>
  <c r="BI742" i="1" s="1"/>
  <c r="BF707" i="1"/>
  <c r="BF726" i="1" s="1"/>
  <c r="BF736" i="1"/>
  <c r="BF755" i="1" s="1"/>
  <c r="BE707" i="1"/>
  <c r="BE726" i="1" s="1"/>
  <c r="BE736" i="1"/>
  <c r="BE755" i="1" s="1"/>
  <c r="BI711" i="1"/>
  <c r="BI683" i="1"/>
  <c r="BI679" i="1"/>
  <c r="BI708" i="1"/>
  <c r="BI681" i="1"/>
  <c r="BI710" i="1"/>
  <c r="BE649" i="1"/>
  <c r="BE668" i="1" s="1"/>
  <c r="BE678" i="1"/>
  <c r="BE697" i="1" s="1"/>
  <c r="BF649" i="1"/>
  <c r="BF668" i="1" s="1"/>
  <c r="BF678" i="1"/>
  <c r="BF697" i="1" s="1"/>
  <c r="BI621" i="1"/>
  <c r="BI650" i="1"/>
  <c r="BI623" i="1"/>
  <c r="BI652" i="1"/>
  <c r="BI626" i="1"/>
  <c r="BF591" i="1"/>
  <c r="BF610" i="1" s="1"/>
  <c r="BF620" i="1"/>
  <c r="BF639" i="1" s="1"/>
  <c r="BE591" i="1"/>
  <c r="BE610" i="1" s="1"/>
  <c r="BE620" i="1"/>
  <c r="BE639" i="1" s="1"/>
  <c r="BI563" i="1"/>
  <c r="BI592" i="1"/>
  <c r="BI568" i="1"/>
  <c r="BI597" i="1"/>
  <c r="BI565" i="1"/>
  <c r="BI594" i="1"/>
  <c r="BE533" i="1"/>
  <c r="BE552" i="1" s="1"/>
  <c r="BE562" i="1"/>
  <c r="BE581" i="1" s="1"/>
  <c r="BF533" i="1"/>
  <c r="BF552" i="1" s="1"/>
  <c r="BF562" i="1"/>
  <c r="BF581" i="1" s="1"/>
  <c r="BI505" i="1"/>
  <c r="BI534" i="1"/>
  <c r="BI507" i="1"/>
  <c r="BI536" i="1"/>
  <c r="BI510" i="1"/>
  <c r="BI539" i="1"/>
  <c r="BF475" i="1"/>
  <c r="BF494" i="1" s="1"/>
  <c r="BF504" i="1"/>
  <c r="BF523" i="1" s="1"/>
  <c r="BE475" i="1"/>
  <c r="BE494" i="1" s="1"/>
  <c r="BE504" i="1"/>
  <c r="BE523" i="1" s="1"/>
  <c r="BI447" i="1"/>
  <c r="BI476" i="1"/>
  <c r="BI452" i="1"/>
  <c r="BI481" i="1"/>
  <c r="BI449" i="1"/>
  <c r="BI478" i="1"/>
  <c r="BE417" i="1"/>
  <c r="BE436" i="1" s="1"/>
  <c r="BE446" i="1"/>
  <c r="BE465" i="1" s="1"/>
  <c r="BF417" i="1"/>
  <c r="BF436" i="1" s="1"/>
  <c r="BF446" i="1"/>
  <c r="BF465" i="1" s="1"/>
  <c r="AV11" i="1"/>
  <c r="BI389" i="1"/>
  <c r="BI418" i="1"/>
  <c r="BI391" i="1"/>
  <c r="BI420" i="1"/>
  <c r="BI419" i="1"/>
  <c r="BI394" i="1"/>
  <c r="BI423" i="1"/>
  <c r="BF359" i="1"/>
  <c r="BF378" i="1" s="1"/>
  <c r="BF388" i="1"/>
  <c r="BF407" i="1" s="1"/>
  <c r="BE359" i="1"/>
  <c r="BE378" i="1" s="1"/>
  <c r="BE388" i="1"/>
  <c r="BE407" i="1" s="1"/>
  <c r="BI331" i="1"/>
  <c r="BI360" i="1"/>
  <c r="BI361" i="1"/>
  <c r="BI365" i="1"/>
  <c r="BI362" i="1"/>
  <c r="BE301" i="1"/>
  <c r="BE320" i="1" s="1"/>
  <c r="BE330" i="1"/>
  <c r="BE349" i="1" s="1"/>
  <c r="BF301" i="1"/>
  <c r="BF320" i="1" s="1"/>
  <c r="BF330" i="1"/>
  <c r="BF349" i="1" s="1"/>
  <c r="BI273" i="1"/>
  <c r="BI302" i="1"/>
  <c r="BE243" i="1"/>
  <c r="BE262" i="1" s="1"/>
  <c r="BE272" i="1"/>
  <c r="BE291" i="1" s="1"/>
  <c r="BF243" i="1"/>
  <c r="BF262" i="1" s="1"/>
  <c r="BF272" i="1"/>
  <c r="BF291" i="1" s="1"/>
  <c r="BI215" i="1"/>
  <c r="BI244" i="1"/>
  <c r="BE185" i="1"/>
  <c r="BE204" i="1" s="1"/>
  <c r="BE214" i="1"/>
  <c r="BE233" i="1" s="1"/>
  <c r="BF185" i="1"/>
  <c r="BF204" i="1" s="1"/>
  <c r="BF214" i="1"/>
  <c r="BF233" i="1" s="1"/>
  <c r="BI157" i="1"/>
  <c r="BI186" i="1"/>
  <c r="BE127" i="1"/>
  <c r="BE146" i="1" s="1"/>
  <c r="BE156" i="1"/>
  <c r="BE175" i="1" s="1"/>
  <c r="BF127" i="1"/>
  <c r="BF146" i="1" s="1"/>
  <c r="BF156" i="1"/>
  <c r="BF175" i="1" s="1"/>
  <c r="BI99" i="1"/>
  <c r="BI128" i="1"/>
  <c r="BI133" i="1"/>
  <c r="BE69" i="1"/>
  <c r="BE88" i="1" s="1"/>
  <c r="BE98" i="1"/>
  <c r="BE117" i="1" s="1"/>
  <c r="BF69" i="1"/>
  <c r="BF88" i="1" s="1"/>
  <c r="BF98" i="1"/>
  <c r="BF117" i="1" s="1"/>
  <c r="BI75" i="1"/>
  <c r="BI70" i="1"/>
  <c r="BE40" i="1"/>
  <c r="BE59" i="1" s="1"/>
  <c r="BF40" i="1"/>
  <c r="BF59" i="1" s="1"/>
  <c r="BI46" i="1"/>
  <c r="BI12" i="1"/>
  <c r="BI41" i="1"/>
  <c r="BF11" i="1"/>
  <c r="BF30" i="1" s="1"/>
  <c r="BE11" i="1"/>
  <c r="BB12" i="1"/>
  <c r="I12" i="4"/>
  <c r="I15" i="4" s="1"/>
  <c r="BB17" i="1"/>
  <c r="M30" i="1"/>
  <c r="AN30" i="1"/>
  <c r="AM30" i="1"/>
  <c r="AD34" i="2"/>
  <c r="AE34" i="2"/>
  <c r="Y6" i="2"/>
  <c r="Y34" i="2" s="1"/>
  <c r="X34" i="2"/>
  <c r="BI364" i="1" l="1"/>
  <c r="BI422" i="1"/>
  <c r="BI219" i="1"/>
  <c r="BI566" i="1"/>
  <c r="BI393" i="1"/>
  <c r="BI480" i="1"/>
  <c r="BI538" i="1"/>
  <c r="BI654" i="1"/>
  <c r="BI451" i="1"/>
  <c r="BI509" i="1"/>
  <c r="BI596" i="1"/>
  <c r="BI625" i="1"/>
  <c r="BI567" i="1"/>
  <c r="BI712" i="1"/>
  <c r="AZ11" i="1"/>
  <c r="BI678" i="1" s="1"/>
  <c r="BI479" i="1"/>
  <c r="BI537" i="1"/>
  <c r="BI421" i="1"/>
  <c r="BI450" i="1"/>
  <c r="BI508" i="1"/>
  <c r="BI713" i="1"/>
  <c r="BI363" i="1"/>
  <c r="BI392" i="1"/>
  <c r="BI595" i="1"/>
  <c r="BI655" i="1"/>
  <c r="BI653" i="1"/>
  <c r="BI684" i="1"/>
  <c r="BI43" i="1"/>
  <c r="BI17" i="1"/>
  <c r="BI104" i="1"/>
  <c r="BI101" i="1"/>
  <c r="BI188" i="1"/>
  <c r="BI220" i="1"/>
  <c r="BI333" i="1"/>
  <c r="BI14" i="1"/>
  <c r="BI130" i="1"/>
  <c r="BB14" i="1"/>
  <c r="BI72" i="1"/>
  <c r="BI191" i="1"/>
  <c r="BI162" i="1"/>
  <c r="BI159" i="1"/>
  <c r="BI246" i="1"/>
  <c r="BI307" i="1"/>
  <c r="BI304" i="1"/>
  <c r="BI217" i="1"/>
  <c r="BI278" i="1"/>
  <c r="BI275" i="1"/>
  <c r="BI336" i="1"/>
  <c r="BI249" i="1"/>
  <c r="BI161" i="1"/>
  <c r="BI306" i="1"/>
  <c r="BI335" i="1"/>
  <c r="BI16" i="1"/>
  <c r="BI103" i="1"/>
  <c r="BI15" i="1"/>
  <c r="BI218" i="1"/>
  <c r="BI276" i="1"/>
  <c r="BB15" i="1"/>
  <c r="BI102" i="1"/>
  <c r="BI448" i="1"/>
  <c r="BI390" i="1"/>
  <c r="BI535" i="1"/>
  <c r="BI593" i="1"/>
  <c r="BI651" i="1"/>
  <c r="BI506" i="1"/>
  <c r="BI564" i="1"/>
  <c r="BI622" i="1"/>
  <c r="BI477" i="1"/>
  <c r="BI42" i="1"/>
  <c r="BI100" i="1"/>
  <c r="BI71" i="1"/>
  <c r="BI216" i="1"/>
  <c r="BI160" i="1"/>
  <c r="BI44" i="1"/>
  <c r="BI73" i="1"/>
  <c r="BI131" i="1"/>
  <c r="BI247" i="1"/>
  <c r="BI305" i="1"/>
  <c r="BI334" i="1"/>
  <c r="BI189" i="1"/>
  <c r="BI45" i="1"/>
  <c r="BI74" i="1"/>
  <c r="BI132" i="1"/>
  <c r="BI190" i="1"/>
  <c r="BI248" i="1"/>
  <c r="BB16" i="1"/>
  <c r="BI277" i="1"/>
  <c r="BB13" i="1"/>
  <c r="BI187" i="1"/>
  <c r="BI158" i="1"/>
  <c r="BI13" i="1"/>
  <c r="BI129" i="1"/>
  <c r="BI245" i="1"/>
  <c r="BI303" i="1"/>
  <c r="BI274" i="1"/>
  <c r="BI332" i="1"/>
  <c r="BI624" i="1"/>
  <c r="BI682" i="1"/>
  <c r="BI738" i="1"/>
  <c r="BI709" i="1"/>
  <c r="BE30" i="1"/>
  <c r="H18" i="4"/>
  <c r="H20" i="4" s="1"/>
  <c r="H31" i="4" s="1"/>
  <c r="BI69" i="1" l="1"/>
  <c r="BI301" i="1"/>
  <c r="BI533" i="1"/>
  <c r="BI649" i="1"/>
  <c r="BI668" i="1" s="1"/>
  <c r="BI156" i="1"/>
  <c r="BI272" i="1"/>
  <c r="BI388" i="1"/>
  <c r="BI504" i="1"/>
  <c r="BI620" i="1"/>
  <c r="BI639" i="1" s="1"/>
  <c r="BI736" i="1"/>
  <c r="BB11" i="1"/>
  <c r="BI40" i="1"/>
  <c r="BI59" i="1" s="1"/>
  <c r="BI127" i="1"/>
  <c r="BI146" i="1" s="1"/>
  <c r="BI243" i="1"/>
  <c r="BI262" i="1" s="1"/>
  <c r="BI359" i="1"/>
  <c r="BI475" i="1"/>
  <c r="BI494" i="1" s="1"/>
  <c r="BI591" i="1"/>
  <c r="BI610" i="1" s="1"/>
  <c r="BI707" i="1"/>
  <c r="BI726" i="1" s="1"/>
  <c r="BI185" i="1"/>
  <c r="BI417" i="1"/>
  <c r="BI436" i="1" s="1"/>
  <c r="BI11" i="1"/>
  <c r="BI30" i="1" s="1"/>
  <c r="BI98" i="1"/>
  <c r="BI117" i="1" s="1"/>
  <c r="BI214" i="1"/>
  <c r="BI233" i="1" s="1"/>
  <c r="BI330" i="1"/>
  <c r="BI349" i="1" s="1"/>
  <c r="BI446" i="1"/>
  <c r="BI465" i="1" s="1"/>
  <c r="BI562" i="1"/>
  <c r="BI581" i="1" s="1"/>
  <c r="BI378" i="1"/>
  <c r="BI88" i="1"/>
  <c r="BI552" i="1"/>
  <c r="I18" i="4"/>
  <c r="I20" i="4" s="1"/>
  <c r="I31" i="4" s="1"/>
  <c r="BI407" i="1"/>
  <c r="BI523" i="1"/>
  <c r="BI175" i="1"/>
  <c r="BI204" i="1"/>
  <c r="BI291" i="1"/>
  <c r="BI320" i="1"/>
  <c r="BI697" i="1"/>
  <c r="BI755" i="1"/>
  <c r="AZ30" i="1"/>
  <c r="BB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6" authorId="0" shapeId="0" xr:uid="{7E87AA7F-129B-479B-97E9-A1DF32597372}">
      <text>
        <r>
          <rPr>
            <b/>
            <sz val="9"/>
            <color indexed="81"/>
            <rFont val="Tahoma"/>
            <family val="2"/>
          </rPr>
          <t>Hi!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I3" authorId="0" shapeId="0" xr:uid="{2592F45C-33BE-43BA-B406-805B49B24700}">
      <text>
        <r>
          <rPr>
            <sz val="9"/>
            <color indexed="81"/>
            <rFont val="Tahoma"/>
            <family val="2"/>
          </rPr>
          <t xml:space="preserve">A selection is required to calculate PAYG.
</t>
        </r>
      </text>
    </comment>
    <comment ref="L3" authorId="0" shapeId="0" xr:uid="{5BA91A06-94E0-4893-9CD8-CE2B39E79387}">
      <text>
        <r>
          <rPr>
            <sz val="9"/>
            <color indexed="81"/>
            <rFont val="Tahoma"/>
            <family val="2"/>
          </rPr>
          <t>STSL = Study and training support loan components</t>
        </r>
      </text>
    </comment>
    <comment ref="O3" authorId="0" shapeId="0" xr:uid="{7336F6CE-44B1-4D9D-8F4C-2C03CB42E412}">
      <text>
        <r>
          <rPr>
            <sz val="9"/>
            <color indexed="81"/>
            <rFont val="Tahoma"/>
            <family val="2"/>
          </rPr>
          <t xml:space="preserve">To calculate base salary (excluding super):
Packaged salary (inc. super) / superannuation rate
E.g. $100,000 (inc. Super) / 1.095 = $91,324
</t>
        </r>
      </text>
    </comment>
    <comment ref="P3" authorId="0" shapeId="0" xr:uid="{B5EC9111-8789-4460-91A7-B6735AD0357C}">
      <text>
        <r>
          <rPr>
            <sz val="9"/>
            <color indexed="81"/>
            <rFont val="Tahoma"/>
            <family val="2"/>
          </rPr>
          <t>If the hourly rate is not calculated automatically, enter a value (e.g. casuals or contractors).
The rate is calculated based on the annual salary entered into column O and therefore excludes superannuation.</t>
        </r>
        <r>
          <rPr>
            <b/>
            <sz val="9"/>
            <color indexed="81"/>
            <rFont val="Tahoma"/>
            <family val="2"/>
          </rPr>
          <t xml:space="preserve">
Example calculation:</t>
        </r>
        <r>
          <rPr>
            <sz val="9"/>
            <color indexed="81"/>
            <rFont val="Tahoma"/>
            <family val="2"/>
          </rPr>
          <t xml:space="preserve">
Annual salary (exc. Super) / 52 weeks / Ordinary hours per week
(e.g. $100,000 / 52 / 38) = $50.61
</t>
        </r>
        <r>
          <rPr>
            <u/>
            <sz val="9"/>
            <color indexed="81"/>
            <rFont val="Tahoma"/>
            <family val="2"/>
          </rPr>
          <t xml:space="preserve">
</t>
        </r>
      </text>
    </comment>
    <comment ref="Q3" authorId="0" shapeId="0" xr:uid="{897D62FC-2B45-4F5D-AF05-EF3C85218D9F}">
      <text>
        <r>
          <rPr>
            <sz val="9"/>
            <color indexed="81"/>
            <rFont val="Tahoma"/>
            <family val="2"/>
          </rPr>
          <t xml:space="preserve">If the employee does not have standard hours, leave this column blank and use the timesheet entry on the PAYG worksheet.
Note: The number of hours worked per week should be no higher than the maximum full-time hours (cell D4 of the 'Basic payroll data' worksheet) - if the ordinary hours entered is higher than this the leave balances calculated will be incorrect.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F8" authorId="0" shapeId="0" xr:uid="{BF7DA1CF-E9AB-4CCB-8744-14DF0A67D480}">
      <text>
        <r>
          <rPr>
            <sz val="9"/>
            <color indexed="81"/>
            <rFont val="Tahoma"/>
            <family val="2"/>
          </rPr>
          <t>Timesheet entry must not be used for employees with standard hours when  using a monthly payrun.
For fortnightly payruns, an entry in this column will override the standard hours.</t>
        </r>
      </text>
    </comment>
    <comment ref="AA8" authorId="0" shapeId="0" xr:uid="{F78A91CC-EAFB-4C67-BB44-BEFA436BF9C8}">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8" authorId="0" shapeId="0" xr:uid="{7B56689D-FA18-47CB-9AD7-041E88D2E7D3}">
      <text>
        <r>
          <rPr>
            <sz val="9"/>
            <color indexed="81"/>
            <rFont val="Tahoma"/>
            <family val="2"/>
          </rPr>
          <t>An allowance is included as assessable if this field is blank.</t>
        </r>
      </text>
    </comment>
    <comment ref="AH8" authorId="0" shapeId="0" xr:uid="{7BF3B917-E260-47FB-BEE2-32D6156CD0E6}">
      <text>
        <r>
          <rPr>
            <sz val="9"/>
            <color indexed="81"/>
            <rFont val="Tahoma"/>
            <family val="2"/>
          </rPr>
          <t>A reimbursement is included (assumed) as assessable if this field is left blank.</t>
        </r>
      </text>
    </comment>
    <comment ref="AJ8" authorId="0" shapeId="0" xr:uid="{D826BE2E-1B78-492F-A91F-A45AE4958027}">
      <text>
        <r>
          <rPr>
            <sz val="9"/>
            <color indexed="81"/>
            <rFont val="Tahoma"/>
            <family val="2"/>
          </rPr>
          <t>Enter positive values only</t>
        </r>
      </text>
    </comment>
    <comment ref="AK8" authorId="0" shapeId="0" xr:uid="{25F1855D-4867-4E21-8031-6814083B3C58}">
      <text>
        <r>
          <rPr>
            <sz val="9"/>
            <color indexed="81"/>
            <rFont val="Tahoma"/>
            <family val="2"/>
          </rPr>
          <t>For example, bonus payments which are included in OTE.</t>
        </r>
      </text>
    </comment>
    <comment ref="BA8" authorId="0" shapeId="0" xr:uid="{016536BB-B2D9-4770-ABF3-F4163BB48CFB}">
      <text>
        <r>
          <rPr>
            <sz val="9"/>
            <color indexed="81"/>
            <rFont val="Tahoma"/>
            <family val="2"/>
          </rPr>
          <t xml:space="preserve">If you have calculated additional PAYG withholding amounts, you may include them here.
</t>
        </r>
      </text>
    </comment>
    <comment ref="BL8" authorId="0" shapeId="0" xr:uid="{1BBF24C3-9DDD-428E-9E55-0157FFF723EB}">
      <text>
        <r>
          <rPr>
            <sz val="9"/>
            <color indexed="81"/>
            <rFont val="Tahoma"/>
            <family val="2"/>
          </rPr>
          <t>For example, bonus payments which are included in OTE.</t>
        </r>
      </text>
    </comment>
    <comment ref="AA37" authorId="0" shapeId="0" xr:uid="{C0619076-5A48-4FD8-8CB9-3CC707087B64}">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37" authorId="0" shapeId="0" xr:uid="{EEB60416-0871-4982-9211-37664875F81C}">
      <text>
        <r>
          <rPr>
            <sz val="9"/>
            <color indexed="81"/>
            <rFont val="Tahoma"/>
            <family val="2"/>
          </rPr>
          <t>An allowance is included as assessable if this field is blank.</t>
        </r>
      </text>
    </comment>
    <comment ref="AH37" authorId="0" shapeId="0" xr:uid="{3E5D5DDF-74ED-44FD-8928-80BCF1FC1867}">
      <text>
        <r>
          <rPr>
            <sz val="9"/>
            <color indexed="81"/>
            <rFont val="Tahoma"/>
            <family val="2"/>
          </rPr>
          <t>A reimbursement is included (assumed) as assessable if this field is left blank.</t>
        </r>
      </text>
    </comment>
    <comment ref="AK37" authorId="0" shapeId="0" xr:uid="{ACBF5C04-A57C-4DE5-B7D2-773F60359A9E}">
      <text>
        <r>
          <rPr>
            <sz val="9"/>
            <color indexed="81"/>
            <rFont val="Tahoma"/>
            <family val="2"/>
          </rPr>
          <t>For example, bonus payments which are included in OTE.</t>
        </r>
      </text>
    </comment>
    <comment ref="BA37" authorId="0" shapeId="0" xr:uid="{96A68B88-6BDE-4238-A3A6-EECE9E381680}">
      <text>
        <r>
          <rPr>
            <sz val="9"/>
            <color indexed="81"/>
            <rFont val="Tahoma"/>
            <family val="2"/>
          </rPr>
          <t xml:space="preserve">If you have calculated additional PAYG withholding amounts, you may include them here.
</t>
        </r>
      </text>
    </comment>
    <comment ref="BL37" authorId="0" shapeId="0" xr:uid="{2D101B20-0194-42FB-A512-1732AFE144DF}">
      <text>
        <r>
          <rPr>
            <sz val="9"/>
            <color indexed="81"/>
            <rFont val="Tahoma"/>
            <family val="2"/>
          </rPr>
          <t>For example, bonus payments which are included in OTE.</t>
        </r>
      </text>
    </comment>
    <comment ref="AA66" authorId="0" shapeId="0" xr:uid="{D5F60C28-11D8-49B2-A9D2-11709858DD11}">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66" authorId="0" shapeId="0" xr:uid="{78AC1FEE-292E-45EB-8DF9-8C49C8662E64}">
      <text>
        <r>
          <rPr>
            <sz val="9"/>
            <color indexed="81"/>
            <rFont val="Tahoma"/>
            <family val="2"/>
          </rPr>
          <t>An allowance is included as assessable if this field is blank.</t>
        </r>
      </text>
    </comment>
    <comment ref="AH66" authorId="0" shapeId="0" xr:uid="{E8CEF250-B9CB-4AD9-A3F8-B23505B39E84}">
      <text>
        <r>
          <rPr>
            <sz val="9"/>
            <color indexed="81"/>
            <rFont val="Tahoma"/>
            <family val="2"/>
          </rPr>
          <t>A reimbursement is included (assumed) as assessable if this field is left blank.</t>
        </r>
      </text>
    </comment>
    <comment ref="AK66" authorId="0" shapeId="0" xr:uid="{DEBC74AA-7A7E-4012-8A27-51D857277246}">
      <text>
        <r>
          <rPr>
            <sz val="9"/>
            <color indexed="81"/>
            <rFont val="Tahoma"/>
            <family val="2"/>
          </rPr>
          <t>For example, bonus payments which are included in OTE.</t>
        </r>
      </text>
    </comment>
    <comment ref="BA66" authorId="0" shapeId="0" xr:uid="{C2862AE9-B146-47E2-A511-DC58A2489382}">
      <text>
        <r>
          <rPr>
            <sz val="9"/>
            <color indexed="81"/>
            <rFont val="Tahoma"/>
            <family val="2"/>
          </rPr>
          <t xml:space="preserve">If you have calculated additional PAYG withholding amounts, you may include them here.
</t>
        </r>
      </text>
    </comment>
    <comment ref="BL66" authorId="0" shapeId="0" xr:uid="{DD6B0C20-EFB9-4FFD-BF4F-4EE75BA1500E}">
      <text>
        <r>
          <rPr>
            <sz val="9"/>
            <color indexed="81"/>
            <rFont val="Tahoma"/>
            <family val="2"/>
          </rPr>
          <t>For example, bonus payments which are included in OTE.</t>
        </r>
      </text>
    </comment>
    <comment ref="AA95" authorId="0" shapeId="0" xr:uid="{68E698BB-022A-4184-A666-EFE573478998}">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95" authorId="0" shapeId="0" xr:uid="{7DD87D50-01B5-4ADF-ADF1-4E8A3E916019}">
      <text>
        <r>
          <rPr>
            <sz val="9"/>
            <color indexed="81"/>
            <rFont val="Tahoma"/>
            <family val="2"/>
          </rPr>
          <t>An allowance is included as assessable if this field is blank.</t>
        </r>
      </text>
    </comment>
    <comment ref="AH95" authorId="0" shapeId="0" xr:uid="{124A188F-18CC-42AE-99F8-4388758FDEF4}">
      <text>
        <r>
          <rPr>
            <sz val="9"/>
            <color indexed="81"/>
            <rFont val="Tahoma"/>
            <family val="2"/>
          </rPr>
          <t>A reimbursement is included (assumed) as assessable if this field is left blank.</t>
        </r>
      </text>
    </comment>
    <comment ref="AK95" authorId="0" shapeId="0" xr:uid="{8EF2B09F-B5AF-42E1-A9EA-B6AF680D9BFE}">
      <text>
        <r>
          <rPr>
            <sz val="9"/>
            <color indexed="81"/>
            <rFont val="Tahoma"/>
            <family val="2"/>
          </rPr>
          <t>For example, bonus payments which are included in OTE.</t>
        </r>
      </text>
    </comment>
    <comment ref="BA95" authorId="0" shapeId="0" xr:uid="{A30D7B7F-17A8-4D1F-845A-D5E70E695934}">
      <text>
        <r>
          <rPr>
            <sz val="9"/>
            <color indexed="81"/>
            <rFont val="Tahoma"/>
            <family val="2"/>
          </rPr>
          <t xml:space="preserve">If you have calculated additional PAYG withholding amounts, you may include them here.
</t>
        </r>
      </text>
    </comment>
    <comment ref="BL95" authorId="0" shapeId="0" xr:uid="{A26B1B7C-90C5-411D-85BF-F3D845CA915F}">
      <text>
        <r>
          <rPr>
            <sz val="9"/>
            <color indexed="81"/>
            <rFont val="Tahoma"/>
            <family val="2"/>
          </rPr>
          <t>For example, bonus payments which are included in OTE.</t>
        </r>
      </text>
    </comment>
    <comment ref="AA124" authorId="0" shapeId="0" xr:uid="{C9F2B8A7-5353-4EB7-8B07-17734B3359D7}">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124" authorId="0" shapeId="0" xr:uid="{A0A4CEFC-E9E5-435D-92F5-4C7A6623A5C3}">
      <text>
        <r>
          <rPr>
            <sz val="9"/>
            <color indexed="81"/>
            <rFont val="Tahoma"/>
            <family val="2"/>
          </rPr>
          <t>An allowance is included as assessable if this field is blank.</t>
        </r>
      </text>
    </comment>
    <comment ref="AH124" authorId="0" shapeId="0" xr:uid="{C63692BC-E303-437D-A910-BF0A43FB65F9}">
      <text>
        <r>
          <rPr>
            <sz val="9"/>
            <color indexed="81"/>
            <rFont val="Tahoma"/>
            <family val="2"/>
          </rPr>
          <t>A reimbursement is included (assumed) as assessable if this field is left blank.</t>
        </r>
      </text>
    </comment>
    <comment ref="AK124" authorId="0" shapeId="0" xr:uid="{7A5F4C5D-8863-47BA-A57B-2B83D16A2C6B}">
      <text>
        <r>
          <rPr>
            <sz val="9"/>
            <color indexed="81"/>
            <rFont val="Tahoma"/>
            <family val="2"/>
          </rPr>
          <t>For example, bonus payments which are included in OTE.</t>
        </r>
      </text>
    </comment>
    <comment ref="BA124" authorId="0" shapeId="0" xr:uid="{71AA810F-E635-44F1-900F-96DD94A539D5}">
      <text>
        <r>
          <rPr>
            <sz val="9"/>
            <color indexed="81"/>
            <rFont val="Tahoma"/>
            <family val="2"/>
          </rPr>
          <t xml:space="preserve">If you have calculated additional PAYG withholding amounts, you may include them here.
</t>
        </r>
      </text>
    </comment>
    <comment ref="BL124" authorId="0" shapeId="0" xr:uid="{E80F6462-D5A5-4033-AA95-811F36EBD675}">
      <text>
        <r>
          <rPr>
            <sz val="9"/>
            <color indexed="81"/>
            <rFont val="Tahoma"/>
            <family val="2"/>
          </rPr>
          <t>For example, bonus payments which are included in OTE.</t>
        </r>
      </text>
    </comment>
    <comment ref="AA153" authorId="0" shapeId="0" xr:uid="{8B5B0863-1AC4-499C-BC8C-52690214BC5F}">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153" authorId="0" shapeId="0" xr:uid="{E9DE528E-0C34-4C02-944A-2FEF098C0800}">
      <text>
        <r>
          <rPr>
            <sz val="9"/>
            <color indexed="81"/>
            <rFont val="Tahoma"/>
            <family val="2"/>
          </rPr>
          <t>An allowance is included as assessable if this field is blank.</t>
        </r>
      </text>
    </comment>
    <comment ref="AH153" authorId="0" shapeId="0" xr:uid="{3788229E-B591-4AC4-AD64-BFAB013ACB95}">
      <text>
        <r>
          <rPr>
            <sz val="9"/>
            <color indexed="81"/>
            <rFont val="Tahoma"/>
            <family val="2"/>
          </rPr>
          <t>A reimbursement is included (assumed) as assessable if this field is left blank.</t>
        </r>
      </text>
    </comment>
    <comment ref="AK153" authorId="0" shapeId="0" xr:uid="{E2318349-D2D5-4D23-BDF0-D487E6AD4907}">
      <text>
        <r>
          <rPr>
            <sz val="9"/>
            <color indexed="81"/>
            <rFont val="Tahoma"/>
            <family val="2"/>
          </rPr>
          <t>For example, bonus payments which are included in OTE.</t>
        </r>
      </text>
    </comment>
    <comment ref="BA153" authorId="0" shapeId="0" xr:uid="{CF54F332-0C2B-4B61-BAFA-350108BF866A}">
      <text>
        <r>
          <rPr>
            <sz val="9"/>
            <color indexed="81"/>
            <rFont val="Tahoma"/>
            <family val="2"/>
          </rPr>
          <t xml:space="preserve">If you have calculated additional PAYG withholding amounts, you may include them here.
</t>
        </r>
      </text>
    </comment>
    <comment ref="BL153" authorId="0" shapeId="0" xr:uid="{881C1F96-A0ED-4FF1-A0EA-1831AC2EEDC1}">
      <text>
        <r>
          <rPr>
            <sz val="9"/>
            <color indexed="81"/>
            <rFont val="Tahoma"/>
            <family val="2"/>
          </rPr>
          <t>For example, bonus payments which are included in OTE.</t>
        </r>
      </text>
    </comment>
    <comment ref="AA182" authorId="0" shapeId="0" xr:uid="{46852916-641B-44B0-8876-2B68F91C678E}">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182" authorId="0" shapeId="0" xr:uid="{CED79089-282A-4F9E-8739-D0C3DE1F7384}">
      <text>
        <r>
          <rPr>
            <sz val="9"/>
            <color indexed="81"/>
            <rFont val="Tahoma"/>
            <family val="2"/>
          </rPr>
          <t>An allowance is included as assessable if this field is blank.</t>
        </r>
      </text>
    </comment>
    <comment ref="AH182" authorId="0" shapeId="0" xr:uid="{ED5D052B-2A6D-4978-8D36-F9590FD44D2E}">
      <text>
        <r>
          <rPr>
            <sz val="9"/>
            <color indexed="81"/>
            <rFont val="Tahoma"/>
            <family val="2"/>
          </rPr>
          <t>A reimbursement is included (assumed) as assessable if this field is left blank.</t>
        </r>
      </text>
    </comment>
    <comment ref="AK182" authorId="0" shapeId="0" xr:uid="{02498017-6E48-4DD8-8ABE-968C1B83D428}">
      <text>
        <r>
          <rPr>
            <sz val="9"/>
            <color indexed="81"/>
            <rFont val="Tahoma"/>
            <family val="2"/>
          </rPr>
          <t>For example, bonus payments which are included in OTE.</t>
        </r>
      </text>
    </comment>
    <comment ref="BA182" authorId="0" shapeId="0" xr:uid="{83493B4F-5DFD-4B6F-9F01-E674E4818490}">
      <text>
        <r>
          <rPr>
            <sz val="9"/>
            <color indexed="81"/>
            <rFont val="Tahoma"/>
            <family val="2"/>
          </rPr>
          <t xml:space="preserve">If you have calculated additional PAYG withholding amounts, you may include them here.
</t>
        </r>
      </text>
    </comment>
    <comment ref="BL182" authorId="0" shapeId="0" xr:uid="{3BF89E78-1539-400B-8826-BC1B84B81879}">
      <text>
        <r>
          <rPr>
            <sz val="9"/>
            <color indexed="81"/>
            <rFont val="Tahoma"/>
            <family val="2"/>
          </rPr>
          <t>For example, bonus payments which are included in OTE.</t>
        </r>
      </text>
    </comment>
    <comment ref="AA211" authorId="0" shapeId="0" xr:uid="{42FCC00A-DA5F-4275-BCFC-775BC7D8C899}">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211" authorId="0" shapeId="0" xr:uid="{6AFB814D-389F-417B-B953-7C293102D73A}">
      <text>
        <r>
          <rPr>
            <sz val="9"/>
            <color indexed="81"/>
            <rFont val="Tahoma"/>
            <family val="2"/>
          </rPr>
          <t>An allowance is included as assessable if this field is blank.</t>
        </r>
      </text>
    </comment>
    <comment ref="AH211" authorId="0" shapeId="0" xr:uid="{1E2803F4-02F8-4CEE-B33B-315F092019D3}">
      <text>
        <r>
          <rPr>
            <sz val="9"/>
            <color indexed="81"/>
            <rFont val="Tahoma"/>
            <family val="2"/>
          </rPr>
          <t>A reimbursement is included (assumed) as assessable if this field is left blank.</t>
        </r>
      </text>
    </comment>
    <comment ref="AK211" authorId="0" shapeId="0" xr:uid="{5D8F4EC8-11FA-461B-9A7B-865B4448086E}">
      <text>
        <r>
          <rPr>
            <sz val="9"/>
            <color indexed="81"/>
            <rFont val="Tahoma"/>
            <family val="2"/>
          </rPr>
          <t>For example, bonus payments which are included in OTE.</t>
        </r>
      </text>
    </comment>
    <comment ref="BA211" authorId="0" shapeId="0" xr:uid="{02E05F64-04C0-4F7A-A7D7-300B6BCBAA09}">
      <text>
        <r>
          <rPr>
            <sz val="9"/>
            <color indexed="81"/>
            <rFont val="Tahoma"/>
            <family val="2"/>
          </rPr>
          <t xml:space="preserve">If you have calculated additional PAYG withholding amounts, you may include them here.
</t>
        </r>
      </text>
    </comment>
    <comment ref="BL211" authorId="0" shapeId="0" xr:uid="{E1C05FF0-EC8A-4B85-9F27-C9AEF3B03C49}">
      <text>
        <r>
          <rPr>
            <sz val="9"/>
            <color indexed="81"/>
            <rFont val="Tahoma"/>
            <family val="2"/>
          </rPr>
          <t>For example, bonus payments which are included in OTE.</t>
        </r>
      </text>
    </comment>
    <comment ref="AA240" authorId="0" shapeId="0" xr:uid="{5DA68FE8-B790-4962-8DAC-C1F0A246B3FE}">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240" authorId="0" shapeId="0" xr:uid="{C6A94892-88E2-4018-A121-66E61A8C3BBD}">
      <text>
        <r>
          <rPr>
            <sz val="9"/>
            <color indexed="81"/>
            <rFont val="Tahoma"/>
            <family val="2"/>
          </rPr>
          <t>An allowance is included as assessable if this field is blank.</t>
        </r>
      </text>
    </comment>
    <comment ref="AH240" authorId="0" shapeId="0" xr:uid="{0C60A687-26D1-426C-9EF0-E14C629576C0}">
      <text>
        <r>
          <rPr>
            <sz val="9"/>
            <color indexed="81"/>
            <rFont val="Tahoma"/>
            <family val="2"/>
          </rPr>
          <t>A reimbursement is included (assumed) as assessable if this field is left blank.</t>
        </r>
      </text>
    </comment>
    <comment ref="AK240" authorId="0" shapeId="0" xr:uid="{0E40E315-2608-4428-826C-C403E16E61F8}">
      <text>
        <r>
          <rPr>
            <sz val="9"/>
            <color indexed="81"/>
            <rFont val="Tahoma"/>
            <family val="2"/>
          </rPr>
          <t>For example, bonus payments which are included in OTE.</t>
        </r>
      </text>
    </comment>
    <comment ref="BA240" authorId="0" shapeId="0" xr:uid="{D97E9CA1-4BB8-4C41-93BD-31A3A9C30C37}">
      <text>
        <r>
          <rPr>
            <sz val="9"/>
            <color indexed="81"/>
            <rFont val="Tahoma"/>
            <family val="2"/>
          </rPr>
          <t xml:space="preserve">If you have calculated additional PAYG withholding amounts, you may include them here.
</t>
        </r>
      </text>
    </comment>
    <comment ref="BL240" authorId="0" shapeId="0" xr:uid="{35D054D5-F996-45F3-B92D-E57C7C434ACE}">
      <text>
        <r>
          <rPr>
            <sz val="9"/>
            <color indexed="81"/>
            <rFont val="Tahoma"/>
            <family val="2"/>
          </rPr>
          <t>For example, bonus payments which are included in OTE.</t>
        </r>
      </text>
    </comment>
    <comment ref="AA269" authorId="0" shapeId="0" xr:uid="{D4097F57-CDC6-4925-B4B4-48412ABFF78E}">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269" authorId="0" shapeId="0" xr:uid="{5BFB7B21-3F59-4202-97D2-3F1D906811EE}">
      <text>
        <r>
          <rPr>
            <sz val="9"/>
            <color indexed="81"/>
            <rFont val="Tahoma"/>
            <family val="2"/>
          </rPr>
          <t>An allowance is included as assessable if this field is blank.</t>
        </r>
      </text>
    </comment>
    <comment ref="AH269" authorId="0" shapeId="0" xr:uid="{5CE32C31-1D45-485A-B626-832C4859CE18}">
      <text>
        <r>
          <rPr>
            <sz val="9"/>
            <color indexed="81"/>
            <rFont val="Tahoma"/>
            <family val="2"/>
          </rPr>
          <t>A reimbursement is included (assumed) as assessable if this field is left blank.</t>
        </r>
      </text>
    </comment>
    <comment ref="AK269" authorId="0" shapeId="0" xr:uid="{8A5FCCBD-0123-4461-B245-5730AF75562E}">
      <text>
        <r>
          <rPr>
            <sz val="9"/>
            <color indexed="81"/>
            <rFont val="Tahoma"/>
            <family val="2"/>
          </rPr>
          <t>For example, bonus payments which are included in OTE.</t>
        </r>
      </text>
    </comment>
    <comment ref="BA269" authorId="0" shapeId="0" xr:uid="{7EDECC7D-2511-48A7-BB44-06076804DB2F}">
      <text>
        <r>
          <rPr>
            <sz val="9"/>
            <color indexed="81"/>
            <rFont val="Tahoma"/>
            <family val="2"/>
          </rPr>
          <t xml:space="preserve">If you have calculated additional PAYG withholding amounts, you may include them here.
</t>
        </r>
      </text>
    </comment>
    <comment ref="BL269" authorId="0" shapeId="0" xr:uid="{27A4C0EE-075F-467B-B15C-405A773DE6E4}">
      <text>
        <r>
          <rPr>
            <sz val="9"/>
            <color indexed="81"/>
            <rFont val="Tahoma"/>
            <family val="2"/>
          </rPr>
          <t>For example, bonus payments which are included in OTE.</t>
        </r>
      </text>
    </comment>
    <comment ref="AA298" authorId="0" shapeId="0" xr:uid="{177CD0EB-164B-409A-8D19-B7EFBB56210E}">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298" authorId="0" shapeId="0" xr:uid="{9C2F201C-D121-4B1E-B36D-845850BAE377}">
      <text>
        <r>
          <rPr>
            <sz val="9"/>
            <color indexed="81"/>
            <rFont val="Tahoma"/>
            <family val="2"/>
          </rPr>
          <t>An allowance is included as assessable if this field is blank.</t>
        </r>
      </text>
    </comment>
    <comment ref="AH298" authorId="0" shapeId="0" xr:uid="{30734CE4-B15C-4555-AAF2-2C07C6701142}">
      <text>
        <r>
          <rPr>
            <sz val="9"/>
            <color indexed="81"/>
            <rFont val="Tahoma"/>
            <family val="2"/>
          </rPr>
          <t>A reimbursement is included (assumed) as assessable if this field is left blank.</t>
        </r>
      </text>
    </comment>
    <comment ref="AK298" authorId="0" shapeId="0" xr:uid="{0AC1887E-EBBD-4887-B239-AC3A39290E90}">
      <text>
        <r>
          <rPr>
            <sz val="9"/>
            <color indexed="81"/>
            <rFont val="Tahoma"/>
            <family val="2"/>
          </rPr>
          <t>For example, bonus payments which are included in OTE.</t>
        </r>
      </text>
    </comment>
    <comment ref="BA298" authorId="0" shapeId="0" xr:uid="{E249CAF1-1D0A-43FB-BADE-2C3BB9C30F9A}">
      <text>
        <r>
          <rPr>
            <sz val="9"/>
            <color indexed="81"/>
            <rFont val="Tahoma"/>
            <family val="2"/>
          </rPr>
          <t xml:space="preserve">If you have calculated additional PAYG withholding amounts, you may include them here.
</t>
        </r>
      </text>
    </comment>
    <comment ref="BL298" authorId="0" shapeId="0" xr:uid="{05AAC7E5-4D78-40BC-B200-1676269B02CE}">
      <text>
        <r>
          <rPr>
            <sz val="9"/>
            <color indexed="81"/>
            <rFont val="Tahoma"/>
            <family val="2"/>
          </rPr>
          <t>For example, bonus payments which are included in OTE.</t>
        </r>
      </text>
    </comment>
    <comment ref="AA327" authorId="0" shapeId="0" xr:uid="{6EDF2AF5-7A16-4EFD-911B-CBF90201D8E1}">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327" authorId="0" shapeId="0" xr:uid="{33EC9F65-47AA-4E02-9C78-5FA40F74479E}">
      <text>
        <r>
          <rPr>
            <sz val="9"/>
            <color indexed="81"/>
            <rFont val="Tahoma"/>
            <family val="2"/>
          </rPr>
          <t>An allowance is included as assessable if this field is blank.</t>
        </r>
      </text>
    </comment>
    <comment ref="AH327" authorId="0" shapeId="0" xr:uid="{4D707433-59DF-4404-A2C5-58E6584546BF}">
      <text>
        <r>
          <rPr>
            <sz val="9"/>
            <color indexed="81"/>
            <rFont val="Tahoma"/>
            <family val="2"/>
          </rPr>
          <t>A reimbursement is included (assumed) as assessable if this field is left blank.</t>
        </r>
      </text>
    </comment>
    <comment ref="AK327" authorId="0" shapeId="0" xr:uid="{8B5FF917-DCF3-48E5-B86B-10C2B44FEB52}">
      <text>
        <r>
          <rPr>
            <sz val="9"/>
            <color indexed="81"/>
            <rFont val="Tahoma"/>
            <family val="2"/>
          </rPr>
          <t>For example, bonus payments which are included in OTE.</t>
        </r>
      </text>
    </comment>
    <comment ref="BA327" authorId="0" shapeId="0" xr:uid="{FF82E145-CBE8-4100-B43C-FDE948618FC2}">
      <text>
        <r>
          <rPr>
            <sz val="9"/>
            <color indexed="81"/>
            <rFont val="Tahoma"/>
            <family val="2"/>
          </rPr>
          <t xml:space="preserve">If you have calculated additional PAYG withholding amounts, you may include them here.
</t>
        </r>
      </text>
    </comment>
    <comment ref="BL327" authorId="0" shapeId="0" xr:uid="{7175A3E7-1323-458D-B6B1-F9D06B3A7D5E}">
      <text>
        <r>
          <rPr>
            <sz val="9"/>
            <color indexed="81"/>
            <rFont val="Tahoma"/>
            <family val="2"/>
          </rPr>
          <t>For example, bonus payments which are included in OTE.</t>
        </r>
      </text>
    </comment>
    <comment ref="AA356" authorId="0" shapeId="0" xr:uid="{5D946C36-5285-4BFE-AFC5-0C9EA0C0888A}">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356" authorId="0" shapeId="0" xr:uid="{C15AB84A-99C5-48ED-BB69-C3F9522B7B86}">
      <text>
        <r>
          <rPr>
            <sz val="9"/>
            <color indexed="81"/>
            <rFont val="Tahoma"/>
            <family val="2"/>
          </rPr>
          <t>An allowance is included as assessable if this field is blank.</t>
        </r>
      </text>
    </comment>
    <comment ref="AH356" authorId="0" shapeId="0" xr:uid="{71C531CC-9639-4276-B811-A745DC3FB08F}">
      <text>
        <r>
          <rPr>
            <sz val="9"/>
            <color indexed="81"/>
            <rFont val="Tahoma"/>
            <family val="2"/>
          </rPr>
          <t>A reimbursement is included (assumed) as assessable if this field is left blank.</t>
        </r>
      </text>
    </comment>
    <comment ref="AK356" authorId="0" shapeId="0" xr:uid="{A83C00C4-A298-4852-8411-6B43CB738A9E}">
      <text>
        <r>
          <rPr>
            <sz val="9"/>
            <color indexed="81"/>
            <rFont val="Tahoma"/>
            <family val="2"/>
          </rPr>
          <t>For example, bonus payments which are included in OTE.</t>
        </r>
      </text>
    </comment>
    <comment ref="BA356" authorId="0" shapeId="0" xr:uid="{3D60FC5D-0320-4E57-9918-65D611F627AE}">
      <text>
        <r>
          <rPr>
            <sz val="9"/>
            <color indexed="81"/>
            <rFont val="Tahoma"/>
            <family val="2"/>
          </rPr>
          <t xml:space="preserve">If you have calculated additional PAYG withholding amounts, you may include them here.
</t>
        </r>
      </text>
    </comment>
    <comment ref="BL356" authorId="0" shapeId="0" xr:uid="{8B32F662-6626-4A82-9C6B-67E1D0BBF602}">
      <text>
        <r>
          <rPr>
            <sz val="9"/>
            <color indexed="81"/>
            <rFont val="Tahoma"/>
            <family val="2"/>
          </rPr>
          <t>For example, bonus payments which are included in OTE.</t>
        </r>
      </text>
    </comment>
    <comment ref="AA385" authorId="0" shapeId="0" xr:uid="{B2A4022A-8617-4F8E-A4B0-E1713150683D}">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385" authorId="0" shapeId="0" xr:uid="{E28CA26F-FF44-463C-803B-3880B1D9D000}">
      <text>
        <r>
          <rPr>
            <sz val="9"/>
            <color indexed="81"/>
            <rFont val="Tahoma"/>
            <family val="2"/>
          </rPr>
          <t>An allowance is included as assessable if this field is blank.</t>
        </r>
      </text>
    </comment>
    <comment ref="AH385" authorId="0" shapeId="0" xr:uid="{04AC5DD0-8022-4034-B384-D04F9819F3F6}">
      <text>
        <r>
          <rPr>
            <sz val="9"/>
            <color indexed="81"/>
            <rFont val="Tahoma"/>
            <family val="2"/>
          </rPr>
          <t>A reimbursement is included (assumed) as assessable if this field is left blank.</t>
        </r>
      </text>
    </comment>
    <comment ref="AK385" authorId="0" shapeId="0" xr:uid="{7F9F52CC-CB2E-41A1-931B-171AFD98558B}">
      <text>
        <r>
          <rPr>
            <sz val="9"/>
            <color indexed="81"/>
            <rFont val="Tahoma"/>
            <family val="2"/>
          </rPr>
          <t>For example, bonus payments which are included in OTE.</t>
        </r>
      </text>
    </comment>
    <comment ref="BA385" authorId="0" shapeId="0" xr:uid="{E23B9891-FE8D-45A3-A1B8-80AFDF13FCD0}">
      <text>
        <r>
          <rPr>
            <sz val="9"/>
            <color indexed="81"/>
            <rFont val="Tahoma"/>
            <family val="2"/>
          </rPr>
          <t xml:space="preserve">If you have calculated additional PAYG withholding amounts, you may include them here.
</t>
        </r>
      </text>
    </comment>
    <comment ref="BL385" authorId="0" shapeId="0" xr:uid="{51A58B19-4B95-48DA-9E3F-F4FA3F8CA30A}">
      <text>
        <r>
          <rPr>
            <sz val="9"/>
            <color indexed="81"/>
            <rFont val="Tahoma"/>
            <family val="2"/>
          </rPr>
          <t>For example, bonus payments which are included in OTE.</t>
        </r>
      </text>
    </comment>
    <comment ref="AA414" authorId="0" shapeId="0" xr:uid="{C967AE5C-4738-4C95-9A5E-2FEB8649A3FB}">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414" authorId="0" shapeId="0" xr:uid="{C34F9D6F-1FD6-4802-A9D2-E10ECBC56C49}">
      <text>
        <r>
          <rPr>
            <sz val="9"/>
            <color indexed="81"/>
            <rFont val="Tahoma"/>
            <family val="2"/>
          </rPr>
          <t>An allowance is included as assessable if this field is blank.</t>
        </r>
      </text>
    </comment>
    <comment ref="AH414" authorId="0" shapeId="0" xr:uid="{C582355C-C526-4BD2-9D4A-07C80751EF30}">
      <text>
        <r>
          <rPr>
            <sz val="9"/>
            <color indexed="81"/>
            <rFont val="Tahoma"/>
            <family val="2"/>
          </rPr>
          <t>A reimbursement is included (assumed) as assessable if this field is left blank.</t>
        </r>
      </text>
    </comment>
    <comment ref="AK414" authorId="0" shapeId="0" xr:uid="{185F7DFB-BFFC-435D-B5CA-57ADD90AA118}">
      <text>
        <r>
          <rPr>
            <sz val="9"/>
            <color indexed="81"/>
            <rFont val="Tahoma"/>
            <family val="2"/>
          </rPr>
          <t>For example, bonus payments which are included in OTE.</t>
        </r>
      </text>
    </comment>
    <comment ref="BA414" authorId="0" shapeId="0" xr:uid="{5E3ED779-68AE-4775-8708-977F42FF803A}">
      <text>
        <r>
          <rPr>
            <sz val="9"/>
            <color indexed="81"/>
            <rFont val="Tahoma"/>
            <family val="2"/>
          </rPr>
          <t xml:space="preserve">If you have calculated additional PAYG withholding amounts, you may include them here.
</t>
        </r>
      </text>
    </comment>
    <comment ref="BL414" authorId="0" shapeId="0" xr:uid="{72489CF7-1338-461A-AB45-614847B77669}">
      <text>
        <r>
          <rPr>
            <sz val="9"/>
            <color indexed="81"/>
            <rFont val="Tahoma"/>
            <family val="2"/>
          </rPr>
          <t>For example, bonus payments which are included in OTE.</t>
        </r>
      </text>
    </comment>
    <comment ref="AA443" authorId="0" shapeId="0" xr:uid="{05F57D5C-B060-4C08-803E-896C1A6B80A2}">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443" authorId="0" shapeId="0" xr:uid="{CBE66B5C-66C7-44A3-BB55-37D1478F8EAE}">
      <text>
        <r>
          <rPr>
            <sz val="9"/>
            <color indexed="81"/>
            <rFont val="Tahoma"/>
            <family val="2"/>
          </rPr>
          <t>An allowance is included as assessable if this field is blank.</t>
        </r>
      </text>
    </comment>
    <comment ref="AH443" authorId="0" shapeId="0" xr:uid="{77BA6E37-2D02-404D-A0C5-432CC6077FF9}">
      <text>
        <r>
          <rPr>
            <sz val="9"/>
            <color indexed="81"/>
            <rFont val="Tahoma"/>
            <family val="2"/>
          </rPr>
          <t>A reimbursement is included (assumed) as assessable if this field is left blank.</t>
        </r>
      </text>
    </comment>
    <comment ref="AK443" authorId="0" shapeId="0" xr:uid="{39157D48-6126-4205-999B-5C5007546988}">
      <text>
        <r>
          <rPr>
            <sz val="9"/>
            <color indexed="81"/>
            <rFont val="Tahoma"/>
            <family val="2"/>
          </rPr>
          <t>For example, bonus payments which are included in OTE.</t>
        </r>
      </text>
    </comment>
    <comment ref="BA443" authorId="0" shapeId="0" xr:uid="{D2032A83-C5E5-41E6-8B8A-3945781A6241}">
      <text>
        <r>
          <rPr>
            <sz val="9"/>
            <color indexed="81"/>
            <rFont val="Tahoma"/>
            <family val="2"/>
          </rPr>
          <t xml:space="preserve">If you have calculated additional PAYG withholding amounts, you may include them here.
</t>
        </r>
      </text>
    </comment>
    <comment ref="BL443" authorId="0" shapeId="0" xr:uid="{0A4C710F-4799-4773-BAC3-22232339B2DF}">
      <text>
        <r>
          <rPr>
            <sz val="9"/>
            <color indexed="81"/>
            <rFont val="Tahoma"/>
            <family val="2"/>
          </rPr>
          <t>For example, bonus payments which are included in OTE.</t>
        </r>
      </text>
    </comment>
    <comment ref="AA472" authorId="0" shapeId="0" xr:uid="{D1626678-8637-4CAC-8169-5D9ECD88F8E7}">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472" authorId="0" shapeId="0" xr:uid="{7E3214DA-C023-466B-8D4F-3FA652BC84A8}">
      <text>
        <r>
          <rPr>
            <sz val="9"/>
            <color indexed="81"/>
            <rFont val="Tahoma"/>
            <family val="2"/>
          </rPr>
          <t>An allowance is included as assessable if this field is blank.</t>
        </r>
      </text>
    </comment>
    <comment ref="AH472" authorId="0" shapeId="0" xr:uid="{D3D9634A-015D-4249-86C5-DA674FC81265}">
      <text>
        <r>
          <rPr>
            <sz val="9"/>
            <color indexed="81"/>
            <rFont val="Tahoma"/>
            <family val="2"/>
          </rPr>
          <t>A reimbursement is included (assumed) as assessable if this field is left blank.</t>
        </r>
      </text>
    </comment>
    <comment ref="AK472" authorId="0" shapeId="0" xr:uid="{2339C374-A4F5-4E78-A560-D05BD8F3AA39}">
      <text>
        <r>
          <rPr>
            <sz val="9"/>
            <color indexed="81"/>
            <rFont val="Tahoma"/>
            <family val="2"/>
          </rPr>
          <t>For example, bonus payments which are included in OTE.</t>
        </r>
      </text>
    </comment>
    <comment ref="BA472" authorId="0" shapeId="0" xr:uid="{FEF99324-399F-421F-981B-2B9367E57B05}">
      <text>
        <r>
          <rPr>
            <sz val="9"/>
            <color indexed="81"/>
            <rFont val="Tahoma"/>
            <family val="2"/>
          </rPr>
          <t xml:space="preserve">If you have calculated additional PAYG withholding amounts, you may include them here.
</t>
        </r>
      </text>
    </comment>
    <comment ref="BL472" authorId="0" shapeId="0" xr:uid="{A1DF62BF-9D49-4125-8D18-A1B620C7C453}">
      <text>
        <r>
          <rPr>
            <sz val="9"/>
            <color indexed="81"/>
            <rFont val="Tahoma"/>
            <family val="2"/>
          </rPr>
          <t>For example, bonus payments which are included in OTE.</t>
        </r>
      </text>
    </comment>
    <comment ref="AA501" authorId="0" shapeId="0" xr:uid="{F8C4D341-88AF-441D-B20D-5667ADD672A5}">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501" authorId="0" shapeId="0" xr:uid="{9EF25015-C03E-45C0-873B-C61D5681E36E}">
      <text>
        <r>
          <rPr>
            <sz val="9"/>
            <color indexed="81"/>
            <rFont val="Tahoma"/>
            <family val="2"/>
          </rPr>
          <t>An allowance is included as assessable if this field is blank.</t>
        </r>
      </text>
    </comment>
    <comment ref="AH501" authorId="0" shapeId="0" xr:uid="{EEB816CB-0CFA-47E3-803D-8ABB448FACBB}">
      <text>
        <r>
          <rPr>
            <sz val="9"/>
            <color indexed="81"/>
            <rFont val="Tahoma"/>
            <family val="2"/>
          </rPr>
          <t>A reimbursement is included (assumed) as assessable if this field is left blank.</t>
        </r>
      </text>
    </comment>
    <comment ref="AK501" authorId="0" shapeId="0" xr:uid="{E063F2E0-C354-4C2F-8CA2-72DF7D189453}">
      <text>
        <r>
          <rPr>
            <sz val="9"/>
            <color indexed="81"/>
            <rFont val="Tahoma"/>
            <family val="2"/>
          </rPr>
          <t>For example, bonus payments which are included in OTE.</t>
        </r>
      </text>
    </comment>
    <comment ref="BA501" authorId="0" shapeId="0" xr:uid="{2794F96F-02F8-415F-80D0-1D83B25A997B}">
      <text>
        <r>
          <rPr>
            <sz val="9"/>
            <color indexed="81"/>
            <rFont val="Tahoma"/>
            <family val="2"/>
          </rPr>
          <t xml:space="preserve">If you have calculated additional PAYG withholding amounts, you may include them here.
</t>
        </r>
      </text>
    </comment>
    <comment ref="BL501" authorId="0" shapeId="0" xr:uid="{5C2F2B01-9808-4060-8558-DE3651DA8985}">
      <text>
        <r>
          <rPr>
            <sz val="9"/>
            <color indexed="81"/>
            <rFont val="Tahoma"/>
            <family val="2"/>
          </rPr>
          <t>For example, bonus payments which are included in OTE.</t>
        </r>
      </text>
    </comment>
    <comment ref="AA530" authorId="0" shapeId="0" xr:uid="{F4BD1D6F-815F-448B-B384-97048D4EC204}">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530" authorId="0" shapeId="0" xr:uid="{1A27CB1A-515E-428C-B4B4-B571DAC62F0C}">
      <text>
        <r>
          <rPr>
            <sz val="9"/>
            <color indexed="81"/>
            <rFont val="Tahoma"/>
            <family val="2"/>
          </rPr>
          <t>An allowance is included as assessable if this field is blank.</t>
        </r>
      </text>
    </comment>
    <comment ref="AH530" authorId="0" shapeId="0" xr:uid="{AF2A993A-D268-41C9-8E0E-BADFDEA9589B}">
      <text>
        <r>
          <rPr>
            <sz val="9"/>
            <color indexed="81"/>
            <rFont val="Tahoma"/>
            <family val="2"/>
          </rPr>
          <t>A reimbursement is included (assumed) as assessable if this field is left blank.</t>
        </r>
      </text>
    </comment>
    <comment ref="AK530" authorId="0" shapeId="0" xr:uid="{FCDABFD6-F231-4596-9413-EF186B6E1D51}">
      <text>
        <r>
          <rPr>
            <sz val="9"/>
            <color indexed="81"/>
            <rFont val="Tahoma"/>
            <family val="2"/>
          </rPr>
          <t>For example, bonus payments which are included in OTE.</t>
        </r>
      </text>
    </comment>
    <comment ref="BA530" authorId="0" shapeId="0" xr:uid="{3C8B8AB7-8ABD-4325-8C81-1DC1F2B3FFE2}">
      <text>
        <r>
          <rPr>
            <sz val="9"/>
            <color indexed="81"/>
            <rFont val="Tahoma"/>
            <family val="2"/>
          </rPr>
          <t xml:space="preserve">If you have calculated additional PAYG withholding amounts, you may include them here.
</t>
        </r>
      </text>
    </comment>
    <comment ref="BL530" authorId="0" shapeId="0" xr:uid="{1D859E38-5501-4DC9-B655-5F8DB2721612}">
      <text>
        <r>
          <rPr>
            <sz val="9"/>
            <color indexed="81"/>
            <rFont val="Tahoma"/>
            <family val="2"/>
          </rPr>
          <t>For example, bonus payments which are included in OTE.</t>
        </r>
      </text>
    </comment>
    <comment ref="AA559" authorId="0" shapeId="0" xr:uid="{03BC104F-4979-4FDC-8DDD-A1FCACB0D375}">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559" authorId="0" shapeId="0" xr:uid="{A06D2177-F3B1-4534-B2FB-904CD087E050}">
      <text>
        <r>
          <rPr>
            <sz val="9"/>
            <color indexed="81"/>
            <rFont val="Tahoma"/>
            <family val="2"/>
          </rPr>
          <t>An allowance is included as assessable if this field is blank.</t>
        </r>
      </text>
    </comment>
    <comment ref="AH559" authorId="0" shapeId="0" xr:uid="{3438AAAC-C188-445C-AC3F-CE3729334F4E}">
      <text>
        <r>
          <rPr>
            <sz val="9"/>
            <color indexed="81"/>
            <rFont val="Tahoma"/>
            <family val="2"/>
          </rPr>
          <t>A reimbursement is included (assumed) as assessable if this field is left blank.</t>
        </r>
      </text>
    </comment>
    <comment ref="AK559" authorId="0" shapeId="0" xr:uid="{00AB3ECB-B2C2-447C-9D3C-86484D25365B}">
      <text>
        <r>
          <rPr>
            <sz val="9"/>
            <color indexed="81"/>
            <rFont val="Tahoma"/>
            <family val="2"/>
          </rPr>
          <t>For example, bonus payments which are included in OTE.</t>
        </r>
      </text>
    </comment>
    <comment ref="BA559" authorId="0" shapeId="0" xr:uid="{2CEB9504-E218-433C-9E1E-C85EF939BCAB}">
      <text>
        <r>
          <rPr>
            <sz val="9"/>
            <color indexed="81"/>
            <rFont val="Tahoma"/>
            <family val="2"/>
          </rPr>
          <t xml:space="preserve">If you have calculated additional PAYG withholding amounts, you may include them here.
</t>
        </r>
      </text>
    </comment>
    <comment ref="BL559" authorId="0" shapeId="0" xr:uid="{1F457879-F192-49DB-8837-06B9852671AA}">
      <text>
        <r>
          <rPr>
            <sz val="9"/>
            <color indexed="81"/>
            <rFont val="Tahoma"/>
            <family val="2"/>
          </rPr>
          <t>For example, bonus payments which are included in OTE.</t>
        </r>
      </text>
    </comment>
    <comment ref="AA588" authorId="0" shapeId="0" xr:uid="{19BDF05D-0577-4013-8596-D0141877C9DB}">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588" authorId="0" shapeId="0" xr:uid="{75973D68-2A7F-4B3E-B7D1-460B5FB79E98}">
      <text>
        <r>
          <rPr>
            <sz val="9"/>
            <color indexed="81"/>
            <rFont val="Tahoma"/>
            <family val="2"/>
          </rPr>
          <t>An allowance is included as assessable if this field is blank.</t>
        </r>
      </text>
    </comment>
    <comment ref="AH588" authorId="0" shapeId="0" xr:uid="{2C812A5C-5441-4F55-8B8B-F1003F21E69B}">
      <text>
        <r>
          <rPr>
            <sz val="9"/>
            <color indexed="81"/>
            <rFont val="Tahoma"/>
            <family val="2"/>
          </rPr>
          <t>A reimbursement is included (assumed) as assessable if this field is left blank.</t>
        </r>
      </text>
    </comment>
    <comment ref="AK588" authorId="0" shapeId="0" xr:uid="{4C3A6BB1-18D6-4989-9E34-AC5AA90A1426}">
      <text>
        <r>
          <rPr>
            <sz val="9"/>
            <color indexed="81"/>
            <rFont val="Tahoma"/>
            <family val="2"/>
          </rPr>
          <t>For example, bonus payments which are included in OTE.</t>
        </r>
      </text>
    </comment>
    <comment ref="BA588" authorId="0" shapeId="0" xr:uid="{8305F89C-BC13-4B28-88BB-785D1F35BD0C}">
      <text>
        <r>
          <rPr>
            <sz val="9"/>
            <color indexed="81"/>
            <rFont val="Tahoma"/>
            <family val="2"/>
          </rPr>
          <t xml:space="preserve">If you have calculated additional PAYG withholding amounts, you may include them here.
</t>
        </r>
      </text>
    </comment>
    <comment ref="BL588" authorId="0" shapeId="0" xr:uid="{5D786EC9-5269-4FA5-B556-AD992D663311}">
      <text>
        <r>
          <rPr>
            <sz val="9"/>
            <color indexed="81"/>
            <rFont val="Tahoma"/>
            <family val="2"/>
          </rPr>
          <t>For example, bonus payments which are included in OTE.</t>
        </r>
      </text>
    </comment>
    <comment ref="AA617" authorId="0" shapeId="0" xr:uid="{C1C2287D-9E14-4FC2-994E-D4B364B26E4E}">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617" authorId="0" shapeId="0" xr:uid="{9C931000-106A-4247-9E62-7FFD37643D08}">
      <text>
        <r>
          <rPr>
            <sz val="9"/>
            <color indexed="81"/>
            <rFont val="Tahoma"/>
            <family val="2"/>
          </rPr>
          <t>An allowance is included as assessable if this field is blank.</t>
        </r>
      </text>
    </comment>
    <comment ref="AH617" authorId="0" shapeId="0" xr:uid="{ADB8149E-FE78-4252-9EFD-444E5219311A}">
      <text>
        <r>
          <rPr>
            <sz val="9"/>
            <color indexed="81"/>
            <rFont val="Tahoma"/>
            <family val="2"/>
          </rPr>
          <t>A reimbursement is included (assumed) as assessable if this field is left blank.</t>
        </r>
      </text>
    </comment>
    <comment ref="AK617" authorId="0" shapeId="0" xr:uid="{0F6B65B2-764B-4D0D-8432-C6366E1382EF}">
      <text>
        <r>
          <rPr>
            <sz val="9"/>
            <color indexed="81"/>
            <rFont val="Tahoma"/>
            <family val="2"/>
          </rPr>
          <t>For example, bonus payments which are included in OTE.</t>
        </r>
      </text>
    </comment>
    <comment ref="BA617" authorId="0" shapeId="0" xr:uid="{9EBE53C4-1A0B-406D-BF83-C991AEDEE601}">
      <text>
        <r>
          <rPr>
            <sz val="9"/>
            <color indexed="81"/>
            <rFont val="Tahoma"/>
            <family val="2"/>
          </rPr>
          <t xml:space="preserve">If you have calculated additional PAYG withholding amounts, you may include them here.
</t>
        </r>
      </text>
    </comment>
    <comment ref="BL617" authorId="0" shapeId="0" xr:uid="{C3D21B09-D36F-4352-A72D-AF7DFEA4F619}">
      <text>
        <r>
          <rPr>
            <sz val="9"/>
            <color indexed="81"/>
            <rFont val="Tahoma"/>
            <family val="2"/>
          </rPr>
          <t>For example, bonus payments which are included in OTE.</t>
        </r>
      </text>
    </comment>
    <comment ref="AA646" authorId="0" shapeId="0" xr:uid="{3FB707A3-467B-40F8-AFD5-03C3F623E729}">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646" authorId="0" shapeId="0" xr:uid="{116B9AB0-EB1F-4A84-A9FC-6629D0DCB940}">
      <text>
        <r>
          <rPr>
            <sz val="9"/>
            <color indexed="81"/>
            <rFont val="Tahoma"/>
            <family val="2"/>
          </rPr>
          <t>An allowance is included as assessable if this field is blank.</t>
        </r>
      </text>
    </comment>
    <comment ref="AH646" authorId="0" shapeId="0" xr:uid="{E1F25E4A-2467-4266-8493-29D0F9603652}">
      <text>
        <r>
          <rPr>
            <sz val="9"/>
            <color indexed="81"/>
            <rFont val="Tahoma"/>
            <family val="2"/>
          </rPr>
          <t>A reimbursement is included (assumed) as assessable if this field is left blank.</t>
        </r>
      </text>
    </comment>
    <comment ref="AK646" authorId="0" shapeId="0" xr:uid="{6E38B3D6-3E76-4546-AFAC-6EF26291946B}">
      <text>
        <r>
          <rPr>
            <sz val="9"/>
            <color indexed="81"/>
            <rFont val="Tahoma"/>
            <family val="2"/>
          </rPr>
          <t>For example, bonus payments which are included in OTE.</t>
        </r>
      </text>
    </comment>
    <comment ref="BA646" authorId="0" shapeId="0" xr:uid="{D529AD3B-00B5-4FC0-BA1B-9C0C24928A7A}">
      <text>
        <r>
          <rPr>
            <sz val="9"/>
            <color indexed="81"/>
            <rFont val="Tahoma"/>
            <family val="2"/>
          </rPr>
          <t xml:space="preserve">If you have calculated additional PAYG withholding amounts, you may include them here.
</t>
        </r>
      </text>
    </comment>
    <comment ref="BL646" authorId="0" shapeId="0" xr:uid="{C3AE578B-D864-4A2D-910D-370C331115C5}">
      <text>
        <r>
          <rPr>
            <sz val="9"/>
            <color indexed="81"/>
            <rFont val="Tahoma"/>
            <family val="2"/>
          </rPr>
          <t>For example, bonus payments which are included in OTE.</t>
        </r>
      </text>
    </comment>
    <comment ref="AA675" authorId="0" shapeId="0" xr:uid="{E562003F-430A-4573-B69F-6C3A914C78FB}">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675" authorId="0" shapeId="0" xr:uid="{8AF666FC-1A1E-4A0A-9F40-EA025A9D0245}">
      <text>
        <r>
          <rPr>
            <sz val="9"/>
            <color indexed="81"/>
            <rFont val="Tahoma"/>
            <family val="2"/>
          </rPr>
          <t>An allowance is included as assessable if this field is blank.</t>
        </r>
      </text>
    </comment>
    <comment ref="AH675" authorId="0" shapeId="0" xr:uid="{ED1AB369-307E-45DE-94C9-249BC3A7EAA7}">
      <text>
        <r>
          <rPr>
            <sz val="9"/>
            <color indexed="81"/>
            <rFont val="Tahoma"/>
            <family val="2"/>
          </rPr>
          <t>A reimbursement is included (assumed) as assessable if this field is left blank.</t>
        </r>
      </text>
    </comment>
    <comment ref="AK675" authorId="0" shapeId="0" xr:uid="{2D70A43E-0E70-4ACF-98EE-E7C417A9AD98}">
      <text>
        <r>
          <rPr>
            <sz val="9"/>
            <color indexed="81"/>
            <rFont val="Tahoma"/>
            <family val="2"/>
          </rPr>
          <t>For example, bonus payments which are included in OTE.</t>
        </r>
      </text>
    </comment>
    <comment ref="BA675" authorId="0" shapeId="0" xr:uid="{24EC65DD-3DF4-4235-89D8-81438D11A9C5}">
      <text>
        <r>
          <rPr>
            <sz val="9"/>
            <color indexed="81"/>
            <rFont val="Tahoma"/>
            <family val="2"/>
          </rPr>
          <t xml:space="preserve">If you have calculated additional PAYG withholding amounts, you may include them here.
</t>
        </r>
      </text>
    </comment>
    <comment ref="BL675" authorId="0" shapeId="0" xr:uid="{273829BE-18EC-4FBD-AAE7-22CA79F19D6A}">
      <text>
        <r>
          <rPr>
            <sz val="9"/>
            <color indexed="81"/>
            <rFont val="Tahoma"/>
            <family val="2"/>
          </rPr>
          <t>For example, bonus payments which are included in OTE.</t>
        </r>
      </text>
    </comment>
    <comment ref="AA704" authorId="0" shapeId="0" xr:uid="{62911BC1-5EEE-4C75-95D8-6848CBFF37B5}">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704" authorId="0" shapeId="0" xr:uid="{25031744-15C9-4521-9528-D635C5B1C122}">
      <text>
        <r>
          <rPr>
            <sz val="9"/>
            <color indexed="81"/>
            <rFont val="Tahoma"/>
            <family val="2"/>
          </rPr>
          <t>An allowance is included as assessable if this field is blank.</t>
        </r>
      </text>
    </comment>
    <comment ref="AH704" authorId="0" shapeId="0" xr:uid="{8BB4DA73-E27A-4377-B612-67D98BBF7BFF}">
      <text>
        <r>
          <rPr>
            <sz val="9"/>
            <color indexed="81"/>
            <rFont val="Tahoma"/>
            <family val="2"/>
          </rPr>
          <t>A reimbursement is included (assumed) as assessable if this field is left blank.</t>
        </r>
      </text>
    </comment>
    <comment ref="AK704" authorId="0" shapeId="0" xr:uid="{DA500F1C-23FD-4173-9125-05701481DCD1}">
      <text>
        <r>
          <rPr>
            <sz val="9"/>
            <color indexed="81"/>
            <rFont val="Tahoma"/>
            <family val="2"/>
          </rPr>
          <t>For example, bonus payments which are included in OTE.</t>
        </r>
      </text>
    </comment>
    <comment ref="BA704" authorId="0" shapeId="0" xr:uid="{E9BEF557-CD3B-4D51-881C-219C997B7134}">
      <text>
        <r>
          <rPr>
            <sz val="9"/>
            <color indexed="81"/>
            <rFont val="Tahoma"/>
            <family val="2"/>
          </rPr>
          <t xml:space="preserve">If you have calculated additional PAYG withholding amounts, you may include them here.
</t>
        </r>
      </text>
    </comment>
    <comment ref="BL704" authorId="0" shapeId="0" xr:uid="{0076EABC-3341-4D68-BDAE-92D0BE06B393}">
      <text>
        <r>
          <rPr>
            <sz val="9"/>
            <color indexed="81"/>
            <rFont val="Tahoma"/>
            <family val="2"/>
          </rPr>
          <t>For example, bonus payments which are included in OTE.</t>
        </r>
      </text>
    </comment>
    <comment ref="AA733" authorId="0" shapeId="0" xr:uid="{82AE32B4-B1CC-4167-BD51-DE18646C6EF6}">
      <text>
        <r>
          <rPr>
            <sz val="9"/>
            <color indexed="81"/>
            <rFont val="Tahoma"/>
            <family val="2"/>
          </rPr>
          <t>The PAYG worksheet automatically allocates leave loading to employees when "Yes" is selected in the Basic Payroll Data worksheet.
If annual leave loading does NOT apply to a particular employee, you can delete the value in column Y of the PAYG worksheet for that employee.</t>
        </r>
      </text>
    </comment>
    <comment ref="AD733" authorId="0" shapeId="0" xr:uid="{85127134-C425-4B7E-8308-A9720C9E2E68}">
      <text>
        <r>
          <rPr>
            <sz val="9"/>
            <color indexed="81"/>
            <rFont val="Tahoma"/>
            <family val="2"/>
          </rPr>
          <t>An allowance is included as assessable if this field is blank.</t>
        </r>
      </text>
    </comment>
    <comment ref="AH733" authorId="0" shapeId="0" xr:uid="{500520A8-E091-4C2D-8CA3-EB4530605593}">
      <text>
        <r>
          <rPr>
            <sz val="9"/>
            <color indexed="81"/>
            <rFont val="Tahoma"/>
            <family val="2"/>
          </rPr>
          <t>A reimbursement is included (assumed) as assessable if this field is left blank.</t>
        </r>
      </text>
    </comment>
    <comment ref="AK733" authorId="0" shapeId="0" xr:uid="{A0111D0E-436C-4007-8888-6A3DD52C19AB}">
      <text>
        <r>
          <rPr>
            <sz val="9"/>
            <color indexed="81"/>
            <rFont val="Tahoma"/>
            <family val="2"/>
          </rPr>
          <t>For example, bonus payments which are included in OTE.</t>
        </r>
      </text>
    </comment>
    <comment ref="BA733" authorId="0" shapeId="0" xr:uid="{5DDD1F79-2177-4096-8763-9BB89CE62C48}">
      <text>
        <r>
          <rPr>
            <sz val="9"/>
            <color indexed="81"/>
            <rFont val="Tahoma"/>
            <family val="2"/>
          </rPr>
          <t xml:space="preserve">If you have calculated additional PAYG withholding amounts, you may include them here.
</t>
        </r>
      </text>
    </comment>
    <comment ref="BL733" authorId="0" shapeId="0" xr:uid="{66E641A2-A371-4CDC-8233-411E8922E5C6}">
      <text>
        <r>
          <rPr>
            <sz val="9"/>
            <color indexed="81"/>
            <rFont val="Tahoma"/>
            <family val="2"/>
          </rPr>
          <t>For example, bonus payments which are included in OTE.</t>
        </r>
      </text>
    </comment>
  </commentList>
</comments>
</file>

<file path=xl/sharedStrings.xml><?xml version="1.0" encoding="utf-8"?>
<sst xmlns="http://schemas.openxmlformats.org/spreadsheetml/2006/main" count="2483" uniqueCount="378">
  <si>
    <t>Pay frequency</t>
  </si>
  <si>
    <t>Fortnightly</t>
  </si>
  <si>
    <t>Pay period start</t>
  </si>
  <si>
    <t>Pay period end</t>
  </si>
  <si>
    <t>Hours worked</t>
  </si>
  <si>
    <t>Employee name</t>
  </si>
  <si>
    <t>Total hours worked</t>
  </si>
  <si>
    <t>Gross payment amount (period)</t>
  </si>
  <si>
    <t>Annual leave taken</t>
  </si>
  <si>
    <t>Sick leave taken</t>
  </si>
  <si>
    <t>Deductions</t>
  </si>
  <si>
    <t>Net payment</t>
  </si>
  <si>
    <t>James Jones</t>
  </si>
  <si>
    <t>Gary Guy</t>
  </si>
  <si>
    <t>Mary Moore</t>
  </si>
  <si>
    <t>Roger Richer</t>
  </si>
  <si>
    <t>Peter Piper</t>
  </si>
  <si>
    <t>Tom Terminated</t>
  </si>
  <si>
    <t>Employee #</t>
  </si>
  <si>
    <t>Tax file number (TFN)</t>
  </si>
  <si>
    <t>Date hired</t>
  </si>
  <si>
    <t>Date terminated</t>
  </si>
  <si>
    <t>Employment type</t>
  </si>
  <si>
    <t>Superannuation rate</t>
  </si>
  <si>
    <t>Position</t>
  </si>
  <si>
    <t>Date of birth</t>
  </si>
  <si>
    <t>Address Line 1</t>
  </si>
  <si>
    <t>Address Line 2</t>
  </si>
  <si>
    <t>E-mail</t>
  </si>
  <si>
    <t>Full-time</t>
  </si>
  <si>
    <t>IT technician</t>
  </si>
  <si>
    <t>Part-time</t>
  </si>
  <si>
    <t>Marketing Manager</t>
  </si>
  <si>
    <t>Casual</t>
  </si>
  <si>
    <t>Administration assistant</t>
  </si>
  <si>
    <t>CEO</t>
  </si>
  <si>
    <t>Contractor</t>
  </si>
  <si>
    <t>Accountant</t>
  </si>
  <si>
    <t>Storeman</t>
  </si>
  <si>
    <t>TOTALS</t>
  </si>
  <si>
    <t>Monthly</t>
  </si>
  <si>
    <t>Salaries &amp; wages expense</t>
  </si>
  <si>
    <t>Annual leave accrual</t>
  </si>
  <si>
    <t>Cash at bank</t>
  </si>
  <si>
    <t xml:space="preserve">Debit </t>
  </si>
  <si>
    <t>Credit</t>
  </si>
  <si>
    <t>Superannuation payable</t>
  </si>
  <si>
    <t>Payroll journal entry 1:</t>
  </si>
  <si>
    <t>Payroll journal entry 2:</t>
  </si>
  <si>
    <t>Annual leave taken (hours)</t>
  </si>
  <si>
    <t>Annual leave accrued this year (hours)</t>
  </si>
  <si>
    <t>Purpose: record the amount payable to employees, plus relevant taxation</t>
  </si>
  <si>
    <t>Purpose: record the payment made to employees</t>
  </si>
  <si>
    <t>Superannuation fund name</t>
  </si>
  <si>
    <t>Superannuation member no.</t>
  </si>
  <si>
    <t>Telephone - primary</t>
  </si>
  <si>
    <t>Sick leave accrued this year (hours)</t>
  </si>
  <si>
    <t>Sick leave taken (hours)</t>
  </si>
  <si>
    <t>Sick leave entitlement (hours)</t>
  </si>
  <si>
    <t>Sick leave accrual</t>
  </si>
  <si>
    <t>ANNUAL LEAVE</t>
  </si>
  <si>
    <t>SICK LEAVE</t>
  </si>
  <si>
    <t>Payroll journal entry 3:</t>
  </si>
  <si>
    <t>Dr</t>
  </si>
  <si>
    <t>Cr</t>
  </si>
  <si>
    <t>Annual leave closing balance</t>
  </si>
  <si>
    <t>Sick leave opening balance</t>
  </si>
  <si>
    <t>Sick leave closing balance</t>
  </si>
  <si>
    <t>Annual leave opening balance (hours)</t>
  </si>
  <si>
    <t>weeks</t>
  </si>
  <si>
    <t>Entitlement</t>
  </si>
  <si>
    <t>Entitlement/annual weeks</t>
  </si>
  <si>
    <t>Entitlement/annual hours</t>
  </si>
  <si>
    <t>Use column B to track cumulative hours worked for part-time employees</t>
  </si>
  <si>
    <t>Hours</t>
  </si>
  <si>
    <t>Days</t>
  </si>
  <si>
    <t>test</t>
  </si>
  <si>
    <t>Entitlement/annual days</t>
  </si>
  <si>
    <t>=IF($F6="Part-time",ROUNDUP(SUMIFS('Payroll worlsheet'!G:G,'Payroll worlsheet'!B:B,'Employee entry'!B6)*L6,0),
IF($L6="N/A","",
IF(AND($E6&lt;&gt;"",$D6&lt;=$C$1),NETWORKDAYS($C$1,$E6)/NETWORKDAYS($C$1,$C$2)*$L6,
IF(AND($E6&lt;&gt;"",$D6&gt;$C$1),NETWORKDAYS($D6,$E6)/NETWORKDAYS($C$1,$C$2)*$L6,
IF($D6&lt;=$C$1,NETWORKDAYS($C$1,$C$3)/NETWORKDAYS($C$1,$C$2)*$L6,
IF($D6&gt;$C$1,NETWORKDAYS($D6,$C$3)/NETWORKDAYS($C$1,$C$2)*$L6))))))</t>
  </si>
  <si>
    <t>Old formula to calculate FT annual leave based on days:</t>
  </si>
  <si>
    <t>I didn’t use this because of potential issues with payrun dates and holidays etc.</t>
  </si>
  <si>
    <t>Ordinary hours (per F/N)</t>
  </si>
  <si>
    <t>Ordinary hours (per month)</t>
  </si>
  <si>
    <t>Employee sick leave entitlement per year (hours)</t>
  </si>
  <si>
    <t>Annual leave loading</t>
  </si>
  <si>
    <t>Annual leave entitlement %</t>
  </si>
  <si>
    <t>Current A/L liability</t>
  </si>
  <si>
    <t>Current S/L liability</t>
  </si>
  <si>
    <t>Personal information</t>
  </si>
  <si>
    <t>Ordinary hours per week (if applicable)</t>
  </si>
  <si>
    <t>← enter period end date here</t>
  </si>
  <si>
    <r>
      <rPr>
        <sz val="11"/>
        <color theme="1"/>
        <rFont val="Calibri"/>
        <family val="2"/>
      </rPr>
      <t xml:space="preserve">← </t>
    </r>
    <r>
      <rPr>
        <i/>
        <sz val="11"/>
        <color theme="1"/>
        <rFont val="Calibri"/>
        <family val="2"/>
        <scheme val="minor"/>
      </rPr>
      <t>enter period start date here</t>
    </r>
  </si>
  <si>
    <r>
      <rPr>
        <sz val="11"/>
        <color theme="1"/>
        <rFont val="Calibri"/>
        <family val="2"/>
      </rPr>
      <t xml:space="preserve">← </t>
    </r>
    <r>
      <rPr>
        <i/>
        <sz val="11"/>
        <color theme="1"/>
        <rFont val="Calibri"/>
        <family val="2"/>
        <scheme val="minor"/>
      </rPr>
      <t>select pay frequency</t>
    </r>
  </si>
  <si>
    <t>Annual leave loading percentage</t>
  </si>
  <si>
    <t>Full-time employee annual leave entitlement per year (hours)</t>
  </si>
  <si>
    <t>Sue Salmon</t>
  </si>
  <si>
    <t>Bill Bates</t>
  </si>
  <si>
    <t>Jenny Jones</t>
  </si>
  <si>
    <t>Angus Anderson</t>
  </si>
  <si>
    <t>Gerard Gold</t>
  </si>
  <si>
    <t>Leah Lang</t>
  </si>
  <si>
    <t>Herbert Huber</t>
  </si>
  <si>
    <t>Sasha Slater</t>
  </si>
  <si>
    <t>Pierre Powers</t>
  </si>
  <si>
    <t>William Weg</t>
  </si>
  <si>
    <t>Dietrich Dart</t>
  </si>
  <si>
    <t>Ingrid Indigo</t>
  </si>
  <si>
    <t>Dermott Danger</t>
  </si>
  <si>
    <t>Status</t>
  </si>
  <si>
    <t>Permanent</t>
  </si>
  <si>
    <t>Salaries &amp; wages payable</t>
  </si>
  <si>
    <t>PAYG income tax payable</t>
  </si>
  <si>
    <t>SGC superannuation payable
 (9.5% of OTE)</t>
  </si>
  <si>
    <t>Superannuation expense</t>
  </si>
  <si>
    <t>Purpose: SGC superanuation payable</t>
  </si>
  <si>
    <t>PAYG Withholding payable</t>
  </si>
  <si>
    <t>Payroll journal entry 4:</t>
  </si>
  <si>
    <t>Purpose: record the amount of leave payable balance.</t>
  </si>
  <si>
    <t>Annual leave paid (YTD)</t>
  </si>
  <si>
    <t>Sick leave paid (YTD)</t>
  </si>
  <si>
    <t>Annual leave paid (period)</t>
  </si>
  <si>
    <t>Sick leave paid (period)</t>
  </si>
  <si>
    <t>Date of payment</t>
  </si>
  <si>
    <t xml:space="preserve">Pay period </t>
  </si>
  <si>
    <t>to</t>
  </si>
  <si>
    <t>Entitlements</t>
  </si>
  <si>
    <t>Employer superannuation contribution</t>
  </si>
  <si>
    <t>Rate</t>
  </si>
  <si>
    <t>PAYG withholding</t>
  </si>
  <si>
    <t>Wages for ordinary hours worked</t>
  </si>
  <si>
    <t>Claimed tax-free threshold?</t>
  </si>
  <si>
    <t>Tax-free threshold?</t>
  </si>
  <si>
    <t>Yes</t>
  </si>
  <si>
    <t>No</t>
  </si>
  <si>
    <t>Residency</t>
  </si>
  <si>
    <t>Resident</t>
  </si>
  <si>
    <t>Foreign resident</t>
  </si>
  <si>
    <t>Employment status</t>
  </si>
  <si>
    <t>Allowance type</t>
  </si>
  <si>
    <t>Allowance types</t>
  </si>
  <si>
    <t>FBT</t>
  </si>
  <si>
    <t>Not FBT</t>
  </si>
  <si>
    <t>Allowance amount</t>
  </si>
  <si>
    <t>Is OTE, tax withheld</t>
  </si>
  <si>
    <t>Is not OTE, tax withheld</t>
  </si>
  <si>
    <t>Is not OTE, tax not withheld</t>
  </si>
  <si>
    <t>Is OTE, tax not withheld</t>
  </si>
  <si>
    <t>OTE flag</t>
  </si>
  <si>
    <t>'Ordinary time earnings'  / OTE 
(for superannuation calculation)</t>
  </si>
  <si>
    <t>Assessable flag (allowance)</t>
  </si>
  <si>
    <t>Assessable flag
(Reimb.)</t>
  </si>
  <si>
    <t>OTE amount 
(YTD)</t>
  </si>
  <si>
    <t>a</t>
  </si>
  <si>
    <t>b</t>
  </si>
  <si>
    <t xml:space="preserve">Weekly earnings (x) less than </t>
  </si>
  <si>
    <t>–</t>
  </si>
  <si>
    <t>Foreign residents – Scale 3</t>
  </si>
  <si>
    <r>
      <t>Where the employee claimed the tax-free threshold in </t>
    </r>
    <r>
      <rPr>
        <b/>
        <i/>
        <sz val="14"/>
        <color rgb="FF666666"/>
        <rFont val="Arial"/>
        <family val="2"/>
      </rPr>
      <t>Tax file number declaration</t>
    </r>
    <r>
      <rPr>
        <b/>
        <sz val="14"/>
        <color rgb="FF666666"/>
        <rFont val="Arial"/>
        <family val="2"/>
      </rPr>
      <t> – Scale 2</t>
    </r>
  </si>
  <si>
    <r>
      <t>Where the tax-free threshold is not claimed in </t>
    </r>
    <r>
      <rPr>
        <b/>
        <i/>
        <sz val="14"/>
        <color rgb="FF666666"/>
        <rFont val="Arial"/>
        <family val="2"/>
      </rPr>
      <t>Tax file number declaration</t>
    </r>
    <r>
      <rPr>
        <b/>
        <sz val="14"/>
        <color rgb="FF666666"/>
        <rFont val="Arial"/>
        <family val="2"/>
      </rPr>
      <t> – Scale 1</t>
    </r>
  </si>
  <si>
    <r>
      <t>Where the employee claimed the FULL exemption from Medicare levy in </t>
    </r>
    <r>
      <rPr>
        <b/>
        <i/>
        <sz val="14"/>
        <color rgb="FF666666"/>
        <rFont val="Arial"/>
        <family val="2"/>
      </rPr>
      <t>Medicare levy variation declaration</t>
    </r>
    <r>
      <rPr>
        <b/>
        <sz val="14"/>
        <color rgb="FF666666"/>
        <rFont val="Arial"/>
        <family val="2"/>
      </rPr>
      <t> – Scale 5</t>
    </r>
  </si>
  <si>
    <r>
      <t>Where the employee claimed the HALF exemption from Medicare levy in </t>
    </r>
    <r>
      <rPr>
        <b/>
        <i/>
        <sz val="14"/>
        <color rgb="FF666666"/>
        <rFont val="Arial"/>
        <family val="2"/>
      </rPr>
      <t>Medicare levy variation declaration</t>
    </r>
    <r>
      <rPr>
        <b/>
        <sz val="14"/>
        <color rgb="FF666666"/>
        <rFont val="Arial"/>
        <family val="2"/>
      </rPr>
      <t> – Scale 6</t>
    </r>
  </si>
  <si>
    <t>to work</t>
  </si>
  <si>
    <t>NOTE: All coefficient values must be shifted up a row from the original ATO data to get the vlookup</t>
  </si>
  <si>
    <t>−1.9003</t>
  </si>
  <si>
    <t>3,111 &amp; over</t>
  </si>
  <si>
    <t>Original ATO data tables:</t>
  </si>
  <si>
    <t>Paste ATO data</t>
  </si>
  <si>
    <t>Move data one row down</t>
  </si>
  <si>
    <t>Delete the highest value (e.g. "$3000 &amp; over") so the highest value is open-ended</t>
  </si>
  <si>
    <t xml:space="preserve">Move all coefficient data up one row for the lookup to work </t>
  </si>
  <si>
    <t>WHT scale 1</t>
  </si>
  <si>
    <t>WHT scale 2</t>
  </si>
  <si>
    <t>WHT scale 3</t>
  </si>
  <si>
    <t>WHT scale 4</t>
  </si>
  <si>
    <t>WHT scale 5</t>
  </si>
  <si>
    <t>WHT scale 6</t>
  </si>
  <si>
    <t>Add $0 for minimum lookup value (e.g. cell A10)</t>
  </si>
  <si>
    <t>Where a tax file number (TFN) was not provided by employee – Scale 4</t>
  </si>
  <si>
    <t>Earnings</t>
  </si>
  <si>
    <t>Tax rate</t>
  </si>
  <si>
    <t>Resident $1 &amp; over</t>
  </si>
  <si>
    <t>Foreign resident $1 &amp; over</t>
  </si>
  <si>
    <t>Medicare levy exemption</t>
  </si>
  <si>
    <t>Full exemption</t>
  </si>
  <si>
    <t>Half exemption</t>
  </si>
  <si>
    <t>HR Manager</t>
  </si>
  <si>
    <t>Director</t>
  </si>
  <si>
    <t>NAT 75331</t>
  </si>
  <si>
    <t>NAT 4466</t>
  </si>
  <si>
    <t>NAT 1023</t>
  </si>
  <si>
    <t>NAT 1013</t>
  </si>
  <si>
    <t>Return to work payments</t>
  </si>
  <si>
    <t>Applicable ATO tax scale</t>
  </si>
  <si>
    <t>minimum assessable value for lookup added</t>
  </si>
  <si>
    <t>Seasonal Worker Programme and Pacific Labour Scheme</t>
  </si>
  <si>
    <t>NAT 3352</t>
  </si>
  <si>
    <t>NAT 3347</t>
  </si>
  <si>
    <t>NAT 3350</t>
  </si>
  <si>
    <t>Employment termination payments</t>
  </si>
  <si>
    <t>PAYG withholding manual adjustment</t>
  </si>
  <si>
    <t>OTE amount ordinary hours (period)</t>
  </si>
  <si>
    <t>3111 &amp; over</t>
  </si>
  <si>
    <t>3461 &amp; over</t>
  </si>
  <si>
    <t>Where tax-free threshold NOT claimed in Tax file number declaration 
Scale 1</t>
  </si>
  <si>
    <t>Where payee has claimed the tax free threshold in Tax file number declaration with or without leave loading scale 2</t>
  </si>
  <si>
    <t>Where payee claimed FULL exemption from Medicare levy in Medicare levy variation declaration scale 5</t>
  </si>
  <si>
    <t>Where payee claimed HALF exemption from Medicare levy in Medicare levy variation declaration Scale 6</t>
  </si>
  <si>
    <t>Foreign residents Scale 3</t>
  </si>
  <si>
    <t>STSL debt?</t>
  </si>
  <si>
    <t>STSL debt</t>
  </si>
  <si>
    <t>STSL Scale 1</t>
  </si>
  <si>
    <t>STSL Scale 2</t>
  </si>
  <si>
    <t>STSL Scale 3</t>
  </si>
  <si>
    <t>STSL Scale 5</t>
  </si>
  <si>
    <t>STSL Scale 6</t>
  </si>
  <si>
    <t>Other</t>
  </si>
  <si>
    <t>This pay</t>
  </si>
  <si>
    <t>Year-to-date</t>
  </si>
  <si>
    <t>Pay period (number)</t>
  </si>
  <si>
    <t>Annual leave</t>
  </si>
  <si>
    <t>Sick leave</t>
  </si>
  <si>
    <t>Leave taken (hours)</t>
  </si>
  <si>
    <t>Does annual leave loading apply?</t>
  </si>
  <si>
    <t>Net salaries &amp; wages</t>
  </si>
  <si>
    <t>TOTAL</t>
  </si>
  <si>
    <t>Annual (or equivalent) salary exc. Super</t>
  </si>
  <si>
    <t>Hourly rate (exc. Super)</t>
  </si>
  <si>
    <t>X Super Fund</t>
  </si>
  <si>
    <t>Instructions for Payroll</t>
  </si>
  <si>
    <t>Cells that look like this may require user input.</t>
  </si>
  <si>
    <t>Cells that look like this contain formulas and update automatically.</t>
  </si>
  <si>
    <t>Employee bank details</t>
  </si>
  <si>
    <t>Journal template (example):</t>
  </si>
  <si>
    <t>Unit (hrs)</t>
  </si>
  <si>
    <t>Move all data one row down</t>
  </si>
  <si>
    <t>Add $0 for minimum lookup value (e.g. cell A12)</t>
  </si>
  <si>
    <t xml:space="preserve">Move all coefficient data ("a and b") up one row for the lookup to work </t>
  </si>
  <si>
    <t>Financial year ending</t>
  </si>
  <si>
    <t>Enter your business details below:</t>
  </si>
  <si>
    <t>Business name:</t>
  </si>
  <si>
    <t>Ken's Carpentry Business</t>
  </si>
  <si>
    <t>Business e-mail:</t>
  </si>
  <si>
    <t>kenscarpentry@gmail.com</t>
  </si>
  <si>
    <t>Business address:</t>
  </si>
  <si>
    <t>1 Wood Lane, Forestville, 4873</t>
  </si>
  <si>
    <t>ABN:</t>
  </si>
  <si>
    <t>Year-to-date totals</t>
  </si>
  <si>
    <t>Allowances
(YTD)</t>
  </si>
  <si>
    <t>Reimbursements
(YTD)</t>
  </si>
  <si>
    <t>PAYG income tax payable
(YTD)</t>
  </si>
  <si>
    <t>Other deductions</t>
  </si>
  <si>
    <t>Other deductions
(YTD)</t>
  </si>
  <si>
    <t>SGC superannuation payable
(YTD)
 (9.5% of OTE)</t>
  </si>
  <si>
    <t>Hours worked x hourly rate</t>
  </si>
  <si>
    <t>Gross payment amount
 (YTD)</t>
  </si>
  <si>
    <t>Taxable amounts
(YTD)</t>
  </si>
  <si>
    <t>Gross amounts payable to employees</t>
  </si>
  <si>
    <t>Gross amounts payable to employees
(YTD)</t>
  </si>
  <si>
    <t>Notes on payroll calculations</t>
  </si>
  <si>
    <t>Allowances &amp; reimbursements</t>
  </si>
  <si>
    <t>(for example: 152 = 20 days x 7.6 hours per day)</t>
  </si>
  <si>
    <t>(for example: 76 hours = 10 days x 7.6 hours per day)</t>
  </si>
  <si>
    <t>Based on the values entered above:</t>
  </si>
  <si>
    <t>Basic Payroll Data</t>
  </si>
  <si>
    <t xml:space="preserve">Standard weekly hours for full-time employees </t>
  </si>
  <si>
    <t>Public holidays
(hours)</t>
  </si>
  <si>
    <t>Termination
/ final pay (hours)</t>
  </si>
  <si>
    <t>Overtime
(hours)</t>
  </si>
  <si>
    <t>Ordinary 
(hours)</t>
  </si>
  <si>
    <t>Leave entitlements</t>
  </si>
  <si>
    <t>Salary &amp; wages and superannuation payable for the period</t>
  </si>
  <si>
    <t>Timesheet / manual override
(hours)</t>
  </si>
  <si>
    <t>Ordinary hours worked
(period)</t>
  </si>
  <si>
    <t>Monthly payruns</t>
  </si>
  <si>
    <t>Allowances, reimbursements, deductions &amp; penalty rates</t>
  </si>
  <si>
    <t>Because the days in the months vary, I have created an average hours worked per month to make each pay period the same hours (and dollars).</t>
  </si>
  <si>
    <t>Each monthly pay has 20 days, and so the year is 240 working days (20 x 12 months). This is not a full year, however (being 260 days), so I have</t>
  </si>
  <si>
    <t>adjusted any manual hours entered into the PAYG Worksheet by (260/240). This ensures a full year of entitlements are paid and accrued.</t>
  </si>
  <si>
    <t>Actual hours based on 20-day month</t>
  </si>
  <si>
    <t>Weekly hours</t>
  </si>
  <si>
    <t>Full-time hours</t>
  </si>
  <si>
    <t>Annual working hours</t>
  </si>
  <si>
    <t>Work days per year</t>
  </si>
  <si>
    <t>Daily hours</t>
  </si>
  <si>
    <t>Hours - monthly avg</t>
  </si>
  <si>
    <t>Uplift applied to actual monthly hours (based on 20-day work month)</t>
  </si>
  <si>
    <t>Enter employer name here</t>
  </si>
  <si>
    <t>Enter employer ABN here</t>
  </si>
  <si>
    <t>Enter payment date here</t>
  </si>
  <si>
    <t>enter pay period number here</t>
  </si>
  <si>
    <t>Annual leave hours calculated per full-time employee</t>
  </si>
  <si>
    <t>NAT 70981</t>
  </si>
  <si>
    <t>NAT 70982</t>
  </si>
  <si>
    <t>NAT 3351</t>
  </si>
  <si>
    <t>NAT 70980</t>
  </si>
  <si>
    <t>NAT 3348</t>
  </si>
  <si>
    <t>This worksheet is included for information purposes only.</t>
  </si>
  <si>
    <t>NAT 0929</t>
  </si>
  <si>
    <r>
      <t xml:space="preserve">This Payroll Module </t>
    </r>
    <r>
      <rPr>
        <b/>
        <u/>
        <sz val="11"/>
        <color theme="1"/>
        <rFont val="Calibri"/>
        <family val="2"/>
        <scheme val="minor"/>
      </rPr>
      <t>does not</t>
    </r>
    <r>
      <rPr>
        <u/>
        <sz val="11"/>
        <color theme="1"/>
        <rFont val="Calibri"/>
        <family val="2"/>
        <scheme val="minor"/>
      </rPr>
      <t xml:space="preserve"> </t>
    </r>
    <r>
      <rPr>
        <sz val="11"/>
        <color theme="1"/>
        <rFont val="Calibri"/>
        <family val="2"/>
        <scheme val="minor"/>
      </rPr>
      <t xml:space="preserve">calculate PAYG withholding tax for the following categories of employees or payments: </t>
    </r>
  </si>
  <si>
    <t>Tax table for daily and casual workers</t>
  </si>
  <si>
    <t>NAT 1024</t>
  </si>
  <si>
    <t>Medicare levy variation declaration</t>
  </si>
  <si>
    <t xml:space="preserve">Withholding tax calculated is before any tax offsets or Medicare levy adjustments are allowed.
The withholding tax calculated does not account for employees who are entitled to a Medicare Levy variation.
Withholding amounts calculated using these formulas may vary slightly to those calculated using the method set out in the footnote to the appropriate PAYG withholding tax table. This applies if earnings exceed $3,275 weekly or $6,550 fortnightly.
Withholding amounts including the study and training support loans may differ slightly from the sums of the amounts shown in the PAYG and study and training support loans tax tables. The differences result from the rounding of components. </t>
  </si>
  <si>
    <t>4 weeks annual leave for full-time employees</t>
  </si>
  <si>
    <r>
      <rPr>
        <b/>
        <sz val="11"/>
        <color theme="1"/>
        <rFont val="Calibri"/>
        <family val="2"/>
        <scheme val="minor"/>
      </rPr>
      <t>Reimbursements</t>
    </r>
    <r>
      <rPr>
        <sz val="11"/>
        <color theme="1"/>
        <rFont val="Calibri"/>
        <family val="2"/>
        <scheme val="minor"/>
      </rPr>
      <t xml:space="preserve">
Reimbursements are payments made to a worker for actual expenses already incurred, and the employer may be subject to fringe benefits tax (FBT). If the reimbursement is covered by FBT, the amount is not assessable income to the employee, and the employee cannot claim a deduction for the expense.</t>
    </r>
  </si>
  <si>
    <t>Reimbursement 
($)</t>
  </si>
  <si>
    <t>Reimbursement 
(type)</t>
  </si>
  <si>
    <r>
      <rPr>
        <b/>
        <sz val="11"/>
        <color theme="1"/>
        <rFont val="Calibri"/>
        <family val="2"/>
        <scheme val="minor"/>
      </rPr>
      <t xml:space="preserve">What is included in the Payroll Module
</t>
    </r>
    <r>
      <rPr>
        <u/>
        <sz val="11"/>
        <color theme="1"/>
        <rFont val="Calibri"/>
        <family val="2"/>
        <scheme val="minor"/>
      </rPr>
      <t>This Payroll Module calculates fortnightly and monthly PAYG withholding for the following types of payments:</t>
    </r>
    <r>
      <rPr>
        <sz val="11"/>
        <color theme="1"/>
        <rFont val="Calibri"/>
        <family val="2"/>
        <scheme val="minor"/>
      </rPr>
      <t xml:space="preserve">
- salary, wages, allowances and leave loading paid to employees
- paid parental leave
- directors' fees
- salary and allowances paid to office holders (including members of parliament, statutory office holders, defence force members and police officers)
- payments to labour-hire workers
- payments to religious practitioners
- government pensions
- government education or training payments
- compensation, sickness or accident payments that are calculated at a periodical rate and made because a person is unable to work (unless the payment is made    under an insurance policy to the policy owner).
and employees who have a:
- Higher Education Loan Program (HELP) debt
- VET Student Loan (VSL) debt
- Financial Supplement (FS) debt
- Student Start-up Loan (SSL) debt (includes ABSTUDY SSL debts), or
- Trade Support Loan (TSL) debt.</t>
    </r>
  </si>
  <si>
    <t>Back payments, commissions, bonuses and similar payments</t>
  </si>
  <si>
    <t>Annuities</t>
  </si>
  <si>
    <t>Payments made under voluntary agreements</t>
  </si>
  <si>
    <t>Superannuation income streams</t>
  </si>
  <si>
    <t>Superannuation lump sum payments</t>
  </si>
  <si>
    <t>Individuals employed in the horticultural or shearing industry</t>
  </si>
  <si>
    <t>Actors, variety artists and other entertainers</t>
  </si>
  <si>
    <t>Seniors and pensioners</t>
  </si>
  <si>
    <t>Individuals employed under a working holiday makers visa</t>
  </si>
  <si>
    <t xml:space="preserve">Unused leave payments on termination of employment </t>
  </si>
  <si>
    <r>
      <rPr>
        <b/>
        <sz val="11"/>
        <color theme="1"/>
        <rFont val="Calibri"/>
        <family val="2"/>
        <scheme val="minor"/>
      </rPr>
      <t>Allowances</t>
    </r>
    <r>
      <rPr>
        <sz val="11"/>
        <color theme="1"/>
        <rFont val="Calibri"/>
        <family val="2"/>
        <scheme val="minor"/>
      </rPr>
      <t xml:space="preserve">
Allowances are separately identified payments made to an employee for:
- working conditions - for example, danger, height or dirt
- qualifications or special duties - for example, first aid certificate or safety officer
- expenses that can't be claimed as a tax deduction by the employee – for example, normal travel between home and work
- work related expenses that may be claimed as a tax deduction by the employee - for example, travel between work sites.
Allowances that have been folded in to normal salary or wages are not treated separately for withholding.
Withholding is required on most types of allowances,  though whether an allowance is included in OTE (ordinary time earnings) depends on the types of allowance paid. For detail on withholding requirements for allowances paid to employees (and to help you make the correct selection in column AD of the PAYG Worksheet), refer to the ATO link below:
</t>
    </r>
    <r>
      <rPr>
        <u/>
        <sz val="11"/>
        <color theme="4"/>
        <rFont val="Calibri"/>
        <family val="2"/>
        <scheme val="minor"/>
      </rPr>
      <t xml:space="preserve">https://www.ato.gov.au/Business/PAYG-withholding/Payments-you-need-to-withhold-from/Payments-to-employees/Allowances-and-reimbursements/Withholding-for-allowances/
</t>
    </r>
    <r>
      <rPr>
        <sz val="11"/>
        <color theme="1"/>
        <rFont val="Calibri"/>
        <family val="2"/>
        <scheme val="minor"/>
      </rPr>
      <t xml:space="preserve">
</t>
    </r>
  </si>
  <si>
    <r>
      <rPr>
        <b/>
        <sz val="11"/>
        <color theme="1"/>
        <rFont val="Calibri"/>
        <family val="2"/>
        <scheme val="minor"/>
      </rPr>
      <t>Annual leave loading</t>
    </r>
    <r>
      <rPr>
        <sz val="11"/>
        <color theme="1"/>
        <rFont val="Calibri"/>
        <family val="2"/>
        <scheme val="minor"/>
      </rPr>
      <t xml:space="preserve"> is included in the OTE calculation (and therefore used to calculated superannuation) as a default in the PAYG Worksheet.
Where the type of annual leave loading relates to "demonstrably referable to a loss of opportunity to work overtime" the annual leave loading should not be included and the OTE calculation would be overstated by this amount. Refer to the tables in the ATO link below for details:
</t>
    </r>
    <r>
      <rPr>
        <u/>
        <sz val="11"/>
        <color theme="4"/>
        <rFont val="Calibri"/>
        <family val="2"/>
        <scheme val="minor"/>
      </rPr>
      <t>https://www.ato.gov.au/business/super-for-employers/how-much-to-pay/checklist--salary-or-wages-and-ordinary-time-earnings/</t>
    </r>
  </si>
  <si>
    <t>GL a/c 323</t>
  </si>
  <si>
    <t>GL a/c 324</t>
  </si>
  <si>
    <t>GL a/c 322</t>
  </si>
  <si>
    <t xml:space="preserve">You should refer to the relevant ATO tax information (www.ato.gov.au) or obtain professional advice if you are unsure whether an employee falls into one of these categories. If they do, you may calculate the tax to be withheld using the relevant tax table or an applicable ATO tax withholding calculator. </t>
  </si>
  <si>
    <r>
      <rPr>
        <b/>
        <sz val="11"/>
        <color theme="1"/>
        <rFont val="Calibri"/>
        <family val="2"/>
        <scheme val="minor"/>
      </rPr>
      <t>Payroll and STP ("Single-touch Payroll")</t>
    </r>
    <r>
      <rPr>
        <sz val="11"/>
        <color theme="1"/>
        <rFont val="Calibri"/>
        <family val="2"/>
        <scheme val="minor"/>
      </rPr>
      <t xml:space="preserve">
Single Touch Payroll (STP) is the way you report your employee's tax and super information to the ATO.
STP reporting is required for all Australian businesses with employees (exemptions apply in some circumstances). For detail on what STP is and how the requirements apply to you, please refer to the ATO website link below:
</t>
    </r>
    <r>
      <rPr>
        <u/>
        <sz val="11"/>
        <color theme="4"/>
        <rFont val="Calibri"/>
        <family val="2"/>
        <scheme val="minor"/>
      </rPr>
      <t xml:space="preserve">https://www.ato.gov.au/Business/Single-Touch-Payroll/In-detail/Single-Touch-Payroll-employer-reporting-guidelines/
</t>
    </r>
    <r>
      <rPr>
        <u/>
        <sz val="11"/>
        <rFont val="Calibri"/>
        <family val="2"/>
        <scheme val="minor"/>
      </rPr>
      <t xml:space="preserve">This Excel file does NOT facilitate STP reporting to the ATO </t>
    </r>
    <r>
      <rPr>
        <sz val="11"/>
        <rFont val="Calibri"/>
        <family val="2"/>
        <scheme val="minor"/>
      </rPr>
      <t>- you will need to have access an application or software that facilitates the reporting of employee payroll information to the ATO. Refer to the ATO website (www.ato.gov.au) for further information on options available for STP.
Depending on the amount of people you employee, there are low or no-cost options available to submit the required STP payroll information to the ATO and these can exist separately from your normal accounting records, or be integrated with them (such as in some paid software packages). Refer the ATO link above for further details.</t>
    </r>
  </si>
  <si>
    <r>
      <t xml:space="preserve">Public holidays
</t>
    </r>
    <r>
      <rPr>
        <sz val="11"/>
        <color theme="1"/>
        <rFont val="Calibri"/>
        <family val="2"/>
        <scheme val="minor"/>
      </rPr>
      <t>For detailed information on public holiday requirements related to payroll, please review the information at the link below:</t>
    </r>
    <r>
      <rPr>
        <b/>
        <sz val="11"/>
        <color theme="1"/>
        <rFont val="Calibri"/>
        <family val="2"/>
        <scheme val="minor"/>
      </rPr>
      <t xml:space="preserve">
</t>
    </r>
    <r>
      <rPr>
        <u/>
        <sz val="11"/>
        <color theme="4"/>
        <rFont val="Calibri"/>
        <family val="2"/>
        <scheme val="minor"/>
      </rPr>
      <t xml:space="preserve">https://www.fairwork.gov.au/leave/public-holidays
</t>
    </r>
    <r>
      <rPr>
        <sz val="11"/>
        <rFont val="Calibri"/>
        <family val="2"/>
        <scheme val="minor"/>
      </rPr>
      <t>Employees (except casual employees) who normally work on the day a public holiday falls will be paid their base pay rate for the ordinary hours they would have worked if they had not been away because of the public holiday.
The base pay rate doesn’t include:
- any incentive-based payments
- bonuses
- loadings
- monetary allowances
- overtime or
- penalty rates.</t>
    </r>
    <r>
      <rPr>
        <b/>
        <sz val="11"/>
        <color theme="1"/>
        <rFont val="Calibri"/>
        <family val="2"/>
        <scheme val="minor"/>
      </rPr>
      <t xml:space="preserve">
Recording public holidays paid</t>
    </r>
    <r>
      <rPr>
        <sz val="11"/>
        <color theme="1"/>
        <rFont val="Calibri"/>
        <family val="2"/>
        <scheme val="minor"/>
      </rPr>
      <t xml:space="preserve">
Where public holidays fall during a pay period, and an employee is entitled to be paid for a day off work, the total number of hours of public holidays during the period should be entered for each employee in column I of the PAYG worksheet. This will not affect the other calculations.
</t>
    </r>
    <r>
      <rPr>
        <b/>
        <sz val="11"/>
        <color theme="1"/>
        <rFont val="Calibri"/>
        <family val="2"/>
        <scheme val="minor"/>
      </rPr>
      <t xml:space="preserve">Annual leave and public holidays
</t>
    </r>
    <r>
      <rPr>
        <sz val="11"/>
        <color theme="1"/>
        <rFont val="Calibri"/>
        <family val="2"/>
        <scheme val="minor"/>
      </rPr>
      <t>If a public holiday falls during a period of paid leave (e.g. annual leave or sick leave), the employee has to be paid for the public holiday. This includes any hours that fall on a part-day public holiday. The public holiday must not be counted as annual leave or sick leave. This means that the public holiday hours must not be taken away from the employee's amount of built-up paid leave.</t>
    </r>
  </si>
  <si>
    <r>
      <t xml:space="preserve">Annual leave loading
</t>
    </r>
    <r>
      <rPr>
        <sz val="11"/>
        <color theme="1"/>
        <rFont val="Calibri"/>
        <family val="2"/>
        <scheme val="minor"/>
      </rPr>
      <t>The PAYG worksheet automatically allocates leave loading to employees when "Yes" is selected in the Basic Payroll Data worksheet. If annual leave loading does NOT apply to a particular employee, you can delete the value in column AA of the PAYG worksheet for that employee.</t>
    </r>
  </si>
  <si>
    <r>
      <rPr>
        <b/>
        <sz val="11"/>
        <color theme="1"/>
        <rFont val="Calibri"/>
        <family val="2"/>
        <scheme val="minor"/>
      </rPr>
      <t xml:space="preserve">Net salaries &amp; wages </t>
    </r>
    <r>
      <rPr>
        <sz val="11"/>
        <color theme="1"/>
        <rFont val="Calibri"/>
        <family val="2"/>
        <scheme val="minor"/>
      </rPr>
      <t>(column BB) are the gross amounts payable to employees, less PAYG withholding.</t>
    </r>
  </si>
  <si>
    <t>Timesheet
(hours)</t>
  </si>
  <si>
    <t>Timesheet entry</t>
  </si>
  <si>
    <t>Select an employee name in row 6 from the drop down menu</t>
  </si>
  <si>
    <t>Enter the actual hours worked on each day</t>
  </si>
  <si>
    <t>Total hours available to work</t>
  </si>
  <si>
    <t>Weekday flag</t>
  </si>
  <si>
    <t>Dates</t>
  </si>
  <si>
    <t>Weekday</t>
  </si>
  <si>
    <t>Proportion of calendar month worked</t>
  </si>
  <si>
    <t>Pro-rata hours worked</t>
  </si>
  <si>
    <t>Enter this value in column H of the PAYG worksheet for new starters or terminations with standard hours</t>
  </si>
  <si>
    <t>Adjust the dates in column A as required (e.g. if the payrun normally starts of the 1st of the month, or on the 15th)</t>
  </si>
  <si>
    <t>Enter the total hours for the calendar month in column F of the the PAYG worksheet</t>
  </si>
  <si>
    <t>Actual hours worked during the calendar month</t>
  </si>
  <si>
    <t>Monthly average standard ordinary hours</t>
  </si>
  <si>
    <t>Refer column S of the Employee Iinformation worksheet</t>
  </si>
  <si>
    <t>Start date of monthly payrun</t>
  </si>
  <si>
    <t>End date of monthly payrun</t>
  </si>
  <si>
    <t>Workdays during the month</t>
  </si>
  <si>
    <t>Total hours available to work for the month</t>
  </si>
  <si>
    <t>TOTAL ANNUAL HOURS</t>
  </si>
  <si>
    <t>Standard daily hours</t>
  </si>
  <si>
    <t>Days worked this year</t>
  </si>
  <si>
    <r>
      <t xml:space="preserve">Employee set-up
</t>
    </r>
    <r>
      <rPr>
        <sz val="11"/>
        <color theme="1"/>
        <rFont val="Calibri"/>
        <family val="2"/>
        <scheme val="minor"/>
      </rPr>
      <t xml:space="preserve">Employees can be set-up in the Employee Information worksheet in one of two ways:
</t>
    </r>
    <r>
      <rPr>
        <b/>
        <i/>
        <sz val="11"/>
        <color theme="1"/>
        <rFont val="Calibri"/>
        <family val="2"/>
        <scheme val="minor"/>
      </rPr>
      <t>1) Standard hours</t>
    </r>
    <r>
      <rPr>
        <i/>
        <sz val="11"/>
        <color theme="1"/>
        <rFont val="Calibri"/>
        <family val="2"/>
        <scheme val="minor"/>
      </rPr>
      <t xml:space="preserve"> (permanent full-time, and usually permanent part-time employees)
</t>
    </r>
    <r>
      <rPr>
        <sz val="11"/>
        <color theme="1"/>
        <rFont val="Calibri"/>
        <family val="2"/>
        <scheme val="minor"/>
      </rPr>
      <t>- For fortnightly payruns, standard hours will automatically appear in the PAYG worksheet (standard weekly hours x 2). E.g. 37.5 hours per week x 2 weeks = 75 hours.
- For monthly payruns, standard hours are calculated as an average for each of the 12 months (refer Note 1 &amp; 2 on calculations below) to ensure equal monthly                                          payments for permanent employees
- For monthly payruns, employees on standard hours who begin or end employment during the month are paid on a pro-rata basis, as a fraction of their monthly average hours (refer Notes 7 &amp; 8 below).</t>
    </r>
    <r>
      <rPr>
        <i/>
        <sz val="11"/>
        <color theme="1"/>
        <rFont val="Calibri"/>
        <family val="2"/>
        <scheme val="minor"/>
      </rPr>
      <t xml:space="preserve">
</t>
    </r>
    <r>
      <rPr>
        <b/>
        <i/>
        <sz val="11"/>
        <color theme="1"/>
        <rFont val="Calibri"/>
        <family val="2"/>
        <scheme val="minor"/>
      </rPr>
      <t xml:space="preserve">
2) Non-standard hours</t>
    </r>
    <r>
      <rPr>
        <i/>
        <sz val="11"/>
        <color theme="1"/>
        <rFont val="Calibri"/>
        <family val="2"/>
        <scheme val="minor"/>
      </rPr>
      <t xml:space="preserve"> (for casuals, contractors, and some part-time employees)
- </t>
    </r>
    <r>
      <rPr>
        <sz val="11"/>
        <color theme="1"/>
        <rFont val="Calibri"/>
        <family val="2"/>
        <scheme val="minor"/>
      </rPr>
      <t xml:space="preserve">Employees who do not have standard ordinary hours should not have a value in column Q of the Employee Information worksheet. Their hours are entered each payrun in the Timesheet column of the PAYG Worksheet (column F). The Monthly Payrun TImesheet is provided to help keep track of non-standard hours.
- Non-standard hours for monthly payruns are entered on a calendar month basis (e.g. actual hours worked between 1 July 2020 and 31 July 2020)
- Non-standard hours for fortnightly payruns are entered as actual hours worked
- If an employee is entitled to be paid for overtime worked they must be set up with non-standard hours
</t>
    </r>
    <r>
      <rPr>
        <b/>
        <sz val="11"/>
        <color theme="1"/>
        <rFont val="Calibri"/>
        <family val="2"/>
        <scheme val="minor"/>
      </rPr>
      <t>Leave accruals</t>
    </r>
    <r>
      <rPr>
        <sz val="11"/>
        <color theme="1"/>
        <rFont val="Calibri"/>
        <family val="2"/>
        <scheme val="minor"/>
      </rPr>
      <t xml:space="preserve">
Only full-time and part-time employees accrue leave. Leave accrued is calculated based on actual hours worked. 
</t>
    </r>
    <r>
      <rPr>
        <b/>
        <sz val="11"/>
        <color theme="1"/>
        <rFont val="Calibri"/>
        <family val="2"/>
        <scheme val="minor"/>
      </rPr>
      <t>Changes to employee set-up</t>
    </r>
    <r>
      <rPr>
        <sz val="11"/>
        <color theme="1"/>
        <rFont val="Calibri"/>
        <family val="2"/>
        <scheme val="minor"/>
      </rPr>
      <t xml:space="preserve">
If an employee's set-up changes during the year (e.g. change from standard to non-standard hours, or change in pay rate), you must re-enter their new details as a new row in the Employee Information worksheet as a unique value  - e.g. 'Roger Richer 2' (refer also Note 6). Do not enter timesheet hours for employees with standard hours while using a monthly payrun.</t>
    </r>
  </si>
  <si>
    <t>New starter / Termination
(hours)</t>
  </si>
  <si>
    <r>
      <t xml:space="preserve">Use this calculation worksheet where a monthly payrun is being used and an employee with standard hours begins or ends their employment during the month. The pro-rata hours (cell C22) should be entered into column H of the PAYG worksheet for the month in which they commenced or ended employment. The calculation is as follows:
                                                                                               </t>
    </r>
    <r>
      <rPr>
        <b/>
        <sz val="11"/>
        <color theme="1"/>
        <rFont val="Calibri"/>
        <family val="2"/>
        <scheme val="minor"/>
      </rPr>
      <t xml:space="preserve"> </t>
    </r>
    <r>
      <rPr>
        <b/>
        <sz val="12"/>
        <color theme="1"/>
        <rFont val="Calibri"/>
        <family val="2"/>
        <scheme val="minor"/>
      </rPr>
      <t xml:space="preserve"> </t>
    </r>
    <r>
      <rPr>
        <b/>
        <i/>
        <sz val="11"/>
        <color theme="1"/>
        <rFont val="Calibri"/>
        <family val="2"/>
        <scheme val="minor"/>
      </rPr>
      <t>1) Actual hours worked during the month / total hours available to work = pro-rata %
                                                                                                 2) Pro-rata % x average ordinary standard hours per month = proportion of average monthly hours worked</t>
    </r>
  </si>
  <si>
    <t>Terms of use</t>
  </si>
  <si>
    <t>Small Biz Payroll Module</t>
  </si>
  <si>
    <t>Category of employee or payment</t>
  </si>
  <si>
    <r>
      <rPr>
        <b/>
        <sz val="11"/>
        <color theme="1"/>
        <rFont val="Calibri"/>
        <family val="2"/>
        <scheme val="minor"/>
      </rPr>
      <t>Change to employment status</t>
    </r>
    <r>
      <rPr>
        <sz val="11"/>
        <color theme="1"/>
        <rFont val="Calibri"/>
        <family val="2"/>
        <scheme val="minor"/>
      </rPr>
      <t xml:space="preserve">
If an employee changes their employment status (e.g. casual or contractor to permanent part-time or full-time), you must add this employee again in the 'Employee Data' worksheet below the original entry as a new unique entry (e.g. Roger Richer becomes 'Roger Richer 2'). This is to ensure that leave balances are calculated only on hours worked as a part-time or full-time employee (where previously they were not entitled to leave), and that previous payrun data is retained.</t>
    </r>
  </si>
  <si>
    <r>
      <rPr>
        <b/>
        <sz val="11"/>
        <color theme="1"/>
        <rFont val="Calibri"/>
        <family val="2"/>
        <scheme val="minor"/>
      </rPr>
      <t>New starters and terminations - hours worked</t>
    </r>
    <r>
      <rPr>
        <sz val="11"/>
        <color theme="1"/>
        <rFont val="Calibri"/>
        <family val="2"/>
        <scheme val="minor"/>
      </rPr>
      <t xml:space="preserve">
</t>
    </r>
    <r>
      <rPr>
        <u/>
        <sz val="11"/>
        <color theme="1"/>
        <rFont val="Calibri"/>
        <family val="2"/>
        <scheme val="minor"/>
      </rPr>
      <t>Fortnightly payruns:</t>
    </r>
    <r>
      <rPr>
        <sz val="11"/>
        <color theme="1"/>
        <rFont val="Calibri"/>
        <family val="2"/>
        <scheme val="minor"/>
      </rPr>
      <t xml:space="preserve">
If an employee begins or ends employment during the pay period, simply enter their actual hours worked during the period in column H of the PAYG Worksheet. This will override any standard hours.
</t>
    </r>
    <r>
      <rPr>
        <u/>
        <sz val="11"/>
        <color theme="1"/>
        <rFont val="Calibri"/>
        <family val="2"/>
        <scheme val="minor"/>
      </rPr>
      <t>Monthly payruns:</t>
    </r>
    <r>
      <rPr>
        <sz val="11"/>
        <color theme="1"/>
        <rFont val="Calibri"/>
        <family val="2"/>
        <scheme val="minor"/>
      </rPr>
      <t xml:space="preserve">
For monthly payruns with employees set up on standard ordinary hours, the hours entered into column H of the PAYG worksheet is their standard ordinary hours multiplied by proportion of actual days worked in the pay period. The New Starters &amp; Terminations worksheet has been provided to calculated the hours for employees who begin or end employment during a month (where they are set up with standard hours and are therefore paid based on average monthly hours each month).</t>
    </r>
  </si>
  <si>
    <r>
      <t xml:space="preserve">Termination of employees and termination payments
</t>
    </r>
    <r>
      <rPr>
        <sz val="11"/>
        <color theme="1"/>
        <rFont val="Calibri"/>
        <family val="2"/>
        <scheme val="minor"/>
      </rPr>
      <t xml:space="preserve">As per Note 1 above, the PAYG withholding calculation  for employees in this Excel file does not apply to employment termination payments (refer Note 1). Please consult your accountant or bookkeeper for assistance in calculating Employee Termination Payments (ETP), and/or review the guidance contained on the ATO website (www.ato.gov.au). However, the hours worked for terminated employees can be recorded as follows to assist in this process:
</t>
    </r>
    <r>
      <rPr>
        <u/>
        <sz val="11"/>
        <color theme="1"/>
        <rFont val="Calibri"/>
        <family val="2"/>
        <scheme val="minor"/>
      </rPr>
      <t>Fortnightly payruns:</t>
    </r>
    <r>
      <rPr>
        <sz val="11"/>
        <color theme="1"/>
        <rFont val="Calibri"/>
        <family val="2"/>
        <scheme val="minor"/>
      </rPr>
      <t xml:space="preserve">
In the final payrun for a terminated employee, enter their actual hours worked into column H (if they vary from their ordinary hours in column J). This will override any standard hours.
</t>
    </r>
    <r>
      <rPr>
        <u/>
        <sz val="11"/>
        <color theme="1"/>
        <rFont val="Calibri"/>
        <family val="2"/>
        <scheme val="minor"/>
      </rPr>
      <t>Monthly payruns:</t>
    </r>
    <r>
      <rPr>
        <sz val="11"/>
        <color theme="1"/>
        <rFont val="Calibri"/>
        <family val="2"/>
        <scheme val="minor"/>
      </rPr>
      <t xml:space="preserve">
In the final payrun for a terminated employee with non-standard hours, enter their actual hours worked on a calendar month basis. For employees with standard monthly hours, use the New Starters &amp; Terminations worksheet to calculate the pro-rata hours worked in the month.
</t>
    </r>
    <r>
      <rPr>
        <u/>
        <sz val="11"/>
        <color theme="1"/>
        <rFont val="Calibri"/>
        <family val="2"/>
        <scheme val="minor"/>
      </rPr>
      <t>Other points to note:</t>
    </r>
    <r>
      <rPr>
        <sz val="11"/>
        <color theme="1"/>
        <rFont val="Calibri"/>
        <family val="2"/>
        <scheme val="minor"/>
      </rPr>
      <t xml:space="preserve">
For future pay periods, enter a zero in column H for the terminated employee which will reduce their pay to zero, and in the next financial years' Payroll Module do not include the employee again.
Once you have finalised the termination payments (with assistance from an accountant or bookeeper if required), ensure that these amounts are included in the Accounts (if you are using the Accounting System Excel file) as salaries &amp; wages, PAYG withholding, and superannuation as normal (refer Note 11).</t>
    </r>
    <r>
      <rPr>
        <b/>
        <sz val="11"/>
        <color theme="1"/>
        <rFont val="Calibri"/>
        <family val="2"/>
        <scheme val="minor"/>
      </rPr>
      <t xml:space="preserve">
</t>
    </r>
    <r>
      <rPr>
        <sz val="11"/>
        <color theme="1"/>
        <rFont val="Calibri"/>
        <family val="2"/>
        <scheme val="minor"/>
      </rPr>
      <t xml:space="preserve">
</t>
    </r>
  </si>
  <si>
    <r>
      <t xml:space="preserve">Changes to an employee's ordinary hours
</t>
    </r>
    <r>
      <rPr>
        <sz val="11"/>
        <color theme="1"/>
        <rFont val="Calibri"/>
        <family val="2"/>
        <scheme val="minor"/>
      </rPr>
      <t>If an employee's standard ordinary hours per week change, you will need to re-enter the employee on a new row in the Employee Information worksheet (e.g. 'Jane Smith 2'). This will ensure that the amounts the employee was paid and accrued in previous pay periods during the year are retained (and not overwritten/re-calculated by the new ordinary hours).</t>
    </r>
  </si>
  <si>
    <r>
      <rPr>
        <b/>
        <sz val="11"/>
        <color theme="1"/>
        <rFont val="Calibri"/>
        <family val="2"/>
        <scheme val="minor"/>
      </rPr>
      <t>Monthly payruns</t>
    </r>
    <r>
      <rPr>
        <sz val="11"/>
        <color theme="1"/>
        <rFont val="Calibri"/>
        <family val="2"/>
        <scheme val="minor"/>
      </rPr>
      <t xml:space="preserve">
Because the number of days in each month vary, the standard ordinary hours for full-time and part-time employees under a monthly payrun are calculated as an average to ensure employees are paid an equal amount each month.
For example, a full-time employee's average monthly ordinary hours (based on 37.5 per week) will be  calculated as follows:
                                                                 </t>
    </r>
    <r>
      <rPr>
        <i/>
        <sz val="11"/>
        <color theme="1"/>
        <rFont val="Calibri"/>
        <family val="2"/>
        <scheme val="minor"/>
      </rPr>
      <t xml:space="preserve">37.5 hours per week x 52 weeks / 12 months = 162.5 hours worked per month (on average)
</t>
    </r>
    <r>
      <rPr>
        <sz val="11"/>
        <color theme="1"/>
        <rFont val="Calibri"/>
        <family val="2"/>
        <scheme val="minor"/>
      </rPr>
      <t>For employees set up with non-standard hours using a monthly payrun, you must enter their hours for the month on a calendar month basis (e.g. hours worked between 1 July 2020 and 31 July 2020) in column F of the PAYG worksheet.
Refer also Note 2 below.</t>
    </r>
  </si>
  <si>
    <r>
      <rPr>
        <b/>
        <sz val="11"/>
        <color theme="1"/>
        <rFont val="Calibri"/>
        <family val="2"/>
        <scheme val="minor"/>
      </rPr>
      <t xml:space="preserve">Number of days in a payrun
</t>
    </r>
    <r>
      <rPr>
        <sz val="11"/>
        <color theme="1"/>
        <rFont val="Calibri"/>
        <family val="2"/>
        <scheme val="minor"/>
      </rPr>
      <t xml:space="preserve">In general:
</t>
    </r>
    <r>
      <rPr>
        <b/>
        <sz val="11"/>
        <color theme="1"/>
        <rFont val="Calibri"/>
        <family val="2"/>
        <scheme val="minor"/>
      </rPr>
      <t>A fortnightly payrun</t>
    </r>
    <r>
      <rPr>
        <sz val="11"/>
        <color theme="1"/>
        <rFont val="Calibri"/>
        <family val="2"/>
        <scheme val="minor"/>
      </rPr>
      <t xml:space="preserve"> has 10 working days: 10 working days per fortnight x 26 pay periods = </t>
    </r>
    <r>
      <rPr>
        <b/>
        <sz val="11"/>
        <color theme="1"/>
        <rFont val="Calibri"/>
        <family val="2"/>
        <scheme val="minor"/>
      </rPr>
      <t>260 working days.</t>
    </r>
    <r>
      <rPr>
        <sz val="11"/>
        <color theme="1"/>
        <rFont val="Calibri"/>
        <family val="2"/>
        <scheme val="minor"/>
      </rPr>
      <t xml:space="preserve">
</t>
    </r>
    <r>
      <rPr>
        <b/>
        <sz val="11"/>
        <color theme="1"/>
        <rFont val="Calibri"/>
        <family val="2"/>
        <scheme val="minor"/>
      </rPr>
      <t xml:space="preserve">
A monthly pay period</t>
    </r>
    <r>
      <rPr>
        <sz val="11"/>
        <color theme="1"/>
        <rFont val="Calibri"/>
        <family val="2"/>
        <scheme val="minor"/>
      </rPr>
      <t xml:space="preserve"> has 20 working days: 20 working days x 12 pay periods = </t>
    </r>
    <r>
      <rPr>
        <b/>
        <sz val="11"/>
        <color theme="1"/>
        <rFont val="Calibri"/>
        <family val="2"/>
        <scheme val="minor"/>
      </rPr>
      <t>240 working days</t>
    </r>
    <r>
      <rPr>
        <sz val="11"/>
        <color theme="1"/>
        <rFont val="Calibri"/>
        <family val="2"/>
        <scheme val="minor"/>
      </rPr>
      <t xml:space="preserve"> (*for employees with standard hours - if an employee has non-standard hours, hours worked are entered on a calendar month basis). As per Note 1 above, standard monthly hours are calculated as an average to ensure employees are paid for a full year/260 days.</t>
    </r>
    <r>
      <rPr>
        <b/>
        <sz val="11"/>
        <color theme="1"/>
        <rFont val="Calibri"/>
        <family val="2"/>
        <scheme val="minor"/>
      </rPr>
      <t xml:space="preserve">
</t>
    </r>
    <r>
      <rPr>
        <sz val="11"/>
        <color theme="1"/>
        <rFont val="Calibri"/>
        <family val="2"/>
        <scheme val="minor"/>
      </rPr>
      <t xml:space="preserve">
Leave accruals for permanent full-time and permanent part-time employees are calculated on the basis of information entered into the Basic Payroll Data worksheet.</t>
    </r>
    <r>
      <rPr>
        <b/>
        <sz val="11"/>
        <color theme="1"/>
        <rFont val="Calibri"/>
        <family val="2"/>
        <scheme val="minor"/>
      </rPr>
      <t xml:space="preserve">
If an employee normally works more than 5 days per week,</t>
    </r>
    <r>
      <rPr>
        <sz val="11"/>
        <color theme="1"/>
        <rFont val="Calibri"/>
        <family val="2"/>
        <scheme val="minor"/>
      </rPr>
      <t xml:space="preserve"> they should be set up with non-standard hours and their actual hours entered in the Timesheet column (if using a monthly payrun, enter the hours on a calendar month basis - e.g. between 1 July 2020 and 31 July 2020). This should only apply to casual or contract employees who do not accrue leave entitlements.
</t>
    </r>
  </si>
  <si>
    <r>
      <rPr>
        <b/>
        <sz val="11"/>
        <color theme="1"/>
        <rFont val="Calibri"/>
        <family val="2"/>
        <scheme val="minor"/>
      </rPr>
      <t>Annual and sick leave accruals</t>
    </r>
    <r>
      <rPr>
        <sz val="11"/>
        <color theme="1"/>
        <rFont val="Calibri"/>
        <family val="2"/>
        <scheme val="minor"/>
      </rPr>
      <t xml:space="preserve">
Leave accruals are calculated based on actual hours worked for permanent full-time or permanent part-time employees (or average hours for full-time and part-time employees on monthly payruns - see notes 1 &amp; 2 on monthly payruns).</t>
    </r>
  </si>
  <si>
    <r>
      <t xml:space="preserve">Superannuation and OTE (Ordinary Time Earnings)
</t>
    </r>
    <r>
      <rPr>
        <sz val="11"/>
        <color theme="1"/>
        <rFont val="Calibri"/>
        <family val="2"/>
        <scheme val="minor"/>
      </rPr>
      <t xml:space="preserve">Superannuation (SGC) is calculated based on Ordinary Time Earnings. For information on what is, and is not, included in OTE refer to the ATO links below.
Reimbursements are not included in OTE, some allowances are included in OTE, and annual leave loading is included as a default as part of OTE (refer note 4).
</t>
    </r>
    <r>
      <rPr>
        <u/>
        <sz val="11"/>
        <color theme="4"/>
        <rFont val="Calibri"/>
        <family val="2"/>
        <scheme val="minor"/>
      </rPr>
      <t>https://www.ato.gov.au/business/super-for-employers/how-much-to-pay/checklist--salary-or-wages-and-ordinary-time-earnings/
https://www.ato.gov.au/Business/PAYG-withholding/Payments-you-need-to-withhold-from/Payments-to-employees/Allowances-and-reimbursements/</t>
    </r>
  </si>
  <si>
    <t>this should be the value in cell D6</t>
  </si>
  <si>
    <r>
      <t>New starters &amp; terminations</t>
    </r>
    <r>
      <rPr>
        <sz val="14"/>
        <color theme="1"/>
        <rFont val="Calibri"/>
        <family val="2"/>
        <scheme val="minor"/>
      </rPr>
      <t xml:space="preserve"> (for monthly payruns and employees with standard hours only)</t>
    </r>
  </si>
  <si>
    <t>Total actual hours worked for the month (e.g. between 1 July 2020 and 31 July 2020). For example 5 days x 7.5 hour days = 37.5 hours worked.</t>
  </si>
  <si>
    <t>Total hours available to work (e.g. between 1 July 2020 and 31 July 2020, 23 days x 7.5 hours = 172.5)</t>
  </si>
  <si>
    <t>Includes public holidays</t>
  </si>
  <si>
    <r>
      <t xml:space="preserve">Timesheet entry
</t>
    </r>
    <r>
      <rPr>
        <u/>
        <sz val="11"/>
        <color theme="1"/>
        <rFont val="Calibri"/>
        <family val="2"/>
        <scheme val="minor"/>
      </rPr>
      <t xml:space="preserve">
Fortnightly payruns:</t>
    </r>
    <r>
      <rPr>
        <b/>
        <sz val="11"/>
        <color theme="1"/>
        <rFont val="Calibri"/>
        <family val="2"/>
        <scheme val="minor"/>
      </rPr>
      <t xml:space="preserve">
</t>
    </r>
    <r>
      <rPr>
        <sz val="11"/>
        <color theme="1"/>
        <rFont val="Calibri"/>
        <family val="2"/>
        <scheme val="minor"/>
      </rPr>
      <t xml:space="preserve">For Timesheet entry using a fortnightly payrun (non-standard hours), enter actual hours worked during the fortnight (e.g. for an employee who worked 25 hours during a 75-hour fortnight, enter 25 in column F).
If required, you may enter actual hours in the timesheet column (column F) for employees with standard hours for a fortnightly payrun to adjust a payrun (this does not apply for a monthly payrun). However, ensure the Timesheet hours in column F do not exceed their standard hours or leave accruals will be incorrect.
</t>
    </r>
    <r>
      <rPr>
        <u/>
        <sz val="11"/>
        <color theme="1"/>
        <rFont val="Calibri"/>
        <family val="2"/>
        <scheme val="minor"/>
      </rPr>
      <t xml:space="preserve">Monthly payruns:
</t>
    </r>
    <r>
      <rPr>
        <sz val="11"/>
        <color theme="1"/>
        <rFont val="Calibri"/>
        <family val="2"/>
        <scheme val="minor"/>
      </rPr>
      <t xml:space="preserve">Timesheet entry cannot be used for employees set-up with standard hours when using a monthly payrun.
For Timesheet entry using a monthly payrun (for employees with non-standard hours), enter hours on a calendar month basis (e.g. 1 July 2020 to 31 July 2020 - pay periods will begin either on the 1st or 15th of each month). 
The Monthly Payrun Timesheet has been provided to keep track of hours worked for employees on non-standard hours. The hours in the Monthly Payrun Timesheet must be manually transferred to the PAYG worksheet to record hours worked for the month. 
</t>
    </r>
    <r>
      <rPr>
        <u/>
        <sz val="11"/>
        <color theme="1"/>
        <rFont val="Calibri"/>
        <family val="2"/>
        <scheme val="minor"/>
      </rPr>
      <t>Timesheet entry using fortnightly payruns - leave accruals:</t>
    </r>
    <r>
      <rPr>
        <sz val="11"/>
        <color theme="1"/>
        <rFont val="Calibri"/>
        <family val="2"/>
        <scheme val="minor"/>
      </rPr>
      <t xml:space="preserve">
Annual and sick leave balances are calculated based on actual hours worked for full-time and part-time employees. If you are using the Timesheet entry for a part-time employee on a fortnightly payrun, ensure their total hours worked in column F of the PAYG worksheet do not exceed their standard hours (overtime is not included). If they do, the leave balances will be overstated (their leave balances will be higher than their contracted entitlement).
</t>
    </r>
    <r>
      <rPr>
        <u/>
        <sz val="11"/>
        <color theme="1"/>
        <rFont val="Calibri"/>
        <family val="2"/>
        <scheme val="minor"/>
      </rPr>
      <t>Timesheet entry using monthly payruns - leave accruals:</t>
    </r>
    <r>
      <rPr>
        <sz val="11"/>
        <color theme="1"/>
        <rFont val="Calibri"/>
        <family val="2"/>
        <scheme val="minor"/>
      </rPr>
      <t xml:space="preserve">
Annual and sick leave balances are calculated based on actual hours worked for full-time and part-time employees. A part-time employee may be set up with non-standard hours;  in this case it is possible for them to work greater than 260 days per year based on hours entered into column F of the PAYG worksheet (e.g. FY 2021 has 261 working days including holidays) and their leave balance will be calculated on an extra 1 day. If this occurs, and there is an excess above their maximum entitlement, the extra leave accrued should be excluded from leave requests or payments upon termination.
</t>
    </r>
    <r>
      <rPr>
        <u/>
        <sz val="11"/>
        <color theme="1"/>
        <rFont val="Calibri"/>
        <family val="2"/>
        <scheme val="minor"/>
      </rPr>
      <t>EXAMPLE:</t>
    </r>
    <r>
      <rPr>
        <sz val="11"/>
        <color theme="1"/>
        <rFont val="Calibri"/>
        <family val="2"/>
        <scheme val="minor"/>
      </rPr>
      <t xml:space="preserve">
A permanent part-time employee works 30 hours per week, but can work overtime also. 
This employee should be set up with non-standard hours. 
For fortnightly payruns, enter their actual hours in the Timesheet column. For monthly payruns, enter their actual hours on a calendar month basis (e.g. hours worked between 1 July 2020 and 31 July 2020) using the TImesheet column. 
Leave is not accrued on overtime hours worked.
</t>
    </r>
  </si>
  <si>
    <r>
      <t xml:space="preserve">PAYG Withholding calculation for Study and training support loans (STSL)
</t>
    </r>
    <r>
      <rPr>
        <sz val="11"/>
        <color theme="1"/>
        <rFont val="Calibri"/>
        <family val="2"/>
        <scheme val="minor"/>
      </rPr>
      <t xml:space="preserve">The total withholding amount is equal to the amount withheld for earnings plus the STSL component. Refer to the links below from the ATO website for detail.
</t>
    </r>
    <r>
      <rPr>
        <u/>
        <sz val="11"/>
        <color theme="4"/>
        <rFont val="Calibri"/>
        <family val="2"/>
        <scheme val="minor"/>
      </rPr>
      <t>https://www.ato.gov.au/Rates/Study-and-training-support-loans-fortnightly-tax-table/?page=1#Working_out_the_withholding_amount
https://www.ato.gov.au/Rates/Study-and-training-support-loans-monthly-tax-table/</t>
    </r>
  </si>
  <si>
    <t>Assessable amounts</t>
  </si>
  <si>
    <t>Optional field 
(assessable amounts included in OTE/SGC)</t>
  </si>
  <si>
    <r>
      <t xml:space="preserve">Transferring payroll expenses &amp; liabilities to the Accounts
</t>
    </r>
    <r>
      <rPr>
        <sz val="11"/>
        <color theme="1"/>
        <rFont val="Calibri"/>
        <family val="2"/>
        <scheme val="minor"/>
      </rPr>
      <t xml:space="preserve">If you are also using the Accounting System Excel file, you must manually enter the year-to-date liability totals from the PAYG Worksheet for annual leave and sick leave to ensure the Accounts are complete and up-to-date.
The correct entry is as follows:
</t>
    </r>
    <r>
      <rPr>
        <b/>
        <sz val="11"/>
        <color theme="1"/>
        <rFont val="Calibri"/>
        <family val="2"/>
        <scheme val="minor"/>
      </rPr>
      <t>Debit</t>
    </r>
    <r>
      <rPr>
        <sz val="11"/>
        <color theme="1"/>
        <rFont val="Calibri"/>
        <family val="2"/>
        <scheme val="minor"/>
      </rPr>
      <t xml:space="preserve"> GL account 325 (Annual leave expense) - cell Y34 of the Employee Information worksheet
</t>
    </r>
    <r>
      <rPr>
        <b/>
        <sz val="11"/>
        <color theme="1"/>
        <rFont val="Calibri"/>
        <family val="2"/>
        <scheme val="minor"/>
      </rPr>
      <t>Credit</t>
    </r>
    <r>
      <rPr>
        <sz val="11"/>
        <color theme="1"/>
        <rFont val="Calibri"/>
        <family val="2"/>
        <scheme val="minor"/>
      </rPr>
      <t xml:space="preserve"> GL account 608 (Annual leave liability) - cell Y34 of the Employee Information worksheet
</t>
    </r>
    <r>
      <rPr>
        <b/>
        <sz val="11"/>
        <color theme="1"/>
        <rFont val="Calibri"/>
        <family val="2"/>
        <scheme val="minor"/>
      </rPr>
      <t xml:space="preserve">Debit </t>
    </r>
    <r>
      <rPr>
        <sz val="11"/>
        <color theme="1"/>
        <rFont val="Calibri"/>
        <family val="2"/>
        <scheme val="minor"/>
      </rPr>
      <t xml:space="preserve">GL account 326 (Sick leave expense) - cell AE34 of the Employee Information worksheet
</t>
    </r>
    <r>
      <rPr>
        <b/>
        <sz val="11"/>
        <color theme="1"/>
        <rFont val="Calibri"/>
        <family val="2"/>
        <scheme val="minor"/>
      </rPr>
      <t>Credit</t>
    </r>
    <r>
      <rPr>
        <sz val="11"/>
        <color theme="1"/>
        <rFont val="Calibri"/>
        <family val="2"/>
        <scheme val="minor"/>
      </rPr>
      <t xml:space="preserve"> GL account 609 (Sick leave liability) - cell AE34 of the Employee Information worksheet
Salaries &amp; wages, PAYG, and superannuation are all entered into the 'Purchases Input worksheet' and paid through Accounts Payable (see example in the original download file).
To check the balances of Salaries &amp; Wages, PAYG, and superannuation payable use the 'Creditor balance enquiry' worksheet in the Accounting System file.</t>
    </r>
    <r>
      <rPr>
        <b/>
        <sz val="11"/>
        <color theme="1"/>
        <rFont val="Calibri"/>
        <family val="2"/>
        <scheme val="minor"/>
      </rPr>
      <t xml:space="preserve">
</t>
    </r>
  </si>
  <si>
    <r>
      <rPr>
        <b/>
        <sz val="11"/>
        <color theme="1"/>
        <rFont val="Calibri"/>
        <family val="2"/>
        <scheme val="minor"/>
      </rPr>
      <t>Direct labour &amp; Payroll Module</t>
    </r>
    <r>
      <rPr>
        <sz val="11"/>
        <color theme="1"/>
        <rFont val="Calibri"/>
        <family val="2"/>
        <scheme val="minor"/>
      </rPr>
      <t xml:space="preserve">
Direct labour is included as an expense through COGS in the Accounts (in GL account 200). The same direct labour recorded as COGS in the Accounts worksheet must be recorded in the Payroll Module - either as part of the ordinary hours of an existing employee (and therefore paid through their ordinary hours), or entered into the timesheet hours column (column F of the PAYG worksheet).
However, the total labour cost recognised in the Accounts must be adjusted to reduce the Salaries &amp; Wages expense for GL account 322 when transferring the cost from the Payroll Module</t>
    </r>
    <r>
      <rPr>
        <sz val="11"/>
        <color theme="1"/>
        <rFont val="Calibri"/>
        <family val="2"/>
        <scheme val="minor"/>
      </rPr>
      <t xml:space="preserve">. This will ensure the total Salaries &amp; Wages expense (that is, GL account 322 plus the labour allocated to GL account 200) is not overstated by double-counting direct labour. PAYG and superannuation are not affected by this.
</t>
    </r>
    <r>
      <rPr>
        <b/>
        <sz val="11"/>
        <color theme="1"/>
        <rFont val="Calibri"/>
        <family val="2"/>
        <scheme val="minor"/>
      </rPr>
      <t xml:space="preserve">
</t>
    </r>
    <r>
      <rPr>
        <u/>
        <sz val="11"/>
        <color theme="1"/>
        <rFont val="Calibri"/>
        <family val="2"/>
        <scheme val="minor"/>
      </rPr>
      <t>This will not be done automatically</t>
    </r>
    <r>
      <rPr>
        <b/>
        <sz val="11"/>
        <color theme="1"/>
        <rFont val="Calibri"/>
        <family val="2"/>
        <scheme val="minor"/>
      </rPr>
      <t xml:space="preserve">, </t>
    </r>
    <r>
      <rPr>
        <sz val="11"/>
        <color theme="1"/>
        <rFont val="Calibri"/>
        <family val="2"/>
        <scheme val="minor"/>
      </rPr>
      <t xml:space="preserve">so you must ensure that this adjustment is carried out when transferring Salaries &amp; Wages expense from the Payroll Module to the Accounts. The entry required is as follows:
- </t>
    </r>
    <r>
      <rPr>
        <b/>
        <sz val="11"/>
        <color theme="1"/>
        <rFont val="Calibri"/>
        <family val="2"/>
        <scheme val="minor"/>
      </rPr>
      <t xml:space="preserve">Debit </t>
    </r>
    <r>
      <rPr>
        <sz val="11"/>
        <color theme="1"/>
        <rFont val="Calibri"/>
        <family val="2"/>
        <scheme val="minor"/>
      </rPr>
      <t xml:space="preserve">GL account 607 (Salaries &amp; wages payable - direct) - $ amount of direct labour in Inventory Management worksheet (cell R34)
- </t>
    </r>
    <r>
      <rPr>
        <b/>
        <sz val="11"/>
        <color theme="1"/>
        <rFont val="Calibri"/>
        <family val="2"/>
        <scheme val="minor"/>
      </rPr>
      <t>Credit</t>
    </r>
    <r>
      <rPr>
        <sz val="11"/>
        <color theme="1"/>
        <rFont val="Calibri"/>
        <family val="2"/>
        <scheme val="minor"/>
      </rPr>
      <t xml:space="preserve"> GL account 322 (Salaries &amp; Wages expense) - $ amount of direct labour in Inventory Management worksheet (cell R34)
Refer to the original Excel file 'Accounts' worksheet for an example of the journal entry.
</t>
    </r>
  </si>
  <si>
    <t>Some header rows have comments and specific instructions (as shown in the cell to the left) - keep an eye out for them!</t>
  </si>
  <si>
    <r>
      <t>The Small Biz Payroll Module is an easy-to-use tool for sole-traders and small businesses to maintain their payroll records, and provides everything you need to get up and running (excluding Single Touch Payroll capability - refer Instructions for more information on STP).</t>
    </r>
    <r>
      <rPr>
        <sz val="11"/>
        <rFont val="Calibri"/>
        <family val="2"/>
        <scheme val="minor"/>
      </rPr>
      <t xml:space="preserve">
PAYG withholding rates apply from 13 October 2020.
Instructions are provided for transferring payroll information to the Small Biz Accounting System file, should you choose to use that file in conjunction with this Payroll Module.</t>
    </r>
    <r>
      <rPr>
        <b/>
        <sz val="11"/>
        <rFont val="Calibri"/>
        <family val="2"/>
        <scheme val="minor"/>
      </rPr>
      <t xml:space="preserve">
</t>
    </r>
    <r>
      <rPr>
        <sz val="11"/>
        <rFont val="Calibri"/>
        <family val="2"/>
        <scheme val="minor"/>
      </rPr>
      <t>You will still need to consult an accountant/tax advisor to complete your tax return and other tax obligations and submissions (such as a BAS), and may wish to submit your businesses' accounting records to your accountant annually, or more frequently depending on your requirements.
The Payroll Module is not intended to replace professional advice in preparing your financial records, so please consult a professional when in doubt!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</si>
</sst>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quot;$&quot;* #,##0_-;\-&quot;$&quot;* #,##0_-;_-&quot;$&quot;* &quot;-&quot;??_-;_-@_-"/>
    <numFmt numFmtId="165" formatCode="0000\ 000\ 000"/>
    <numFmt numFmtId="166" formatCode="0.000"/>
    <numFmt numFmtId="167" formatCode="0.0%"/>
    <numFmt numFmtId="168" formatCode="[$-F800]dddd\,\ mmmm\ dd\,\ yyyy"/>
    <numFmt numFmtId="169" formatCode="dd\ mmmm\ yyyy"/>
    <numFmt numFmtId="170" formatCode="_-&quot;$&quot;* #,##0.00_-;\-&quot;$&quot;* #,##0.00_-;[Red]_-&quot;$&quot;* &quot;-&quot;??_-;_-@_-"/>
    <numFmt numFmtId="171" formatCode="0.0000"/>
    <numFmt numFmtId="172" formatCode="0.0"/>
  </numFmts>
  <fonts count="30"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u/>
      <sz val="11"/>
      <color theme="1"/>
      <name val="Calibri"/>
      <family val="2"/>
      <scheme val="minor"/>
    </font>
    <font>
      <sz val="11"/>
      <color theme="1"/>
      <name val="Calibri"/>
      <family val="2"/>
    </font>
    <font>
      <sz val="9"/>
      <color indexed="81"/>
      <name val="Tahoma"/>
      <family val="2"/>
    </font>
    <font>
      <b/>
      <sz val="9"/>
      <color indexed="81"/>
      <name val="Tahoma"/>
      <family val="2"/>
    </font>
    <font>
      <u/>
      <sz val="9"/>
      <color indexed="81"/>
      <name val="Tahoma"/>
      <family val="2"/>
    </font>
    <font>
      <b/>
      <sz val="11"/>
      <color theme="0"/>
      <name val="Calibri"/>
      <family val="2"/>
      <scheme val="minor"/>
    </font>
    <font>
      <b/>
      <i/>
      <sz val="14"/>
      <color rgb="FF666666"/>
      <name val="Arial"/>
      <family val="2"/>
    </font>
    <font>
      <b/>
      <sz val="14"/>
      <color rgb="FF666666"/>
      <name val="Arial"/>
      <family val="2"/>
    </font>
    <font>
      <b/>
      <sz val="14"/>
      <color theme="1"/>
      <name val="Calibri"/>
      <family val="2"/>
      <scheme val="minor"/>
    </font>
    <font>
      <sz val="8"/>
      <name val="Calibri"/>
      <family val="2"/>
      <scheme val="minor"/>
    </font>
    <font>
      <i/>
      <sz val="10"/>
      <color theme="1"/>
      <name val="Calibri"/>
      <family val="2"/>
      <scheme val="minor"/>
    </font>
    <font>
      <sz val="11"/>
      <name val="Calibri"/>
      <family val="2"/>
      <scheme val="minor"/>
    </font>
    <font>
      <sz val="11"/>
      <color rgb="FFFF0000"/>
      <name val="Calibri"/>
      <family val="2"/>
      <scheme val="minor"/>
    </font>
    <font>
      <u/>
      <sz val="11"/>
      <color theme="4"/>
      <name val="Calibri"/>
      <family val="2"/>
      <scheme val="minor"/>
    </font>
    <font>
      <sz val="11"/>
      <color theme="0"/>
      <name val="Calibri"/>
      <family val="2"/>
      <scheme val="minor"/>
    </font>
    <font>
      <u/>
      <sz val="11"/>
      <color theme="10"/>
      <name val="Calibri"/>
      <family val="2"/>
      <scheme val="minor"/>
    </font>
    <font>
      <sz val="11"/>
      <color theme="4" tint="-0.499984740745262"/>
      <name val="Calibri"/>
      <family val="2"/>
      <scheme val="minor"/>
    </font>
    <font>
      <u/>
      <sz val="11"/>
      <name val="Calibri"/>
      <family val="2"/>
      <scheme val="minor"/>
    </font>
    <font>
      <b/>
      <u/>
      <sz val="12"/>
      <color theme="1"/>
      <name val="Calibri"/>
      <family val="2"/>
      <scheme val="minor"/>
    </font>
    <font>
      <u/>
      <sz val="11"/>
      <color theme="1"/>
      <name val="Calibri"/>
      <family val="2"/>
      <scheme val="minor"/>
    </font>
    <font>
      <b/>
      <i/>
      <sz val="11"/>
      <color theme="1"/>
      <name val="Calibri"/>
      <family val="2"/>
      <scheme val="minor"/>
    </font>
    <font>
      <sz val="14"/>
      <color theme="1"/>
      <name val="Calibri"/>
      <family val="2"/>
      <scheme val="minor"/>
    </font>
    <font>
      <b/>
      <sz val="14"/>
      <color theme="9" tint="-0.249977111117893"/>
      <name val="Calibri"/>
      <family val="2"/>
      <scheme val="minor"/>
    </font>
    <font>
      <b/>
      <sz val="11"/>
      <name val="Calibri"/>
      <family val="2"/>
      <scheme val="minor"/>
    </font>
  </fonts>
  <fills count="10">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s>
  <borders count="11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64"/>
      </left>
      <right/>
      <top/>
      <bottom style="thin">
        <color indexed="64"/>
      </bottom>
      <diagonal/>
    </border>
    <border>
      <left style="thin">
        <color indexed="64"/>
      </left>
      <right/>
      <top/>
      <bottom/>
      <diagonal/>
    </border>
    <border>
      <left style="thin">
        <color indexed="64"/>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bottom style="thin">
        <color indexed="64"/>
      </bottom>
      <diagonal/>
    </border>
    <border>
      <left/>
      <right style="thin">
        <color auto="1"/>
      </right>
      <top style="thin">
        <color theme="0" tint="-0.14996795556505021"/>
      </top>
      <bottom style="thin">
        <color theme="0" tint="-0.14996795556505021"/>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theme="0" tint="-0.1499679555650502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indexed="64"/>
      </left>
      <right/>
      <top style="medium">
        <color indexed="64"/>
      </top>
      <bottom style="thin">
        <color indexed="64"/>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indexed="64"/>
      </left>
      <right/>
      <top style="thin">
        <color theme="0" tint="-0.14996795556505021"/>
      </top>
      <bottom style="thin">
        <color theme="0" tint="-0.14996795556505021"/>
      </bottom>
      <diagonal/>
    </border>
    <border>
      <left/>
      <right/>
      <top style="thin">
        <color theme="0" tint="-0.14990691854609822"/>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right style="thin">
        <color theme="0" tint="-0.1499069185460982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medium">
        <color indexed="64"/>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90691854609822"/>
      </left>
      <right/>
      <top/>
      <bottom/>
      <diagonal/>
    </border>
    <border>
      <left/>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indexed="64"/>
      </top>
      <bottom style="thin">
        <color theme="0" tint="-0.14993743705557422"/>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diagonal/>
    </border>
    <border>
      <left/>
      <right style="thin">
        <color theme="0" tint="-0.1498458815271462"/>
      </right>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style="thin">
        <color theme="0" tint="-0.24994659260841701"/>
      </left>
      <right/>
      <top/>
      <bottom/>
      <diagonal/>
    </border>
    <border>
      <left/>
      <right style="thin">
        <color theme="0" tint="-0.24994659260841701"/>
      </right>
      <top/>
      <bottom/>
      <diagonal/>
    </border>
    <border>
      <left style="thin">
        <color theme="0" tint="-0.14978484450819421"/>
      </left>
      <right/>
      <top style="thin">
        <color theme="0" tint="-0.14978484450819421"/>
      </top>
      <bottom/>
      <diagonal/>
    </border>
    <border>
      <left/>
      <right/>
      <top style="thin">
        <color theme="0" tint="-0.14978484450819421"/>
      </top>
      <bottom/>
      <diagonal/>
    </border>
    <border>
      <left/>
      <right style="thin">
        <color theme="0" tint="-0.14978484450819421"/>
      </right>
      <top style="thin">
        <color theme="0" tint="-0.14978484450819421"/>
      </top>
      <bottom/>
      <diagonal/>
    </border>
    <border>
      <left style="thin">
        <color theme="0" tint="-0.14978484450819421"/>
      </left>
      <right/>
      <top/>
      <bottom/>
      <diagonal/>
    </border>
    <border>
      <left/>
      <right style="thin">
        <color theme="0" tint="-0.14978484450819421"/>
      </right>
      <top/>
      <bottom/>
      <diagonal/>
    </border>
    <border>
      <left style="thin">
        <color theme="0" tint="-0.14978484450819421"/>
      </left>
      <right/>
      <top/>
      <bottom style="thin">
        <color theme="0" tint="-0.14978484450819421"/>
      </bottom>
      <diagonal/>
    </border>
    <border>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470">
    <xf numFmtId="0" fontId="0" fillId="0" borderId="0" xfId="0"/>
    <xf numFmtId="0" fontId="3" fillId="0" borderId="0" xfId="0" applyFont="1"/>
    <xf numFmtId="44" fontId="0" fillId="0" borderId="0" xfId="0" applyNumberFormat="1"/>
    <xf numFmtId="0" fontId="0" fillId="0" borderId="0" xfId="0" applyAlignment="1">
      <alignment horizontal="center"/>
    </xf>
    <xf numFmtId="0" fontId="0" fillId="0" borderId="0" xfId="0" applyAlignment="1">
      <alignment vertical="center"/>
    </xf>
    <xf numFmtId="0" fontId="3" fillId="0" borderId="0" xfId="0" applyFont="1" applyAlignment="1">
      <alignment horizontal="left"/>
    </xf>
    <xf numFmtId="0" fontId="3" fillId="0" borderId="14" xfId="0" applyFont="1" applyBorder="1"/>
    <xf numFmtId="0" fontId="0" fillId="0" borderId="20" xfId="0" applyBorder="1"/>
    <xf numFmtId="0" fontId="0" fillId="0" borderId="0" xfId="0" applyFill="1" applyBorder="1"/>
    <xf numFmtId="0" fontId="4" fillId="0" borderId="0" xfId="0" applyFont="1"/>
    <xf numFmtId="0" fontId="4" fillId="0" borderId="0" xfId="0" applyFont="1" applyAlignment="1">
      <alignment horizontal="center"/>
    </xf>
    <xf numFmtId="0" fontId="2" fillId="2" borderId="1" xfId="2"/>
    <xf numFmtId="44" fontId="2" fillId="2" borderId="1" xfId="2" applyNumberFormat="1"/>
    <xf numFmtId="0" fontId="5" fillId="0" borderId="0" xfId="0" applyFont="1"/>
    <xf numFmtId="0" fontId="0" fillId="0" borderId="9" xfId="0" applyBorder="1"/>
    <xf numFmtId="2" fontId="0" fillId="0" borderId="0" xfId="0" applyNumberFormat="1"/>
    <xf numFmtId="0" fontId="0" fillId="0" borderId="14" xfId="0" applyBorder="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0" fontId="5" fillId="4" borderId="0" xfId="0" applyFont="1" applyFill="1" applyAlignment="1">
      <alignment horizontal="center"/>
    </xf>
    <xf numFmtId="1" fontId="5" fillId="4" borderId="0" xfId="0" applyNumberFormat="1" applyFont="1" applyFill="1" applyAlignment="1">
      <alignment horizontal="center"/>
    </xf>
    <xf numFmtId="0" fontId="6" fillId="0" borderId="0" xfId="0" applyFont="1"/>
    <xf numFmtId="2" fontId="0" fillId="0" borderId="0" xfId="0" applyNumberFormat="1" applyFill="1" applyAlignment="1">
      <alignment horizontal="center"/>
    </xf>
    <xf numFmtId="166" fontId="0" fillId="0" borderId="0" xfId="0" applyNumberFormat="1" applyFill="1" applyAlignment="1">
      <alignment horizontal="center"/>
    </xf>
    <xf numFmtId="0" fontId="0" fillId="0" borderId="0" xfId="0" applyFill="1"/>
    <xf numFmtId="0" fontId="0" fillId="5" borderId="0" xfId="0" applyFill="1" applyAlignment="1">
      <alignment vertical="center"/>
    </xf>
    <xf numFmtId="0" fontId="3" fillId="5" borderId="0" xfId="0" applyFont="1" applyFill="1" applyAlignment="1">
      <alignment horizontal="center" vertical="center" wrapText="1"/>
    </xf>
    <xf numFmtId="14" fontId="0" fillId="0" borderId="0" xfId="0" applyNumberFormat="1"/>
    <xf numFmtId="166"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1" fontId="0" fillId="0" borderId="14" xfId="0" applyNumberFormat="1" applyBorder="1" applyAlignment="1">
      <alignment horizontal="center"/>
    </xf>
    <xf numFmtId="0" fontId="3" fillId="0" borderId="0" xfId="0" applyFont="1" applyFill="1" applyAlignment="1">
      <alignment horizontal="center"/>
    </xf>
    <xf numFmtId="0" fontId="0" fillId="0" borderId="0" xfId="0" applyAlignment="1">
      <alignment horizontal="left"/>
    </xf>
    <xf numFmtId="166" fontId="0" fillId="0" borderId="0" xfId="0" applyNumberFormat="1" applyAlignment="1">
      <alignment horizontal="left"/>
    </xf>
    <xf numFmtId="43" fontId="2" fillId="2" borderId="1" xfId="2" applyNumberFormat="1"/>
    <xf numFmtId="0" fontId="5" fillId="0" borderId="0" xfId="0" applyFont="1" applyFill="1" applyBorder="1"/>
    <xf numFmtId="0" fontId="4" fillId="0" borderId="0" xfId="0" applyFont="1" applyFill="1"/>
    <xf numFmtId="0" fontId="0" fillId="0" borderId="0" xfId="0" applyFill="1" applyAlignment="1">
      <alignment horizontal="left"/>
    </xf>
    <xf numFmtId="2" fontId="0" fillId="0" borderId="0" xfId="0" applyNumberFormat="1" applyAlignment="1">
      <alignment horizontal="left"/>
    </xf>
    <xf numFmtId="1" fontId="0" fillId="0" borderId="0" xfId="0" applyNumberFormat="1"/>
    <xf numFmtId="0" fontId="3" fillId="0" borderId="0" xfId="0" applyFont="1" applyBorder="1"/>
    <xf numFmtId="0" fontId="0" fillId="7" borderId="0" xfId="0" applyFill="1"/>
    <xf numFmtId="0" fontId="3" fillId="7" borderId="14" xfId="0" applyFont="1" applyFill="1" applyBorder="1"/>
    <xf numFmtId="0" fontId="0" fillId="7" borderId="0" xfId="0" applyFill="1" applyAlignment="1">
      <alignment horizontal="left"/>
    </xf>
    <xf numFmtId="0" fontId="3" fillId="7" borderId="0" xfId="0" applyFont="1" applyFill="1"/>
    <xf numFmtId="3" fontId="0" fillId="7" borderId="0" xfId="0" applyNumberFormat="1" applyFill="1" applyAlignment="1">
      <alignment horizontal="left"/>
    </xf>
    <xf numFmtId="0" fontId="0" fillId="8" borderId="0" xfId="0" applyFill="1"/>
    <xf numFmtId="0" fontId="0" fillId="8" borderId="0" xfId="0" applyFill="1" applyAlignment="1">
      <alignment horizontal="left"/>
    </xf>
    <xf numFmtId="1" fontId="0" fillId="8" borderId="0" xfId="0" applyNumberFormat="1" applyFont="1" applyFill="1" applyBorder="1" applyAlignment="1">
      <alignment horizontal="left"/>
    </xf>
    <xf numFmtId="1" fontId="0" fillId="0" borderId="0" xfId="0" applyNumberFormat="1" applyAlignment="1">
      <alignment horizontal="left"/>
    </xf>
    <xf numFmtId="1" fontId="0" fillId="8" borderId="0" xfId="0" applyNumberFormat="1" applyFill="1" applyAlignment="1">
      <alignment horizontal="left"/>
    </xf>
    <xf numFmtId="0" fontId="0" fillId="0" borderId="0" xfId="0" applyBorder="1" applyAlignment="1">
      <alignment horizontal="left"/>
    </xf>
    <xf numFmtId="0" fontId="3" fillId="0" borderId="0" xfId="0" applyFont="1" applyAlignment="1">
      <alignment horizontal="center"/>
    </xf>
    <xf numFmtId="0" fontId="14" fillId="0" borderId="0" xfId="0" applyFont="1" applyFill="1"/>
    <xf numFmtId="0" fontId="0" fillId="0" borderId="0" xfId="0" applyBorder="1"/>
    <xf numFmtId="0" fontId="0" fillId="0" borderId="34" xfId="0" applyBorder="1"/>
    <xf numFmtId="0" fontId="0" fillId="0" borderId="14" xfId="0" applyBorder="1"/>
    <xf numFmtId="0" fontId="0" fillId="0" borderId="26" xfId="0" applyBorder="1"/>
    <xf numFmtId="0" fontId="0" fillId="0" borderId="14" xfId="0" applyFill="1" applyBorder="1"/>
    <xf numFmtId="0" fontId="0" fillId="0" borderId="0" xfId="0" applyFont="1"/>
    <xf numFmtId="0" fontId="0" fillId="0" borderId="19" xfId="0" applyBorder="1"/>
    <xf numFmtId="1" fontId="0" fillId="7" borderId="0" xfId="0" applyNumberFormat="1" applyFill="1" applyAlignment="1">
      <alignment horizontal="left"/>
    </xf>
    <xf numFmtId="166" fontId="0" fillId="7" borderId="0" xfId="0" applyNumberFormat="1" applyFill="1" applyAlignment="1">
      <alignment horizontal="left"/>
    </xf>
    <xf numFmtId="0" fontId="4" fillId="0" borderId="0" xfId="0" applyFont="1" applyAlignment="1"/>
    <xf numFmtId="0" fontId="14" fillId="0" borderId="0" xfId="0" applyFont="1"/>
    <xf numFmtId="0" fontId="3" fillId="0" borderId="0" xfId="0" applyFont="1" applyFill="1"/>
    <xf numFmtId="0" fontId="0" fillId="0" borderId="31" xfId="0" applyBorder="1"/>
    <xf numFmtId="0" fontId="0" fillId="0" borderId="32" xfId="0" applyBorder="1"/>
    <xf numFmtId="0" fontId="0" fillId="0" borderId="33" xfId="0" applyBorder="1"/>
    <xf numFmtId="0" fontId="0" fillId="0" borderId="45" xfId="0" applyBorder="1"/>
    <xf numFmtId="0" fontId="0" fillId="9" borderId="20" xfId="0" applyFill="1" applyBorder="1"/>
    <xf numFmtId="0" fontId="2" fillId="2" borderId="1" xfId="2" applyAlignment="1">
      <alignment horizontal="center"/>
    </xf>
    <xf numFmtId="0" fontId="0" fillId="0" borderId="0" xfId="0" applyBorder="1" applyAlignment="1">
      <alignment horizontal="left" vertical="top" wrapText="1"/>
    </xf>
    <xf numFmtId="0" fontId="0" fillId="0" borderId="0" xfId="0" applyAlignment="1">
      <alignment vertical="top" wrapText="1"/>
    </xf>
    <xf numFmtId="0" fontId="4" fillId="5" borderId="0" xfId="0" applyFont="1" applyFill="1"/>
    <xf numFmtId="0" fontId="0" fillId="5" borderId="0" xfId="0" applyFill="1"/>
    <xf numFmtId="0" fontId="0" fillId="0" borderId="0" xfId="0" applyAlignment="1"/>
    <xf numFmtId="0" fontId="3" fillId="0" borderId="75" xfId="0" applyFont="1"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171" fontId="0" fillId="0" borderId="0" xfId="0" applyNumberFormat="1" applyAlignment="1">
      <alignment horizontal="center"/>
    </xf>
    <xf numFmtId="0" fontId="0" fillId="0" borderId="0" xfId="0"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35" xfId="0" applyBorder="1"/>
    <xf numFmtId="0" fontId="0" fillId="0" borderId="10" xfId="0" applyBorder="1"/>
    <xf numFmtId="0" fontId="3" fillId="0" borderId="0" xfId="0" applyFont="1" applyFill="1" applyBorder="1" applyAlignment="1">
      <alignment horizontal="center"/>
    </xf>
    <xf numFmtId="0" fontId="0" fillId="0" borderId="20" xfId="0" applyFill="1" applyBorder="1"/>
    <xf numFmtId="0" fontId="3" fillId="0" borderId="84" xfId="0" applyFont="1" applyBorder="1"/>
    <xf numFmtId="0" fontId="3" fillId="0" borderId="85" xfId="0" applyFont="1" applyBorder="1"/>
    <xf numFmtId="0" fontId="3" fillId="0" borderId="86" xfId="0" applyFont="1" applyBorder="1"/>
    <xf numFmtId="0" fontId="0" fillId="0" borderId="0" xfId="0" applyBorder="1" applyAlignment="1">
      <alignment horizontal="left" vertical="top" wrapText="1"/>
    </xf>
    <xf numFmtId="0" fontId="3" fillId="0" borderId="0" xfId="0" applyFont="1" applyBorder="1" applyAlignment="1">
      <alignment horizontal="left" vertical="top" wrapText="1"/>
    </xf>
    <xf numFmtId="0" fontId="14" fillId="0" borderId="0" xfId="0" applyFont="1" applyAlignment="1">
      <alignment horizontal="left"/>
    </xf>
    <xf numFmtId="0" fontId="28" fillId="0" borderId="0" xfId="0" applyFont="1" applyAlignment="1">
      <alignment horizontal="left"/>
    </xf>
    <xf numFmtId="0" fontId="21" fillId="0" borderId="0" xfId="4"/>
    <xf numFmtId="0" fontId="0" fillId="3" borderId="0" xfId="0" applyFill="1" applyAlignment="1" applyProtection="1">
      <alignment horizontal="center"/>
      <protection hidden="1"/>
    </xf>
    <xf numFmtId="0" fontId="0" fillId="3" borderId="0" xfId="0" applyFont="1" applyFill="1" applyAlignment="1" applyProtection="1">
      <alignment horizontal="center"/>
      <protection hidden="1"/>
    </xf>
    <xf numFmtId="0" fontId="0" fillId="0" borderId="15" xfId="0" applyBorder="1" applyAlignment="1" applyProtection="1">
      <alignment horizontal="center"/>
      <protection hidden="1"/>
    </xf>
    <xf numFmtId="2" fontId="0" fillId="0" borderId="35" xfId="0" applyNumberFormat="1" applyBorder="1" applyAlignment="1" applyProtection="1">
      <alignment horizontal="center"/>
      <protection hidden="1"/>
    </xf>
    <xf numFmtId="10" fontId="0" fillId="0" borderId="40" xfId="1" applyNumberFormat="1" applyFont="1" applyBorder="1" applyAlignment="1" applyProtection="1">
      <alignment horizontal="center"/>
      <protection hidden="1"/>
    </xf>
    <xf numFmtId="2" fontId="0" fillId="0" borderId="10" xfId="0" applyNumberFormat="1" applyBorder="1" applyAlignment="1" applyProtection="1">
      <alignment horizontal="center"/>
      <protection hidden="1"/>
    </xf>
    <xf numFmtId="2" fontId="0" fillId="0" borderId="13" xfId="0" applyNumberFormat="1" applyBorder="1" applyAlignment="1" applyProtection="1">
      <alignment horizontal="center"/>
      <protection hidden="1"/>
    </xf>
    <xf numFmtId="2" fontId="0" fillId="0" borderId="9" xfId="0" applyNumberFormat="1" applyBorder="1" applyAlignment="1" applyProtection="1">
      <alignment horizontal="center"/>
      <protection hidden="1"/>
    </xf>
    <xf numFmtId="44" fontId="0" fillId="0" borderId="29" xfId="0" applyNumberFormat="1" applyBorder="1" applyAlignment="1" applyProtection="1">
      <alignment horizontal="center"/>
      <protection hidden="1"/>
    </xf>
    <xf numFmtId="0" fontId="0" fillId="0" borderId="13" xfId="0" applyBorder="1" applyAlignment="1" applyProtection="1">
      <alignment horizontal="center"/>
      <protection hidden="1"/>
    </xf>
    <xf numFmtId="2" fontId="0" fillId="0" borderId="27" xfId="0" applyNumberFormat="1" applyBorder="1" applyAlignment="1" applyProtection="1">
      <alignment horizontal="center"/>
      <protection hidden="1"/>
    </xf>
    <xf numFmtId="43" fontId="3" fillId="0" borderId="14" xfId="3" applyFont="1" applyBorder="1" applyProtection="1">
      <protection hidden="1"/>
    </xf>
    <xf numFmtId="44" fontId="3" fillId="0" borderId="26" xfId="3" applyNumberFormat="1" applyFont="1" applyBorder="1" applyProtection="1">
      <protection hidden="1"/>
    </xf>
    <xf numFmtId="43" fontId="3" fillId="0" borderId="28" xfId="3" applyFont="1" applyBorder="1" applyProtection="1">
      <protection hidden="1"/>
    </xf>
    <xf numFmtId="1" fontId="3" fillId="0" borderId="14" xfId="0" applyNumberFormat="1" applyFont="1" applyBorder="1" applyAlignment="1" applyProtection="1">
      <alignment horizontal="center"/>
      <protection hidden="1"/>
    </xf>
    <xf numFmtId="0" fontId="3" fillId="0" borderId="14" xfId="0" applyFont="1" applyBorder="1" applyAlignment="1" applyProtection="1">
      <alignment horizontal="center"/>
      <protection hidden="1"/>
    </xf>
    <xf numFmtId="44" fontId="0" fillId="0" borderId="9" xfId="0" applyNumberFormat="1" applyBorder="1" applyProtection="1">
      <protection hidden="1"/>
    </xf>
    <xf numFmtId="44" fontId="0" fillId="0" borderId="18" xfId="0" applyNumberFormat="1" applyBorder="1" applyProtection="1">
      <protection hidden="1"/>
    </xf>
    <xf numFmtId="44" fontId="3" fillId="0" borderId="14" xfId="0" applyNumberFormat="1" applyFont="1" applyFill="1" applyBorder="1" applyProtection="1">
      <protection hidden="1"/>
    </xf>
    <xf numFmtId="2" fontId="3" fillId="0" borderId="14" xfId="0" applyNumberFormat="1" applyFont="1" applyBorder="1" applyAlignment="1" applyProtection="1">
      <alignment horizontal="center"/>
      <protection hidden="1"/>
    </xf>
    <xf numFmtId="44" fontId="3" fillId="0" borderId="14" xfId="0" applyNumberFormat="1" applyFont="1" applyBorder="1" applyProtection="1">
      <protection hidden="1"/>
    </xf>
    <xf numFmtId="44" fontId="0" fillId="0" borderId="13" xfId="0" applyNumberFormat="1" applyBorder="1" applyProtection="1">
      <protection hidden="1"/>
    </xf>
    <xf numFmtId="44" fontId="0" fillId="0" borderId="13" xfId="1" applyNumberFormat="1" applyFont="1" applyBorder="1" applyProtection="1">
      <protection hidden="1"/>
    </xf>
    <xf numFmtId="0" fontId="0" fillId="0" borderId="0" xfId="0" applyProtection="1">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10" fontId="0" fillId="0" borderId="13" xfId="1" applyNumberFormat="1" applyFont="1" applyBorder="1" applyAlignment="1" applyProtection="1">
      <alignment horizontal="center"/>
      <protection hidden="1"/>
    </xf>
    <xf numFmtId="2" fontId="0" fillId="0" borderId="2" xfId="0" applyNumberFormat="1" applyBorder="1" applyAlignment="1" applyProtection="1">
      <alignment horizontal="center"/>
      <protection hidden="1"/>
    </xf>
    <xf numFmtId="14" fontId="0" fillId="0" borderId="0" xfId="0" applyNumberFormat="1" applyAlignment="1" applyProtection="1">
      <alignment horizontal="center"/>
      <protection hidden="1"/>
    </xf>
    <xf numFmtId="172" fontId="0" fillId="0" borderId="0" xfId="0" applyNumberFormat="1" applyAlignment="1" applyProtection="1">
      <alignment horizontal="center"/>
      <protection hidden="1"/>
    </xf>
    <xf numFmtId="44" fontId="0" fillId="0" borderId="0" xfId="0" applyNumberFormat="1" applyAlignment="1" applyProtection="1">
      <alignment horizontal="center"/>
      <protection hidden="1"/>
    </xf>
    <xf numFmtId="44" fontId="0" fillId="0" borderId="0" xfId="0" applyNumberFormat="1" applyFill="1" applyBorder="1" applyAlignment="1" applyProtection="1">
      <alignment horizontal="center"/>
      <protection hidden="1"/>
    </xf>
    <xf numFmtId="44" fontId="0" fillId="0" borderId="11" xfId="0" applyNumberFormat="1" applyBorder="1" applyAlignment="1" applyProtection="1">
      <alignment horizontal="center"/>
      <protection hidden="1"/>
    </xf>
    <xf numFmtId="44" fontId="0" fillId="0" borderId="57" xfId="0" applyNumberFormat="1" applyBorder="1" applyAlignment="1" applyProtection="1">
      <alignment horizontal="center"/>
      <protection hidden="1"/>
    </xf>
    <xf numFmtId="0" fontId="0" fillId="0" borderId="0" xfId="0" applyNumberFormat="1" applyAlignment="1" applyProtection="1">
      <alignment horizontal="right"/>
      <protection hidden="1"/>
    </xf>
    <xf numFmtId="0" fontId="0" fillId="0" borderId="57" xfId="0" applyNumberFormat="1" applyBorder="1" applyAlignment="1" applyProtection="1">
      <alignment horizontal="right"/>
      <protection hidden="1"/>
    </xf>
    <xf numFmtId="44" fontId="0" fillId="0" borderId="59" xfId="0" applyNumberFormat="1" applyBorder="1" applyAlignment="1" applyProtection="1">
      <alignment horizontal="center"/>
      <protection hidden="1"/>
    </xf>
    <xf numFmtId="44" fontId="0" fillId="0" borderId="59" xfId="0" applyNumberFormat="1" applyFill="1" applyBorder="1" applyAlignment="1" applyProtection="1">
      <alignment horizontal="center"/>
      <protection hidden="1"/>
    </xf>
    <xf numFmtId="0" fontId="29" fillId="0" borderId="0" xfId="0" applyFont="1" applyAlignment="1">
      <alignment vertical="top" wrapText="1"/>
    </xf>
    <xf numFmtId="0" fontId="3" fillId="0" borderId="0" xfId="0" applyFont="1" applyProtection="1">
      <protection hidden="1"/>
    </xf>
    <xf numFmtId="169" fontId="22" fillId="0" borderId="13" xfId="0" applyNumberFormat="1" applyFont="1" applyBorder="1" applyAlignment="1" applyProtection="1">
      <alignment horizontal="left"/>
      <protection hidden="1"/>
    </xf>
    <xf numFmtId="0" fontId="20" fillId="0" borderId="0" xfId="0" applyFont="1" applyProtection="1">
      <protection hidden="1"/>
    </xf>
    <xf numFmtId="0" fontId="2" fillId="0" borderId="13" xfId="2" applyFill="1" applyBorder="1" applyProtection="1">
      <protection hidden="1"/>
    </xf>
    <xf numFmtId="0" fontId="17" fillId="0" borderId="0" xfId="0" applyFont="1" applyProtection="1">
      <protection hidden="1"/>
    </xf>
    <xf numFmtId="0" fontId="21" fillId="0" borderId="13" xfId="4" applyFill="1" applyBorder="1" applyProtection="1">
      <protection hidden="1"/>
    </xf>
    <xf numFmtId="0" fontId="2" fillId="0" borderId="13" xfId="2" applyFill="1" applyBorder="1" applyAlignment="1" applyProtection="1">
      <alignment horizontal="left"/>
      <protection hidden="1"/>
    </xf>
    <xf numFmtId="0" fontId="18" fillId="0" borderId="0" xfId="0" applyFont="1" applyProtection="1">
      <protection hidden="1"/>
    </xf>
    <xf numFmtId="0" fontId="14" fillId="0" borderId="0" xfId="0" applyFont="1" applyProtection="1">
      <protection hidden="1"/>
    </xf>
    <xf numFmtId="0" fontId="2" fillId="2" borderId="1" xfId="2" applyAlignment="1" applyProtection="1">
      <alignment horizontal="center"/>
      <protection hidden="1"/>
    </xf>
    <xf numFmtId="0" fontId="0" fillId="0" borderId="0" xfId="0" applyAlignment="1" applyProtection="1">
      <alignment wrapText="1"/>
      <protection hidden="1"/>
    </xf>
    <xf numFmtId="0" fontId="2" fillId="2" borderId="1" xfId="2" applyNumberFormat="1" applyAlignment="1" applyProtection="1">
      <alignment horizontal="center" vertical="center"/>
      <protection hidden="1"/>
    </xf>
    <xf numFmtId="0" fontId="5" fillId="0" borderId="0" xfId="0" applyFont="1" applyProtection="1">
      <protection hidden="1"/>
    </xf>
    <xf numFmtId="0" fontId="0" fillId="0" borderId="0" xfId="0" applyAlignment="1" applyProtection="1">
      <alignment horizontal="center" vertical="center"/>
      <protection hidden="1"/>
    </xf>
    <xf numFmtId="167" fontId="2" fillId="2" borderId="1" xfId="1" applyNumberFormat="1" applyFont="1" applyFill="1" applyBorder="1" applyAlignment="1" applyProtection="1">
      <alignment horizontal="center" vertical="center"/>
      <protection hidden="1"/>
    </xf>
    <xf numFmtId="0" fontId="0" fillId="0" borderId="52" xfId="0" applyBorder="1" applyAlignment="1" applyProtection="1">
      <alignment horizontal="center"/>
      <protection hidden="1"/>
    </xf>
    <xf numFmtId="0" fontId="24" fillId="3" borderId="0" xfId="0" applyFont="1" applyFill="1" applyProtection="1">
      <protection hidden="1"/>
    </xf>
    <xf numFmtId="0" fontId="0" fillId="3" borderId="0" xfId="0" applyFill="1" applyProtection="1">
      <protection hidden="1"/>
    </xf>
    <xf numFmtId="0" fontId="0" fillId="3" borderId="14" xfId="0" applyFill="1" applyBorder="1" applyAlignment="1" applyProtection="1">
      <alignment horizontal="center"/>
      <protection hidden="1"/>
    </xf>
    <xf numFmtId="0" fontId="5" fillId="3" borderId="0" xfId="0" applyFont="1" applyFill="1" applyProtection="1">
      <protection hidden="1"/>
    </xf>
    <xf numFmtId="0" fontId="0" fillId="3" borderId="0" xfId="0" applyFont="1" applyFill="1" applyProtection="1">
      <protection hidden="1"/>
    </xf>
    <xf numFmtId="0" fontId="0" fillId="3" borderId="14" xfId="0" applyFill="1" applyBorder="1" applyProtection="1">
      <protection hidden="1"/>
    </xf>
    <xf numFmtId="0" fontId="5" fillId="3" borderId="14" xfId="0" applyFont="1" applyFill="1" applyBorder="1" applyProtection="1">
      <protection hidden="1"/>
    </xf>
    <xf numFmtId="166" fontId="0" fillId="0" borderId="0" xfId="0" applyNumberFormat="1" applyAlignment="1" applyProtection="1">
      <alignment horizontal="left"/>
      <protection hidden="1"/>
    </xf>
    <xf numFmtId="166" fontId="0" fillId="0" borderId="0" xfId="0" applyNumberFormat="1" applyAlignment="1" applyProtection="1">
      <alignment horizontal="right"/>
      <protection hidden="1"/>
    </xf>
    <xf numFmtId="14" fontId="0" fillId="0" borderId="0" xfId="0" applyNumberFormat="1" applyProtection="1">
      <protection hidden="1"/>
    </xf>
    <xf numFmtId="166" fontId="0" fillId="0" borderId="0" xfId="0" applyNumberFormat="1" applyProtection="1">
      <protection hidden="1"/>
    </xf>
    <xf numFmtId="0" fontId="0" fillId="0" borderId="0" xfId="0" applyNumberFormat="1" applyProtection="1">
      <protection hidden="1"/>
    </xf>
    <xf numFmtId="44" fontId="0" fillId="0" borderId="0" xfId="0" applyNumberFormat="1" applyProtection="1">
      <protection hidden="1"/>
    </xf>
    <xf numFmtId="0" fontId="3" fillId="0" borderId="14" xfId="0" applyFont="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14" fontId="3" fillId="0" borderId="35" xfId="0" applyNumberFormat="1" applyFont="1" applyBorder="1" applyAlignment="1" applyProtection="1">
      <alignment horizontal="center" vertical="center" wrapText="1"/>
      <protection hidden="1"/>
    </xf>
    <xf numFmtId="14" fontId="3" fillId="0" borderId="35" xfId="0" applyNumberFormat="1" applyFont="1" applyFill="1" applyBorder="1" applyAlignment="1" applyProtection="1">
      <alignment horizontal="center" vertical="center" wrapText="1"/>
      <protection hidden="1"/>
    </xf>
    <xf numFmtId="164" fontId="3" fillId="0" borderId="35" xfId="0" applyNumberFormat="1" applyFont="1" applyBorder="1" applyAlignment="1" applyProtection="1">
      <alignment horizontal="center" vertical="center" wrapText="1"/>
      <protection hidden="1"/>
    </xf>
    <xf numFmtId="164" fontId="3" fillId="0" borderId="35" xfId="0" applyNumberFormat="1" applyFont="1" applyFill="1" applyBorder="1" applyAlignment="1" applyProtection="1">
      <alignment horizontal="center" vertical="center" wrapText="1"/>
      <protection hidden="1"/>
    </xf>
    <xf numFmtId="164" fontId="3" fillId="0" borderId="10" xfId="0" applyNumberFormat="1" applyFont="1" applyFill="1" applyBorder="1" applyAlignment="1" applyProtection="1">
      <alignment horizontal="center" vertical="center" wrapText="1"/>
      <protection hidden="1"/>
    </xf>
    <xf numFmtId="164" fontId="3" fillId="0" borderId="14" xfId="0" applyNumberFormat="1" applyFont="1" applyFill="1" applyBorder="1" applyAlignment="1" applyProtection="1">
      <alignment horizontal="center" vertical="center" wrapText="1"/>
      <protection hidden="1"/>
    </xf>
    <xf numFmtId="164" fontId="3" fillId="0" borderId="30" xfId="0" applyNumberFormat="1" applyFont="1" applyFill="1" applyBorder="1" applyAlignment="1" applyProtection="1">
      <alignment horizontal="center" vertical="center" wrapText="1"/>
      <protection hidden="1"/>
    </xf>
    <xf numFmtId="164" fontId="3" fillId="0" borderId="19" xfId="0" applyNumberFormat="1" applyFont="1" applyFill="1" applyBorder="1" applyAlignment="1" applyProtection="1">
      <alignment horizontal="center" vertical="center" wrapText="1"/>
      <protection hidden="1"/>
    </xf>
    <xf numFmtId="14" fontId="3" fillId="0" borderId="38" xfId="0" applyNumberFormat="1"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left"/>
      <protection hidden="1"/>
    </xf>
    <xf numFmtId="14" fontId="3" fillId="0" borderId="0" xfId="0" applyNumberFormat="1" applyFont="1" applyAlignment="1" applyProtection="1">
      <alignment horizontal="center"/>
      <protection hidden="1"/>
    </xf>
    <xf numFmtId="14" fontId="3" fillId="0" borderId="0" xfId="0" applyNumberFormat="1" applyFont="1" applyFill="1" applyAlignment="1" applyProtection="1">
      <alignment horizontal="center"/>
      <protection hidden="1"/>
    </xf>
    <xf numFmtId="14" fontId="3" fillId="0" borderId="0" xfId="0" applyNumberFormat="1" applyFont="1" applyAlignment="1" applyProtection="1">
      <alignment horizontal="left"/>
      <protection hidden="1"/>
    </xf>
    <xf numFmtId="164" fontId="3" fillId="0" borderId="0" xfId="0" applyNumberFormat="1" applyFont="1" applyAlignment="1" applyProtection="1">
      <alignment horizontal="center"/>
      <protection hidden="1"/>
    </xf>
    <xf numFmtId="14" fontId="3" fillId="0" borderId="0" xfId="0" applyNumberFormat="1" applyFont="1" applyProtection="1">
      <protection hidden="1"/>
    </xf>
    <xf numFmtId="0" fontId="0" fillId="0" borderId="13" xfId="0" applyBorder="1" applyProtection="1">
      <protection hidden="1"/>
    </xf>
    <xf numFmtId="0" fontId="0" fillId="0" borderId="13" xfId="0" applyFill="1" applyBorder="1" applyProtection="1">
      <protection hidden="1"/>
    </xf>
    <xf numFmtId="14" fontId="0" fillId="0" borderId="13" xfId="0" applyNumberFormat="1" applyFill="1" applyBorder="1" applyAlignment="1" applyProtection="1">
      <alignment horizontal="center"/>
      <protection hidden="1"/>
    </xf>
    <xf numFmtId="10" fontId="0" fillId="0" borderId="13" xfId="0" applyNumberFormat="1" applyFill="1" applyBorder="1" applyAlignment="1" applyProtection="1">
      <alignment horizontal="center"/>
      <protection hidden="1"/>
    </xf>
    <xf numFmtId="10" fontId="0" fillId="0" borderId="13" xfId="0" applyNumberFormat="1" applyBorder="1" applyAlignment="1" applyProtection="1">
      <alignment horizontal="center"/>
      <protection hidden="1"/>
    </xf>
    <xf numFmtId="10" fontId="17" fillId="0" borderId="13" xfId="0" applyNumberFormat="1" applyFont="1" applyBorder="1" applyAlignment="1" applyProtection="1">
      <alignment horizontal="center"/>
      <protection hidden="1"/>
    </xf>
    <xf numFmtId="0" fontId="0" fillId="0" borderId="13" xfId="0" applyNumberFormat="1" applyBorder="1" applyAlignment="1" applyProtection="1">
      <alignment horizontal="center"/>
      <protection hidden="1"/>
    </xf>
    <xf numFmtId="14" fontId="0" fillId="0" borderId="13" xfId="0" applyNumberFormat="1" applyBorder="1" applyAlignment="1" applyProtection="1">
      <alignment horizontal="left"/>
      <protection hidden="1"/>
    </xf>
    <xf numFmtId="164" fontId="0" fillId="0" borderId="13" xfId="0" applyNumberFormat="1" applyBorder="1" applyAlignment="1" applyProtection="1">
      <alignment horizontal="center"/>
      <protection hidden="1"/>
    </xf>
    <xf numFmtId="170" fontId="0" fillId="0" borderId="13" xfId="0" applyNumberFormat="1" applyFill="1" applyBorder="1" applyAlignment="1" applyProtection="1">
      <alignment horizontal="center"/>
      <protection hidden="1"/>
    </xf>
    <xf numFmtId="0" fontId="0" fillId="0" borderId="16" xfId="0" applyFill="1" applyBorder="1" applyAlignment="1" applyProtection="1">
      <alignment horizontal="center"/>
      <protection hidden="1"/>
    </xf>
    <xf numFmtId="2" fontId="0" fillId="0" borderId="18" xfId="0" applyNumberFormat="1" applyBorder="1" applyAlignment="1" applyProtection="1">
      <alignment horizontal="center"/>
      <protection hidden="1"/>
    </xf>
    <xf numFmtId="14" fontId="0" fillId="0" borderId="10" xfId="0" applyNumberFormat="1" applyBorder="1" applyProtection="1">
      <protection hidden="1"/>
    </xf>
    <xf numFmtId="165" fontId="0" fillId="0" borderId="13" xfId="0" applyNumberFormat="1" applyBorder="1" applyProtection="1">
      <protection hidden="1"/>
    </xf>
    <xf numFmtId="0" fontId="0" fillId="0" borderId="9" xfId="0" applyBorder="1" applyProtection="1">
      <protection hidden="1"/>
    </xf>
    <xf numFmtId="0" fontId="0" fillId="0" borderId="3" xfId="0" applyBorder="1" applyProtection="1">
      <protection hidden="1"/>
    </xf>
    <xf numFmtId="0" fontId="0" fillId="0" borderId="39" xfId="0" applyBorder="1" applyProtection="1">
      <protection hidden="1"/>
    </xf>
    <xf numFmtId="0" fontId="0" fillId="0" borderId="9" xfId="0" applyBorder="1" applyAlignment="1" applyProtection="1">
      <alignment horizontal="left"/>
      <protection hidden="1"/>
    </xf>
    <xf numFmtId="14" fontId="0" fillId="0" borderId="9" xfId="0" applyNumberFormat="1" applyBorder="1" applyAlignment="1" applyProtection="1">
      <alignment horizontal="center"/>
      <protection hidden="1"/>
    </xf>
    <xf numFmtId="14" fontId="0" fillId="0" borderId="13" xfId="0" applyNumberFormat="1" applyBorder="1" applyAlignment="1" applyProtection="1">
      <alignment horizontal="center"/>
      <protection hidden="1"/>
    </xf>
    <xf numFmtId="14" fontId="0" fillId="0" borderId="9" xfId="0" applyNumberFormat="1" applyBorder="1" applyAlignment="1" applyProtection="1">
      <alignment horizontal="left"/>
      <protection hidden="1"/>
    </xf>
    <xf numFmtId="164" fontId="0" fillId="0" borderId="9" xfId="0" applyNumberFormat="1" applyBorder="1" applyAlignment="1" applyProtection="1">
      <alignment horizontal="center"/>
      <protection hidden="1"/>
    </xf>
    <xf numFmtId="0" fontId="0" fillId="0" borderId="16" xfId="0" applyBorder="1" applyAlignment="1" applyProtection="1">
      <alignment horizontal="left"/>
      <protection hidden="1"/>
    </xf>
    <xf numFmtId="14" fontId="0" fillId="0" borderId="16" xfId="0" applyNumberFormat="1" applyBorder="1" applyAlignment="1" applyProtection="1">
      <alignment horizontal="center"/>
      <protection hidden="1"/>
    </xf>
    <xf numFmtId="14" fontId="0" fillId="0" borderId="16" xfId="0" applyNumberFormat="1" applyBorder="1" applyAlignment="1" applyProtection="1">
      <alignment horizontal="left"/>
      <protection hidden="1"/>
    </xf>
    <xf numFmtId="164" fontId="0" fillId="0" borderId="16" xfId="0" applyNumberFormat="1" applyBorder="1" applyAlignment="1" applyProtection="1">
      <alignment horizontal="center"/>
      <protection hidden="1"/>
    </xf>
    <xf numFmtId="14" fontId="0" fillId="0" borderId="22" xfId="0" applyNumberFormat="1" applyBorder="1" applyProtection="1">
      <protection hidden="1"/>
    </xf>
    <xf numFmtId="0" fontId="0" fillId="0" borderId="17" xfId="0" applyBorder="1" applyProtection="1">
      <protection hidden="1"/>
    </xf>
    <xf numFmtId="165" fontId="0" fillId="0" borderId="17" xfId="0" applyNumberFormat="1" applyBorder="1" applyProtection="1">
      <protection hidden="1"/>
    </xf>
    <xf numFmtId="0" fontId="0" fillId="0" borderId="18" xfId="0" applyBorder="1" applyAlignment="1" applyProtection="1">
      <alignment horizontal="left"/>
      <protection hidden="1"/>
    </xf>
    <xf numFmtId="14" fontId="0" fillId="0" borderId="18" xfId="0" applyNumberFormat="1" applyBorder="1" applyAlignment="1" applyProtection="1">
      <alignment horizontal="center"/>
      <protection hidden="1"/>
    </xf>
    <xf numFmtId="14" fontId="0" fillId="0" borderId="18" xfId="0" applyNumberFormat="1" applyBorder="1" applyAlignment="1" applyProtection="1">
      <alignment horizontal="left"/>
      <protection hidden="1"/>
    </xf>
    <xf numFmtId="164" fontId="0" fillId="0" borderId="18" xfId="0" applyNumberFormat="1" applyBorder="1" applyAlignment="1" applyProtection="1">
      <alignment horizontal="center"/>
      <protection hidden="1"/>
    </xf>
    <xf numFmtId="170" fontId="0" fillId="0" borderId="9" xfId="0" applyNumberFormat="1" applyFill="1" applyBorder="1" applyAlignment="1" applyProtection="1">
      <alignment horizontal="center"/>
      <protection hidden="1"/>
    </xf>
    <xf numFmtId="0" fontId="0" fillId="0" borderId="18" xfId="0" applyFill="1" applyBorder="1" applyAlignment="1" applyProtection="1">
      <alignment horizontal="center"/>
      <protection hidden="1"/>
    </xf>
    <xf numFmtId="14" fontId="0" fillId="0" borderId="5" xfId="0" applyNumberFormat="1" applyBorder="1" applyProtection="1">
      <protection hidden="1"/>
    </xf>
    <xf numFmtId="0" fontId="0" fillId="0" borderId="18" xfId="0" applyBorder="1" applyProtection="1">
      <protection hidden="1"/>
    </xf>
    <xf numFmtId="165" fontId="0" fillId="0" borderId="18" xfId="0" applyNumberFormat="1" applyBorder="1" applyProtection="1">
      <protection hidden="1"/>
    </xf>
    <xf numFmtId="0" fontId="0" fillId="0" borderId="61" xfId="0" applyBorder="1" applyAlignment="1" applyProtection="1">
      <alignment horizontal="center"/>
      <protection hidden="1"/>
    </xf>
    <xf numFmtId="0" fontId="3" fillId="0" borderId="14" xfId="0" applyFont="1" applyBorder="1" applyProtection="1">
      <protection hidden="1"/>
    </xf>
    <xf numFmtId="0" fontId="3" fillId="0" borderId="14" xfId="0" applyFont="1" applyBorder="1" applyAlignment="1" applyProtection="1">
      <alignment horizontal="left"/>
      <protection hidden="1"/>
    </xf>
    <xf numFmtId="43" fontId="3" fillId="0" borderId="19" xfId="3" applyFont="1" applyBorder="1" applyProtection="1">
      <protection hidden="1"/>
    </xf>
    <xf numFmtId="0" fontId="0" fillId="0" borderId="0" xfId="0" applyAlignment="1" applyProtection="1">
      <alignment horizontal="left"/>
      <protection hidden="1"/>
    </xf>
    <xf numFmtId="43" fontId="0" fillId="0" borderId="0" xfId="0" applyNumberFormat="1" applyProtection="1">
      <protection hidden="1"/>
    </xf>
    <xf numFmtId="0" fontId="3" fillId="0" borderId="0" xfId="0" applyFont="1" applyFill="1" applyAlignment="1" applyProtection="1">
      <alignment horizontal="center"/>
      <protection hidden="1"/>
    </xf>
    <xf numFmtId="0" fontId="0" fillId="0" borderId="0" xfId="0" applyAlignment="1" applyProtection="1">
      <alignment horizontal="center"/>
      <protection hidden="1"/>
    </xf>
    <xf numFmtId="0" fontId="3" fillId="0" borderId="20" xfId="0" applyFont="1" applyBorder="1" applyAlignment="1" applyProtection="1">
      <alignment horizontal="left"/>
      <protection hidden="1"/>
    </xf>
    <xf numFmtId="0" fontId="0" fillId="0" borderId="2" xfId="0" applyBorder="1" applyProtection="1">
      <protection hidden="1"/>
    </xf>
    <xf numFmtId="14" fontId="2" fillId="2" borderId="1" xfId="2" applyNumberFormat="1" applyAlignment="1" applyProtection="1">
      <alignment horizontal="left"/>
      <protection hidden="1"/>
    </xf>
    <xf numFmtId="0" fontId="0" fillId="0" borderId="20" xfId="0" applyBorder="1" applyAlignment="1" applyProtection="1">
      <alignment horizontal="left"/>
      <protection hidden="1"/>
    </xf>
    <xf numFmtId="0" fontId="0" fillId="0" borderId="20" xfId="0" applyBorder="1" applyAlignment="1" applyProtection="1">
      <alignment vertical="center"/>
      <protection hidden="1"/>
    </xf>
    <xf numFmtId="0" fontId="0" fillId="0" borderId="0" xfId="0" applyAlignment="1" applyProtection="1">
      <alignment vertical="center"/>
      <protection hidden="1"/>
    </xf>
    <xf numFmtId="0" fontId="0" fillId="0" borderId="20" xfId="0" applyBorder="1" applyProtection="1">
      <protection hidden="1"/>
    </xf>
    <xf numFmtId="0" fontId="0" fillId="0" borderId="0" xfId="0" applyFill="1" applyProtection="1">
      <protection hidden="1"/>
    </xf>
    <xf numFmtId="0" fontId="3" fillId="0" borderId="45" xfId="0" applyFont="1" applyBorder="1" applyAlignment="1" applyProtection="1">
      <alignment horizontal="center" vertical="center" wrapText="1"/>
      <protection hidden="1"/>
    </xf>
    <xf numFmtId="14" fontId="3" fillId="0" borderId="0" xfId="0" applyNumberFormat="1" applyFont="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14" fontId="3" fillId="0" borderId="7" xfId="0" applyNumberFormat="1" applyFont="1" applyFill="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7" xfId="0" applyFont="1" applyFill="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44" fontId="3" fillId="0" borderId="9" xfId="0" applyNumberFormat="1" applyFont="1" applyFill="1" applyBorder="1" applyAlignment="1" applyProtection="1">
      <alignment horizontal="center" vertical="center" wrapText="1"/>
      <protection hidden="1"/>
    </xf>
    <xf numFmtId="44" fontId="3" fillId="0" borderId="10" xfId="0" applyNumberFormat="1" applyFont="1" applyFill="1" applyBorder="1" applyAlignment="1" applyProtection="1">
      <alignment horizontal="center" vertical="center" wrapText="1"/>
      <protection hidden="1"/>
    </xf>
    <xf numFmtId="44" fontId="3" fillId="0" borderId="0" xfId="0" applyNumberFormat="1" applyFont="1" applyAlignment="1" applyProtection="1">
      <alignment horizontal="center" vertical="center" wrapText="1"/>
      <protection hidden="1"/>
    </xf>
    <xf numFmtId="0" fontId="3" fillId="0" borderId="9" xfId="0" quotePrefix="1" applyFont="1" applyFill="1" applyBorder="1" applyAlignment="1" applyProtection="1">
      <alignment horizontal="center" vertical="center" wrapText="1"/>
      <protection hidden="1"/>
    </xf>
    <xf numFmtId="44" fontId="3" fillId="0" borderId="47" xfId="0" applyNumberFormat="1" applyFont="1" applyFill="1" applyBorder="1" applyAlignment="1" applyProtection="1">
      <alignment horizontal="center" vertical="center" wrapText="1"/>
      <protection hidden="1"/>
    </xf>
    <xf numFmtId="44" fontId="3" fillId="0" borderId="46" xfId="0" applyNumberFormat="1" applyFont="1" applyFill="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0" fontId="3" fillId="0" borderId="43" xfId="0" applyFont="1" applyBorder="1" applyAlignment="1" applyProtection="1">
      <alignment horizontal="center" vertical="center" wrapText="1"/>
      <protection hidden="1"/>
    </xf>
    <xf numFmtId="0" fontId="3" fillId="0" borderId="43" xfId="0" applyFont="1" applyFill="1" applyBorder="1" applyAlignment="1" applyProtection="1">
      <alignment horizontal="center" vertical="center" wrapText="1"/>
      <protection hidden="1"/>
    </xf>
    <xf numFmtId="0" fontId="3" fillId="0" borderId="44"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48" xfId="0" applyFont="1" applyBorder="1" applyAlignment="1" applyProtection="1">
      <alignment horizontal="center" vertical="center" wrapText="1"/>
      <protection hidden="1"/>
    </xf>
    <xf numFmtId="0" fontId="11" fillId="6" borderId="48"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44" fontId="3" fillId="0" borderId="43" xfId="0" applyNumberFormat="1"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29" fillId="0" borderId="43" xfId="0" applyFont="1" applyFill="1" applyBorder="1" applyAlignment="1" applyProtection="1">
      <alignment horizontal="center" vertical="center" wrapText="1"/>
      <protection hidden="1"/>
    </xf>
    <xf numFmtId="0" fontId="3" fillId="0" borderId="35"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85" xfId="0" applyFont="1" applyFill="1" applyBorder="1" applyAlignment="1" applyProtection="1">
      <alignment horizontal="center" vertical="center" wrapText="1"/>
      <protection hidden="1"/>
    </xf>
    <xf numFmtId="0" fontId="3" fillId="0" borderId="86" xfId="0" applyFont="1" applyFill="1" applyBorder="1" applyAlignment="1" applyProtection="1">
      <alignment horizontal="center" vertical="center" wrapText="1"/>
      <protection hidden="1"/>
    </xf>
    <xf numFmtId="0" fontId="11" fillId="7" borderId="43" xfId="0" applyFont="1" applyFill="1" applyBorder="1" applyAlignment="1" applyProtection="1">
      <alignment horizontal="center" vertical="center" wrapText="1"/>
      <protection hidden="1"/>
    </xf>
    <xf numFmtId="0" fontId="0" fillId="0" borderId="2" xfId="0" applyFont="1" applyFill="1" applyBorder="1" applyAlignment="1" applyProtection="1">
      <alignment horizontal="center"/>
      <protection hidden="1"/>
    </xf>
    <xf numFmtId="0" fontId="3" fillId="0" borderId="2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14" fontId="3" fillId="0" borderId="11" xfId="0" applyNumberFormat="1"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1" xfId="1" applyNumberFormat="1"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0" xfId="0" quotePrefix="1" applyFont="1" applyAlignment="1" applyProtection="1">
      <alignment horizontal="center" vertical="center" wrapText="1"/>
      <protection hidden="1"/>
    </xf>
    <xf numFmtId="44" fontId="3" fillId="0" borderId="11" xfId="0" applyNumberFormat="1"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16" fillId="0" borderId="11"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10" xfId="0" applyBorder="1" applyAlignment="1" applyProtection="1">
      <alignment horizontal="center"/>
      <protection hidden="1"/>
    </xf>
    <xf numFmtId="0" fontId="0" fillId="0" borderId="13" xfId="0" applyFill="1" applyBorder="1" applyAlignment="1" applyProtection="1">
      <alignment horizontal="center"/>
      <protection hidden="1"/>
    </xf>
    <xf numFmtId="2" fontId="0" fillId="0" borderId="13" xfId="0" applyNumberFormat="1" applyFill="1" applyBorder="1" applyAlignment="1" applyProtection="1">
      <alignment horizontal="center"/>
      <protection hidden="1"/>
    </xf>
    <xf numFmtId="44" fontId="0" fillId="0" borderId="9" xfId="0" applyNumberFormat="1" applyBorder="1" applyAlignment="1" applyProtection="1">
      <alignment horizontal="center"/>
      <protection hidden="1"/>
    </xf>
    <xf numFmtId="0" fontId="0" fillId="0" borderId="13" xfId="0" applyNumberFormat="1" applyBorder="1" applyProtection="1">
      <protection hidden="1"/>
    </xf>
    <xf numFmtId="0" fontId="3" fillId="0" borderId="19" xfId="0" applyFont="1" applyBorder="1" applyProtection="1">
      <protection hidden="1"/>
    </xf>
    <xf numFmtId="44" fontId="3" fillId="0" borderId="14" xfId="0" applyNumberFormat="1" applyFont="1" applyBorder="1" applyAlignment="1" applyProtection="1">
      <alignment horizontal="center"/>
      <protection hidden="1"/>
    </xf>
    <xf numFmtId="2" fontId="0" fillId="0" borderId="0" xfId="0" applyNumberFormat="1" applyProtection="1">
      <protection hidden="1"/>
    </xf>
    <xf numFmtId="1" fontId="0" fillId="0" borderId="0" xfId="0" applyNumberFormat="1" applyFill="1" applyBorder="1" applyAlignment="1" applyProtection="1">
      <alignment horizontal="center"/>
      <protection hidden="1"/>
    </xf>
    <xf numFmtId="0" fontId="14" fillId="0" borderId="32" xfId="0" applyFont="1" applyBorder="1" applyAlignment="1" applyProtection="1">
      <alignment horizontal="left"/>
      <protection hidden="1"/>
    </xf>
    <xf numFmtId="0" fontId="0" fillId="0" borderId="32" xfId="0" applyBorder="1" applyAlignment="1" applyProtection="1">
      <alignment horizontal="center"/>
      <protection hidden="1"/>
    </xf>
    <xf numFmtId="2" fontId="0" fillId="0" borderId="0" xfId="0" applyNumberFormat="1" applyAlignment="1" applyProtection="1">
      <alignment horizontal="left"/>
      <protection hidden="1"/>
    </xf>
    <xf numFmtId="0" fontId="3" fillId="0" borderId="0" xfId="0" applyFont="1" applyAlignment="1" applyProtection="1">
      <alignment horizontal="center"/>
      <protection hidden="1"/>
    </xf>
    <xf numFmtId="2" fontId="0" fillId="0" borderId="32" xfId="0" applyNumberFormat="1" applyBorder="1" applyAlignment="1" applyProtection="1">
      <alignment horizontal="center"/>
      <protection hidden="1"/>
    </xf>
    <xf numFmtId="2" fontId="0" fillId="0" borderId="0" xfId="0" applyNumberFormat="1" applyAlignment="1" applyProtection="1">
      <alignment horizontal="center"/>
      <protection hidden="1"/>
    </xf>
    <xf numFmtId="14" fontId="3" fillId="0" borderId="13" xfId="0" applyNumberFormat="1" applyFont="1" applyBorder="1" applyAlignment="1" applyProtection="1">
      <alignment horizontal="left"/>
      <protection hidden="1"/>
    </xf>
    <xf numFmtId="14" fontId="0" fillId="0" borderId="0" xfId="0" applyNumberFormat="1" applyFont="1" applyAlignment="1" applyProtection="1">
      <alignment horizontal="left"/>
      <protection hidden="1"/>
    </xf>
    <xf numFmtId="2" fontId="3" fillId="0" borderId="0" xfId="0" applyNumberFormat="1" applyFont="1" applyAlignment="1" applyProtection="1">
      <alignment horizontal="center"/>
      <protection hidden="1"/>
    </xf>
    <xf numFmtId="2" fontId="3" fillId="5" borderId="17" xfId="0" applyNumberFormat="1" applyFont="1" applyFill="1" applyBorder="1" applyAlignment="1" applyProtection="1">
      <alignment horizontal="center"/>
      <protection hidden="1"/>
    </xf>
    <xf numFmtId="0" fontId="0" fillId="0" borderId="0" xfId="0" applyNumberFormat="1" applyAlignment="1" applyProtection="1">
      <alignment horizontal="center"/>
      <protection hidden="1"/>
    </xf>
    <xf numFmtId="0" fontId="0" fillId="0" borderId="28" xfId="0" applyNumberFormat="1" applyBorder="1" applyAlignment="1" applyProtection="1">
      <alignment horizontal="center"/>
      <protection hidden="1"/>
    </xf>
    <xf numFmtId="2" fontId="0" fillId="0" borderId="87" xfId="0" applyNumberFormat="1" applyBorder="1" applyAlignment="1" applyProtection="1">
      <alignment horizontal="center"/>
      <protection hidden="1"/>
    </xf>
    <xf numFmtId="14" fontId="3" fillId="5" borderId="32" xfId="0" applyNumberFormat="1" applyFont="1" applyFill="1" applyBorder="1" applyAlignment="1" applyProtection="1">
      <alignment horizontal="center"/>
      <protection hidden="1"/>
    </xf>
    <xf numFmtId="14" fontId="0" fillId="5" borderId="32" xfId="0" applyNumberFormat="1" applyFill="1" applyBorder="1" applyAlignment="1" applyProtection="1">
      <alignment horizontal="center"/>
      <protection hidden="1"/>
    </xf>
    <xf numFmtId="0" fontId="0" fillId="5" borderId="32" xfId="0" applyNumberFormat="1" applyFill="1" applyBorder="1" applyAlignment="1" applyProtection="1">
      <alignment horizontal="center"/>
      <protection hidden="1"/>
    </xf>
    <xf numFmtId="2" fontId="0" fillId="5" borderId="88" xfId="0" applyNumberFormat="1" applyFill="1" applyBorder="1" applyAlignment="1" applyProtection="1">
      <alignment horizontal="center"/>
      <protection hidden="1"/>
    </xf>
    <xf numFmtId="0" fontId="0" fillId="5" borderId="32" xfId="0" applyFill="1" applyBorder="1" applyAlignment="1" applyProtection="1">
      <alignment horizontal="center"/>
      <protection hidden="1"/>
    </xf>
    <xf numFmtId="2" fontId="2" fillId="2" borderId="1" xfId="2" applyNumberFormat="1" applyAlignment="1" applyProtection="1">
      <alignment horizontal="center"/>
      <protection hidden="1"/>
    </xf>
    <xf numFmtId="0" fontId="14" fillId="0" borderId="0" xfId="0" applyFont="1" applyBorder="1" applyAlignment="1" applyProtection="1">
      <alignment horizontal="left" vertical="top" wrapText="1"/>
      <protection hidden="1"/>
    </xf>
    <xf numFmtId="14" fontId="2" fillId="2" borderId="1" xfId="2" applyNumberFormat="1" applyAlignment="1" applyProtection="1">
      <alignment horizontal="center"/>
      <protection hidden="1"/>
    </xf>
    <xf numFmtId="0" fontId="0" fillId="0" borderId="2" xfId="0" applyBorder="1" applyAlignment="1" applyProtection="1">
      <alignment horizontal="center"/>
      <protection hidden="1"/>
    </xf>
    <xf numFmtId="0" fontId="0" fillId="0" borderId="0" xfId="0" applyBorder="1" applyAlignment="1" applyProtection="1">
      <alignment horizontal="center"/>
      <protection hidden="1"/>
    </xf>
    <xf numFmtId="168" fontId="0" fillId="0" borderId="0" xfId="0" applyNumberFormat="1" applyAlignment="1" applyProtection="1">
      <alignment horizontal="left"/>
      <protection hidden="1"/>
    </xf>
    <xf numFmtId="0" fontId="4" fillId="0" borderId="0" xfId="0" applyFont="1" applyProtection="1">
      <protection hidden="1"/>
    </xf>
    <xf numFmtId="0" fontId="4" fillId="0" borderId="0" xfId="0" applyFont="1" applyAlignment="1" applyProtection="1">
      <alignment horizontal="center"/>
      <protection hidden="1"/>
    </xf>
    <xf numFmtId="0" fontId="0" fillId="0" borderId="57" xfId="0" applyBorder="1" applyAlignment="1" applyProtection="1">
      <alignment horizontal="center"/>
      <protection hidden="1"/>
    </xf>
    <xf numFmtId="0" fontId="0" fillId="0" borderId="0" xfId="0" applyFont="1" applyProtection="1">
      <protection hidden="1"/>
    </xf>
    <xf numFmtId="0" fontId="0" fillId="0" borderId="0" xfId="0" applyAlignment="1" applyProtection="1">
      <alignment horizontal="right"/>
      <protection hidden="1"/>
    </xf>
    <xf numFmtId="0" fontId="0" fillId="0" borderId="59" xfId="0" applyBorder="1" applyAlignment="1" applyProtection="1">
      <alignment horizontal="center"/>
      <protection hidden="1"/>
    </xf>
    <xf numFmtId="0" fontId="29" fillId="0" borderId="0" xfId="0" applyFont="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xf>
    <xf numFmtId="0" fontId="0" fillId="0" borderId="69" xfId="0" applyBorder="1" applyAlignment="1">
      <alignment horizontal="left" vertical="top"/>
    </xf>
    <xf numFmtId="0" fontId="0" fillId="0" borderId="70" xfId="0" applyBorder="1" applyAlignment="1">
      <alignment horizontal="left" vertical="top"/>
    </xf>
    <xf numFmtId="0" fontId="0" fillId="0" borderId="0" xfId="0" applyBorder="1" applyAlignment="1">
      <alignment horizontal="left" vertical="top"/>
    </xf>
    <xf numFmtId="0" fontId="0" fillId="0" borderId="71" xfId="0" applyBorder="1" applyAlignment="1">
      <alignment horizontal="left" vertical="top"/>
    </xf>
    <xf numFmtId="0" fontId="0" fillId="0" borderId="72" xfId="0" applyBorder="1" applyAlignment="1">
      <alignment horizontal="left" vertical="top"/>
    </xf>
    <xf numFmtId="0" fontId="0" fillId="0" borderId="73" xfId="0" applyBorder="1" applyAlignment="1">
      <alignment horizontal="left" vertical="top"/>
    </xf>
    <xf numFmtId="0" fontId="0" fillId="0" borderId="74" xfId="0" applyBorder="1" applyAlignment="1">
      <alignment horizontal="left" vertical="top"/>
    </xf>
    <xf numFmtId="0" fontId="0" fillId="0" borderId="68" xfId="0" applyBorder="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0"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3" fillId="0" borderId="16" xfId="0" applyFont="1" applyBorder="1" applyAlignment="1">
      <alignment horizontal="left" vertical="top" wrapText="1"/>
    </xf>
    <xf numFmtId="0" fontId="3" fillId="0" borderId="63" xfId="0" applyFont="1" applyBorder="1" applyAlignment="1">
      <alignment horizontal="left" vertical="top" wrapText="1"/>
    </xf>
    <xf numFmtId="0" fontId="3" fillId="0" borderId="22" xfId="0" applyFont="1" applyBorder="1" applyAlignment="1">
      <alignment horizontal="left" vertical="top" wrapText="1"/>
    </xf>
    <xf numFmtId="0" fontId="3" fillId="0" borderId="64" xfId="0" applyFont="1" applyBorder="1" applyAlignment="1">
      <alignment horizontal="left" vertical="top" wrapText="1"/>
    </xf>
    <xf numFmtId="0" fontId="3" fillId="0" borderId="0"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07" xfId="0" applyFont="1" applyBorder="1" applyAlignment="1">
      <alignment horizontal="left" vertical="top" wrapText="1"/>
    </xf>
    <xf numFmtId="0" fontId="3" fillId="0" borderId="108" xfId="0" applyFont="1" applyBorder="1" applyAlignment="1">
      <alignment horizontal="left" vertical="top" wrapText="1"/>
    </xf>
    <xf numFmtId="0" fontId="3" fillId="0" borderId="109" xfId="0" applyFont="1" applyBorder="1" applyAlignment="1">
      <alignment horizontal="left" vertical="top" wrapText="1"/>
    </xf>
    <xf numFmtId="0" fontId="3" fillId="0" borderId="110" xfId="0" applyFont="1" applyBorder="1" applyAlignment="1">
      <alignment horizontal="left" vertical="top" wrapText="1"/>
    </xf>
    <xf numFmtId="0" fontId="3" fillId="0" borderId="111" xfId="0" applyFont="1" applyBorder="1" applyAlignment="1">
      <alignment horizontal="left" vertical="top" wrapText="1"/>
    </xf>
    <xf numFmtId="0" fontId="3" fillId="0" borderId="112" xfId="0" applyFont="1" applyBorder="1" applyAlignment="1">
      <alignment horizontal="left" vertical="top" wrapText="1"/>
    </xf>
    <xf numFmtId="0" fontId="3" fillId="0" borderId="113" xfId="0" applyFont="1" applyBorder="1" applyAlignment="1">
      <alignment horizontal="left" vertical="top" wrapText="1"/>
    </xf>
    <xf numFmtId="0" fontId="3" fillId="0" borderId="114" xfId="0" applyFont="1" applyBorder="1" applyAlignment="1">
      <alignment horizontal="left" vertical="top"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71" xfId="0" applyFont="1" applyBorder="1" applyAlignment="1">
      <alignment horizontal="left" vertical="top" wrapText="1"/>
    </xf>
    <xf numFmtId="0" fontId="3" fillId="0" borderId="72" xfId="0" applyFont="1" applyBorder="1" applyAlignment="1">
      <alignment horizontal="lef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0" fillId="0" borderId="107" xfId="0" applyFill="1" applyBorder="1" applyAlignment="1">
      <alignment horizontal="left" vertical="top" wrapText="1"/>
    </xf>
    <xf numFmtId="0" fontId="0" fillId="0" borderId="108" xfId="0" applyFill="1" applyBorder="1" applyAlignment="1">
      <alignment horizontal="left" vertical="top" wrapText="1"/>
    </xf>
    <xf numFmtId="0" fontId="0" fillId="0" borderId="109" xfId="0" applyFill="1" applyBorder="1" applyAlignment="1">
      <alignment horizontal="left" vertical="top" wrapText="1"/>
    </xf>
    <xf numFmtId="0" fontId="0" fillId="0" borderId="110" xfId="0" applyFill="1" applyBorder="1" applyAlignment="1">
      <alignment horizontal="left" vertical="top" wrapText="1"/>
    </xf>
    <xf numFmtId="0" fontId="0" fillId="0" borderId="0" xfId="0" applyFill="1" applyBorder="1" applyAlignment="1">
      <alignment horizontal="left" vertical="top" wrapText="1"/>
    </xf>
    <xf numFmtId="0" fontId="0" fillId="0" borderId="111" xfId="0" applyFill="1" applyBorder="1" applyAlignment="1">
      <alignment horizontal="left" vertical="top" wrapText="1"/>
    </xf>
    <xf numFmtId="0" fontId="0" fillId="0" borderId="112" xfId="0" applyFill="1" applyBorder="1" applyAlignment="1">
      <alignment horizontal="left" vertical="top" wrapText="1"/>
    </xf>
    <xf numFmtId="0" fontId="0" fillId="0" borderId="113" xfId="0" applyFill="1" applyBorder="1" applyAlignment="1">
      <alignment horizontal="left" vertical="top" wrapText="1"/>
    </xf>
    <xf numFmtId="0" fontId="0" fillId="0" borderId="114"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80" xfId="0" applyBorder="1" applyAlignment="1">
      <alignment horizontal="left" vertical="top" wrapText="1"/>
    </xf>
    <xf numFmtId="0" fontId="0" fillId="0" borderId="62" xfId="0" applyBorder="1" applyAlignment="1">
      <alignment horizontal="left" vertical="top" wrapText="1"/>
    </xf>
    <xf numFmtId="0" fontId="0" fillId="0" borderId="51" xfId="0" applyBorder="1" applyAlignment="1">
      <alignment horizontal="lef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3" fillId="0" borderId="89" xfId="0" applyFont="1" applyBorder="1" applyAlignment="1">
      <alignment horizontal="left" vertical="top" wrapText="1"/>
    </xf>
    <xf numFmtId="0" fontId="3" fillId="0" borderId="90" xfId="0" applyFont="1" applyBorder="1" applyAlignment="1">
      <alignment horizontal="left" vertical="top" wrapText="1"/>
    </xf>
    <xf numFmtId="0" fontId="3" fillId="0" borderId="91" xfId="0" applyFont="1" applyBorder="1" applyAlignment="1">
      <alignment horizontal="left" vertical="top" wrapText="1"/>
    </xf>
    <xf numFmtId="0" fontId="3" fillId="0" borderId="92" xfId="0" applyFont="1" applyBorder="1" applyAlignment="1">
      <alignment horizontal="left" vertical="top" wrapText="1"/>
    </xf>
    <xf numFmtId="0" fontId="3" fillId="0" borderId="93" xfId="0" applyFont="1" applyBorder="1" applyAlignment="1">
      <alignment horizontal="left" vertical="top" wrapText="1"/>
    </xf>
    <xf numFmtId="0" fontId="3" fillId="0" borderId="94" xfId="0" applyFont="1" applyBorder="1" applyAlignment="1">
      <alignment horizontal="left" vertical="top" wrapText="1"/>
    </xf>
    <xf numFmtId="0" fontId="3" fillId="0" borderId="95" xfId="0" applyFont="1" applyBorder="1" applyAlignment="1">
      <alignment horizontal="left" vertical="top" wrapText="1"/>
    </xf>
    <xf numFmtId="0" fontId="3" fillId="0" borderId="96" xfId="0" applyFont="1" applyBorder="1" applyAlignment="1">
      <alignment horizontal="left" vertical="top" wrapText="1"/>
    </xf>
    <xf numFmtId="0" fontId="0" fillId="0" borderId="16" xfId="0" applyBorder="1" applyAlignment="1">
      <alignment horizontal="left" vertical="top" wrapText="1"/>
    </xf>
    <xf numFmtId="0" fontId="0" fillId="0" borderId="63" xfId="0" applyBorder="1" applyAlignment="1">
      <alignment horizontal="left" vertical="top" wrapText="1"/>
    </xf>
    <xf numFmtId="0" fontId="0" fillId="0" borderId="22"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 fillId="0" borderId="89" xfId="0" applyFont="1" applyFill="1" applyBorder="1" applyAlignment="1">
      <alignment horizontal="left" vertical="top" wrapText="1"/>
    </xf>
    <xf numFmtId="0" fontId="3" fillId="0" borderId="90" xfId="0" applyFont="1" applyFill="1" applyBorder="1" applyAlignment="1">
      <alignment horizontal="left" vertical="top" wrapText="1"/>
    </xf>
    <xf numFmtId="0" fontId="3" fillId="0" borderId="91" xfId="0" applyFont="1" applyFill="1" applyBorder="1" applyAlignment="1">
      <alignment horizontal="left" vertical="top" wrapText="1"/>
    </xf>
    <xf numFmtId="0" fontId="3" fillId="0" borderId="9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3" xfId="0" applyFont="1" applyFill="1" applyBorder="1" applyAlignment="1">
      <alignment horizontal="left" vertical="top" wrapText="1"/>
    </xf>
    <xf numFmtId="0" fontId="3" fillId="0" borderId="94" xfId="0" applyFont="1" applyFill="1" applyBorder="1" applyAlignment="1">
      <alignment horizontal="left" vertical="top" wrapText="1"/>
    </xf>
    <xf numFmtId="0" fontId="3" fillId="0" borderId="95" xfId="0" applyFont="1" applyFill="1" applyBorder="1" applyAlignment="1">
      <alignment horizontal="left" vertical="top" wrapText="1"/>
    </xf>
    <xf numFmtId="0" fontId="3" fillId="0" borderId="96" xfId="0" applyFont="1" applyFill="1" applyBorder="1" applyAlignment="1">
      <alignment horizontal="left" vertical="top" wrapText="1"/>
    </xf>
    <xf numFmtId="0" fontId="3" fillId="0" borderId="99" xfId="0" applyFont="1" applyBorder="1" applyAlignment="1">
      <alignment horizontal="left" vertical="top" wrapText="1"/>
    </xf>
    <xf numFmtId="0" fontId="3" fillId="0" borderId="100" xfId="0" applyFont="1" applyBorder="1" applyAlignment="1">
      <alignment horizontal="left" vertical="top" wrapText="1"/>
    </xf>
    <xf numFmtId="0" fontId="3" fillId="0" borderId="101" xfId="0" applyFont="1" applyBorder="1" applyAlignment="1">
      <alignment horizontal="left" vertical="top" wrapText="1"/>
    </xf>
    <xf numFmtId="0" fontId="3" fillId="0" borderId="102" xfId="0" applyFont="1" applyBorder="1" applyAlignment="1">
      <alignment horizontal="left" vertical="top" wrapText="1"/>
    </xf>
    <xf numFmtId="0" fontId="3" fillId="0" borderId="103" xfId="0" applyFont="1" applyBorder="1" applyAlignment="1">
      <alignment horizontal="left" vertical="top" wrapText="1"/>
    </xf>
    <xf numFmtId="0" fontId="3" fillId="0" borderId="104" xfId="0" applyFont="1" applyBorder="1" applyAlignment="1">
      <alignment horizontal="left" vertical="top" wrapText="1"/>
    </xf>
    <xf numFmtId="0" fontId="3" fillId="0" borderId="105" xfId="0" applyFont="1" applyBorder="1" applyAlignment="1">
      <alignment horizontal="left" vertical="top" wrapText="1"/>
    </xf>
    <xf numFmtId="0" fontId="3" fillId="0" borderId="106" xfId="0" applyFont="1" applyBorder="1" applyAlignment="1">
      <alignment horizontal="left" vertical="top" wrapText="1"/>
    </xf>
    <xf numFmtId="0" fontId="0" fillId="0" borderId="63" xfId="0" applyBorder="1" applyAlignment="1">
      <alignment horizontal="left" vertical="top"/>
    </xf>
    <xf numFmtId="0" fontId="0" fillId="0" borderId="22"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0" fillId="0" borderId="66"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Fill="1" applyAlignment="1">
      <alignment horizontal="left" vertical="top" wrapText="1"/>
    </xf>
    <xf numFmtId="0" fontId="3" fillId="0" borderId="23"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5" xfId="0" applyFont="1" applyBorder="1" applyAlignment="1" applyProtection="1">
      <alignment horizontal="center"/>
      <protection hidden="1"/>
    </xf>
    <xf numFmtId="0" fontId="0" fillId="0" borderId="23"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25" xfId="0" applyBorder="1" applyAlignment="1" applyProtection="1">
      <alignment horizontal="center"/>
      <protection hidden="1"/>
    </xf>
    <xf numFmtId="2" fontId="0" fillId="0" borderId="31"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33" xfId="0" applyNumberFormat="1" applyBorder="1" applyAlignment="1">
      <alignment horizontal="center" vertical="center" wrapText="1"/>
    </xf>
    <xf numFmtId="2" fontId="0" fillId="0" borderId="20" xfId="0" applyNumberFormat="1" applyBorder="1" applyAlignment="1">
      <alignment horizontal="center" vertical="center" wrapText="1"/>
    </xf>
    <xf numFmtId="2" fontId="0" fillId="0" borderId="0" xfId="0" applyNumberFormat="1" applyBorder="1" applyAlignment="1">
      <alignment horizontal="center" vertical="center" wrapText="1"/>
    </xf>
    <xf numFmtId="2" fontId="0" fillId="0" borderId="34" xfId="0" applyNumberFormat="1" applyBorder="1" applyAlignment="1">
      <alignment horizontal="center" vertical="center" wrapText="1"/>
    </xf>
    <xf numFmtId="2" fontId="0" fillId="0" borderId="19" xfId="0" applyNumberFormat="1" applyBorder="1" applyAlignment="1">
      <alignment horizontal="center" vertical="center" wrapText="1"/>
    </xf>
    <xf numFmtId="2" fontId="0" fillId="0" borderId="14"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85" xfId="0" applyFont="1" applyFill="1" applyBorder="1" applyAlignment="1" applyProtection="1">
      <alignment horizontal="center"/>
      <protection hidden="1"/>
    </xf>
    <xf numFmtId="0" fontId="0" fillId="0" borderId="86" xfId="0" applyFont="1" applyFill="1" applyBorder="1" applyAlignment="1" applyProtection="1">
      <alignment horizontal="center"/>
      <protection hidden="1"/>
    </xf>
    <xf numFmtId="0" fontId="0" fillId="3" borderId="4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0" fillId="3" borderId="36" xfId="0" quotePrefix="1" applyFill="1" applyBorder="1" applyAlignment="1" applyProtection="1">
      <alignment horizontal="center" vertical="center" wrapText="1"/>
      <protection hidden="1"/>
    </xf>
    <xf numFmtId="0" fontId="0" fillId="3" borderId="37" xfId="0" applyFill="1" applyBorder="1" applyAlignment="1" applyProtection="1">
      <alignment horizontal="center" vertical="center" wrapText="1"/>
      <protection hidden="1"/>
    </xf>
    <xf numFmtId="0" fontId="0" fillId="3" borderId="62" xfId="0" applyFill="1" applyBorder="1" applyAlignment="1" applyProtection="1">
      <alignment horizontal="center" vertical="center" wrapText="1"/>
      <protection hidden="1"/>
    </xf>
    <xf numFmtId="0" fontId="0" fillId="3" borderId="0" xfId="0" applyFill="1" applyBorder="1" applyAlignment="1" applyProtection="1">
      <alignment horizontal="center" vertical="center" wrapText="1"/>
      <protection hidden="1"/>
    </xf>
    <xf numFmtId="0" fontId="0" fillId="0" borderId="16" xfId="0" applyFont="1" applyBorder="1" applyAlignment="1" applyProtection="1">
      <alignment horizontal="left" vertical="top" wrapText="1"/>
      <protection hidden="1"/>
    </xf>
    <xf numFmtId="0" fontId="14" fillId="0" borderId="63" xfId="0" applyFont="1" applyBorder="1" applyAlignment="1" applyProtection="1">
      <alignment horizontal="left" vertical="top" wrapText="1"/>
      <protection hidden="1"/>
    </xf>
    <xf numFmtId="0" fontId="14" fillId="0" borderId="22" xfId="0" applyFont="1" applyBorder="1" applyAlignment="1" applyProtection="1">
      <alignment horizontal="left" vertical="top" wrapText="1"/>
      <protection hidden="1"/>
    </xf>
    <xf numFmtId="0" fontId="14" fillId="0" borderId="64"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65" xfId="0" applyFont="1" applyBorder="1" applyAlignment="1" applyProtection="1">
      <alignment horizontal="left" vertical="top" wrapText="1"/>
      <protection hidden="1"/>
    </xf>
    <xf numFmtId="0" fontId="14" fillId="0" borderId="66"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12" xfId="0" applyFont="1" applyBorder="1" applyAlignment="1" applyProtection="1">
      <alignment horizontal="left" vertical="top" wrapText="1"/>
      <protection hidden="1"/>
    </xf>
    <xf numFmtId="0" fontId="0" fillId="0" borderId="9" xfId="0" applyBorder="1" applyAlignment="1" applyProtection="1">
      <alignment horizontal="left"/>
      <protection hidden="1"/>
    </xf>
    <xf numFmtId="0" fontId="0" fillId="0" borderId="35" xfId="0" applyBorder="1" applyAlignment="1" applyProtection="1">
      <alignment horizontal="left"/>
      <protection hidden="1"/>
    </xf>
    <xf numFmtId="0" fontId="0" fillId="0" borderId="10" xfId="0" applyBorder="1" applyAlignment="1" applyProtection="1">
      <alignment horizontal="left"/>
      <protection hidden="1"/>
    </xf>
    <xf numFmtId="14" fontId="0" fillId="0" borderId="0" xfId="0" applyNumberFormat="1" applyAlignment="1" applyProtection="1">
      <alignment horizontal="left"/>
      <protection hidden="1"/>
    </xf>
    <xf numFmtId="0" fontId="0" fillId="0" borderId="53" xfId="0" applyBorder="1" applyAlignment="1" applyProtection="1">
      <alignment horizontal="left" vertical="top"/>
      <protection hidden="1"/>
    </xf>
    <xf numFmtId="0" fontId="0" fillId="0" borderId="54" xfId="0" applyBorder="1" applyAlignment="1" applyProtection="1">
      <alignment horizontal="left" vertical="top"/>
      <protection hidden="1"/>
    </xf>
    <xf numFmtId="0" fontId="0" fillId="0" borderId="55" xfId="0" applyBorder="1" applyAlignment="1" applyProtection="1">
      <alignment horizontal="left" vertical="top"/>
      <protection hidden="1"/>
    </xf>
    <xf numFmtId="0" fontId="0" fillId="0" borderId="97"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98" xfId="0" applyBorder="1" applyAlignment="1" applyProtection="1">
      <alignment horizontal="left" vertical="top"/>
      <protection hidden="1"/>
    </xf>
    <xf numFmtId="0" fontId="0" fillId="0" borderId="56" xfId="0" applyBorder="1" applyAlignment="1" applyProtection="1">
      <alignment horizontal="left" vertical="top"/>
      <protection hidden="1"/>
    </xf>
    <xf numFmtId="0" fontId="0" fillId="0" borderId="57" xfId="0" applyBorder="1" applyAlignment="1" applyProtection="1">
      <alignment horizontal="left" vertical="top"/>
      <protection hidden="1"/>
    </xf>
    <xf numFmtId="0" fontId="0" fillId="0" borderId="58" xfId="0" applyBorder="1" applyAlignment="1" applyProtection="1">
      <alignment horizontal="left" vertical="top"/>
      <protection hidden="1"/>
    </xf>
  </cellXfs>
  <cellStyles count="5">
    <cellStyle name="Comma" xfId="3" builtinId="3"/>
    <cellStyle name="Hyperlink" xfId="4" builtinId="8"/>
    <cellStyle name="Input" xfId="2" builtinId="20"/>
    <cellStyle name="Normal" xfId="0" builtinId="0"/>
    <cellStyle name="Percent" xfId="1" builtinId="5"/>
  </cellStyles>
  <dxfs count="351">
    <dxf>
      <fill>
        <patternFill>
          <bgColor theme="0" tint="-4.9989318521683403E-2"/>
        </patternFill>
      </fill>
    </dxf>
    <dxf>
      <fill>
        <patternFill>
          <bgColor theme="0" tint="-4.9989318521683403E-2"/>
        </patternFill>
      </fill>
    </dxf>
    <dxf>
      <font>
        <color auto="1"/>
      </font>
      <fill>
        <patternFill patternType="solid">
          <bgColor theme="7" tint="0.59996337778862885"/>
        </patternFill>
      </fill>
      <border>
        <left/>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18</xdr:col>
      <xdr:colOff>23284</xdr:colOff>
      <xdr:row>56</xdr:row>
      <xdr:rowOff>42335</xdr:rowOff>
    </xdr:to>
    <xdr:sp macro="" textlink="">
      <xdr:nvSpPr>
        <xdr:cNvPr id="2" name="TextBox 1">
          <a:extLst>
            <a:ext uri="{FF2B5EF4-FFF2-40B4-BE49-F238E27FC236}">
              <a16:creationId xmlns:a16="http://schemas.microsoft.com/office/drawing/2014/main" id="{43B4FFD5-D972-48B4-A5D7-20B26FF56D76}"/>
            </a:ext>
          </a:extLst>
        </xdr:cNvPr>
        <xdr:cNvSpPr txBox="1"/>
      </xdr:nvSpPr>
      <xdr:spPr>
        <a:xfrm>
          <a:off x="171450" y="295275"/>
          <a:ext cx="10824634" cy="10462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These disclaimers, waivers and warning conditions (“Disclaimer Conditions”) must be read in conjunction with the Seller’s terms of use (“Terms”) and the Seller’s Privacy Policy (“Policy”). </a:t>
          </a:r>
          <a:endParaRPr lang="en-AU" sz="1100"/>
        </a:p>
        <a:p>
          <a:endParaRPr lang="en-AU" sz="1100"/>
        </a:p>
        <a:p>
          <a:r>
            <a:rPr lang="en-AU" sz="1100"/>
            <a:t>These</a:t>
          </a:r>
          <a:r>
            <a:rPr lang="en-AU" sz="1100" baseline="0"/>
            <a:t> terms </a:t>
          </a:r>
          <a:r>
            <a:rPr lang="en-AU" sz="1100"/>
            <a:t>apply</a:t>
          </a:r>
          <a:r>
            <a:rPr lang="en-AU" sz="1100" baseline="0"/>
            <a:t> to</a:t>
          </a:r>
          <a:r>
            <a:rPr lang="en-AU" sz="1100"/>
            <a:t> the Small Biz Payroll Module file. By downloading and/or using the template, you agree to abide by the following terms:</a:t>
          </a:r>
        </a:p>
        <a:p>
          <a:endParaRPr lang="en-AU" sz="1200" b="1"/>
        </a:p>
        <a:p>
          <a:r>
            <a:rPr lang="en-AU" sz="1100" b="0"/>
            <a:t>1. Limited</a:t>
          </a:r>
          <a:r>
            <a:rPr lang="en-AU" sz="1100" b="0" baseline="0"/>
            <a:t> use: </a:t>
          </a:r>
          <a:r>
            <a:rPr lang="en-AU" sz="1100"/>
            <a:t>You may download the template (the "Software"), make archival copies, and customize the template only for your personal use or use within your company or organization and not for resale or public sharing.</a:t>
          </a:r>
        </a:p>
        <a:p>
          <a:endParaRPr lang="en-AU" sz="1100"/>
        </a:p>
        <a:p>
          <a:r>
            <a:rPr lang="en-AU" sz="1100"/>
            <a:t>You may not remove or alter any trademarked material, copyright, disclaimer, brand, terms of use, attribution, or other proprietary notices or marks within the template.</a:t>
          </a:r>
        </a:p>
        <a:p>
          <a:endParaRPr lang="en-AU" sz="1100"/>
        </a:p>
        <a:p>
          <a:r>
            <a:rPr lang="en-AU" sz="1100"/>
            <a:t>The template and any file, document, or other work including or derived from the template may NOT be sold, distributed, published to an online gallery, hosted on a website, or placed on any server in a way that makes it available to the general public.</a:t>
          </a:r>
        </a:p>
        <a:p>
          <a:endParaRPr lang="en-AU" sz="1100"/>
        </a:p>
        <a:p>
          <a:r>
            <a:rPr lang="en-AU" sz="1100" b="0" i="0">
              <a:solidFill>
                <a:schemeClr val="dk1"/>
              </a:solidFill>
              <a:effectLst/>
              <a:latin typeface="+mn-lt"/>
              <a:ea typeface="+mn-ea"/>
              <a:cs typeface="+mn-cs"/>
            </a:rPr>
            <a:t>You are not permitted to share the template or a modified version of the template with Facebook friends, an email list, Google+ Circles, or other social network or document sharing service that includes people who are not within your "immediate family, household, team, or company" and/or do not require access to it.</a:t>
          </a:r>
        </a:p>
        <a:p>
          <a:endParaRPr lang="en-AU" sz="1100" b="0" i="0">
            <a:solidFill>
              <a:schemeClr val="dk1"/>
            </a:solidFill>
            <a:effectLst/>
            <a:latin typeface="+mn-lt"/>
            <a:ea typeface="+mn-ea"/>
            <a:cs typeface="+mn-cs"/>
          </a:endParaRPr>
        </a:p>
        <a:p>
          <a:r>
            <a:rPr lang="en-AU" sz="1100" b="0" i="0">
              <a:solidFill>
                <a:schemeClr val="dk1"/>
              </a:solidFill>
              <a:effectLst/>
              <a:latin typeface="+mn-lt"/>
              <a:ea typeface="+mn-ea"/>
              <a:cs typeface="+mn-cs"/>
            </a:rPr>
            <a:t>Google Drive: If you are using the template via Google Drive or a similar product, Link Sharing must be turned OFF, meaning that you may only share the document with specific people that require access. (Choosing either "public on the web" or "anyone with the link" is not allowed).</a:t>
          </a:r>
          <a:endParaRPr lang="en-AU" sz="1100"/>
        </a:p>
        <a:p>
          <a:endParaRPr lang="en-AU" sz="1100"/>
        </a:p>
        <a:p>
          <a:r>
            <a:rPr lang="en-AU" sz="1100" b="0"/>
            <a:t>2. </a:t>
          </a:r>
          <a:r>
            <a:rPr lang="en-AU" sz="1100"/>
            <a:t>Before downloading, purchasing or using the Products, you should obtain professional advice relevant to your particular circumstances as to whether the Products are suitable for you and your intended use. The Seller makes no representations or warranties regarding the Products or that the Products are suitable for your use or any particular purpose.   </a:t>
          </a:r>
        </a:p>
        <a:p>
          <a:endParaRPr lang="en-AU" sz="1100"/>
        </a:p>
        <a:p>
          <a:r>
            <a:rPr lang="en-AU" sz="1100"/>
            <a:t>The Small Biz Payroll Module</a:t>
          </a:r>
          <a:r>
            <a:rPr lang="en-AU" sz="1100" baseline="0"/>
            <a:t> </a:t>
          </a:r>
          <a:r>
            <a:rPr lang="en-AU" sz="1100"/>
            <a:t>is a tool to assist you in the preparation of your financial accounts and records. It does not constitute financial advice and is not intended to replace professional guidance in preparing your financial records. You are responsible for ensuring the accuracy of your financial information and performing due diligence in understanding all relevant legislative</a:t>
          </a:r>
          <a:r>
            <a:rPr lang="en-AU" sz="1100" baseline="0"/>
            <a:t> requirements.</a:t>
          </a:r>
          <a:endParaRPr lang="en-AU" sz="1100"/>
        </a:p>
        <a:p>
          <a:endParaRPr lang="en-AU" sz="1100"/>
        </a:p>
        <a:p>
          <a:r>
            <a:rPr lang="en-AU" sz="1100"/>
            <a:t>3. You acknowledge and agree:</a:t>
          </a:r>
        </a:p>
        <a:p>
          <a:r>
            <a:rPr lang="en-AU" sz="1100"/>
            <a:t>- you have conducted your own enquiries regarding the Products before using the Products;</a:t>
          </a:r>
        </a:p>
        <a:p>
          <a:r>
            <a:rPr lang="en-AU" sz="1100"/>
            <a:t>regardless of any brochures, pamphlets, tutorials, advertisements or any other material relating to the Products provided to you, your use of the Products is at your own risk and you assume full responsibility and risk for any loss or damage resulting from the use or information you create using the Products;</a:t>
          </a:r>
        </a:p>
        <a:p>
          <a:r>
            <a:rPr lang="en-AU" sz="1100"/>
            <a:t>- while the Products may contain features to assist you in complying with the requirements of legislation, the Seller does not give any advice to you whatsoever including but not limited to any legal, financial, accounting, taxation, superannuation, wealth management or financial product advice or any other professional advice;</a:t>
          </a:r>
        </a:p>
        <a:p>
          <a:r>
            <a:rPr lang="en-AU" sz="1100"/>
            <a:t>- your use of the Products does not in any way constitute compliance with any legal requirements which may be applicable to you. You acknowledge you are solely responsible for obtaining your own professional advice regarding your particular circumstances and any laws which may be applicable you;</a:t>
          </a:r>
        </a:p>
        <a:p>
          <a:r>
            <a:rPr lang="en-AU" sz="1100"/>
            <a:t>- the Seller does not provide any services to you;</a:t>
          </a:r>
        </a:p>
        <a:p>
          <a:r>
            <a:rPr lang="en-AU" sz="1100"/>
            <a:t>- the Products are supplied to you on an “as is” basis and without any representations regarding the use, performance or results obtained from use of the Products. You acknowledge you are solely responsible for any results obtained from your use of the Products and you rely on these results at your sole risk;</a:t>
          </a:r>
        </a:p>
        <a:p>
          <a:r>
            <a:rPr lang="en-AU" sz="1100"/>
            <a:t>- information provided on the Website and in the Products may be in the form of summaries and generalisations. You have obtained your own professional advice for your circumstances;</a:t>
          </a:r>
        </a:p>
        <a:p>
          <a:r>
            <a:rPr lang="en-AU" sz="1100"/>
            <a:t>- you must maintain copies or conduct regular back-ups of all information or data uploaded on the Products by you. The Seller expressly excludes all liability for any loss of - your data and/or information; and</a:t>
          </a:r>
        </a:p>
        <a:p>
          <a:r>
            <a:rPr lang="en-AU" sz="1100"/>
            <a:t>- you are solely responsible for using appropriate and up to date firewall and antivirus software to protect your computer systems.</a:t>
          </a:r>
        </a:p>
        <a:p>
          <a:endParaRPr lang="en-AU" sz="1100"/>
        </a:p>
        <a:p>
          <a:r>
            <a:rPr lang="en-AU" sz="1100"/>
            <a:t>4. To the maximum extent permitted by law:</a:t>
          </a:r>
        </a:p>
        <a:p>
          <a:r>
            <a:rPr lang="en-AU" sz="1100"/>
            <a:t>- the Seller excludes all guarantees, conditions or warranties regarding the Products or their use which may be implied or imposed by law including (without limitation) warranties of merchantability, fitness for purpose, title and non-infringement;</a:t>
          </a:r>
        </a:p>
        <a:p>
          <a:r>
            <a:rPr lang="en-AU" sz="1100"/>
            <a:t>- if liability for breach of any guarantees, implied conditions or warranties cannot be excluded, the Seller’s liability is limited, to repair of the Product, or the cost of repairing the Product, to replacing or re-supplying the Product or its equivalent again or the payment of the cost of having the Product or its equivalent replaced or supplied again. You acknowledge this clause, and any reliance on it by the Seller, is fair and reasonable;</a:t>
          </a:r>
        </a:p>
        <a:p>
          <a:r>
            <a:rPr lang="en-AU" sz="1100"/>
            <a:t>- the Seller excludes all liability and responsibility to you or any other person for any direct or indirect loss, damage, liability, cost or expense suffered which results from any use of, or reliance on, the Products;</a:t>
          </a:r>
        </a:p>
        <a:p>
          <a:r>
            <a:rPr lang="en-AU" sz="1100"/>
            <a:t>- the Seller and its employees, agents and contractors exclude any and all liability regarding all or any part of the content, recommendations or help contained in the Website or the Products; </a:t>
          </a:r>
        </a:p>
        <a:p>
          <a:r>
            <a:rPr lang="en-AU" sz="1100"/>
            <a:t>- without limiting the generality of any other conditions, the Seller does not guarantee or make any warranty:</a:t>
          </a:r>
        </a:p>
        <a:p>
          <a:r>
            <a:rPr lang="en-AU" sz="1100" baseline="0"/>
            <a:t>  - </a:t>
          </a:r>
          <a:r>
            <a:rPr lang="en-AU" sz="1100"/>
            <a:t>the Products will work on all computer hardware platforms or configurations;</a:t>
          </a:r>
        </a:p>
        <a:p>
          <a:r>
            <a:rPr lang="en-AU" sz="1100" baseline="0"/>
            <a:t>  -</a:t>
          </a:r>
          <a:r>
            <a:rPr lang="en-AU" sz="1100"/>
            <a:t> the Products are free from errors.</a:t>
          </a:r>
        </a:p>
        <a:p>
          <a:r>
            <a:rPr lang="en-AU" sz="1100"/>
            <a:t> </a:t>
          </a:r>
        </a:p>
        <a:p>
          <a:r>
            <a:rPr lang="en-AU" sz="1100"/>
            <a:t>5. Any material relating to the Products provided by or on behalf of the Seller or any agent of the Seller are provided in good faith and believed to be correct at the date of publishing. Material is provided to you on the sole basis you have no right of recourse against the Seller or any agent of the Seller in the event of any error in or omission from such material.</a:t>
          </a:r>
        </a:p>
        <a:p>
          <a:endParaRPr lang="en-AU" sz="1100"/>
        </a:p>
        <a:p>
          <a:r>
            <a:rPr lang="en-AU" sz="1100"/>
            <a:t>6. The Seller makes no representations the content of the Website complies with the laws (including intellectual property laws) of any country outside Australia. If you access the Website from outside Australia, you do so at your own risk and are responsible for complying with the laws in the place where you access the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enscarpentry@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118E2-41B7-40B7-AD79-6F5DD92BE1B9}">
  <dimension ref="A1:Q42"/>
  <sheetViews>
    <sheetView showGridLines="0" tabSelected="1" workbookViewId="0">
      <selection activeCell="B3" sqref="B3:P15"/>
    </sheetView>
  </sheetViews>
  <sheetFormatPr defaultColWidth="0" defaultRowHeight="15" customHeight="1" zeroHeight="1" x14ac:dyDescent="0.25"/>
  <cols>
    <col min="1" max="1" width="5.42578125" style="5" customWidth="1"/>
    <col min="2" max="16" width="9.140625" customWidth="1"/>
    <col min="17" max="17" width="4.28515625" customWidth="1"/>
    <col min="18" max="16384" width="9.140625" hidden="1"/>
  </cols>
  <sheetData>
    <row r="1" spans="1:16" ht="18.75" x14ac:dyDescent="0.3">
      <c r="A1" s="95" t="s">
        <v>355</v>
      </c>
    </row>
    <row r="2" spans="1:16" ht="6.75" customHeight="1" x14ac:dyDescent="0.25"/>
    <row r="3" spans="1:16" ht="15" customHeight="1" x14ac:dyDescent="0.25">
      <c r="B3" s="318" t="s">
        <v>377</v>
      </c>
      <c r="C3" s="318"/>
      <c r="D3" s="318"/>
      <c r="E3" s="318"/>
      <c r="F3" s="318"/>
      <c r="G3" s="318"/>
      <c r="H3" s="318"/>
      <c r="I3" s="318"/>
      <c r="J3" s="318"/>
      <c r="K3" s="318"/>
      <c r="L3" s="318"/>
      <c r="M3" s="318"/>
      <c r="N3" s="318"/>
      <c r="O3" s="318"/>
      <c r="P3" s="318"/>
    </row>
    <row r="4" spans="1:16" x14ac:dyDescent="0.25">
      <c r="A4" s="96"/>
      <c r="B4" s="318"/>
      <c r="C4" s="318"/>
      <c r="D4" s="318"/>
      <c r="E4" s="318"/>
      <c r="F4" s="318"/>
      <c r="G4" s="318"/>
      <c r="H4" s="318"/>
      <c r="I4" s="318"/>
      <c r="J4" s="318"/>
      <c r="K4" s="318"/>
      <c r="L4" s="318"/>
      <c r="M4" s="318"/>
      <c r="N4" s="318"/>
      <c r="O4" s="318"/>
      <c r="P4" s="318"/>
    </row>
    <row r="5" spans="1:16" x14ac:dyDescent="0.25">
      <c r="B5" s="318"/>
      <c r="C5" s="318"/>
      <c r="D5" s="318"/>
      <c r="E5" s="318"/>
      <c r="F5" s="318"/>
      <c r="G5" s="318"/>
      <c r="H5" s="318"/>
      <c r="I5" s="318"/>
      <c r="J5" s="318"/>
      <c r="K5" s="318"/>
      <c r="L5" s="318"/>
      <c r="M5" s="318"/>
      <c r="N5" s="318"/>
      <c r="O5" s="318"/>
      <c r="P5" s="318"/>
    </row>
    <row r="6" spans="1:16" x14ac:dyDescent="0.25">
      <c r="B6" s="318"/>
      <c r="C6" s="318"/>
      <c r="D6" s="318"/>
      <c r="E6" s="318"/>
      <c r="F6" s="318"/>
      <c r="G6" s="318"/>
      <c r="H6" s="318"/>
      <c r="I6" s="318"/>
      <c r="J6" s="318"/>
      <c r="K6" s="318"/>
      <c r="L6" s="318"/>
      <c r="M6" s="318"/>
      <c r="N6" s="318"/>
      <c r="O6" s="318"/>
      <c r="P6" s="318"/>
    </row>
    <row r="7" spans="1:16" x14ac:dyDescent="0.25">
      <c r="B7" s="318"/>
      <c r="C7" s="318"/>
      <c r="D7" s="318"/>
      <c r="E7" s="318"/>
      <c r="F7" s="318"/>
      <c r="G7" s="318"/>
      <c r="H7" s="318"/>
      <c r="I7" s="318"/>
      <c r="J7" s="318"/>
      <c r="K7" s="318"/>
      <c r="L7" s="318"/>
      <c r="M7" s="318"/>
      <c r="N7" s="318"/>
      <c r="O7" s="318"/>
      <c r="P7" s="318"/>
    </row>
    <row r="8" spans="1:16" x14ac:dyDescent="0.25">
      <c r="B8" s="318"/>
      <c r="C8" s="318"/>
      <c r="D8" s="318"/>
      <c r="E8" s="318"/>
      <c r="F8" s="318"/>
      <c r="G8" s="318"/>
      <c r="H8" s="318"/>
      <c r="I8" s="318"/>
      <c r="J8" s="318"/>
      <c r="K8" s="318"/>
      <c r="L8" s="318"/>
      <c r="M8" s="318"/>
      <c r="N8" s="318"/>
      <c r="O8" s="318"/>
      <c r="P8" s="318"/>
    </row>
    <row r="9" spans="1:16" x14ac:dyDescent="0.25">
      <c r="B9" s="318"/>
      <c r="C9" s="318"/>
      <c r="D9" s="318"/>
      <c r="E9" s="318"/>
      <c r="F9" s="318"/>
      <c r="G9" s="318"/>
      <c r="H9" s="318"/>
      <c r="I9" s="318"/>
      <c r="J9" s="318"/>
      <c r="K9" s="318"/>
      <c r="L9" s="318"/>
      <c r="M9" s="318"/>
      <c r="N9" s="318"/>
      <c r="O9" s="318"/>
      <c r="P9" s="318"/>
    </row>
    <row r="10" spans="1:16" x14ac:dyDescent="0.25">
      <c r="B10" s="318"/>
      <c r="C10" s="318"/>
      <c r="D10" s="318"/>
      <c r="E10" s="318"/>
      <c r="F10" s="318"/>
      <c r="G10" s="318"/>
      <c r="H10" s="318"/>
      <c r="I10" s="318"/>
      <c r="J10" s="318"/>
      <c r="K10" s="318"/>
      <c r="L10" s="318"/>
      <c r="M10" s="318"/>
      <c r="N10" s="318"/>
      <c r="O10" s="318"/>
      <c r="P10" s="318"/>
    </row>
    <row r="11" spans="1:16" x14ac:dyDescent="0.25">
      <c r="B11" s="318"/>
      <c r="C11" s="318"/>
      <c r="D11" s="318"/>
      <c r="E11" s="318"/>
      <c r="F11" s="318"/>
      <c r="G11" s="318"/>
      <c r="H11" s="318"/>
      <c r="I11" s="318"/>
      <c r="J11" s="318"/>
      <c r="K11" s="318"/>
      <c r="L11" s="318"/>
      <c r="M11" s="318"/>
      <c r="N11" s="318"/>
      <c r="O11" s="318"/>
      <c r="P11" s="318"/>
    </row>
    <row r="12" spans="1:16" ht="15" customHeight="1" x14ac:dyDescent="0.25">
      <c r="B12" s="318"/>
      <c r="C12" s="318"/>
      <c r="D12" s="318"/>
      <c r="E12" s="318"/>
      <c r="F12" s="318"/>
      <c r="G12" s="318"/>
      <c r="H12" s="318"/>
      <c r="I12" s="318"/>
      <c r="J12" s="318"/>
      <c r="K12" s="318"/>
      <c r="L12" s="318"/>
      <c r="M12" s="318"/>
      <c r="N12" s="318"/>
      <c r="O12" s="318"/>
      <c r="P12" s="318"/>
    </row>
    <row r="13" spans="1:16" x14ac:dyDescent="0.25">
      <c r="B13" s="318"/>
      <c r="C13" s="318"/>
      <c r="D13" s="318"/>
      <c r="E13" s="318"/>
      <c r="F13" s="318"/>
      <c r="G13" s="318"/>
      <c r="H13" s="318"/>
      <c r="I13" s="318"/>
      <c r="J13" s="318"/>
      <c r="K13" s="318"/>
      <c r="L13" s="318"/>
      <c r="M13" s="318"/>
      <c r="N13" s="318"/>
      <c r="O13" s="318"/>
      <c r="P13" s="318"/>
    </row>
    <row r="14" spans="1:16" x14ac:dyDescent="0.25">
      <c r="B14" s="318"/>
      <c r="C14" s="318"/>
      <c r="D14" s="318"/>
      <c r="E14" s="318"/>
      <c r="F14" s="318"/>
      <c r="G14" s="318"/>
      <c r="H14" s="318"/>
      <c r="I14" s="318"/>
      <c r="J14" s="318"/>
      <c r="K14" s="318"/>
      <c r="L14" s="318"/>
      <c r="M14" s="318"/>
      <c r="N14" s="318"/>
      <c r="O14" s="318"/>
      <c r="P14" s="318"/>
    </row>
    <row r="15" spans="1:16" x14ac:dyDescent="0.25">
      <c r="B15" s="318"/>
      <c r="C15" s="318"/>
      <c r="D15" s="318"/>
      <c r="E15" s="318"/>
      <c r="F15" s="318"/>
      <c r="G15" s="318"/>
      <c r="H15" s="318"/>
      <c r="I15" s="318"/>
      <c r="J15" s="318"/>
      <c r="K15" s="318"/>
      <c r="L15" s="318"/>
      <c r="M15" s="318"/>
      <c r="N15" s="318"/>
      <c r="O15" s="318"/>
      <c r="P15" s="318"/>
    </row>
    <row r="16" spans="1:16" hidden="1" x14ac:dyDescent="0.25">
      <c r="B16" s="135"/>
      <c r="C16" s="135"/>
      <c r="D16" s="135"/>
      <c r="E16" s="135"/>
      <c r="F16" s="135"/>
      <c r="G16" s="135"/>
      <c r="H16" s="135"/>
      <c r="I16" s="135"/>
      <c r="J16" s="135"/>
      <c r="K16" s="135"/>
      <c r="L16" s="135"/>
      <c r="M16" s="135"/>
      <c r="N16" s="135"/>
      <c r="O16" s="135"/>
      <c r="P16" s="135"/>
    </row>
    <row r="17" spans="1:16" hidden="1" x14ac:dyDescent="0.25">
      <c r="B17" s="74"/>
      <c r="C17" s="74"/>
      <c r="D17" s="74"/>
      <c r="E17" s="74"/>
      <c r="F17" s="74"/>
      <c r="G17" s="74"/>
      <c r="H17" s="74"/>
      <c r="I17" s="74"/>
      <c r="J17" s="74"/>
      <c r="K17" s="74"/>
      <c r="L17" s="74"/>
      <c r="M17" s="74"/>
      <c r="N17" s="74"/>
      <c r="O17" s="74"/>
      <c r="P17" s="74"/>
    </row>
    <row r="18" spans="1:16" hidden="1" x14ac:dyDescent="0.25">
      <c r="B18" s="74"/>
      <c r="C18" s="74"/>
      <c r="D18" s="74"/>
      <c r="E18" s="74"/>
      <c r="F18" s="74"/>
      <c r="G18" s="74"/>
      <c r="H18" s="74"/>
      <c r="I18" s="74"/>
      <c r="J18" s="74"/>
      <c r="K18" s="74"/>
      <c r="L18" s="74"/>
      <c r="M18" s="74"/>
      <c r="N18" s="74"/>
      <c r="O18" s="74"/>
      <c r="P18" s="74"/>
    </row>
    <row r="19" spans="1:16" hidden="1" x14ac:dyDescent="0.25">
      <c r="B19" s="74"/>
      <c r="C19" s="74"/>
      <c r="D19" s="74"/>
      <c r="E19" s="74"/>
      <c r="F19" s="74"/>
      <c r="G19" s="74"/>
      <c r="H19" s="74"/>
      <c r="I19" s="74"/>
      <c r="J19" s="74"/>
      <c r="K19" s="74"/>
      <c r="L19" s="74"/>
      <c r="M19" s="74"/>
      <c r="N19" s="74"/>
      <c r="O19" s="74"/>
      <c r="P19" s="74"/>
    </row>
    <row r="20" spans="1:16" hidden="1" x14ac:dyDescent="0.25">
      <c r="B20" s="74"/>
      <c r="C20" s="74"/>
      <c r="D20" s="74"/>
      <c r="E20" s="74"/>
      <c r="F20" s="74"/>
      <c r="G20" s="74"/>
      <c r="H20" s="74"/>
      <c r="I20" s="74"/>
      <c r="J20" s="74"/>
      <c r="K20" s="74"/>
      <c r="L20" s="74"/>
      <c r="M20" s="74"/>
      <c r="N20" s="74"/>
      <c r="O20" s="74"/>
      <c r="P20" s="74"/>
    </row>
    <row r="21" spans="1:16" hidden="1" x14ac:dyDescent="0.25">
      <c r="B21" s="74"/>
      <c r="C21" s="74"/>
      <c r="D21" s="74"/>
      <c r="E21" s="74"/>
      <c r="F21" s="74"/>
      <c r="G21" s="74"/>
      <c r="H21" s="74"/>
      <c r="I21" s="74"/>
      <c r="J21" s="74"/>
      <c r="K21" s="74"/>
      <c r="L21" s="74"/>
      <c r="M21" s="74"/>
      <c r="N21" s="74"/>
      <c r="O21" s="74"/>
      <c r="P21" s="74"/>
    </row>
    <row r="22" spans="1:16" hidden="1" x14ac:dyDescent="0.25">
      <c r="B22" s="74"/>
      <c r="C22" s="74"/>
      <c r="D22" s="74"/>
      <c r="E22" s="74"/>
      <c r="F22" s="74"/>
      <c r="G22" s="74"/>
      <c r="H22" s="74"/>
      <c r="I22" s="74"/>
      <c r="J22" s="74"/>
      <c r="K22" s="74"/>
      <c r="L22" s="74"/>
      <c r="M22" s="74"/>
      <c r="N22" s="74"/>
      <c r="O22" s="74"/>
      <c r="P22" s="74"/>
    </row>
    <row r="23" spans="1:16" hidden="1" x14ac:dyDescent="0.25">
      <c r="B23" s="74"/>
      <c r="C23" s="74"/>
      <c r="D23" s="74"/>
      <c r="E23" s="74"/>
      <c r="F23" s="74"/>
      <c r="G23" s="74"/>
      <c r="H23" s="74"/>
      <c r="I23" s="74"/>
      <c r="J23" s="74"/>
      <c r="K23" s="74"/>
      <c r="L23" s="74"/>
      <c r="M23" s="74"/>
      <c r="N23" s="74"/>
      <c r="O23" s="74"/>
      <c r="P23" s="74"/>
    </row>
    <row r="24" spans="1:16" hidden="1" x14ac:dyDescent="0.25">
      <c r="B24" s="74"/>
      <c r="C24" s="74"/>
      <c r="D24" s="74"/>
      <c r="E24" s="74"/>
      <c r="F24" s="74"/>
      <c r="G24" s="74"/>
      <c r="H24" s="74"/>
      <c r="I24" s="74"/>
      <c r="J24" s="74"/>
      <c r="K24" s="74"/>
      <c r="L24" s="74"/>
      <c r="M24" s="74"/>
      <c r="N24" s="74"/>
      <c r="O24" s="74"/>
      <c r="P24" s="74"/>
    </row>
    <row r="25" spans="1:16" hidden="1" x14ac:dyDescent="0.25">
      <c r="B25" s="74"/>
      <c r="C25" s="74"/>
      <c r="D25" s="74"/>
      <c r="E25" s="74"/>
      <c r="F25" s="74"/>
      <c r="G25" s="74"/>
      <c r="H25" s="74"/>
      <c r="I25" s="74"/>
      <c r="J25" s="74"/>
      <c r="K25" s="74"/>
      <c r="L25" s="74"/>
      <c r="M25" s="74"/>
      <c r="N25" s="74"/>
      <c r="O25" s="74"/>
      <c r="P25" s="74"/>
    </row>
    <row r="26" spans="1:16" hidden="1" x14ac:dyDescent="0.25">
      <c r="B26" s="74"/>
      <c r="C26" s="74"/>
      <c r="D26" s="74"/>
      <c r="E26" s="74"/>
      <c r="F26" s="74"/>
      <c r="G26" s="74"/>
      <c r="H26" s="74"/>
      <c r="I26" s="74"/>
      <c r="J26" s="74"/>
      <c r="K26" s="74"/>
      <c r="L26" s="74"/>
      <c r="M26" s="74"/>
      <c r="N26" s="74"/>
      <c r="O26" s="74"/>
      <c r="P26" s="74"/>
    </row>
    <row r="27" spans="1:16" hidden="1" x14ac:dyDescent="0.25">
      <c r="A27"/>
      <c r="B27" s="74"/>
      <c r="C27" s="74"/>
      <c r="D27" s="74"/>
      <c r="E27" s="74"/>
      <c r="F27" s="74"/>
      <c r="G27" s="74"/>
      <c r="H27" s="74"/>
      <c r="I27" s="74"/>
      <c r="J27" s="74"/>
      <c r="K27" s="74"/>
      <c r="L27" s="74"/>
      <c r="M27" s="74"/>
      <c r="N27" s="74"/>
      <c r="O27" s="74"/>
      <c r="P27" s="74"/>
    </row>
    <row r="28" spans="1:16" hidden="1" x14ac:dyDescent="0.25">
      <c r="A28"/>
      <c r="B28" s="74"/>
      <c r="C28" s="74"/>
      <c r="D28" s="74"/>
      <c r="E28" s="74"/>
      <c r="F28" s="74"/>
      <c r="G28" s="74"/>
      <c r="H28" s="74"/>
      <c r="I28" s="74"/>
      <c r="J28" s="74"/>
      <c r="K28" s="74"/>
      <c r="L28" s="74"/>
      <c r="M28" s="74"/>
      <c r="N28" s="74"/>
      <c r="O28" s="74"/>
      <c r="P28" s="74"/>
    </row>
    <row r="29" spans="1:16" hidden="1" x14ac:dyDescent="0.25">
      <c r="A29"/>
    </row>
    <row r="30" spans="1:16" hidden="1" x14ac:dyDescent="0.25">
      <c r="A30"/>
    </row>
    <row r="31" spans="1:16" hidden="1" x14ac:dyDescent="0.25">
      <c r="A31"/>
    </row>
    <row r="32" spans="1:16" hidden="1" x14ac:dyDescent="0.25">
      <c r="A32"/>
    </row>
    <row r="33" spans="1:2" hidden="1" x14ac:dyDescent="0.25">
      <c r="A33"/>
    </row>
    <row r="34" spans="1:2" hidden="1" x14ac:dyDescent="0.25">
      <c r="A34"/>
    </row>
    <row r="35" spans="1:2" hidden="1" x14ac:dyDescent="0.25">
      <c r="A35"/>
    </row>
    <row r="36" spans="1:2" hidden="1" x14ac:dyDescent="0.25">
      <c r="A36"/>
    </row>
    <row r="37" spans="1:2" hidden="1" x14ac:dyDescent="0.25">
      <c r="A37"/>
    </row>
    <row r="38" spans="1:2" hidden="1" x14ac:dyDescent="0.25">
      <c r="A38"/>
      <c r="B38" s="1"/>
    </row>
    <row r="39" spans="1:2" hidden="1" x14ac:dyDescent="0.25">
      <c r="A39"/>
    </row>
    <row r="40" spans="1:2" hidden="1" x14ac:dyDescent="0.25">
      <c r="A40"/>
      <c r="B40" s="1"/>
    </row>
    <row r="41" spans="1:2" hidden="1" x14ac:dyDescent="0.25">
      <c r="A41" s="53"/>
    </row>
    <row r="42" spans="1:2" hidden="1" x14ac:dyDescent="0.25">
      <c r="A42" s="53"/>
    </row>
  </sheetData>
  <sheetProtection algorithmName="SHA-512" hashValue="emU+QIFYxuR2i2HyIN+6qiJdW73ue63TfbiSdXSUMxq+AjjtXFzPT/T1PdIZHpkwYBhrbcW5KUjzt2SK9owqag==" saltValue="2ydWMrQxrReP9nVBl69ofA==" spinCount="100000" sheet="1" objects="1" scenarios="1"/>
  <mergeCells count="1">
    <mergeCell ref="B3:P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2702D-0CEE-4CF9-A7E0-A33F2DBBC626}">
  <dimension ref="A1:BM783"/>
  <sheetViews>
    <sheetView showGridLines="0" zoomScale="70" zoomScaleNormal="70" workbookViewId="0">
      <pane xSplit="4" topLeftCell="E1" activePane="topRight" state="frozen"/>
      <selection pane="topRight" activeCell="E4" sqref="E4"/>
    </sheetView>
  </sheetViews>
  <sheetFormatPr defaultRowHeight="15" outlineLevelCol="1" x14ac:dyDescent="0.25"/>
  <cols>
    <col min="1" max="1" width="4.7109375" style="228" hidden="1" customWidth="1"/>
    <col min="2" max="2" width="4" style="120" customWidth="1"/>
    <col min="3" max="3" width="25.42578125" style="120" customWidth="1"/>
    <col min="4" max="4" width="1" style="120" customWidth="1"/>
    <col min="5" max="7" width="15" style="120" customWidth="1"/>
    <col min="8" max="8" width="16" style="120" customWidth="1"/>
    <col min="9" max="10" width="15" style="120" customWidth="1"/>
    <col min="11" max="11" width="1.85546875" style="120" customWidth="1"/>
    <col min="12" max="13" width="19.85546875" style="120" customWidth="1"/>
    <col min="14" max="14" width="1.42578125" style="120" customWidth="1"/>
    <col min="15" max="16" width="17.5703125" style="120" customWidth="1"/>
    <col min="17" max="17" width="1.7109375" style="120" customWidth="1"/>
    <col min="18" max="18" width="20" style="120" customWidth="1"/>
    <col min="19" max="19" width="1.85546875" style="120" customWidth="1"/>
    <col min="20" max="21" width="14" style="229" customWidth="1"/>
    <col min="22" max="22" width="16.28515625" style="229" hidden="1" customWidth="1"/>
    <col min="23" max="23" width="14" style="229" hidden="1" customWidth="1"/>
    <col min="24" max="24" width="16.7109375" style="229" hidden="1" customWidth="1"/>
    <col min="25" max="25" width="14" style="229" hidden="1" customWidth="1"/>
    <col min="26" max="26" width="0.85546875" style="120" customWidth="1"/>
    <col min="27" max="27" width="15.28515625" style="120" customWidth="1"/>
    <col min="28" max="28" width="2.140625" style="120" customWidth="1"/>
    <col min="29" max="29" width="21.5703125" style="120" customWidth="1"/>
    <col min="30" max="30" width="21.7109375" style="120" bestFit="1" customWidth="1"/>
    <col min="31" max="32" width="14.85546875" style="120" hidden="1" customWidth="1"/>
    <col min="33" max="34" width="19.28515625" style="120" bestFit="1" customWidth="1"/>
    <col min="35" max="35" width="14.5703125" style="120" hidden="1" customWidth="1"/>
    <col min="36" max="36" width="21.7109375" style="120" bestFit="1" customWidth="1"/>
    <col min="37" max="37" width="21.5703125" style="164" customWidth="1"/>
    <col min="38" max="38" width="1.85546875" style="120" customWidth="1"/>
    <col min="39" max="39" width="18.7109375" style="120" bestFit="1" customWidth="1"/>
    <col min="40" max="40" width="19.42578125" style="120" customWidth="1"/>
    <col min="41" max="41" width="15.28515625" style="120" hidden="1" customWidth="1" outlineLevel="1"/>
    <col min="42" max="46" width="13.5703125" style="120" hidden="1" customWidth="1" outlineLevel="1"/>
    <col min="47" max="51" width="15" style="120" hidden="1" customWidth="1" outlineLevel="1"/>
    <col min="52" max="52" width="17.42578125" style="120" bestFit="1" customWidth="1" collapsed="1"/>
    <col min="53" max="55" width="20" style="120" customWidth="1"/>
    <col min="56" max="56" width="2.140625" style="120" customWidth="1"/>
    <col min="57" max="57" width="19.5703125" style="120" customWidth="1"/>
    <col min="58" max="58" width="19.5703125" style="120" hidden="1" customWidth="1"/>
    <col min="59" max="59" width="19.5703125" style="120" customWidth="1"/>
    <col min="60" max="60" width="20.85546875" style="120" customWidth="1"/>
    <col min="61" max="61" width="19.5703125" style="120" customWidth="1"/>
    <col min="62" max="62" width="21.85546875" style="120" customWidth="1"/>
    <col min="63" max="63" width="19.5703125" style="120" customWidth="1"/>
    <col min="64" max="64" width="23.42578125" style="120" customWidth="1"/>
    <col min="65" max="65" width="22" style="120" customWidth="1"/>
    <col min="66" max="16384" width="9.140625" style="120"/>
  </cols>
  <sheetData>
    <row r="1" spans="1:65" ht="6" customHeight="1" x14ac:dyDescent="0.25"/>
    <row r="2" spans="1:65" x14ac:dyDescent="0.25">
      <c r="C2" s="230" t="s">
        <v>0</v>
      </c>
      <c r="E2" s="231" t="s">
        <v>1</v>
      </c>
      <c r="F2" s="148" t="s">
        <v>92</v>
      </c>
      <c r="L2" s="161"/>
      <c r="T2" s="120"/>
      <c r="U2" s="120"/>
      <c r="AM2" s="164"/>
      <c r="AN2" s="164"/>
      <c r="AO2" s="164"/>
      <c r="AP2" s="164"/>
      <c r="AQ2" s="164"/>
      <c r="AR2" s="164"/>
      <c r="AX2" s="164"/>
      <c r="AY2" s="164"/>
    </row>
    <row r="3" spans="1:65" x14ac:dyDescent="0.25">
      <c r="B3" s="228">
        <v>1</v>
      </c>
      <c r="C3" s="230" t="s">
        <v>2</v>
      </c>
      <c r="E3" s="232">
        <v>44013</v>
      </c>
      <c r="F3" s="148" t="s">
        <v>91</v>
      </c>
      <c r="L3" s="164"/>
      <c r="M3" s="164"/>
      <c r="O3" s="164"/>
      <c r="P3" s="164"/>
      <c r="R3" s="164"/>
      <c r="T3" s="120"/>
      <c r="U3" s="120"/>
      <c r="AC3" s="164"/>
      <c r="AG3" s="164"/>
      <c r="AM3" s="164"/>
      <c r="AZ3" s="164"/>
      <c r="BA3" s="164"/>
      <c r="BB3" s="164"/>
      <c r="BC3" s="164"/>
      <c r="BG3" s="164"/>
      <c r="BH3" s="164"/>
    </row>
    <row r="4" spans="1:65" x14ac:dyDescent="0.25">
      <c r="C4" s="230" t="s">
        <v>3</v>
      </c>
      <c r="E4" s="232">
        <v>44026</v>
      </c>
      <c r="F4" s="148" t="s">
        <v>90</v>
      </c>
      <c r="G4" s="229"/>
      <c r="H4" s="229"/>
      <c r="I4" s="229"/>
      <c r="J4" s="229"/>
      <c r="T4" s="120"/>
      <c r="U4" s="120"/>
      <c r="V4" s="127"/>
      <c r="W4" s="127"/>
      <c r="X4" s="127"/>
      <c r="Y4" s="127"/>
      <c r="AR4" s="164"/>
      <c r="BH4" s="164"/>
    </row>
    <row r="5" spans="1:65" ht="5.25" customHeight="1" x14ac:dyDescent="0.25">
      <c r="C5" s="233"/>
    </row>
    <row r="6" spans="1:65" ht="34.5" customHeight="1" x14ac:dyDescent="0.25">
      <c r="C6" s="234"/>
      <c r="D6" s="235"/>
      <c r="E6" s="441" t="s">
        <v>4</v>
      </c>
      <c r="F6" s="442"/>
      <c r="G6" s="442"/>
      <c r="H6" s="442"/>
      <c r="I6" s="442"/>
      <c r="J6" s="443"/>
      <c r="L6" s="444" t="s">
        <v>253</v>
      </c>
      <c r="M6" s="445"/>
      <c r="N6" s="235"/>
      <c r="O6" s="444" t="s">
        <v>148</v>
      </c>
      <c r="P6" s="445"/>
      <c r="R6" s="235"/>
      <c r="T6" s="446" t="s">
        <v>269</v>
      </c>
      <c r="U6" s="447"/>
      <c r="V6" s="447"/>
      <c r="W6" s="447"/>
      <c r="X6" s="447"/>
      <c r="Y6" s="447"/>
      <c r="Z6" s="447"/>
      <c r="AA6" s="447"/>
      <c r="AC6" s="438" t="s">
        <v>274</v>
      </c>
      <c r="AD6" s="438"/>
      <c r="AE6" s="438"/>
      <c r="AF6" s="438"/>
      <c r="AG6" s="438"/>
      <c r="AH6" s="438"/>
      <c r="AI6" s="438"/>
      <c r="AJ6" s="438"/>
      <c r="AK6" s="438"/>
      <c r="AM6" s="439" t="s">
        <v>270</v>
      </c>
      <c r="AN6" s="439"/>
      <c r="AO6" s="439"/>
      <c r="AP6" s="439"/>
      <c r="AQ6" s="439"/>
      <c r="AR6" s="439"/>
      <c r="AS6" s="439"/>
      <c r="AT6" s="439"/>
      <c r="AU6" s="439"/>
      <c r="AV6" s="439"/>
      <c r="AW6" s="439"/>
      <c r="AX6" s="439"/>
      <c r="AY6" s="439"/>
      <c r="AZ6" s="439"/>
      <c r="BA6" s="439"/>
      <c r="BB6" s="439"/>
      <c r="BC6" s="440"/>
      <c r="BE6" s="439" t="s">
        <v>246</v>
      </c>
      <c r="BF6" s="439"/>
      <c r="BG6" s="439"/>
      <c r="BH6" s="439"/>
      <c r="BI6" s="439"/>
      <c r="BJ6" s="439"/>
      <c r="BK6" s="439"/>
      <c r="BL6" s="439"/>
      <c r="BM6" s="439"/>
    </row>
    <row r="7" spans="1:65" ht="5.25" customHeight="1" x14ac:dyDescent="0.25">
      <c r="C7" s="236"/>
      <c r="E7" s="229"/>
      <c r="F7" s="229"/>
      <c r="G7" s="229"/>
      <c r="H7" s="229"/>
      <c r="I7" s="229"/>
      <c r="J7" s="229"/>
      <c r="L7" s="164"/>
      <c r="O7" s="229"/>
      <c r="P7" s="164"/>
      <c r="T7" s="127"/>
      <c r="U7" s="127"/>
      <c r="V7" s="127"/>
      <c r="W7" s="127"/>
      <c r="X7" s="127"/>
      <c r="Y7" s="127"/>
      <c r="AA7" s="229"/>
      <c r="AC7" s="229"/>
      <c r="AD7" s="229"/>
      <c r="AE7" s="229"/>
      <c r="AF7" s="229"/>
      <c r="AG7" s="229"/>
      <c r="AH7" s="229"/>
      <c r="AI7" s="229"/>
      <c r="AJ7" s="229"/>
      <c r="AK7" s="127"/>
      <c r="AM7" s="229"/>
      <c r="AN7" s="229"/>
      <c r="AO7" s="229"/>
      <c r="AP7" s="229"/>
      <c r="AQ7" s="229"/>
      <c r="AR7" s="229"/>
      <c r="AS7" s="229"/>
      <c r="AT7" s="229"/>
      <c r="AU7" s="229"/>
      <c r="AV7" s="229"/>
      <c r="AW7" s="229"/>
      <c r="AX7" s="229"/>
      <c r="AY7" s="229"/>
      <c r="AZ7" s="229"/>
      <c r="BA7" s="229"/>
      <c r="BB7" s="229"/>
      <c r="BC7" s="229"/>
    </row>
    <row r="8" spans="1:65" ht="60" customHeight="1" x14ac:dyDescent="0.25">
      <c r="B8" s="237"/>
      <c r="C8" s="238" t="s">
        <v>5</v>
      </c>
      <c r="D8" s="239"/>
      <c r="E8" s="240" t="s">
        <v>268</v>
      </c>
      <c r="F8" s="241" t="s">
        <v>328</v>
      </c>
      <c r="G8" s="242" t="s">
        <v>267</v>
      </c>
      <c r="H8" s="243" t="s">
        <v>352</v>
      </c>
      <c r="I8" s="242" t="s">
        <v>265</v>
      </c>
      <c r="J8" s="244" t="s">
        <v>6</v>
      </c>
      <c r="L8" s="245" t="s">
        <v>7</v>
      </c>
      <c r="M8" s="246" t="s">
        <v>254</v>
      </c>
      <c r="N8" s="247"/>
      <c r="O8" s="248" t="s">
        <v>272</v>
      </c>
      <c r="P8" s="249" t="s">
        <v>200</v>
      </c>
      <c r="R8" s="250" t="s">
        <v>151</v>
      </c>
      <c r="T8" s="251" t="s">
        <v>8</v>
      </c>
      <c r="U8" s="252" t="s">
        <v>9</v>
      </c>
      <c r="V8" s="252" t="s">
        <v>120</v>
      </c>
      <c r="W8" s="252" t="s">
        <v>121</v>
      </c>
      <c r="X8" s="253" t="s">
        <v>118</v>
      </c>
      <c r="Y8" s="254" t="s">
        <v>119</v>
      </c>
      <c r="AA8" s="255" t="s">
        <v>84</v>
      </c>
      <c r="AC8" s="256" t="s">
        <v>142</v>
      </c>
      <c r="AD8" s="256" t="s">
        <v>138</v>
      </c>
      <c r="AE8" s="257" t="s">
        <v>147</v>
      </c>
      <c r="AF8" s="257" t="s">
        <v>149</v>
      </c>
      <c r="AG8" s="256" t="s">
        <v>305</v>
      </c>
      <c r="AH8" s="256" t="s">
        <v>306</v>
      </c>
      <c r="AI8" s="257" t="s">
        <v>150</v>
      </c>
      <c r="AJ8" s="258" t="s">
        <v>250</v>
      </c>
      <c r="AK8" s="259" t="s">
        <v>373</v>
      </c>
      <c r="AM8" s="260" t="s">
        <v>256</v>
      </c>
      <c r="AN8" s="261" t="s">
        <v>372</v>
      </c>
      <c r="AO8" s="253" t="s">
        <v>170</v>
      </c>
      <c r="AP8" s="253" t="s">
        <v>171</v>
      </c>
      <c r="AQ8" s="253" t="s">
        <v>172</v>
      </c>
      <c r="AR8" s="253" t="s">
        <v>173</v>
      </c>
      <c r="AS8" s="253" t="s">
        <v>174</v>
      </c>
      <c r="AT8" s="253" t="s">
        <v>175</v>
      </c>
      <c r="AU8" s="262" t="s">
        <v>210</v>
      </c>
      <c r="AV8" s="262" t="s">
        <v>211</v>
      </c>
      <c r="AW8" s="262" t="s">
        <v>212</v>
      </c>
      <c r="AX8" s="262" t="s">
        <v>213</v>
      </c>
      <c r="AY8" s="263" t="s">
        <v>214</v>
      </c>
      <c r="AZ8" s="264" t="s">
        <v>111</v>
      </c>
      <c r="BA8" s="265" t="s">
        <v>199</v>
      </c>
      <c r="BB8" s="252" t="s">
        <v>223</v>
      </c>
      <c r="BC8" s="260" t="s">
        <v>112</v>
      </c>
      <c r="BE8" s="260" t="s">
        <v>257</v>
      </c>
      <c r="BF8" s="266" t="s">
        <v>255</v>
      </c>
      <c r="BG8" s="262" t="s">
        <v>247</v>
      </c>
      <c r="BH8" s="262" t="s">
        <v>248</v>
      </c>
      <c r="BI8" s="260" t="s">
        <v>249</v>
      </c>
      <c r="BJ8" s="253" t="s">
        <v>199</v>
      </c>
      <c r="BK8" s="262" t="s">
        <v>251</v>
      </c>
      <c r="BL8" s="259" t="s">
        <v>373</v>
      </c>
      <c r="BM8" s="260" t="s">
        <v>252</v>
      </c>
    </row>
    <row r="9" spans="1:65" x14ac:dyDescent="0.25">
      <c r="A9" s="120"/>
      <c r="T9" s="120"/>
      <c r="U9" s="120"/>
      <c r="V9" s="120"/>
      <c r="W9" s="120"/>
      <c r="X9" s="120"/>
      <c r="Y9" s="120"/>
      <c r="AM9" s="267" t="s">
        <v>322</v>
      </c>
      <c r="AN9" s="237"/>
      <c r="AO9" s="237"/>
      <c r="AP9" s="237"/>
      <c r="AQ9" s="237"/>
      <c r="AR9" s="237"/>
      <c r="AS9" s="237"/>
      <c r="AT9" s="237"/>
      <c r="AU9" s="237"/>
      <c r="AV9" s="237"/>
      <c r="AW9" s="237"/>
      <c r="AX9" s="237"/>
      <c r="AY9" s="237"/>
      <c r="AZ9" s="436" t="s">
        <v>320</v>
      </c>
      <c r="BA9" s="437"/>
      <c r="BB9" s="237"/>
      <c r="BC9" s="267" t="s">
        <v>321</v>
      </c>
    </row>
    <row r="10" spans="1:65" x14ac:dyDescent="0.25">
      <c r="C10" s="268"/>
      <c r="D10" s="239"/>
      <c r="E10" s="269"/>
      <c r="F10" s="270"/>
      <c r="G10" s="271"/>
      <c r="H10" s="272"/>
      <c r="I10" s="271"/>
      <c r="J10" s="273"/>
      <c r="O10" s="274"/>
      <c r="P10" s="247"/>
      <c r="T10" s="271"/>
      <c r="U10" s="271"/>
      <c r="V10" s="275"/>
      <c r="W10" s="269"/>
      <c r="X10" s="269"/>
      <c r="Y10" s="269"/>
      <c r="AA10" s="271"/>
      <c r="AC10" s="271"/>
      <c r="AD10" s="271"/>
      <c r="AE10" s="271"/>
      <c r="AF10" s="271"/>
      <c r="AG10" s="271"/>
      <c r="AH10" s="271"/>
      <c r="AI10" s="271"/>
      <c r="AJ10" s="271"/>
      <c r="AK10" s="275"/>
      <c r="AM10" s="271"/>
      <c r="AN10" s="271"/>
      <c r="AO10" s="276">
        <v>1</v>
      </c>
      <c r="AP10" s="276">
        <v>2</v>
      </c>
      <c r="AQ10" s="276">
        <v>3</v>
      </c>
      <c r="AR10" s="277">
        <v>4</v>
      </c>
      <c r="AS10" s="276">
        <v>5</v>
      </c>
      <c r="AT10" s="276">
        <v>6</v>
      </c>
      <c r="AU10" s="276">
        <v>11</v>
      </c>
      <c r="AV10" s="276">
        <v>22</v>
      </c>
      <c r="AW10" s="276">
        <v>33</v>
      </c>
      <c r="AX10" s="276">
        <v>55</v>
      </c>
      <c r="AY10" s="276">
        <v>66</v>
      </c>
      <c r="AZ10" s="271"/>
      <c r="BA10" s="271"/>
      <c r="BB10" s="271"/>
      <c r="BC10" s="273"/>
    </row>
    <row r="11" spans="1:65" x14ac:dyDescent="0.25">
      <c r="A11" s="228">
        <f t="shared" ref="A11:A30" si="0">IF($E$4="","",$B$3)</f>
        <v>1</v>
      </c>
      <c r="C11" s="278" t="s">
        <v>12</v>
      </c>
      <c r="E11" s="103">
        <f>IF($C11="",0,
IF(AND($E$2="Monthly",$A11&gt;12),0,
IF($E$2="Monthly",VLOOKUP($C11,'Employee information'!$B:$AM,COLUMNS('Employee information'!$B:S),0),
IF($E$2="Fortnightly",VLOOKUP($C11,'Employee information'!$B:$AM,COLUMNS('Employee information'!$B:R),0),
0))))</f>
        <v>75</v>
      </c>
      <c r="F11" s="279"/>
      <c r="G11" s="106"/>
      <c r="H11" s="280"/>
      <c r="I11" s="106">
        <v>7.5</v>
      </c>
      <c r="J11" s="103">
        <f>IF($E$2="Monthly",
IF(AND($E$2="Monthly",$H11&lt;&gt;""),$H11,
IF(AND($E$2="Monthly",$E11=0),SUM($F11:$G11),
$E11)),
IF($E$2="Fortnightly",
IF(AND($E$2="Fortnightly",$H11&lt;&gt;""),$H11,
IF(AND($E$2="Fortnightly",$F11&lt;&gt;"",$E11&lt;&gt;0),$F11,
IF(AND($E$2="Fortnightly",$E11=0),SUM($F11:$G11),
$E11)))))</f>
        <v>75</v>
      </c>
      <c r="L11" s="113">
        <f>IF(AND($E$2="Monthly",$A11&gt;12),"",
IFERROR($J11*VLOOKUP($C11,'Employee information'!$B:$AI,COLUMNS('Employee information'!$B:$P),0),0))</f>
        <v>3697.576396206533</v>
      </c>
      <c r="M11" s="114">
        <f>IF(AND($E$2="Monthly",$A11&gt;12),"",
SUMIFS($L:$L,$C:$C,$C11,$A:$A,"&lt;="&amp;$A11)
)</f>
        <v>3697.576396206533</v>
      </c>
      <c r="O11" s="103">
        <f>IF($E$2="Monthly",
IF(AND($E$2="Monthly",$H11&lt;&gt;""),$H11,
IF(AND($E$2="Monthly",$E11=0),$F11,
$E11)),
IF($E$2="Fortnightly",
IF(AND($E$2="Fortnightly",$H11&lt;&gt;""),$H11,
IF(AND($E$2="Fortnightly",$F11&lt;&gt;"",$E11&lt;&gt;0),$F11,
IF(AND($E$2="Fortnightly",$E11=0),$F11,
$E11)))))</f>
        <v>75</v>
      </c>
      <c r="P11" s="113">
        <f>IFERROR(
IF(AND($E$2="Monthly",$A11&gt;12),0,
$O11*VLOOKUP($C11,'Employee information'!$B:$AI,COLUMNS('Employee information'!$B:$P),0)),
0)</f>
        <v>3697.576396206533</v>
      </c>
      <c r="R11" s="114">
        <f t="shared" ref="R11:R29" si="1">IF(AND($E$2="Monthly",$A11&gt;12),"",
SUMIFS($P:$P,$C:$C,$C11,$A:$A,"&lt;="&amp;$A11)
)</f>
        <v>3697.576396206533</v>
      </c>
      <c r="T11" s="281"/>
      <c r="U11" s="103"/>
      <c r="V11" s="282">
        <f>IF($C11="","",
IF(AND($E$2="Monthly",$A11&gt;12),"",
$T11*VLOOKUP($C11,'Employee information'!$B:$P,COLUMNS('Employee information'!$B:$P),0)))</f>
        <v>0</v>
      </c>
      <c r="W11" s="282">
        <f>IF($C11="","",
IF(AND($E$2="Monthly",$A11&gt;12),"",
$U11*VLOOKUP($C11,'Employee information'!$B:$P,COLUMNS('Employee information'!$B:$P),0)))</f>
        <v>0</v>
      </c>
      <c r="X11" s="114">
        <f t="shared" ref="X11:X29" si="2">IF(AND($E$2="Monthly",$A11&gt;12),"",
SUMIFS($V:$V,$C:$C,$C11,$A:$A,"&lt;="&amp;$A11)
)</f>
        <v>0</v>
      </c>
      <c r="Y11" s="114">
        <f t="shared" ref="Y11:Y29" si="3">IF(AND($E$2="Monthly",$A11&gt;12),"",
SUMIFS($W:$W,$C:$C,$C11,$A:$A,"&lt;="&amp;$A11)
)</f>
        <v>0</v>
      </c>
      <c r="AA11" s="118">
        <f>IFERROR(
IF(OR('Basic payroll data'!$D$12="",'Basic payroll data'!$D$12="No"),0,
$T11*VLOOKUP($C11,'Employee information'!$B:$P,COLUMNS('Employee information'!$B:$P),0)*AL_loading_perc),
0)</f>
        <v>0</v>
      </c>
      <c r="AC11" s="118"/>
      <c r="AD11" s="118"/>
      <c r="AE11" s="283" t="str">
        <f>IF(LEFT($AD11,6)="Is OTE",1,
IF(LEFT($AD11,10)="Is not OTE",0,
""))</f>
        <v/>
      </c>
      <c r="AF11" s="283" t="str">
        <f>IF(RIGHT($AD11,12)="tax withheld",1,
IF(RIGHT($AD11,16)="tax not withheld",0,
""))</f>
        <v/>
      </c>
      <c r="AG11" s="118"/>
      <c r="AH11" s="118" t="s">
        <v>141</v>
      </c>
      <c r="AI11" s="283">
        <f>IF($AH11="FBT",0,
IF($AH11="Not FBT",1,
""))</f>
        <v>1</v>
      </c>
      <c r="AJ11" s="118"/>
      <c r="AK11" s="118"/>
      <c r="AM11" s="118">
        <f>SUM($L11,$AA11,$AC11,$AG11,$AK11)-$AJ11</f>
        <v>3697.576396206533</v>
      </c>
      <c r="AN11" s="118">
        <f t="shared" ref="AN11:AN29" si="4">IF(AND(OR($AF11=1,$AF11=""),OR($AI11=1,$AI11="")),SUM($L11,$AA11,$AC11,$AG11,$AK11)-$AJ11,
IF(AND(OR($AF11=1,$AF11=""),$AI11=0),SUM($L11,$AA11,$AC11,$AK11)-$AJ11,
IF(AND($AF11=0,OR($AI11=1,$AI11="")),SUM($L11,$AA11,$AG11,$AK11)-$AJ11,
IF(AND($AF11=0,$AI11=0),SUM($L11,$AA11,$AK11)-$AJ11,
""))))</f>
        <v>3697.576396206533</v>
      </c>
      <c r="AO11" s="118" t="str">
        <f>IFERROR(
IF(VLOOKUP($C11,'Employee information'!$B:$M,COLUMNS('Employee information'!$B:$M),0)=1,
IF($E$2="Fortnightly",
ROUND(
ROUND((((TRUNC($AN11/2,0)+0.99))*VLOOKUP((TRUNC($AN11/2,0)+0.99),'Tax scales - NAT 1004'!$A$12:$C$18,2,1)-VLOOKUP((TRUNC($AN11/2,0)+0.99),'Tax scales - NAT 1004'!$A$12:$C$18,3,1)),0)
*2,
0),
IF(AND($E$2="Monthly",ROUND($AN11-TRUNC($AN11),2)=0.33),
ROUND(
ROUND(((TRUNC(($AN11+0.01)*3/13,0)+0.99)*VLOOKUP((TRUNC(($AN11+0.01)*3/13,0)+0.99),'Tax scales - NAT 1004'!$A$12:$C$18,2,1)-VLOOKUP((TRUNC(($AN11+0.01)*3/13,0)+0.99),'Tax scales - NAT 1004'!$A$12:$C$18,3,1)),0)
*13/3,
0),
IF($E$2="Monthly",
ROUND(
ROUND(((TRUNC($AN11*3/13,0)+0.99)*VLOOKUP((TRUNC($AN11*3/13,0)+0.99),'Tax scales - NAT 1004'!$A$12:$C$18,2,1)-VLOOKUP((TRUNC($AN11*3/13,0)+0.99),'Tax scales - NAT 1004'!$A$12:$C$18,3,1)),0)
*13/3,
0),
""))),
""),
"")</f>
        <v/>
      </c>
      <c r="AP11" s="118" t="str">
        <f>IFERROR(
IF(VLOOKUP($C11,'Employee information'!$B:$M,COLUMNS('Employee information'!$B:$M),0)=2,
IF($E$2="Fortnightly",
ROUND(
ROUND((((TRUNC($AN11/2,0)+0.99))*VLOOKUP((TRUNC($AN11/2,0)+0.99),'Tax scales - NAT 1004'!$A$25:$C$33,2,1)-VLOOKUP((TRUNC($AN11/2,0)+0.99),'Tax scales - NAT 1004'!$A$25:$C$33,3,1)),0)
*2,
0),
IF(AND($E$2="Monthly",ROUND($AN11-TRUNC($AN11),2)=0.33),
ROUND(
ROUND(((TRUNC(($AN11+0.01)*3/13,0)+0.99)*VLOOKUP((TRUNC(($AN11+0.01)*3/13,0)+0.99),'Tax scales - NAT 1004'!$A$25:$C$33,2,1)-VLOOKUP((TRUNC(($AN11+0.01)*3/13,0)+0.99),'Tax scales - NAT 1004'!$A$25:$C$33,3,1)),0)
*13/3,
0),
IF($E$2="Monthly",
ROUND(
ROUND(((TRUNC($AN11*3/13,0)+0.99)*VLOOKUP((TRUNC($AN11*3/13,0)+0.99),'Tax scales - NAT 1004'!$A$25:$C$33,2,1)-VLOOKUP((TRUNC($AN11*3/13,0)+0.99),'Tax scales - NAT 1004'!$A$25:$C$33,3,1)),0)
*13/3,
0),
""))),
""),
"")</f>
        <v/>
      </c>
      <c r="AQ11" s="118" t="str">
        <f>IFERROR(
IF(VLOOKUP($C11,'Employee information'!$B:$M,COLUMNS('Employee information'!$B:$M),0)=3,
IF($E$2="Fortnightly",
ROUND(
ROUND((((TRUNC($AN11/2,0)+0.99))*VLOOKUP((TRUNC($AN11/2,0)+0.99),'Tax scales - NAT 1004'!$A$39:$C$41,2,1)-VLOOKUP((TRUNC($AN11/2,0)+0.99),'Tax scales - NAT 1004'!$A$39:$C$41,3,1)),0)
*2,
0),
IF(AND($E$2="Monthly",ROUND($AN11-TRUNC($AN11),2)=0.33),
ROUND(
ROUND(((TRUNC(($AN11+0.01)*3/13,0)+0.99)*VLOOKUP((TRUNC(($AN11+0.01)*3/13,0)+0.99),'Tax scales - NAT 1004'!$A$39:$C$41,2,1)-VLOOKUP((TRUNC(($AN11+0.01)*3/13,0)+0.99),'Tax scales - NAT 1004'!$A$39:$C$41,3,1)),0)
*13/3,
0),
IF($E$2="Monthly",
ROUND(
ROUND(((TRUNC($AN11*3/13,0)+0.99)*VLOOKUP((TRUNC($AN11*3/13,0)+0.99),'Tax scales - NAT 1004'!$A$39:$C$41,2,1)-VLOOKUP((TRUNC($AN11*3/13,0)+0.99),'Tax scales - NAT 1004'!$A$39:$C$41,3,1)),0)
*13/3,
0),
""))),
""),
"")</f>
        <v/>
      </c>
      <c r="AR11" s="118" t="str">
        <f>IFERROR(
IF(AND(VLOOKUP($C11,'Employee information'!$B:$M,COLUMNS('Employee information'!$B:$M),0)=4,
VLOOKUP($C11,'Employee information'!$B:$J,COLUMNS('Employee information'!$B:$J),0)="Resident"),
TRUNC(TRUNC($AN11)*'Tax scales - NAT 1004'!$B$47),
IF(AND(VLOOKUP($C11,'Employee information'!$B:$M,COLUMNS('Employee information'!$B:$M),0)=4,
VLOOKUP($C11,'Employee information'!$B:$J,COLUMNS('Employee information'!$B:$J),0)="Foreign resident"),
TRUNC(TRUNC($AN11)*'Tax scales - NAT 1004'!$B$48),
"")),
"")</f>
        <v/>
      </c>
      <c r="AS11" s="118" t="str">
        <f>IFERROR(
IF(VLOOKUP($C11,'Employee information'!$B:$M,COLUMNS('Employee information'!$B:$M),0)=5,
IF($E$2="Fortnightly",
ROUND(
ROUND((((TRUNC($AN11/2,0)+0.99))*VLOOKUP((TRUNC($AN11/2,0)+0.99),'Tax scales - NAT 1004'!$A$53:$C$59,2,1)-VLOOKUP((TRUNC($AN11/2,0)+0.99),'Tax scales - NAT 1004'!$A$53:$C$59,3,1)),0)
*2,
0),
IF(AND($E$2="Monthly",ROUND($AN11-TRUNC($AN11),2)=0.33),
ROUND(
ROUND(((TRUNC(($AN11+0.01)*3/13,0)+0.99)*VLOOKUP((TRUNC(($AN11+0.01)*3/13,0)+0.99),'Tax scales - NAT 1004'!$A$53:$C$59,2,1)-VLOOKUP((TRUNC(($AN11+0.01)*3/13,0)+0.99),'Tax scales - NAT 1004'!$A$53:$C$59,3,1)),0)
*13/3,
0),
IF($E$2="Monthly",
ROUND(
ROUND(((TRUNC($AN11*3/13,0)+0.99)*VLOOKUP((TRUNC($AN11*3/13,0)+0.99),'Tax scales - NAT 1004'!$A$53:$C$59,2,1)-VLOOKUP((TRUNC($AN11*3/13,0)+0.99),'Tax scales - NAT 1004'!$A$53:$C$59,3,1)),0)
*13/3,
0),
""))),
""),
"")</f>
        <v/>
      </c>
      <c r="AT11" s="118" t="str">
        <f>IFERROR(
IF(VLOOKUP($C11,'Employee information'!$B:$M,COLUMNS('Employee information'!$B:$M),0)=6,
IF($E$2="Fortnightly",
ROUND(
ROUND((((TRUNC($AN11/2,0)+0.99))*VLOOKUP((TRUNC($AN11/2,0)+0.99),'Tax scales - NAT 1004'!$A$65:$C$73,2,1)-VLOOKUP((TRUNC($AN11/2,0)+0.99),'Tax scales - NAT 1004'!$A$65:$C$73,3,1)),0)
*2,
0),
IF(AND($E$2="Monthly",ROUND($AN11-TRUNC($AN11),2)=0.33),
ROUND(
ROUND(((TRUNC(($AN11+0.01)*3/13,0)+0.99)*VLOOKUP((TRUNC(($AN11+0.01)*3/13,0)+0.99),'Tax scales - NAT 1004'!$A$65:$C$73,2,1)-VLOOKUP((TRUNC(($AN11+0.01)*3/13,0)+0.99),'Tax scales - NAT 1004'!$A$65:$C$73,3,1)),0)
*13/3,
0),
IF($E$2="Monthly",
ROUND(
ROUND(((TRUNC($AN11*3/13,0)+0.99)*VLOOKUP((TRUNC($AN11*3/13,0)+0.99),'Tax scales - NAT 1004'!$A$65:$C$73,2,1)-VLOOKUP((TRUNC($AN11*3/13,0)+0.99),'Tax scales - NAT 1004'!$A$65:$C$73,3,1)),0)
*13/3,
0),
""))),
""),
"")</f>
        <v/>
      </c>
      <c r="AU11" s="118">
        <f>IFERROR(
IF(VLOOKUP($C11,'Employee information'!$B:$M,COLUMNS('Employee information'!$B:$M),0)=11,
IF($E$2="Fortnightly",
ROUND(
ROUND((((TRUNC($AN11/2,0)+0.99))*VLOOKUP((TRUNC($AN11/2,0)+0.99),'Tax scales - NAT 3539'!$A$14:$C$38,2,1)-VLOOKUP((TRUNC($AN11/2,0)+0.99),'Tax scales - NAT 3539'!$A$14:$C$38,3,1)),0)
*2,
0),
IF(AND($E$2="Monthly",ROUND($AN11-TRUNC($AN11),2)=0.33),
ROUND(
ROUND(((TRUNC(($AN11+0.01)*3/13,0)+0.99)*VLOOKUP((TRUNC(($AN11+0.01)*3/13,0)+0.99),'Tax scales - NAT 3539'!$A$14:$C$38,2,1)-VLOOKUP((TRUNC(($AN11+0.01)*3/13,0)+0.99),'Tax scales - NAT 3539'!$A$14:$C$38,3,1)),0)
*13/3,
0),
IF($E$2="Monthly",
ROUND(
ROUND(((TRUNC($AN11*3/13,0)+0.99)*VLOOKUP((TRUNC($AN11*3/13,0)+0.99),'Tax scales - NAT 3539'!$A$14:$C$38,2,1)-VLOOKUP((TRUNC($AN11*3/13,0)+0.99),'Tax scales - NAT 3539'!$A$14:$C$38,3,1)),0)
*13/3,
0),
""))),
""),
"")</f>
        <v>1448</v>
      </c>
      <c r="AV11" s="118" t="str">
        <f>IFERROR(
IF(VLOOKUP($C11,'Employee information'!$B:$M,COLUMNS('Employee information'!$B:$M),0)=22,
IF($E$2="Fortnightly",
ROUND(
ROUND((((TRUNC($AN11/2,0)+0.99))*VLOOKUP((TRUNC($AN11/2,0)+0.99),'Tax scales - NAT 3539'!$A$43:$C$69,2,1)-VLOOKUP((TRUNC($AN11/2,0)+0.99),'Tax scales - NAT 3539'!$A$43:$C$69,3,1)),0)
*2,
0),
IF(AND($E$2="Monthly",ROUND($AN11-TRUNC($AN11),2)=0.33),
ROUND(
ROUND(((TRUNC(($AN11+0.01)*3/13,0)+0.99)*VLOOKUP((TRUNC(($AN11+0.01)*3/13,0)+0.99),'Tax scales - NAT 3539'!$A$43:$C$69,2,1)-VLOOKUP((TRUNC(($AN11+0.01)*3/13,0)+0.99),'Tax scales - NAT 3539'!$A$43:$C$69,3,1)),0)
*13/3,
0),
IF($E$2="Monthly",
ROUND(
ROUND(((TRUNC($AN11*3/13,0)+0.99)*VLOOKUP((TRUNC($AN11*3/13,0)+0.99),'Tax scales - NAT 3539'!$A$43:$C$69,2,1)-VLOOKUP((TRUNC($AN11*3/13,0)+0.99),'Tax scales - NAT 3539'!$A$43:$C$69,3,1)),0)
*13/3,
0),
""))),
""),
"")</f>
        <v/>
      </c>
      <c r="AW11" s="118" t="str">
        <f>IFERROR(
IF(VLOOKUP($C11,'Employee information'!$B:$M,COLUMNS('Employee information'!$B:$M),0)=33,
IF($E$2="Fortnightly",
ROUND(
ROUND((((TRUNC($AN11/2,0)+0.99))*VLOOKUP((TRUNC($AN11/2,0)+0.99),'Tax scales - NAT 3539'!$A$74:$C$94,2,1)-VLOOKUP((TRUNC($AN11/2,0)+0.99),'Tax scales - NAT 3539'!$A$74:$C$94,3,1)),0)
*2,
0),
IF(AND($E$2="Monthly",ROUND($AN11-TRUNC($AN11),2)=0.33),
ROUND(
ROUND(((TRUNC(($AN11+0.01)*3/13,0)+0.99)*VLOOKUP((TRUNC(($AN11+0.01)*3/13,0)+0.99),'Tax scales - NAT 3539'!$A$74:$C$94,2,1)-VLOOKUP((TRUNC(($AN11+0.01)*3/13,0)+0.99),'Tax scales - NAT 3539'!$A$74:$C$94,3,1)),0)
*13/3,
0),
IF($E$2="Monthly",
ROUND(
ROUND(((TRUNC($AN11*3/13,0)+0.99)*VLOOKUP((TRUNC($AN11*3/13,0)+0.99),'Tax scales - NAT 3539'!$A$74:$C$94,2,1)-VLOOKUP((TRUNC($AN11*3/13,0)+0.99),'Tax scales - NAT 3539'!$A$74:$C$94,3,1)),0)
*13/3,
0),
""))),
""),
"")</f>
        <v/>
      </c>
      <c r="AX11" s="118" t="str">
        <f>IFERROR(
IF(VLOOKUP($C11,'Employee information'!$B:$M,COLUMNS('Employee information'!$B:$M),0)=55,
IF($E$2="Fortnightly",
ROUND(
ROUND((((TRUNC($AN11/2,0)+0.99))*VLOOKUP((TRUNC($AN11/2,0)+0.99),'Tax scales - NAT 3539'!$A$99:$C$123,2,1)-VLOOKUP((TRUNC($AN11/2,0)+0.99),'Tax scales - NAT 3539'!$A$99:$C$123,3,1)),0)
*2,
0),
IF(AND($E$2="Monthly",ROUND($AN11-TRUNC($AN11),2)=0.33),
ROUND(
ROUND(((TRUNC(($AN11+0.01)*3/13,0)+0.99)*VLOOKUP((TRUNC(($AN11+0.01)*3/13,0)+0.99),'Tax scales - NAT 3539'!$A$99:$C$123,2,1)-VLOOKUP((TRUNC(($AN11+0.01)*3/13,0)+0.99),'Tax scales - NAT 3539'!$A$99:$C$123,3,1)),0)
*13/3,
0),
IF($E$2="Monthly",
ROUND(
ROUND(((TRUNC($AN11*3/13,0)+0.99)*VLOOKUP((TRUNC($AN11*3/13,0)+0.99),'Tax scales - NAT 3539'!$A$99:$C$123,2,1)-VLOOKUP((TRUNC($AN11*3/13,0)+0.99),'Tax scales - NAT 3539'!$A$99:$C$123,3,1)),0)
*13/3,
0),
""))),
""),
"")</f>
        <v/>
      </c>
      <c r="AY11" s="118" t="str">
        <f>IFERROR(
IF(VLOOKUP($C11,'Employee information'!$B:$M,COLUMNS('Employee information'!$B:$M),0)=66,
IF($E$2="Fortnightly",
ROUND(
ROUND((((TRUNC($AN11/2,0)+0.99))*VLOOKUP((TRUNC($AN11/2,0)+0.99),'Tax scales - NAT 3539'!$A$127:$C$154,2,1)-VLOOKUP((TRUNC($AN11/2,0)+0.99),'Tax scales - NAT 3539'!$A$127:$C$154,3,1)),0)
*2,
0),
IF(AND($E$2="Monthly",ROUND($AN11-TRUNC($AN11),2)=0.33),
ROUND(
ROUND(((TRUNC(($AN11+0.01)*3/13,0)+0.99)*VLOOKUP((TRUNC(($AN11+0.01)*3/13,0)+0.99),'Tax scales - NAT 3539'!$A$127:$C$154,2,1)-VLOOKUP((TRUNC(($AN11+0.01)*3/13,0)+0.99),'Tax scales - NAT 3539'!$A$127:$C$154,3,1)),0)
*13/3,
0),
IF($E$2="Monthly",
ROUND(
ROUND(((TRUNC($AN11*3/13,0)+0.99)*VLOOKUP((TRUNC($AN11*3/13,0)+0.99),'Tax scales - NAT 3539'!$A$127:$C$154,2,1)-VLOOKUP((TRUNC($AN11*3/13,0)+0.99),'Tax scales - NAT 3539'!$A$127:$C$154,3,1)),0)
*13/3,
0),
""))),
""),
"")</f>
        <v/>
      </c>
      <c r="AZ11" s="118">
        <f>IFERROR(
HLOOKUP(VLOOKUP($C11,'Employee information'!$B:$M,COLUMNS('Employee information'!$B:$M),0),'PAYG worksheet'!$AO$10:$AY$29,COUNTA($C$11:$C11)+1,0),
0)</f>
        <v>1448</v>
      </c>
      <c r="BA11" s="118"/>
      <c r="BB11" s="118">
        <f>IFERROR($AM11-$AZ11-$BA11,"")</f>
        <v>2249.576396206533</v>
      </c>
      <c r="BC11" s="119">
        <f>IFERROR(
IF(OR($AE11=1,$AE11=""),SUM($P11,$AA11,$AC11,$AK11)*VLOOKUP($C11,'Employee information'!$B:$Q,COLUMNS('Employee information'!$B:$H),0),
IF($AE11=0,SUM($P11,$AA11,$AK11)*VLOOKUP($C11,'Employee information'!$B:$Q,COLUMNS('Employee information'!$B:$H),0),
0)),
0)</f>
        <v>351.26975763962065</v>
      </c>
      <c r="BE11" s="114">
        <f t="shared" ref="BE11:BE29" si="5">IF(AND($E$2="Monthly",$A11&gt;12),"",
SUMIFS($AM:$AM,$C:$C,$C11,$A:$A,"&lt;="&amp;$A11)
)</f>
        <v>3697.576396206533</v>
      </c>
      <c r="BF11" s="114">
        <f t="shared" ref="BF11:BF29" si="6">IF(AND($E$2="Monthly",$A11&gt;12),"",
SUMIFS($AN:$AN,$C:$C,$C11,$A:$A,"&lt;="&amp;$A11)
)</f>
        <v>3697.576396206533</v>
      </c>
      <c r="BG11" s="114">
        <f t="shared" ref="BG11:BG29" si="7">IF(AND($E$2="Monthly",$A11&gt;12),"",
SUMIFS($AC:$AC,$C:$C,$C11,$A:$A,"&lt;="&amp;$A11)
)</f>
        <v>0</v>
      </c>
      <c r="BH11" s="114">
        <f t="shared" ref="BH11:BH29" si="8">IF(AND($E$2="Monthly",$A11&gt;12),"",
SUMIFS($AG:$AG,$C:$C,$C11,$A:$A,"&lt;="&amp;$A11)
)</f>
        <v>0</v>
      </c>
      <c r="BI11" s="114">
        <f t="shared" ref="BI11:BI29" si="9">IF(AND($E$2="Monthly",$A11&gt;12),"",
SUMIFS($AZ:$AZ,$C:$C,$C11,$A:$A,"&lt;="&amp;$A11)
)</f>
        <v>1448</v>
      </c>
      <c r="BJ11" s="114">
        <f t="shared" ref="BJ11:BJ29" si="10">IF(AND($E$2="Monthly",$A11&gt;12),"",
SUMIFS($BA:$BA,$C:$C,$C11,$A:$A,"&lt;="&amp;$A11)
)</f>
        <v>0</v>
      </c>
      <c r="BK11" s="114">
        <f t="shared" ref="BK11:BK29" si="11">IF(AND($E$2="Monthly",$A11&gt;12),"",
SUMIFS($AJ:$AJ,$C:$C,$C11,$A:$A,"&lt;="&amp;$A11)
)</f>
        <v>0</v>
      </c>
      <c r="BL11" s="114">
        <f>IF(AND($E$2="Monthly",$A11&gt;12),"",
SUMIFS($AK:$AK,$C:$C,$C11,$A:$A,"&lt;="&amp;$A11)
)</f>
        <v>0</v>
      </c>
      <c r="BM11" s="114">
        <f t="shared" ref="BM11:BM29" si="12">IF(AND($E$2="Monthly",$A11&gt;12),"",
SUMIFS($BC:$BC,$C:$C,$C11,$A:$A,"&lt;="&amp;$A11)
)</f>
        <v>351.26975763962065</v>
      </c>
    </row>
    <row r="12" spans="1:65" x14ac:dyDescent="0.25">
      <c r="A12" s="228">
        <f t="shared" si="0"/>
        <v>1</v>
      </c>
      <c r="C12" s="278" t="s">
        <v>13</v>
      </c>
      <c r="E12" s="103">
        <f>IF($C12="",0,
IF(AND($E$2="Monthly",$A12&gt;12),0,
IF($E$2="Monthly",VLOOKUP($C12,'Employee information'!$B:$AM,COLUMNS('Employee information'!$B:S),0),
IF($E$2="Fortnightly",VLOOKUP($C12,'Employee information'!$B:$AM,COLUMNS('Employee information'!$B:R),0),
0))))</f>
        <v>0</v>
      </c>
      <c r="F12" s="106">
        <v>42</v>
      </c>
      <c r="G12" s="106"/>
      <c r="H12" s="106"/>
      <c r="I12" s="106">
        <v>7.5</v>
      </c>
      <c r="J12" s="103">
        <f t="shared" ref="J12:J29" si="13">IF($E$2="Monthly",
IF(AND($E$2="Monthly",$H12&lt;&gt;""),$H12,
IF(AND($E$2="Monthly",$E12=0),SUM($F12:$G12),
$E12)),
IF($E$2="Fortnightly",
IF(AND($E$2="Fortnightly",$H12&lt;&gt;""),$H12,
IF(AND($E$2="Fortnightly",$F12&lt;&gt;"",$E12&lt;&gt;0),$F12,
IF(AND($E$2="Fortnightly",$E12=0),SUM($F12:$G12),
$E12)))))</f>
        <v>42</v>
      </c>
      <c r="L12" s="113">
        <f>IF(AND($E$2="Monthly",$A12&gt;12),"",
IFERROR($J12*VLOOKUP($C12,'Employee information'!$B:$AI,COLUMNS('Employee information'!$B:$P),0),0))</f>
        <v>1615.3846153846152</v>
      </c>
      <c r="M12" s="114">
        <f t="shared" ref="M12:M29" si="14">IF(AND($E$2="Monthly",$A12&gt;12),"",
SUMIFS($L:$L,$C:$C,$C12,$A:$A,"&lt;="&amp;$A12)
)</f>
        <v>1615.3846153846152</v>
      </c>
      <c r="O12" s="103">
        <f t="shared" ref="O12:O29" si="15">IF($E$2="Monthly",
IF(AND($E$2="Monthly",$H12&lt;&gt;""),$H12,
IF(AND($E$2="Monthly",$E12=0),$F12,
$E12)),
IF($E$2="Fortnightly",
IF(AND($E$2="Fortnightly",$H12&lt;&gt;""),$H12,
IF(AND($E$2="Fortnightly",$F12&lt;&gt;"",$E12&lt;&gt;0),$F12,
IF(AND($E$2="Fortnightly",$E12=0),$F12,
$E12)))))</f>
        <v>42</v>
      </c>
      <c r="P12" s="113">
        <f>IFERROR(
IF(AND($E$2="Monthly",$A12&gt;12),0,
$O12*VLOOKUP($C12,'Employee information'!$B:$AI,COLUMNS('Employee information'!$B:$P),0)),
0)</f>
        <v>1615.3846153846152</v>
      </c>
      <c r="R12" s="114">
        <f t="shared" si="1"/>
        <v>1615.3846153846152</v>
      </c>
      <c r="T12" s="103"/>
      <c r="U12" s="103">
        <v>7.5</v>
      </c>
      <c r="V12" s="282">
        <f>IF($C12="","",
IF(AND($E$2="Monthly",$A12&gt;12),"",
$T12*VLOOKUP($C12,'Employee information'!$B:$P,COLUMNS('Employee information'!$B:$P),0)))</f>
        <v>0</v>
      </c>
      <c r="W12" s="282">
        <f>IF($C12="","",
IF(AND($E$2="Monthly",$A12&gt;12),"",
$U12*VLOOKUP($C12,'Employee information'!$B:$P,COLUMNS('Employee information'!$B:$P),0)))</f>
        <v>288.46153846153845</v>
      </c>
      <c r="X12" s="114">
        <f t="shared" si="2"/>
        <v>0</v>
      </c>
      <c r="Y12" s="114">
        <f t="shared" si="3"/>
        <v>288.46153846153845</v>
      </c>
      <c r="AA12" s="118">
        <f>IFERROR(
IF(OR('Basic payroll data'!$D$12="",'Basic payroll data'!$D$12="No"),0,
$T12*VLOOKUP($C12,'Employee information'!$B:$P,COLUMNS('Employee information'!$B:$P),0)*AL_loading_perc),
0)</f>
        <v>0</v>
      </c>
      <c r="AC12" s="118"/>
      <c r="AD12" s="118"/>
      <c r="AE12" s="283" t="str">
        <f t="shared" ref="AE12:AE29" si="16">IF(LEFT($AD12,6)="Is OTE",1,
IF(LEFT($AD12,10)="Is not OTE",0,
""))</f>
        <v/>
      </c>
      <c r="AF12" s="283" t="str">
        <f t="shared" ref="AF12:AF29" si="17">IF(RIGHT($AD12,12)="tax withheld",1,
IF(RIGHT($AD12,16)="tax not withheld",0,
""))</f>
        <v/>
      </c>
      <c r="AG12" s="118"/>
      <c r="AH12" s="118"/>
      <c r="AI12" s="283" t="str">
        <f t="shared" ref="AI12:AI29" si="18">IF($AH12="FBT",0,
IF($AH12="Not FBT",1,
""))</f>
        <v/>
      </c>
      <c r="AJ12" s="118"/>
      <c r="AK12" s="118"/>
      <c r="AM12" s="118">
        <f t="shared" ref="AM12:AM29" si="19">SUM($L12,$AA12,$AC12,$AG12,$AK12)-$AJ12</f>
        <v>1615.3846153846152</v>
      </c>
      <c r="AN12" s="118">
        <f t="shared" si="4"/>
        <v>1615.3846153846152</v>
      </c>
      <c r="AO12" s="118" t="str">
        <f>IFERROR(
IF(VLOOKUP($C12,'Employee information'!$B:$M,COLUMNS('Employee information'!$B:$M),0)=1,
IF($E$2="Fortnightly",
ROUND(
ROUND((((TRUNC($AN12/2,0)+0.99))*VLOOKUP((TRUNC($AN12/2,0)+0.99),'Tax scales - NAT 1004'!$A$12:$C$18,2,1)-VLOOKUP((TRUNC($AN12/2,0)+0.99),'Tax scales - NAT 1004'!$A$12:$C$18,3,1)),0)
*2,
0),
IF(AND($E$2="Monthly",ROUND($AN12-TRUNC($AN12),2)=0.33),
ROUND(
ROUND(((TRUNC(($AN12+0.01)*3/13,0)+0.99)*VLOOKUP((TRUNC(($AN12+0.01)*3/13,0)+0.99),'Tax scales - NAT 1004'!$A$12:$C$18,2,1)-VLOOKUP((TRUNC(($AN12+0.01)*3/13,0)+0.99),'Tax scales - NAT 1004'!$A$12:$C$18,3,1)),0)
*13/3,
0),
IF($E$2="Monthly",
ROUND(
ROUND(((TRUNC($AN12*3/13,0)+0.99)*VLOOKUP((TRUNC($AN12*3/13,0)+0.99),'Tax scales - NAT 1004'!$A$12:$C$18,2,1)-VLOOKUP((TRUNC($AN12*3/13,0)+0.99),'Tax scales - NAT 1004'!$A$12:$C$18,3,1)),0)
*13/3,
0),
""))),
""),
"")</f>
        <v/>
      </c>
      <c r="AP12" s="118" t="str">
        <f>IFERROR(
IF(VLOOKUP($C12,'Employee information'!$B:$M,COLUMNS('Employee information'!$B:$M),0)=2,
IF($E$2="Fortnightly",
ROUND(
ROUND((((TRUNC($AN12/2,0)+0.99))*VLOOKUP((TRUNC($AN12/2,0)+0.99),'Tax scales - NAT 1004'!$A$25:$C$33,2,1)-VLOOKUP((TRUNC($AN12/2,0)+0.99),'Tax scales - NAT 1004'!$A$25:$C$33,3,1)),0)
*2,
0),
IF(AND($E$2="Monthly",ROUND($AN12-TRUNC($AN12),2)=0.33),
ROUND(
ROUND(((TRUNC(($AN12+0.01)*3/13,0)+0.99)*VLOOKUP((TRUNC(($AN12+0.01)*3/13,0)+0.99),'Tax scales - NAT 1004'!$A$25:$C$33,2,1)-VLOOKUP((TRUNC(($AN12+0.01)*3/13,0)+0.99),'Tax scales - NAT 1004'!$A$25:$C$33,3,1)),0)
*13/3,
0),
IF($E$2="Monthly",
ROUND(
ROUND(((TRUNC($AN12*3/13,0)+0.99)*VLOOKUP((TRUNC($AN12*3/13,0)+0.99),'Tax scales - NAT 1004'!$A$25:$C$33,2,1)-VLOOKUP((TRUNC($AN12*3/13,0)+0.99),'Tax scales - NAT 1004'!$A$25:$C$33,3,1)),0)
*13/3,
0),
""))),
""),
"")</f>
        <v/>
      </c>
      <c r="AQ12" s="118" t="str">
        <f>IFERROR(
IF(VLOOKUP($C12,'Employee information'!$B:$M,COLUMNS('Employee information'!$B:$M),0)=3,
IF($E$2="Fortnightly",
ROUND(
ROUND((((TRUNC($AN12/2,0)+0.99))*VLOOKUP((TRUNC($AN12/2,0)+0.99),'Tax scales - NAT 1004'!$A$39:$C$41,2,1)-VLOOKUP((TRUNC($AN12/2,0)+0.99),'Tax scales - NAT 1004'!$A$39:$C$41,3,1)),0)
*2,
0),
IF(AND($E$2="Monthly",ROUND($AN12-TRUNC($AN12),2)=0.33),
ROUND(
ROUND(((TRUNC(($AN12+0.01)*3/13,0)+0.99)*VLOOKUP((TRUNC(($AN12+0.01)*3/13,0)+0.99),'Tax scales - NAT 1004'!$A$39:$C$41,2,1)-VLOOKUP((TRUNC(($AN12+0.01)*3/13,0)+0.99),'Tax scales - NAT 1004'!$A$39:$C$41,3,1)),0)
*13/3,
0),
IF($E$2="Monthly",
ROUND(
ROUND(((TRUNC($AN12*3/13,0)+0.99)*VLOOKUP((TRUNC($AN12*3/13,0)+0.99),'Tax scales - NAT 1004'!$A$39:$C$41,2,1)-VLOOKUP((TRUNC($AN12*3/13,0)+0.99),'Tax scales - NAT 1004'!$A$39:$C$41,3,1)),0)
*13/3,
0),
""))),
""),
"")</f>
        <v/>
      </c>
      <c r="AR12" s="118" t="str">
        <f>IFERROR(
IF(AND(VLOOKUP($C12,'Employee information'!$B:$M,COLUMNS('Employee information'!$B:$M),0)=4,
VLOOKUP($C12,'Employee information'!$B:$J,COLUMNS('Employee information'!$B:$J),0)="Resident"),
TRUNC(TRUNC($AN12)*'Tax scales - NAT 1004'!$B$47),
IF(AND(VLOOKUP($C12,'Employee information'!$B:$M,COLUMNS('Employee information'!$B:$M),0)=4,
VLOOKUP($C12,'Employee information'!$B:$J,COLUMNS('Employee information'!$B:$J),0)="Foreign resident"),
TRUNC(TRUNC($AN12)*'Tax scales - NAT 1004'!$B$48),
"")),
"")</f>
        <v/>
      </c>
      <c r="AS12" s="118" t="str">
        <f>IFERROR(
IF(VLOOKUP($C12,'Employee information'!$B:$M,COLUMNS('Employee information'!$B:$M),0)=5,
IF($E$2="Fortnightly",
ROUND(
ROUND((((TRUNC($AN12/2,0)+0.99))*VLOOKUP((TRUNC($AN12/2,0)+0.99),'Tax scales - NAT 1004'!$A$53:$C$59,2,1)-VLOOKUP((TRUNC($AN12/2,0)+0.99),'Tax scales - NAT 1004'!$A$53:$C$59,3,1)),0)
*2,
0),
IF(AND($E$2="Monthly",ROUND($AN12-TRUNC($AN12),2)=0.33),
ROUND(
ROUND(((TRUNC(($AN12+0.01)*3/13,0)+0.99)*VLOOKUP((TRUNC(($AN12+0.01)*3/13,0)+0.99),'Tax scales - NAT 1004'!$A$53:$C$59,2,1)-VLOOKUP((TRUNC(($AN12+0.01)*3/13,0)+0.99),'Tax scales - NAT 1004'!$A$53:$C$59,3,1)),0)
*13/3,
0),
IF($E$2="Monthly",
ROUND(
ROUND(((TRUNC($AN12*3/13,0)+0.99)*VLOOKUP((TRUNC($AN12*3/13,0)+0.99),'Tax scales - NAT 1004'!$A$53:$C$59,2,1)-VLOOKUP((TRUNC($AN12*3/13,0)+0.99),'Tax scales - NAT 1004'!$A$53:$C$59,3,1)),0)
*13/3,
0),
""))),
""),
"")</f>
        <v/>
      </c>
      <c r="AT12" s="118" t="str">
        <f>IFERROR(
IF(VLOOKUP($C12,'Employee information'!$B:$M,COLUMNS('Employee information'!$B:$M),0)=6,
IF($E$2="Fortnightly",
ROUND(
ROUND((((TRUNC($AN12/2,0)+0.99))*VLOOKUP((TRUNC($AN12/2,0)+0.99),'Tax scales - NAT 1004'!$A$65:$C$73,2,1)-VLOOKUP((TRUNC($AN12/2,0)+0.99),'Tax scales - NAT 1004'!$A$65:$C$73,3,1)),0)
*2,
0),
IF(AND($E$2="Monthly",ROUND($AN12-TRUNC($AN12),2)=0.33),
ROUND(
ROUND(((TRUNC(($AN12+0.01)*3/13,0)+0.99)*VLOOKUP((TRUNC(($AN12+0.01)*3/13,0)+0.99),'Tax scales - NAT 1004'!$A$65:$C$73,2,1)-VLOOKUP((TRUNC(($AN12+0.01)*3/13,0)+0.99),'Tax scales - NAT 1004'!$A$65:$C$73,3,1)),0)
*13/3,
0),
IF($E$2="Monthly",
ROUND(
ROUND(((TRUNC($AN12*3/13,0)+0.99)*VLOOKUP((TRUNC($AN12*3/13,0)+0.99),'Tax scales - NAT 1004'!$A$65:$C$73,2,1)-VLOOKUP((TRUNC($AN12*3/13,0)+0.99),'Tax scales - NAT 1004'!$A$65:$C$73,3,1)),0)
*13/3,
0),
""))),
""),
"")</f>
        <v/>
      </c>
      <c r="AU12" s="118">
        <f>IFERROR(
IF(VLOOKUP($C12,'Employee information'!$B:$M,COLUMNS('Employee information'!$B:$M),0)=11,
IF($E$2="Fortnightly",
ROUND(
ROUND((((TRUNC($AN12/2,0)+0.99))*VLOOKUP((TRUNC($AN12/2,0)+0.99),'Tax scales - NAT 3539'!$A$14:$C$38,2,1)-VLOOKUP((TRUNC($AN12/2,0)+0.99),'Tax scales - NAT 3539'!$A$14:$C$38,3,1)),0)
*2,
0),
IF(AND($E$2="Monthly",ROUND($AN12-TRUNC($AN12),2)=0.33),
ROUND(
ROUND(((TRUNC(($AN12+0.01)*3/13,0)+0.99)*VLOOKUP((TRUNC(($AN12+0.01)*3/13,0)+0.99),'Tax scales - NAT 3539'!$A$14:$C$38,2,1)-VLOOKUP((TRUNC(($AN12+0.01)*3/13,0)+0.99),'Tax scales - NAT 3539'!$A$14:$C$38,3,1)),0)
*13/3,
0),
IF($E$2="Monthly",
ROUND(
ROUND(((TRUNC($AN12*3/13,0)+0.99)*VLOOKUP((TRUNC($AN12*3/13,0)+0.99),'Tax scales - NAT 3539'!$A$14:$C$38,2,1)-VLOOKUP((TRUNC($AN12*3/13,0)+0.99),'Tax scales - NAT 3539'!$A$14:$C$38,3,1)),0)
*13/3,
0),
""))),
""),
"")</f>
        <v>474</v>
      </c>
      <c r="AV12" s="118" t="str">
        <f>IFERROR(
IF(VLOOKUP($C12,'Employee information'!$B:$M,COLUMNS('Employee information'!$B:$M),0)=22,
IF($E$2="Fortnightly",
ROUND(
ROUND((((TRUNC($AN12/2,0)+0.99))*VLOOKUP((TRUNC($AN12/2,0)+0.99),'Tax scales - NAT 3539'!$A$43:$C$69,2,1)-VLOOKUP((TRUNC($AN12/2,0)+0.99),'Tax scales - NAT 3539'!$A$43:$C$69,3,1)),0)
*2,
0),
IF(AND($E$2="Monthly",ROUND($AN12-TRUNC($AN12),2)=0.33),
ROUND(
ROUND(((TRUNC(($AN12+0.01)*3/13,0)+0.99)*VLOOKUP((TRUNC(($AN12+0.01)*3/13,0)+0.99),'Tax scales - NAT 3539'!$A$43:$C$69,2,1)-VLOOKUP((TRUNC(($AN12+0.01)*3/13,0)+0.99),'Tax scales - NAT 3539'!$A$43:$C$69,3,1)),0)
*13/3,
0),
IF($E$2="Monthly",
ROUND(
ROUND(((TRUNC($AN12*3/13,0)+0.99)*VLOOKUP((TRUNC($AN12*3/13,0)+0.99),'Tax scales - NAT 3539'!$A$43:$C$69,2,1)-VLOOKUP((TRUNC($AN12*3/13,0)+0.99),'Tax scales - NAT 3539'!$A$43:$C$69,3,1)),0)
*13/3,
0),
""))),
""),
"")</f>
        <v/>
      </c>
      <c r="AW12" s="118" t="str">
        <f>IFERROR(
IF(VLOOKUP($C12,'Employee information'!$B:$M,COLUMNS('Employee information'!$B:$M),0)=33,
IF($E$2="Fortnightly",
ROUND(
ROUND((((TRUNC($AN12/2,0)+0.99))*VLOOKUP((TRUNC($AN12/2,0)+0.99),'Tax scales - NAT 3539'!$A$74:$C$94,2,1)-VLOOKUP((TRUNC($AN12/2,0)+0.99),'Tax scales - NAT 3539'!$A$74:$C$94,3,1)),0)
*2,
0),
IF(AND($E$2="Monthly",ROUND($AN12-TRUNC($AN12),2)=0.33),
ROUND(
ROUND(((TRUNC(($AN12+0.01)*3/13,0)+0.99)*VLOOKUP((TRUNC(($AN12+0.01)*3/13,0)+0.99),'Tax scales - NAT 3539'!$A$74:$C$94,2,1)-VLOOKUP((TRUNC(($AN12+0.01)*3/13,0)+0.99),'Tax scales - NAT 3539'!$A$74:$C$94,3,1)),0)
*13/3,
0),
IF($E$2="Monthly",
ROUND(
ROUND(((TRUNC($AN12*3/13,0)+0.99)*VLOOKUP((TRUNC($AN12*3/13,0)+0.99),'Tax scales - NAT 3539'!$A$74:$C$94,2,1)-VLOOKUP((TRUNC($AN12*3/13,0)+0.99),'Tax scales - NAT 3539'!$A$74:$C$94,3,1)),0)
*13/3,
0),
""))),
""),
"")</f>
        <v/>
      </c>
      <c r="AX12" s="118" t="str">
        <f>IFERROR(
IF(VLOOKUP($C12,'Employee information'!$B:$M,COLUMNS('Employee information'!$B:$M),0)=55,
IF($E$2="Fortnightly",
ROUND(
ROUND((((TRUNC($AN12/2,0)+0.99))*VLOOKUP((TRUNC($AN12/2,0)+0.99),'Tax scales - NAT 3539'!$A$99:$C$123,2,1)-VLOOKUP((TRUNC($AN12/2,0)+0.99),'Tax scales - NAT 3539'!$A$99:$C$123,3,1)),0)
*2,
0),
IF(AND($E$2="Monthly",ROUND($AN12-TRUNC($AN12),2)=0.33),
ROUND(
ROUND(((TRUNC(($AN12+0.01)*3/13,0)+0.99)*VLOOKUP((TRUNC(($AN12+0.01)*3/13,0)+0.99),'Tax scales - NAT 3539'!$A$99:$C$123,2,1)-VLOOKUP((TRUNC(($AN12+0.01)*3/13,0)+0.99),'Tax scales - NAT 3539'!$A$99:$C$123,3,1)),0)
*13/3,
0),
IF($E$2="Monthly",
ROUND(
ROUND(((TRUNC($AN12*3/13,0)+0.99)*VLOOKUP((TRUNC($AN12*3/13,0)+0.99),'Tax scales - NAT 3539'!$A$99:$C$123,2,1)-VLOOKUP((TRUNC($AN12*3/13,0)+0.99),'Tax scales - NAT 3539'!$A$99:$C$123,3,1)),0)
*13/3,
0),
""))),
""),
"")</f>
        <v/>
      </c>
      <c r="AY12" s="118" t="str">
        <f>IFERROR(
IF(VLOOKUP($C12,'Employee information'!$B:$M,COLUMNS('Employee information'!$B:$M),0)=66,
IF($E$2="Fortnightly",
ROUND(
ROUND((((TRUNC($AN12/2,0)+0.99))*VLOOKUP((TRUNC($AN12/2,0)+0.99),'Tax scales - NAT 3539'!$A$127:$C$154,2,1)-VLOOKUP((TRUNC($AN12/2,0)+0.99),'Tax scales - NAT 3539'!$A$127:$C$154,3,1)),0)
*2,
0),
IF(AND($E$2="Monthly",ROUND($AN12-TRUNC($AN12),2)=0.33),
ROUND(
ROUND(((TRUNC(($AN12+0.01)*3/13,0)+0.99)*VLOOKUP((TRUNC(($AN12+0.01)*3/13,0)+0.99),'Tax scales - NAT 3539'!$A$127:$C$154,2,1)-VLOOKUP((TRUNC(($AN12+0.01)*3/13,0)+0.99),'Tax scales - NAT 3539'!$A$127:$C$154,3,1)),0)
*13/3,
0),
IF($E$2="Monthly",
ROUND(
ROUND(((TRUNC($AN12*3/13,0)+0.99)*VLOOKUP((TRUNC($AN12*3/13,0)+0.99),'Tax scales - NAT 3539'!$A$127:$C$154,2,1)-VLOOKUP((TRUNC($AN12*3/13,0)+0.99),'Tax scales - NAT 3539'!$A$127:$C$154,3,1)),0)
*13/3,
0),
""))),
""),
"")</f>
        <v/>
      </c>
      <c r="AZ12" s="118">
        <f>IFERROR(
HLOOKUP(VLOOKUP($C12,'Employee information'!$B:$M,COLUMNS('Employee information'!$B:$M),0),'PAYG worksheet'!$AO$10:$AY$29,COUNTA($C$11:$C12)+1,0),
0)</f>
        <v>474</v>
      </c>
      <c r="BA12" s="118"/>
      <c r="BB12" s="118">
        <f t="shared" ref="BB12:BB29" si="20">IFERROR($AM12-$AZ12-$BA12,"")</f>
        <v>1141.3846153846152</v>
      </c>
      <c r="BC12" s="119">
        <f>IFERROR(
IF(OR($AE12=1,$AE12=""),SUM($P12,$AA12,$AC12,$AK12)*VLOOKUP($C12,'Employee information'!$B:$Q,COLUMNS('Employee information'!$B:$H),0),
IF($AE12=0,SUM($P12,$AA12,$AK12)*VLOOKUP($C12,'Employee information'!$B:$Q,COLUMNS('Employee information'!$B:$H),0),
0)),
0)</f>
        <v>153.46153846153845</v>
      </c>
      <c r="BE12" s="114">
        <f t="shared" si="5"/>
        <v>1615.3846153846152</v>
      </c>
      <c r="BF12" s="114">
        <f t="shared" si="6"/>
        <v>1615.3846153846152</v>
      </c>
      <c r="BG12" s="114">
        <f t="shared" si="7"/>
        <v>0</v>
      </c>
      <c r="BH12" s="114">
        <f t="shared" si="8"/>
        <v>0</v>
      </c>
      <c r="BI12" s="114">
        <f t="shared" si="9"/>
        <v>474</v>
      </c>
      <c r="BJ12" s="114">
        <f t="shared" si="10"/>
        <v>0</v>
      </c>
      <c r="BK12" s="114">
        <f t="shared" si="11"/>
        <v>0</v>
      </c>
      <c r="BL12" s="114">
        <f t="shared" ref="BL12:BL29" si="21">IF(AND($E$2="Monthly",$A12&gt;12),"",
SUMIFS($AK:$AK,$C:$C,$C12,$A:$A,"&lt;="&amp;$A12)
)</f>
        <v>0</v>
      </c>
      <c r="BM12" s="114">
        <f t="shared" si="12"/>
        <v>153.46153846153845</v>
      </c>
    </row>
    <row r="13" spans="1:65" x14ac:dyDescent="0.25">
      <c r="A13" s="228">
        <f t="shared" si="0"/>
        <v>1</v>
      </c>
      <c r="C13" s="278" t="s">
        <v>14</v>
      </c>
      <c r="E13" s="103">
        <f>IF($C13="",0,
IF(AND($E$2="Monthly",$A13&gt;12),0,
IF($E$2="Monthly",VLOOKUP($C13,'Employee information'!$B:$AM,COLUMNS('Employee information'!$B:S),0),
IF($E$2="Fortnightly",VLOOKUP($C13,'Employee information'!$B:$AM,COLUMNS('Employee information'!$B:R),0),
0))))</f>
        <v>0</v>
      </c>
      <c r="F13" s="106">
        <v>30</v>
      </c>
      <c r="G13" s="106"/>
      <c r="H13" s="106"/>
      <c r="I13" s="106"/>
      <c r="J13" s="103">
        <f t="shared" si="13"/>
        <v>30</v>
      </c>
      <c r="L13" s="113">
        <f>IF(AND($E$2="Monthly",$A13&gt;12),"",
IFERROR($J13*VLOOKUP($C13,'Employee information'!$B:$AI,COLUMNS('Employee information'!$B:$P),0),0))</f>
        <v>900</v>
      </c>
      <c r="M13" s="114">
        <f t="shared" si="14"/>
        <v>900</v>
      </c>
      <c r="O13" s="103">
        <f t="shared" si="15"/>
        <v>30</v>
      </c>
      <c r="P13" s="113">
        <f>IFERROR(
IF(AND($E$2="Monthly",$A13&gt;12),0,
$O13*VLOOKUP($C13,'Employee information'!$B:$AI,COLUMNS('Employee information'!$B:$P),0)),
0)</f>
        <v>900</v>
      </c>
      <c r="R13" s="114">
        <f t="shared" si="1"/>
        <v>900</v>
      </c>
      <c r="T13" s="103"/>
      <c r="U13" s="103"/>
      <c r="V13" s="282">
        <f>IF($C13="","",
IF(AND($E$2="Monthly",$A13&gt;12),"",
$T13*VLOOKUP($C13,'Employee information'!$B:$P,COLUMNS('Employee information'!$B:$P),0)))</f>
        <v>0</v>
      </c>
      <c r="W13" s="282">
        <f>IF($C13="","",
IF(AND($E$2="Monthly",$A13&gt;12),"",
$U13*VLOOKUP($C13,'Employee information'!$B:$P,COLUMNS('Employee information'!$B:$P),0)))</f>
        <v>0</v>
      </c>
      <c r="X13" s="114">
        <f t="shared" si="2"/>
        <v>0</v>
      </c>
      <c r="Y13" s="114">
        <f t="shared" si="3"/>
        <v>0</v>
      </c>
      <c r="AA13" s="118">
        <f>IFERROR(
IF(OR('Basic payroll data'!$D$12="",'Basic payroll data'!$D$12="No"),0,
$T13*VLOOKUP($C13,'Employee information'!$B:$P,COLUMNS('Employee information'!$B:$P),0)*AL_loading_perc),
0)</f>
        <v>0</v>
      </c>
      <c r="AC13" s="118"/>
      <c r="AD13" s="118"/>
      <c r="AE13" s="283" t="str">
        <f t="shared" si="16"/>
        <v/>
      </c>
      <c r="AF13" s="283" t="str">
        <f t="shared" si="17"/>
        <v/>
      </c>
      <c r="AG13" s="118"/>
      <c r="AH13" s="118"/>
      <c r="AI13" s="283" t="str">
        <f t="shared" si="18"/>
        <v/>
      </c>
      <c r="AJ13" s="118"/>
      <c r="AK13" s="118"/>
      <c r="AM13" s="118">
        <f t="shared" si="19"/>
        <v>900</v>
      </c>
      <c r="AN13" s="118">
        <f t="shared" si="4"/>
        <v>900</v>
      </c>
      <c r="AO13" s="118" t="str">
        <f>IFERROR(
IF(VLOOKUP($C13,'Employee information'!$B:$M,COLUMNS('Employee information'!$B:$M),0)=1,
IF($E$2="Fortnightly",
ROUND(
ROUND((((TRUNC($AN13/2,0)+0.99))*VLOOKUP((TRUNC($AN13/2,0)+0.99),'Tax scales - NAT 1004'!$A$12:$C$18,2,1)-VLOOKUP((TRUNC($AN13/2,0)+0.99),'Tax scales - NAT 1004'!$A$12:$C$18,3,1)),0)
*2,
0),
IF(AND($E$2="Monthly",ROUND($AN13-TRUNC($AN13),2)=0.33),
ROUND(
ROUND(((TRUNC(($AN13+0.01)*3/13,0)+0.99)*VLOOKUP((TRUNC(($AN13+0.01)*3/13,0)+0.99),'Tax scales - NAT 1004'!$A$12:$C$18,2,1)-VLOOKUP((TRUNC(($AN13+0.01)*3/13,0)+0.99),'Tax scales - NAT 1004'!$A$12:$C$18,3,1)),0)
*13/3,
0),
IF($E$2="Monthly",
ROUND(
ROUND(((TRUNC($AN13*3/13,0)+0.99)*VLOOKUP((TRUNC($AN13*3/13,0)+0.99),'Tax scales - NAT 1004'!$A$12:$C$18,2,1)-VLOOKUP((TRUNC($AN13*3/13,0)+0.99),'Tax scales - NAT 1004'!$A$12:$C$18,3,1)),0)
*13/3,
0),
""))),
""),
"")</f>
        <v/>
      </c>
      <c r="AP13" s="118" t="str">
        <f>IFERROR(
IF(VLOOKUP($C13,'Employee information'!$B:$M,COLUMNS('Employee information'!$B:$M),0)=2,
IF($E$2="Fortnightly",
ROUND(
ROUND((((TRUNC($AN13/2,0)+0.99))*VLOOKUP((TRUNC($AN13/2,0)+0.99),'Tax scales - NAT 1004'!$A$25:$C$33,2,1)-VLOOKUP((TRUNC($AN13/2,0)+0.99),'Tax scales - NAT 1004'!$A$25:$C$33,3,1)),0)
*2,
0),
IF(AND($E$2="Monthly",ROUND($AN13-TRUNC($AN13),2)=0.33),
ROUND(
ROUND(((TRUNC(($AN13+0.01)*3/13,0)+0.99)*VLOOKUP((TRUNC(($AN13+0.01)*3/13,0)+0.99),'Tax scales - NAT 1004'!$A$25:$C$33,2,1)-VLOOKUP((TRUNC(($AN13+0.01)*3/13,0)+0.99),'Tax scales - NAT 1004'!$A$25:$C$33,3,1)),0)
*13/3,
0),
IF($E$2="Monthly",
ROUND(
ROUND(((TRUNC($AN13*3/13,0)+0.99)*VLOOKUP((TRUNC($AN13*3/13,0)+0.99),'Tax scales - NAT 1004'!$A$25:$C$33,2,1)-VLOOKUP((TRUNC($AN13*3/13,0)+0.99),'Tax scales - NAT 1004'!$A$25:$C$33,3,1)),0)
*13/3,
0),
""))),
""),
"")</f>
        <v/>
      </c>
      <c r="AQ13" s="118" t="str">
        <f>IFERROR(
IF(VLOOKUP($C13,'Employee information'!$B:$M,COLUMNS('Employee information'!$B:$M),0)=3,
IF($E$2="Fortnightly",
ROUND(
ROUND((((TRUNC($AN13/2,0)+0.99))*VLOOKUP((TRUNC($AN13/2,0)+0.99),'Tax scales - NAT 1004'!$A$39:$C$41,2,1)-VLOOKUP((TRUNC($AN13/2,0)+0.99),'Tax scales - NAT 1004'!$A$39:$C$41,3,1)),0)
*2,
0),
IF(AND($E$2="Monthly",ROUND($AN13-TRUNC($AN13),2)=0.33),
ROUND(
ROUND(((TRUNC(($AN13+0.01)*3/13,0)+0.99)*VLOOKUP((TRUNC(($AN13+0.01)*3/13,0)+0.99),'Tax scales - NAT 1004'!$A$39:$C$41,2,1)-VLOOKUP((TRUNC(($AN13+0.01)*3/13,0)+0.99),'Tax scales - NAT 1004'!$A$39:$C$41,3,1)),0)
*13/3,
0),
IF($E$2="Monthly",
ROUND(
ROUND(((TRUNC($AN13*3/13,0)+0.99)*VLOOKUP((TRUNC($AN13*3/13,0)+0.99),'Tax scales - NAT 1004'!$A$39:$C$41,2,1)-VLOOKUP((TRUNC($AN13*3/13,0)+0.99),'Tax scales - NAT 1004'!$A$39:$C$41,3,1)),0)
*13/3,
0),
""))),
""),
"")</f>
        <v/>
      </c>
      <c r="AR13" s="118" t="str">
        <f>IFERROR(
IF(AND(VLOOKUP($C13,'Employee information'!$B:$M,COLUMNS('Employee information'!$B:$M),0)=4,
VLOOKUP($C13,'Employee information'!$B:$J,COLUMNS('Employee information'!$B:$J),0)="Resident"),
TRUNC(TRUNC($AN13)*'Tax scales - NAT 1004'!$B$47),
IF(AND(VLOOKUP($C13,'Employee information'!$B:$M,COLUMNS('Employee information'!$B:$M),0)=4,
VLOOKUP($C13,'Employee information'!$B:$J,COLUMNS('Employee information'!$B:$J),0)="Foreign resident"),
TRUNC(TRUNC($AN13)*'Tax scales - NAT 1004'!$B$48),
"")),
"")</f>
        <v/>
      </c>
      <c r="AS13" s="118" t="str">
        <f>IFERROR(
IF(VLOOKUP($C13,'Employee information'!$B:$M,COLUMNS('Employee information'!$B:$M),0)=5,
IF($E$2="Fortnightly",
ROUND(
ROUND((((TRUNC($AN13/2,0)+0.99))*VLOOKUP((TRUNC($AN13/2,0)+0.99),'Tax scales - NAT 1004'!$A$53:$C$59,2,1)-VLOOKUP((TRUNC($AN13/2,0)+0.99),'Tax scales - NAT 1004'!$A$53:$C$59,3,1)),0)
*2,
0),
IF(AND($E$2="Monthly",ROUND($AN13-TRUNC($AN13),2)=0.33),
ROUND(
ROUND(((TRUNC(($AN13+0.01)*3/13,0)+0.99)*VLOOKUP((TRUNC(($AN13+0.01)*3/13,0)+0.99),'Tax scales - NAT 1004'!$A$53:$C$59,2,1)-VLOOKUP((TRUNC(($AN13+0.01)*3/13,0)+0.99),'Tax scales - NAT 1004'!$A$53:$C$59,3,1)),0)
*13/3,
0),
IF($E$2="Monthly",
ROUND(
ROUND(((TRUNC($AN13*3/13,0)+0.99)*VLOOKUP((TRUNC($AN13*3/13,0)+0.99),'Tax scales - NAT 1004'!$A$53:$C$59,2,1)-VLOOKUP((TRUNC($AN13*3/13,0)+0.99),'Tax scales - NAT 1004'!$A$53:$C$59,3,1)),0)
*13/3,
0),
""))),
""),
"")</f>
        <v/>
      </c>
      <c r="AT13" s="118" t="str">
        <f>IFERROR(
IF(VLOOKUP($C13,'Employee information'!$B:$M,COLUMNS('Employee information'!$B:$M),0)=6,
IF($E$2="Fortnightly",
ROUND(
ROUND((((TRUNC($AN13/2,0)+0.99))*VLOOKUP((TRUNC($AN13/2,0)+0.99),'Tax scales - NAT 1004'!$A$65:$C$73,2,1)-VLOOKUP((TRUNC($AN13/2,0)+0.99),'Tax scales - NAT 1004'!$A$65:$C$73,3,1)),0)
*2,
0),
IF(AND($E$2="Monthly",ROUND($AN13-TRUNC($AN13),2)=0.33),
ROUND(
ROUND(((TRUNC(($AN13+0.01)*3/13,0)+0.99)*VLOOKUP((TRUNC(($AN13+0.01)*3/13,0)+0.99),'Tax scales - NAT 1004'!$A$65:$C$73,2,1)-VLOOKUP((TRUNC(($AN13+0.01)*3/13,0)+0.99),'Tax scales - NAT 1004'!$A$65:$C$73,3,1)),0)
*13/3,
0),
IF($E$2="Monthly",
ROUND(
ROUND(((TRUNC($AN13*3/13,0)+0.99)*VLOOKUP((TRUNC($AN13*3/13,0)+0.99),'Tax scales - NAT 1004'!$A$65:$C$73,2,1)-VLOOKUP((TRUNC($AN13*3/13,0)+0.99),'Tax scales - NAT 1004'!$A$65:$C$73,3,1)),0)
*13/3,
0),
""))),
""),
"")</f>
        <v/>
      </c>
      <c r="AU13" s="118" t="str">
        <f>IFERROR(
IF(VLOOKUP($C13,'Employee information'!$B:$M,COLUMNS('Employee information'!$B:$M),0)=11,
IF($E$2="Fortnightly",
ROUND(
ROUND((((TRUNC($AN13/2,0)+0.99))*VLOOKUP((TRUNC($AN13/2,0)+0.99),'Tax scales - NAT 3539'!$A$14:$C$38,2,1)-VLOOKUP((TRUNC($AN13/2,0)+0.99),'Tax scales - NAT 3539'!$A$14:$C$38,3,1)),0)
*2,
0),
IF(AND($E$2="Monthly",ROUND($AN13-TRUNC($AN13),2)=0.33),
ROUND(
ROUND(((TRUNC(($AN13+0.01)*3/13,0)+0.99)*VLOOKUP((TRUNC(($AN13+0.01)*3/13,0)+0.99),'Tax scales - NAT 3539'!$A$14:$C$38,2,1)-VLOOKUP((TRUNC(($AN13+0.01)*3/13,0)+0.99),'Tax scales - NAT 3539'!$A$14:$C$38,3,1)),0)
*13/3,
0),
IF($E$2="Monthly",
ROUND(
ROUND(((TRUNC($AN13*3/13,0)+0.99)*VLOOKUP((TRUNC($AN13*3/13,0)+0.99),'Tax scales - NAT 3539'!$A$14:$C$38,2,1)-VLOOKUP((TRUNC($AN13*3/13,0)+0.99),'Tax scales - NAT 3539'!$A$14:$C$38,3,1)),0)
*13/3,
0),
""))),
""),
"")</f>
        <v/>
      </c>
      <c r="AV13" s="118" t="str">
        <f>IFERROR(
IF(VLOOKUP($C13,'Employee information'!$B:$M,COLUMNS('Employee information'!$B:$M),0)=22,
IF($E$2="Fortnightly",
ROUND(
ROUND((((TRUNC($AN13/2,0)+0.99))*VLOOKUP((TRUNC($AN13/2,0)+0.99),'Tax scales - NAT 3539'!$A$43:$C$69,2,1)-VLOOKUP((TRUNC($AN13/2,0)+0.99),'Tax scales - NAT 3539'!$A$43:$C$69,3,1)),0)
*2,
0),
IF(AND($E$2="Monthly",ROUND($AN13-TRUNC($AN13),2)=0.33),
ROUND(
ROUND(((TRUNC(($AN13+0.01)*3/13,0)+0.99)*VLOOKUP((TRUNC(($AN13+0.01)*3/13,0)+0.99),'Tax scales - NAT 3539'!$A$43:$C$69,2,1)-VLOOKUP((TRUNC(($AN13+0.01)*3/13,0)+0.99),'Tax scales - NAT 3539'!$A$43:$C$69,3,1)),0)
*13/3,
0),
IF($E$2="Monthly",
ROUND(
ROUND(((TRUNC($AN13*3/13,0)+0.99)*VLOOKUP((TRUNC($AN13*3/13,0)+0.99),'Tax scales - NAT 3539'!$A$43:$C$69,2,1)-VLOOKUP((TRUNC($AN13*3/13,0)+0.99),'Tax scales - NAT 3539'!$A$43:$C$69,3,1)),0)
*13/3,
0),
""))),
""),
"")</f>
        <v/>
      </c>
      <c r="AW13" s="118">
        <f>IFERROR(
IF(VLOOKUP($C13,'Employee information'!$B:$M,COLUMNS('Employee information'!$B:$M),0)=33,
IF($E$2="Fortnightly",
ROUND(
ROUND((((TRUNC($AN13/2,0)+0.99))*VLOOKUP((TRUNC($AN13/2,0)+0.99),'Tax scales - NAT 3539'!$A$74:$C$94,2,1)-VLOOKUP((TRUNC($AN13/2,0)+0.99),'Tax scales - NAT 3539'!$A$74:$C$94,3,1)),0)
*2,
0),
IF(AND($E$2="Monthly",ROUND($AN13-TRUNC($AN13),2)=0.33),
ROUND(
ROUND(((TRUNC(($AN13+0.01)*3/13,0)+0.99)*VLOOKUP((TRUNC(($AN13+0.01)*3/13,0)+0.99),'Tax scales - NAT 3539'!$A$74:$C$94,2,1)-VLOOKUP((TRUNC(($AN13+0.01)*3/13,0)+0.99),'Tax scales - NAT 3539'!$A$74:$C$94,3,1)),0)
*13/3,
0),
IF($E$2="Monthly",
ROUND(
ROUND(((TRUNC($AN13*3/13,0)+0.99)*VLOOKUP((TRUNC($AN13*3/13,0)+0.99),'Tax scales - NAT 3539'!$A$74:$C$94,2,1)-VLOOKUP((TRUNC($AN13*3/13,0)+0.99),'Tax scales - NAT 3539'!$A$74:$C$94,3,1)),0)
*13/3,
0),
""))),
""),
"")</f>
        <v>292</v>
      </c>
      <c r="AX13" s="118" t="str">
        <f>IFERROR(
IF(VLOOKUP($C13,'Employee information'!$B:$M,COLUMNS('Employee information'!$B:$M),0)=55,
IF($E$2="Fortnightly",
ROUND(
ROUND((((TRUNC($AN13/2,0)+0.99))*VLOOKUP((TRUNC($AN13/2,0)+0.99),'Tax scales - NAT 3539'!$A$99:$C$123,2,1)-VLOOKUP((TRUNC($AN13/2,0)+0.99),'Tax scales - NAT 3539'!$A$99:$C$123,3,1)),0)
*2,
0),
IF(AND($E$2="Monthly",ROUND($AN13-TRUNC($AN13),2)=0.33),
ROUND(
ROUND(((TRUNC(($AN13+0.01)*3/13,0)+0.99)*VLOOKUP((TRUNC(($AN13+0.01)*3/13,0)+0.99),'Tax scales - NAT 3539'!$A$99:$C$123,2,1)-VLOOKUP((TRUNC(($AN13+0.01)*3/13,0)+0.99),'Tax scales - NAT 3539'!$A$99:$C$123,3,1)),0)
*13/3,
0),
IF($E$2="Monthly",
ROUND(
ROUND(((TRUNC($AN13*3/13,0)+0.99)*VLOOKUP((TRUNC($AN13*3/13,0)+0.99),'Tax scales - NAT 3539'!$A$99:$C$123,2,1)-VLOOKUP((TRUNC($AN13*3/13,0)+0.99),'Tax scales - NAT 3539'!$A$99:$C$123,3,1)),0)
*13/3,
0),
""))),
""),
"")</f>
        <v/>
      </c>
      <c r="AY13" s="118" t="str">
        <f>IFERROR(
IF(VLOOKUP($C13,'Employee information'!$B:$M,COLUMNS('Employee information'!$B:$M),0)=66,
IF($E$2="Fortnightly",
ROUND(
ROUND((((TRUNC($AN13/2,0)+0.99))*VLOOKUP((TRUNC($AN13/2,0)+0.99),'Tax scales - NAT 3539'!$A$127:$C$154,2,1)-VLOOKUP((TRUNC($AN13/2,0)+0.99),'Tax scales - NAT 3539'!$A$127:$C$154,3,1)),0)
*2,
0),
IF(AND($E$2="Monthly",ROUND($AN13-TRUNC($AN13),2)=0.33),
ROUND(
ROUND(((TRUNC(($AN13+0.01)*3/13,0)+0.99)*VLOOKUP((TRUNC(($AN13+0.01)*3/13,0)+0.99),'Tax scales - NAT 3539'!$A$127:$C$154,2,1)-VLOOKUP((TRUNC(($AN13+0.01)*3/13,0)+0.99),'Tax scales - NAT 3539'!$A$127:$C$154,3,1)),0)
*13/3,
0),
IF($E$2="Monthly",
ROUND(
ROUND(((TRUNC($AN13*3/13,0)+0.99)*VLOOKUP((TRUNC($AN13*3/13,0)+0.99),'Tax scales - NAT 3539'!$A$127:$C$154,2,1)-VLOOKUP((TRUNC($AN13*3/13,0)+0.99),'Tax scales - NAT 3539'!$A$127:$C$154,3,1)),0)
*13/3,
0),
""))),
""),
"")</f>
        <v/>
      </c>
      <c r="AZ13" s="118">
        <f>IFERROR(
HLOOKUP(VLOOKUP($C13,'Employee information'!$B:$M,COLUMNS('Employee information'!$B:$M),0),'PAYG worksheet'!$AO$10:$AY$29,COUNTA($C$11:$C13)+1,0),
0)</f>
        <v>292</v>
      </c>
      <c r="BA13" s="118"/>
      <c r="BB13" s="118">
        <f t="shared" si="20"/>
        <v>608</v>
      </c>
      <c r="BC13" s="119">
        <f>IFERROR(
IF(OR($AE13=1,$AE13=""),SUM($P13,$AA13,$AC13,$AK13)*VLOOKUP($C13,'Employee information'!$B:$Q,COLUMNS('Employee information'!$B:$H),0),
IF($AE13=0,SUM($P13,$AA13,$AK13)*VLOOKUP($C13,'Employee information'!$B:$Q,COLUMNS('Employee information'!$B:$H),0),
0)),
0)</f>
        <v>85.5</v>
      </c>
      <c r="BE13" s="114">
        <f t="shared" si="5"/>
        <v>900</v>
      </c>
      <c r="BF13" s="114">
        <f t="shared" si="6"/>
        <v>900</v>
      </c>
      <c r="BG13" s="114">
        <f t="shared" si="7"/>
        <v>0</v>
      </c>
      <c r="BH13" s="114">
        <f t="shared" si="8"/>
        <v>0</v>
      </c>
      <c r="BI13" s="114">
        <f t="shared" si="9"/>
        <v>292</v>
      </c>
      <c r="BJ13" s="114">
        <f t="shared" si="10"/>
        <v>0</v>
      </c>
      <c r="BK13" s="114">
        <f t="shared" si="11"/>
        <v>0</v>
      </c>
      <c r="BL13" s="114">
        <f t="shared" si="21"/>
        <v>0</v>
      </c>
      <c r="BM13" s="114">
        <f t="shared" si="12"/>
        <v>85.5</v>
      </c>
    </row>
    <row r="14" spans="1:65" x14ac:dyDescent="0.25">
      <c r="A14" s="228">
        <f t="shared" si="0"/>
        <v>1</v>
      </c>
      <c r="C14" s="278" t="s">
        <v>15</v>
      </c>
      <c r="E14" s="103">
        <f>IF($C14="",0,
IF(AND($E$2="Monthly",$A14&gt;12),0,
IF($E$2="Monthly",VLOOKUP($C14,'Employee information'!$B:$AM,COLUMNS('Employee information'!$B:S),0),
IF($E$2="Fortnightly",VLOOKUP($C14,'Employee information'!$B:$AM,COLUMNS('Employee information'!$B:R),0),
0))))</f>
        <v>75</v>
      </c>
      <c r="F14" s="106"/>
      <c r="G14" s="106"/>
      <c r="H14" s="106"/>
      <c r="I14" s="106">
        <v>7.5</v>
      </c>
      <c r="J14" s="103">
        <f t="shared" si="13"/>
        <v>75</v>
      </c>
      <c r="L14" s="113">
        <f>IF(AND($E$2="Monthly",$A14&gt;12),"",
IFERROR($J14*VLOOKUP($C14,'Employee information'!$B:$AI,COLUMNS('Employee information'!$B:$P),0),0))</f>
        <v>7692.3076923076924</v>
      </c>
      <c r="M14" s="114">
        <f t="shared" si="14"/>
        <v>7692.3076923076924</v>
      </c>
      <c r="O14" s="103">
        <f t="shared" si="15"/>
        <v>75</v>
      </c>
      <c r="P14" s="113">
        <f>IFERROR(
IF(AND($E$2="Monthly",$A14&gt;12),0,
$O14*VLOOKUP($C14,'Employee information'!$B:$AI,COLUMNS('Employee information'!$B:$P),0)),
0)</f>
        <v>7692.3076923076924</v>
      </c>
      <c r="R14" s="114">
        <f t="shared" si="1"/>
        <v>7692.3076923076924</v>
      </c>
      <c r="T14" s="103">
        <v>15</v>
      </c>
      <c r="U14" s="103">
        <v>5</v>
      </c>
      <c r="V14" s="282">
        <f>IF($C14="","",
IF(AND($E$2="Monthly",$A14&gt;12),"",
$T14*VLOOKUP($C14,'Employee information'!$B:$P,COLUMNS('Employee information'!$B:$P),0)))</f>
        <v>1538.4615384615386</v>
      </c>
      <c r="W14" s="282">
        <f>IF($C14="","",
IF(AND($E$2="Monthly",$A14&gt;12),"",
$U14*VLOOKUP($C14,'Employee information'!$B:$P,COLUMNS('Employee information'!$B:$P),0)))</f>
        <v>512.82051282051282</v>
      </c>
      <c r="X14" s="114">
        <f t="shared" si="2"/>
        <v>1538.4615384615386</v>
      </c>
      <c r="Y14" s="114">
        <f t="shared" si="3"/>
        <v>512.82051282051282</v>
      </c>
      <c r="AA14" s="118">
        <f>IFERROR(
IF(OR('Basic payroll data'!$D$12="",'Basic payroll data'!$D$12="No"),0,
$T14*VLOOKUP($C14,'Employee information'!$B:$P,COLUMNS('Employee information'!$B:$P),0)*AL_loading_perc),
0)</f>
        <v>0</v>
      </c>
      <c r="AC14" s="118"/>
      <c r="AD14" s="118"/>
      <c r="AE14" s="283" t="str">
        <f t="shared" si="16"/>
        <v/>
      </c>
      <c r="AF14" s="283" t="str">
        <f t="shared" si="17"/>
        <v/>
      </c>
      <c r="AG14" s="118">
        <v>140</v>
      </c>
      <c r="AH14" s="118" t="s">
        <v>140</v>
      </c>
      <c r="AI14" s="283">
        <f t="shared" si="18"/>
        <v>0</v>
      </c>
      <c r="AJ14" s="118"/>
      <c r="AK14" s="118"/>
      <c r="AM14" s="118">
        <f t="shared" si="19"/>
        <v>7832.3076923076924</v>
      </c>
      <c r="AN14" s="118">
        <f t="shared" si="4"/>
        <v>7692.3076923076924</v>
      </c>
      <c r="AO14" s="118" t="str">
        <f>IFERROR(
IF(VLOOKUP($C14,'Employee information'!$B:$M,COLUMNS('Employee information'!$B:$M),0)=1,
IF($E$2="Fortnightly",
ROUND(
ROUND((((TRUNC($AN14/2,0)+0.99))*VLOOKUP((TRUNC($AN14/2,0)+0.99),'Tax scales - NAT 1004'!$A$12:$C$18,2,1)-VLOOKUP((TRUNC($AN14/2,0)+0.99),'Tax scales - NAT 1004'!$A$12:$C$18,3,1)),0)
*2,
0),
IF(AND($E$2="Monthly",ROUND($AN14-TRUNC($AN14),2)=0.33),
ROUND(
ROUND(((TRUNC(($AN14+0.01)*3/13,0)+0.99)*VLOOKUP((TRUNC(($AN14+0.01)*3/13,0)+0.99),'Tax scales - NAT 1004'!$A$12:$C$18,2,1)-VLOOKUP((TRUNC(($AN14+0.01)*3/13,0)+0.99),'Tax scales - NAT 1004'!$A$12:$C$18,3,1)),0)
*13/3,
0),
IF($E$2="Monthly",
ROUND(
ROUND(((TRUNC($AN14*3/13,0)+0.99)*VLOOKUP((TRUNC($AN14*3/13,0)+0.99),'Tax scales - NAT 1004'!$A$12:$C$18,2,1)-VLOOKUP((TRUNC($AN14*3/13,0)+0.99),'Tax scales - NAT 1004'!$A$12:$C$18,3,1)),0)
*13/3,
0),
""))),
""),
"")</f>
        <v/>
      </c>
      <c r="AP14" s="118" t="str">
        <f>IFERROR(
IF(VLOOKUP($C14,'Employee information'!$B:$M,COLUMNS('Employee information'!$B:$M),0)=2,
IF($E$2="Fortnightly",
ROUND(
ROUND((((TRUNC($AN14/2,0)+0.99))*VLOOKUP((TRUNC($AN14/2,0)+0.99),'Tax scales - NAT 1004'!$A$25:$C$33,2,1)-VLOOKUP((TRUNC($AN14/2,0)+0.99),'Tax scales - NAT 1004'!$A$25:$C$33,3,1)),0)
*2,
0),
IF(AND($E$2="Monthly",ROUND($AN14-TRUNC($AN14),2)=0.33),
ROUND(
ROUND(((TRUNC(($AN14+0.01)*3/13,0)+0.99)*VLOOKUP((TRUNC(($AN14+0.01)*3/13,0)+0.99),'Tax scales - NAT 1004'!$A$25:$C$33,2,1)-VLOOKUP((TRUNC(($AN14+0.01)*3/13,0)+0.99),'Tax scales - NAT 1004'!$A$25:$C$33,3,1)),0)
*13/3,
0),
IF($E$2="Monthly",
ROUND(
ROUND(((TRUNC($AN14*3/13,0)+0.99)*VLOOKUP((TRUNC($AN14*3/13,0)+0.99),'Tax scales - NAT 1004'!$A$25:$C$33,2,1)-VLOOKUP((TRUNC($AN14*3/13,0)+0.99),'Tax scales - NAT 1004'!$A$25:$C$33,3,1)),0)
*13/3,
0),
""))),
""),
"")</f>
        <v/>
      </c>
      <c r="AQ14" s="118" t="str">
        <f>IFERROR(
IF(VLOOKUP($C14,'Employee information'!$B:$M,COLUMNS('Employee information'!$B:$M),0)=3,
IF($E$2="Fortnightly",
ROUND(
ROUND((((TRUNC($AN14/2,0)+0.99))*VLOOKUP((TRUNC($AN14/2,0)+0.99),'Tax scales - NAT 1004'!$A$39:$C$41,2,1)-VLOOKUP((TRUNC($AN14/2,0)+0.99),'Tax scales - NAT 1004'!$A$39:$C$41,3,1)),0)
*2,
0),
IF(AND($E$2="Monthly",ROUND($AN14-TRUNC($AN14),2)=0.33),
ROUND(
ROUND(((TRUNC(($AN14+0.01)*3/13,0)+0.99)*VLOOKUP((TRUNC(($AN14+0.01)*3/13,0)+0.99),'Tax scales - NAT 1004'!$A$39:$C$41,2,1)-VLOOKUP((TRUNC(($AN14+0.01)*3/13,0)+0.99),'Tax scales - NAT 1004'!$A$39:$C$41,3,1)),0)
*13/3,
0),
IF($E$2="Monthly",
ROUND(
ROUND(((TRUNC($AN14*3/13,0)+0.99)*VLOOKUP((TRUNC($AN14*3/13,0)+0.99),'Tax scales - NAT 1004'!$A$39:$C$41,2,1)-VLOOKUP((TRUNC($AN14*3/13,0)+0.99),'Tax scales - NAT 1004'!$A$39:$C$41,3,1)),0)
*13/3,
0),
""))),
""),
"")</f>
        <v/>
      </c>
      <c r="AR14" s="118" t="str">
        <f>IFERROR(
IF(AND(VLOOKUP($C14,'Employee information'!$B:$M,COLUMNS('Employee information'!$B:$M),0)=4,
VLOOKUP($C14,'Employee information'!$B:$J,COLUMNS('Employee information'!$B:$J),0)="Resident"),
TRUNC(TRUNC($AN14)*'Tax scales - NAT 1004'!$B$47),
IF(AND(VLOOKUP($C14,'Employee information'!$B:$M,COLUMNS('Employee information'!$B:$M),0)=4,
VLOOKUP($C14,'Employee information'!$B:$J,COLUMNS('Employee information'!$B:$J),0)="Foreign resident"),
TRUNC(TRUNC($AN14)*'Tax scales - NAT 1004'!$B$48),
"")),
"")</f>
        <v/>
      </c>
      <c r="AS14" s="118" t="str">
        <f>IFERROR(
IF(VLOOKUP($C14,'Employee information'!$B:$M,COLUMNS('Employee information'!$B:$M),0)=5,
IF($E$2="Fortnightly",
ROUND(
ROUND((((TRUNC($AN14/2,0)+0.99))*VLOOKUP((TRUNC($AN14/2,0)+0.99),'Tax scales - NAT 1004'!$A$53:$C$59,2,1)-VLOOKUP((TRUNC($AN14/2,0)+0.99),'Tax scales - NAT 1004'!$A$53:$C$59,3,1)),0)
*2,
0),
IF(AND($E$2="Monthly",ROUND($AN14-TRUNC($AN14),2)=0.33),
ROUND(
ROUND(((TRUNC(($AN14+0.01)*3/13,0)+0.99)*VLOOKUP((TRUNC(($AN14+0.01)*3/13,0)+0.99),'Tax scales - NAT 1004'!$A$53:$C$59,2,1)-VLOOKUP((TRUNC(($AN14+0.01)*3/13,0)+0.99),'Tax scales - NAT 1004'!$A$53:$C$59,3,1)),0)
*13/3,
0),
IF($E$2="Monthly",
ROUND(
ROUND(((TRUNC($AN14*3/13,0)+0.99)*VLOOKUP((TRUNC($AN14*3/13,0)+0.99),'Tax scales - NAT 1004'!$A$53:$C$59,2,1)-VLOOKUP((TRUNC($AN14*3/13,0)+0.99),'Tax scales - NAT 1004'!$A$53:$C$59,3,1)),0)
*13/3,
0),
""))),
""),
"")</f>
        <v/>
      </c>
      <c r="AT14" s="118" t="str">
        <f>IFERROR(
IF(VLOOKUP($C14,'Employee information'!$B:$M,COLUMNS('Employee information'!$B:$M),0)=6,
IF($E$2="Fortnightly",
ROUND(
ROUND((((TRUNC($AN14/2,0)+0.99))*VLOOKUP((TRUNC($AN14/2,0)+0.99),'Tax scales - NAT 1004'!$A$65:$C$73,2,1)-VLOOKUP((TRUNC($AN14/2,0)+0.99),'Tax scales - NAT 1004'!$A$65:$C$73,3,1)),0)
*2,
0),
IF(AND($E$2="Monthly",ROUND($AN14-TRUNC($AN14),2)=0.33),
ROUND(
ROUND(((TRUNC(($AN14+0.01)*3/13,0)+0.99)*VLOOKUP((TRUNC(($AN14+0.01)*3/13,0)+0.99),'Tax scales - NAT 1004'!$A$65:$C$73,2,1)-VLOOKUP((TRUNC(($AN14+0.01)*3/13,0)+0.99),'Tax scales - NAT 1004'!$A$65:$C$73,3,1)),0)
*13/3,
0),
IF($E$2="Monthly",
ROUND(
ROUND(((TRUNC($AN14*3/13,0)+0.99)*VLOOKUP((TRUNC($AN14*3/13,0)+0.99),'Tax scales - NAT 1004'!$A$65:$C$73,2,1)-VLOOKUP((TRUNC($AN14*3/13,0)+0.99),'Tax scales - NAT 1004'!$A$65:$C$73,3,1)),0)
*13/3,
0),
""))),
""),
"")</f>
        <v/>
      </c>
      <c r="AU14" s="118" t="str">
        <f>IFERROR(
IF(VLOOKUP($C14,'Employee information'!$B:$M,COLUMNS('Employee information'!$B:$M),0)=11,
IF($E$2="Fortnightly",
ROUND(
ROUND((((TRUNC($AN14/2,0)+0.99))*VLOOKUP((TRUNC($AN14/2,0)+0.99),'Tax scales - NAT 3539'!$A$14:$C$38,2,1)-VLOOKUP((TRUNC($AN14/2,0)+0.99),'Tax scales - NAT 3539'!$A$14:$C$38,3,1)),0)
*2,
0),
IF(AND($E$2="Monthly",ROUND($AN14-TRUNC($AN14),2)=0.33),
ROUND(
ROUND(((TRUNC(($AN14+0.01)*3/13,0)+0.99)*VLOOKUP((TRUNC(($AN14+0.01)*3/13,0)+0.99),'Tax scales - NAT 3539'!$A$14:$C$38,2,1)-VLOOKUP((TRUNC(($AN14+0.01)*3/13,0)+0.99),'Tax scales - NAT 3539'!$A$14:$C$38,3,1)),0)
*13/3,
0),
IF($E$2="Monthly",
ROUND(
ROUND(((TRUNC($AN14*3/13,0)+0.99)*VLOOKUP((TRUNC($AN14*3/13,0)+0.99),'Tax scales - NAT 3539'!$A$14:$C$38,2,1)-VLOOKUP((TRUNC($AN14*3/13,0)+0.99),'Tax scales - NAT 3539'!$A$14:$C$38,3,1)),0)
*13/3,
0),
""))),
""),
"")</f>
        <v/>
      </c>
      <c r="AV14" s="118" t="str">
        <f>IFERROR(
IF(VLOOKUP($C14,'Employee information'!$B:$M,COLUMNS('Employee information'!$B:$M),0)=22,
IF($E$2="Fortnightly",
ROUND(
ROUND((((TRUNC($AN14/2,0)+0.99))*VLOOKUP((TRUNC($AN14/2,0)+0.99),'Tax scales - NAT 3539'!$A$43:$C$69,2,1)-VLOOKUP((TRUNC($AN14/2,0)+0.99),'Tax scales - NAT 3539'!$A$43:$C$69,3,1)),0)
*2,
0),
IF(AND($E$2="Monthly",ROUND($AN14-TRUNC($AN14),2)=0.33),
ROUND(
ROUND(((TRUNC(($AN14+0.01)*3/13,0)+0.99)*VLOOKUP((TRUNC(($AN14+0.01)*3/13,0)+0.99),'Tax scales - NAT 3539'!$A$43:$C$69,2,1)-VLOOKUP((TRUNC(($AN14+0.01)*3/13,0)+0.99),'Tax scales - NAT 3539'!$A$43:$C$69,3,1)),0)
*13/3,
0),
IF($E$2="Monthly",
ROUND(
ROUND(((TRUNC($AN14*3/13,0)+0.99)*VLOOKUP((TRUNC($AN14*3/13,0)+0.99),'Tax scales - NAT 3539'!$A$43:$C$69,2,1)-VLOOKUP((TRUNC($AN14*3/13,0)+0.99),'Tax scales - NAT 3539'!$A$43:$C$69,3,1)),0)
*13/3,
0),
""))),
""),
"")</f>
        <v/>
      </c>
      <c r="AW14" s="118" t="str">
        <f>IFERROR(
IF(VLOOKUP($C14,'Employee information'!$B:$M,COLUMNS('Employee information'!$B:$M),0)=33,
IF($E$2="Fortnightly",
ROUND(
ROUND((((TRUNC($AN14/2,0)+0.99))*VLOOKUP((TRUNC($AN14/2,0)+0.99),'Tax scales - NAT 3539'!$A$74:$C$94,2,1)-VLOOKUP((TRUNC($AN14/2,0)+0.99),'Tax scales - NAT 3539'!$A$74:$C$94,3,1)),0)
*2,
0),
IF(AND($E$2="Monthly",ROUND($AN14-TRUNC($AN14),2)=0.33),
ROUND(
ROUND(((TRUNC(($AN14+0.01)*3/13,0)+0.99)*VLOOKUP((TRUNC(($AN14+0.01)*3/13,0)+0.99),'Tax scales - NAT 3539'!$A$74:$C$94,2,1)-VLOOKUP((TRUNC(($AN14+0.01)*3/13,0)+0.99),'Tax scales - NAT 3539'!$A$74:$C$94,3,1)),0)
*13/3,
0),
IF($E$2="Monthly",
ROUND(
ROUND(((TRUNC($AN14*3/13,0)+0.99)*VLOOKUP((TRUNC($AN14*3/13,0)+0.99),'Tax scales - NAT 3539'!$A$74:$C$94,2,1)-VLOOKUP((TRUNC($AN14*3/13,0)+0.99),'Tax scales - NAT 3539'!$A$74:$C$94,3,1)),0)
*13/3,
0),
""))),
""),
"")</f>
        <v/>
      </c>
      <c r="AX14" s="118">
        <f>IFERROR(
IF(VLOOKUP($C14,'Employee information'!$B:$M,COLUMNS('Employee information'!$B:$M),0)=55,
IF($E$2="Fortnightly",
ROUND(
ROUND((((TRUNC($AN14/2,0)+0.99))*VLOOKUP((TRUNC($AN14/2,0)+0.99),'Tax scales - NAT 3539'!$A$99:$C$123,2,1)-VLOOKUP((TRUNC($AN14/2,0)+0.99),'Tax scales - NAT 3539'!$A$99:$C$123,3,1)),0)
*2,
0),
IF(AND($E$2="Monthly",ROUND($AN14-TRUNC($AN14),2)=0.33),
ROUND(
ROUND(((TRUNC(($AN14+0.01)*3/13,0)+0.99)*VLOOKUP((TRUNC(($AN14+0.01)*3/13,0)+0.99),'Tax scales - NAT 3539'!$A$99:$C$123,2,1)-VLOOKUP((TRUNC(($AN14+0.01)*3/13,0)+0.99),'Tax scales - NAT 3539'!$A$99:$C$123,3,1)),0)
*13/3,
0),
IF($E$2="Monthly",
ROUND(
ROUND(((TRUNC($AN14*3/13,0)+0.99)*VLOOKUP((TRUNC($AN14*3/13,0)+0.99),'Tax scales - NAT 3539'!$A$99:$C$123,2,1)-VLOOKUP((TRUNC($AN14*3/13,0)+0.99),'Tax scales - NAT 3539'!$A$99:$C$123,3,1)),0)
*13/3,
0),
""))),
""),
"")</f>
        <v>3104</v>
      </c>
      <c r="AY14" s="118" t="str">
        <f>IFERROR(
IF(VLOOKUP($C14,'Employee information'!$B:$M,COLUMNS('Employee information'!$B:$M),0)=66,
IF($E$2="Fortnightly",
ROUND(
ROUND((((TRUNC($AN14/2,0)+0.99))*VLOOKUP((TRUNC($AN14/2,0)+0.99),'Tax scales - NAT 3539'!$A$127:$C$154,2,1)-VLOOKUP((TRUNC($AN14/2,0)+0.99),'Tax scales - NAT 3539'!$A$127:$C$154,3,1)),0)
*2,
0),
IF(AND($E$2="Monthly",ROUND($AN14-TRUNC($AN14),2)=0.33),
ROUND(
ROUND(((TRUNC(($AN14+0.01)*3/13,0)+0.99)*VLOOKUP((TRUNC(($AN14+0.01)*3/13,0)+0.99),'Tax scales - NAT 3539'!$A$127:$C$154,2,1)-VLOOKUP((TRUNC(($AN14+0.01)*3/13,0)+0.99),'Tax scales - NAT 3539'!$A$127:$C$154,3,1)),0)
*13/3,
0),
IF($E$2="Monthly",
ROUND(
ROUND(((TRUNC($AN14*3/13,0)+0.99)*VLOOKUP((TRUNC($AN14*3/13,0)+0.99),'Tax scales - NAT 3539'!$A$127:$C$154,2,1)-VLOOKUP((TRUNC($AN14*3/13,0)+0.99),'Tax scales - NAT 3539'!$A$127:$C$154,3,1)),0)
*13/3,
0),
""))),
""),
"")</f>
        <v/>
      </c>
      <c r="AZ14" s="118">
        <f>IFERROR(
HLOOKUP(VLOOKUP($C14,'Employee information'!$B:$M,COLUMNS('Employee information'!$B:$M),0),'PAYG worksheet'!$AO$10:$AY$29,COUNTA($C$11:$C14)+1,0),
0)</f>
        <v>3104</v>
      </c>
      <c r="BA14" s="118"/>
      <c r="BB14" s="118">
        <f t="shared" si="20"/>
        <v>4728.3076923076924</v>
      </c>
      <c r="BC14" s="119">
        <f>IFERROR(
IF(OR($AE14=1,$AE14=""),SUM($P14,$AA14,$AC14,$AK14)*VLOOKUP($C14,'Employee information'!$B:$Q,COLUMNS('Employee information'!$B:$H),0),
IF($AE14=0,SUM($P14,$AA14,$AK14)*VLOOKUP($C14,'Employee information'!$B:$Q,COLUMNS('Employee information'!$B:$H),0),
0)),
0)</f>
        <v>730.76923076923083</v>
      </c>
      <c r="BE14" s="114">
        <f t="shared" si="5"/>
        <v>7832.3076923076924</v>
      </c>
      <c r="BF14" s="114">
        <f t="shared" si="6"/>
        <v>7692.3076923076924</v>
      </c>
      <c r="BG14" s="114">
        <f t="shared" si="7"/>
        <v>0</v>
      </c>
      <c r="BH14" s="114">
        <f t="shared" si="8"/>
        <v>140</v>
      </c>
      <c r="BI14" s="114">
        <f t="shared" si="9"/>
        <v>3104</v>
      </c>
      <c r="BJ14" s="114">
        <f t="shared" si="10"/>
        <v>0</v>
      </c>
      <c r="BK14" s="114">
        <f t="shared" si="11"/>
        <v>0</v>
      </c>
      <c r="BL14" s="114">
        <f t="shared" si="21"/>
        <v>0</v>
      </c>
      <c r="BM14" s="114">
        <f t="shared" si="12"/>
        <v>730.76923076923083</v>
      </c>
    </row>
    <row r="15" spans="1:65" x14ac:dyDescent="0.25">
      <c r="A15" s="228">
        <f t="shared" si="0"/>
        <v>1</v>
      </c>
      <c r="C15" s="278" t="s">
        <v>16</v>
      </c>
      <c r="E15" s="103">
        <f>IF($C15="",0,
IF(AND($E$2="Monthly",$A15&gt;12),0,
IF($E$2="Monthly",VLOOKUP($C15,'Employee information'!$B:$AM,COLUMNS('Employee information'!$B:S),0),
IF($E$2="Fortnightly",VLOOKUP($C15,'Employee information'!$B:$AM,COLUMNS('Employee information'!$B:R),0),
0))))</f>
        <v>75</v>
      </c>
      <c r="F15" s="106"/>
      <c r="G15" s="106"/>
      <c r="H15" s="106"/>
      <c r="I15" s="106"/>
      <c r="J15" s="103">
        <f t="shared" si="13"/>
        <v>75</v>
      </c>
      <c r="L15" s="113">
        <f>IF(AND($E$2="Monthly",$A15&gt;12),"",
IFERROR($J15*VLOOKUP($C15,'Employee information'!$B:$AI,COLUMNS('Employee information'!$B:$P),0),0))</f>
        <v>4125</v>
      </c>
      <c r="M15" s="114">
        <f t="shared" si="14"/>
        <v>4125</v>
      </c>
      <c r="O15" s="103">
        <f t="shared" si="15"/>
        <v>75</v>
      </c>
      <c r="P15" s="113">
        <f>IFERROR(
IF(AND($E$2="Monthly",$A15&gt;12),0,
$O15*VLOOKUP($C15,'Employee information'!$B:$AI,COLUMNS('Employee information'!$B:$P),0)),
0)</f>
        <v>4125</v>
      </c>
      <c r="R15" s="114">
        <f t="shared" si="1"/>
        <v>4125</v>
      </c>
      <c r="T15" s="103"/>
      <c r="U15" s="103"/>
      <c r="V15" s="282">
        <f>IF($C15="","",
IF(AND($E$2="Monthly",$A15&gt;12),"",
$T15*VLOOKUP($C15,'Employee information'!$B:$P,COLUMNS('Employee information'!$B:$P),0)))</f>
        <v>0</v>
      </c>
      <c r="W15" s="282">
        <f>IF($C15="","",
IF(AND($E$2="Monthly",$A15&gt;12),"",
$U15*VLOOKUP($C15,'Employee information'!$B:$P,COLUMNS('Employee information'!$B:$P),0)))</f>
        <v>0</v>
      </c>
      <c r="X15" s="114">
        <f t="shared" si="2"/>
        <v>0</v>
      </c>
      <c r="Y15" s="114">
        <f t="shared" si="3"/>
        <v>0</v>
      </c>
      <c r="AA15" s="118">
        <f>IFERROR(
IF(OR('Basic payroll data'!$D$12="",'Basic payroll data'!$D$12="No"),0,
$T15*VLOOKUP($C15,'Employee information'!$B:$P,COLUMNS('Employee information'!$B:$P),0)*AL_loading_perc),
0)</f>
        <v>0</v>
      </c>
      <c r="AC15" s="118"/>
      <c r="AD15" s="118"/>
      <c r="AE15" s="283" t="str">
        <f t="shared" si="16"/>
        <v/>
      </c>
      <c r="AF15" s="283" t="str">
        <f t="shared" si="17"/>
        <v/>
      </c>
      <c r="AG15" s="118"/>
      <c r="AH15" s="118"/>
      <c r="AI15" s="283" t="str">
        <f t="shared" si="18"/>
        <v/>
      </c>
      <c r="AJ15" s="118"/>
      <c r="AK15" s="118">
        <v>100</v>
      </c>
      <c r="AM15" s="118">
        <f t="shared" si="19"/>
        <v>4225</v>
      </c>
      <c r="AN15" s="118">
        <f t="shared" si="4"/>
        <v>4225</v>
      </c>
      <c r="AO15" s="118" t="str">
        <f>IFERROR(
IF(VLOOKUP($C15,'Employee information'!$B:$M,COLUMNS('Employee information'!$B:$M),0)=1,
IF($E$2="Fortnightly",
ROUND(
ROUND((((TRUNC($AN15/2,0)+0.99))*VLOOKUP((TRUNC($AN15/2,0)+0.99),'Tax scales - NAT 1004'!$A$12:$C$18,2,1)-VLOOKUP((TRUNC($AN15/2,0)+0.99),'Tax scales - NAT 1004'!$A$12:$C$18,3,1)),0)
*2,
0),
IF(AND($E$2="Monthly",ROUND($AN15-TRUNC($AN15),2)=0.33),
ROUND(
ROUND(((TRUNC(($AN15+0.01)*3/13,0)+0.99)*VLOOKUP((TRUNC(($AN15+0.01)*3/13,0)+0.99),'Tax scales - NAT 1004'!$A$12:$C$18,2,1)-VLOOKUP((TRUNC(($AN15+0.01)*3/13,0)+0.99),'Tax scales - NAT 1004'!$A$12:$C$18,3,1)),0)
*13/3,
0),
IF($E$2="Monthly",
ROUND(
ROUND(((TRUNC($AN15*3/13,0)+0.99)*VLOOKUP((TRUNC($AN15*3/13,0)+0.99),'Tax scales - NAT 1004'!$A$12:$C$18,2,1)-VLOOKUP((TRUNC($AN15*3/13,0)+0.99),'Tax scales - NAT 1004'!$A$12:$C$18,3,1)),0)
*13/3,
0),
""))),
""),
"")</f>
        <v/>
      </c>
      <c r="AP15" s="118" t="str">
        <f>IFERROR(
IF(VLOOKUP($C15,'Employee information'!$B:$M,COLUMNS('Employee information'!$B:$M),0)=2,
IF($E$2="Fortnightly",
ROUND(
ROUND((((TRUNC($AN15/2,0)+0.99))*VLOOKUP((TRUNC($AN15/2,0)+0.99),'Tax scales - NAT 1004'!$A$25:$C$33,2,1)-VLOOKUP((TRUNC($AN15/2,0)+0.99),'Tax scales - NAT 1004'!$A$25:$C$33,3,1)),0)
*2,
0),
IF(AND($E$2="Monthly",ROUND($AN15-TRUNC($AN15),2)=0.33),
ROUND(
ROUND(((TRUNC(($AN15+0.01)*3/13,0)+0.99)*VLOOKUP((TRUNC(($AN15+0.01)*3/13,0)+0.99),'Tax scales - NAT 1004'!$A$25:$C$33,2,1)-VLOOKUP((TRUNC(($AN15+0.01)*3/13,0)+0.99),'Tax scales - NAT 1004'!$A$25:$C$33,3,1)),0)
*13/3,
0),
IF($E$2="Monthly",
ROUND(
ROUND(((TRUNC($AN15*3/13,0)+0.99)*VLOOKUP((TRUNC($AN15*3/13,0)+0.99),'Tax scales - NAT 1004'!$A$25:$C$33,2,1)-VLOOKUP((TRUNC($AN15*3/13,0)+0.99),'Tax scales - NAT 1004'!$A$25:$C$33,3,1)),0)
*13/3,
0),
""))),
""),
"")</f>
        <v/>
      </c>
      <c r="AQ15" s="118" t="str">
        <f>IFERROR(
IF(VLOOKUP($C15,'Employee information'!$B:$M,COLUMNS('Employee information'!$B:$M),0)=3,
IF($E$2="Fortnightly",
ROUND(
ROUND((((TRUNC($AN15/2,0)+0.99))*VLOOKUP((TRUNC($AN15/2,0)+0.99),'Tax scales - NAT 1004'!$A$39:$C$41,2,1)-VLOOKUP((TRUNC($AN15/2,0)+0.99),'Tax scales - NAT 1004'!$A$39:$C$41,3,1)),0)
*2,
0),
IF(AND($E$2="Monthly",ROUND($AN15-TRUNC($AN15),2)=0.33),
ROUND(
ROUND(((TRUNC(($AN15+0.01)*3/13,0)+0.99)*VLOOKUP((TRUNC(($AN15+0.01)*3/13,0)+0.99),'Tax scales - NAT 1004'!$A$39:$C$41,2,1)-VLOOKUP((TRUNC(($AN15+0.01)*3/13,0)+0.99),'Tax scales - NAT 1004'!$A$39:$C$41,3,1)),0)
*13/3,
0),
IF($E$2="Monthly",
ROUND(
ROUND(((TRUNC($AN15*3/13,0)+0.99)*VLOOKUP((TRUNC($AN15*3/13,0)+0.99),'Tax scales - NAT 1004'!$A$39:$C$41,2,1)-VLOOKUP((TRUNC($AN15*3/13,0)+0.99),'Tax scales - NAT 1004'!$A$39:$C$41,3,1)),0)
*13/3,
0),
""))),
""),
"")</f>
        <v/>
      </c>
      <c r="AR15" s="118" t="str">
        <f>IFERROR(
IF(AND(VLOOKUP($C15,'Employee information'!$B:$M,COLUMNS('Employee information'!$B:$M),0)=4,
VLOOKUP($C15,'Employee information'!$B:$J,COLUMNS('Employee information'!$B:$J),0)="Resident"),
TRUNC(TRUNC($AN15)*'Tax scales - NAT 1004'!$B$47),
IF(AND(VLOOKUP($C15,'Employee information'!$B:$M,COLUMNS('Employee information'!$B:$M),0)=4,
VLOOKUP($C15,'Employee information'!$B:$J,COLUMNS('Employee information'!$B:$J),0)="Foreign resident"),
TRUNC(TRUNC($AN15)*'Tax scales - NAT 1004'!$B$48),
"")),
"")</f>
        <v/>
      </c>
      <c r="AS15" s="118" t="str">
        <f>IFERROR(
IF(VLOOKUP($C15,'Employee information'!$B:$M,COLUMNS('Employee information'!$B:$M),0)=5,
IF($E$2="Fortnightly",
ROUND(
ROUND((((TRUNC($AN15/2,0)+0.99))*VLOOKUP((TRUNC($AN15/2,0)+0.99),'Tax scales - NAT 1004'!$A$53:$C$59,2,1)-VLOOKUP((TRUNC($AN15/2,0)+0.99),'Tax scales - NAT 1004'!$A$53:$C$59,3,1)),0)
*2,
0),
IF(AND($E$2="Monthly",ROUND($AN15-TRUNC($AN15),2)=0.33),
ROUND(
ROUND(((TRUNC(($AN15+0.01)*3/13,0)+0.99)*VLOOKUP((TRUNC(($AN15+0.01)*3/13,0)+0.99),'Tax scales - NAT 1004'!$A$53:$C$59,2,1)-VLOOKUP((TRUNC(($AN15+0.01)*3/13,0)+0.99),'Tax scales - NAT 1004'!$A$53:$C$59,3,1)),0)
*13/3,
0),
IF($E$2="Monthly",
ROUND(
ROUND(((TRUNC($AN15*3/13,0)+0.99)*VLOOKUP((TRUNC($AN15*3/13,0)+0.99),'Tax scales - NAT 1004'!$A$53:$C$59,2,1)-VLOOKUP((TRUNC($AN15*3/13,0)+0.99),'Tax scales - NAT 1004'!$A$53:$C$59,3,1)),0)
*13/3,
0),
""))),
""),
"")</f>
        <v/>
      </c>
      <c r="AT15" s="118" t="str">
        <f>IFERROR(
IF(VLOOKUP($C15,'Employee information'!$B:$M,COLUMNS('Employee information'!$B:$M),0)=6,
IF($E$2="Fortnightly",
ROUND(
ROUND((((TRUNC($AN15/2,0)+0.99))*VLOOKUP((TRUNC($AN15/2,0)+0.99),'Tax scales - NAT 1004'!$A$65:$C$73,2,1)-VLOOKUP((TRUNC($AN15/2,0)+0.99),'Tax scales - NAT 1004'!$A$65:$C$73,3,1)),0)
*2,
0),
IF(AND($E$2="Monthly",ROUND($AN15-TRUNC($AN15),2)=0.33),
ROUND(
ROUND(((TRUNC(($AN15+0.01)*3/13,0)+0.99)*VLOOKUP((TRUNC(($AN15+0.01)*3/13,0)+0.99),'Tax scales - NAT 1004'!$A$65:$C$73,2,1)-VLOOKUP((TRUNC(($AN15+0.01)*3/13,0)+0.99),'Tax scales - NAT 1004'!$A$65:$C$73,3,1)),0)
*13/3,
0),
IF($E$2="Monthly",
ROUND(
ROUND(((TRUNC($AN15*3/13,0)+0.99)*VLOOKUP((TRUNC($AN15*3/13,0)+0.99),'Tax scales - NAT 1004'!$A$65:$C$73,2,1)-VLOOKUP((TRUNC($AN15*3/13,0)+0.99),'Tax scales - NAT 1004'!$A$65:$C$73,3,1)),0)
*13/3,
0),
""))),
""),
"")</f>
        <v/>
      </c>
      <c r="AU15" s="118">
        <f>IFERROR(
IF(VLOOKUP($C15,'Employee information'!$B:$M,COLUMNS('Employee information'!$B:$M),0)=11,
IF($E$2="Fortnightly",
ROUND(
ROUND((((TRUNC($AN15/2,0)+0.99))*VLOOKUP((TRUNC($AN15/2,0)+0.99),'Tax scales - NAT 3539'!$A$14:$C$38,2,1)-VLOOKUP((TRUNC($AN15/2,0)+0.99),'Tax scales - NAT 3539'!$A$14:$C$38,3,1)),0)
*2,
0),
IF(AND($E$2="Monthly",ROUND($AN15-TRUNC($AN15),2)=0.33),
ROUND(
ROUND(((TRUNC(($AN15+0.01)*3/13,0)+0.99)*VLOOKUP((TRUNC(($AN15+0.01)*3/13,0)+0.99),'Tax scales - NAT 3539'!$A$14:$C$38,2,1)-VLOOKUP((TRUNC(($AN15+0.01)*3/13,0)+0.99),'Tax scales - NAT 3539'!$A$14:$C$38,3,1)),0)
*13/3,
0),
IF($E$2="Monthly",
ROUND(
ROUND(((TRUNC($AN15*3/13,0)+0.99)*VLOOKUP((TRUNC($AN15*3/13,0)+0.99),'Tax scales - NAT 3539'!$A$14:$C$38,2,1)-VLOOKUP((TRUNC($AN15*3/13,0)+0.99),'Tax scales - NAT 3539'!$A$14:$C$38,3,1)),0)
*13/3,
0),
""))),
""),
"")</f>
        <v>1728</v>
      </c>
      <c r="AV15" s="118" t="str">
        <f>IFERROR(
IF(VLOOKUP($C15,'Employee information'!$B:$M,COLUMNS('Employee information'!$B:$M),0)=22,
IF($E$2="Fortnightly",
ROUND(
ROUND((((TRUNC($AN15/2,0)+0.99))*VLOOKUP((TRUNC($AN15/2,0)+0.99),'Tax scales - NAT 3539'!$A$43:$C$69,2,1)-VLOOKUP((TRUNC($AN15/2,0)+0.99),'Tax scales - NAT 3539'!$A$43:$C$69,3,1)),0)
*2,
0),
IF(AND($E$2="Monthly",ROUND($AN15-TRUNC($AN15),2)=0.33),
ROUND(
ROUND(((TRUNC(($AN15+0.01)*3/13,0)+0.99)*VLOOKUP((TRUNC(($AN15+0.01)*3/13,0)+0.99),'Tax scales - NAT 3539'!$A$43:$C$69,2,1)-VLOOKUP((TRUNC(($AN15+0.01)*3/13,0)+0.99),'Tax scales - NAT 3539'!$A$43:$C$69,3,1)),0)
*13/3,
0),
IF($E$2="Monthly",
ROUND(
ROUND(((TRUNC($AN15*3/13,0)+0.99)*VLOOKUP((TRUNC($AN15*3/13,0)+0.99),'Tax scales - NAT 3539'!$A$43:$C$69,2,1)-VLOOKUP((TRUNC($AN15*3/13,0)+0.99),'Tax scales - NAT 3539'!$A$43:$C$69,3,1)),0)
*13/3,
0),
""))),
""),
"")</f>
        <v/>
      </c>
      <c r="AW15" s="118" t="str">
        <f>IFERROR(
IF(VLOOKUP($C15,'Employee information'!$B:$M,COLUMNS('Employee information'!$B:$M),0)=33,
IF($E$2="Fortnightly",
ROUND(
ROUND((((TRUNC($AN15/2,0)+0.99))*VLOOKUP((TRUNC($AN15/2,0)+0.99),'Tax scales - NAT 3539'!$A$74:$C$94,2,1)-VLOOKUP((TRUNC($AN15/2,0)+0.99),'Tax scales - NAT 3539'!$A$74:$C$94,3,1)),0)
*2,
0),
IF(AND($E$2="Monthly",ROUND($AN15-TRUNC($AN15),2)=0.33),
ROUND(
ROUND(((TRUNC(($AN15+0.01)*3/13,0)+0.99)*VLOOKUP((TRUNC(($AN15+0.01)*3/13,0)+0.99),'Tax scales - NAT 3539'!$A$74:$C$94,2,1)-VLOOKUP((TRUNC(($AN15+0.01)*3/13,0)+0.99),'Tax scales - NAT 3539'!$A$74:$C$94,3,1)),0)
*13/3,
0),
IF($E$2="Monthly",
ROUND(
ROUND(((TRUNC($AN15*3/13,0)+0.99)*VLOOKUP((TRUNC($AN15*3/13,0)+0.99),'Tax scales - NAT 3539'!$A$74:$C$94,2,1)-VLOOKUP((TRUNC($AN15*3/13,0)+0.99),'Tax scales - NAT 3539'!$A$74:$C$94,3,1)),0)
*13/3,
0),
""))),
""),
"")</f>
        <v/>
      </c>
      <c r="AX15" s="118" t="str">
        <f>IFERROR(
IF(VLOOKUP($C15,'Employee information'!$B:$M,COLUMNS('Employee information'!$B:$M),0)=55,
IF($E$2="Fortnightly",
ROUND(
ROUND((((TRUNC($AN15/2,0)+0.99))*VLOOKUP((TRUNC($AN15/2,0)+0.99),'Tax scales - NAT 3539'!$A$99:$C$123,2,1)-VLOOKUP((TRUNC($AN15/2,0)+0.99),'Tax scales - NAT 3539'!$A$99:$C$123,3,1)),0)
*2,
0),
IF(AND($E$2="Monthly",ROUND($AN15-TRUNC($AN15),2)=0.33),
ROUND(
ROUND(((TRUNC(($AN15+0.01)*3/13,0)+0.99)*VLOOKUP((TRUNC(($AN15+0.01)*3/13,0)+0.99),'Tax scales - NAT 3539'!$A$99:$C$123,2,1)-VLOOKUP((TRUNC(($AN15+0.01)*3/13,0)+0.99),'Tax scales - NAT 3539'!$A$99:$C$123,3,1)),0)
*13/3,
0),
IF($E$2="Monthly",
ROUND(
ROUND(((TRUNC($AN15*3/13,0)+0.99)*VLOOKUP((TRUNC($AN15*3/13,0)+0.99),'Tax scales - NAT 3539'!$A$99:$C$123,2,1)-VLOOKUP((TRUNC($AN15*3/13,0)+0.99),'Tax scales - NAT 3539'!$A$99:$C$123,3,1)),0)
*13/3,
0),
""))),
""),
"")</f>
        <v/>
      </c>
      <c r="AY15" s="118" t="str">
        <f>IFERROR(
IF(VLOOKUP($C15,'Employee information'!$B:$M,COLUMNS('Employee information'!$B:$M),0)=66,
IF($E$2="Fortnightly",
ROUND(
ROUND((((TRUNC($AN15/2,0)+0.99))*VLOOKUP((TRUNC($AN15/2,0)+0.99),'Tax scales - NAT 3539'!$A$127:$C$154,2,1)-VLOOKUP((TRUNC($AN15/2,0)+0.99),'Tax scales - NAT 3539'!$A$127:$C$154,3,1)),0)
*2,
0),
IF(AND($E$2="Monthly",ROUND($AN15-TRUNC($AN15),2)=0.33),
ROUND(
ROUND(((TRUNC(($AN15+0.01)*3/13,0)+0.99)*VLOOKUP((TRUNC(($AN15+0.01)*3/13,0)+0.99),'Tax scales - NAT 3539'!$A$127:$C$154,2,1)-VLOOKUP((TRUNC(($AN15+0.01)*3/13,0)+0.99),'Tax scales - NAT 3539'!$A$127:$C$154,3,1)),0)
*13/3,
0),
IF($E$2="Monthly",
ROUND(
ROUND(((TRUNC($AN15*3/13,0)+0.99)*VLOOKUP((TRUNC($AN15*3/13,0)+0.99),'Tax scales - NAT 3539'!$A$127:$C$154,2,1)-VLOOKUP((TRUNC($AN15*3/13,0)+0.99),'Tax scales - NAT 3539'!$A$127:$C$154,3,1)),0)
*13/3,
0),
""))),
""),
"")</f>
        <v/>
      </c>
      <c r="AZ15" s="118">
        <f>IFERROR(
HLOOKUP(VLOOKUP($C15,'Employee information'!$B:$M,COLUMNS('Employee information'!$B:$M),0),'PAYG worksheet'!$AO$10:$AY$29,COUNTA($C$11:$C15)+1,0),
0)</f>
        <v>1728</v>
      </c>
      <c r="BA15" s="118"/>
      <c r="BB15" s="118">
        <f t="shared" si="20"/>
        <v>2497</v>
      </c>
      <c r="BC15" s="119">
        <f>IFERROR(
IF(OR($AE15=1,$AE15=""),SUM($P15,$AA15,$AC15,$AK15)*VLOOKUP($C15,'Employee information'!$B:$Q,COLUMNS('Employee information'!$B:$H),0),
IF($AE15=0,SUM($P15,$AA15,$AK15)*VLOOKUP($C15,'Employee information'!$B:$Q,COLUMNS('Employee information'!$B:$H),0),
0)),
0)</f>
        <v>401.375</v>
      </c>
      <c r="BE15" s="114">
        <f t="shared" si="5"/>
        <v>4225</v>
      </c>
      <c r="BF15" s="114">
        <f t="shared" si="6"/>
        <v>4225</v>
      </c>
      <c r="BG15" s="114">
        <f t="shared" si="7"/>
        <v>0</v>
      </c>
      <c r="BH15" s="114">
        <f t="shared" si="8"/>
        <v>0</v>
      </c>
      <c r="BI15" s="114">
        <f t="shared" si="9"/>
        <v>1728</v>
      </c>
      <c r="BJ15" s="114">
        <f t="shared" si="10"/>
        <v>0</v>
      </c>
      <c r="BK15" s="114">
        <f t="shared" si="11"/>
        <v>0</v>
      </c>
      <c r="BL15" s="114">
        <f t="shared" si="21"/>
        <v>100</v>
      </c>
      <c r="BM15" s="114">
        <f t="shared" si="12"/>
        <v>401.375</v>
      </c>
    </row>
    <row r="16" spans="1:65" x14ac:dyDescent="0.25">
      <c r="A16" s="228">
        <f t="shared" si="0"/>
        <v>1</v>
      </c>
      <c r="C16" s="278" t="s">
        <v>17</v>
      </c>
      <c r="E16" s="103">
        <f>IF($C16="",0,
IF(AND($E$2="Monthly",$A16&gt;12),0,
IF($E$2="Monthly",VLOOKUP($C16,'Employee information'!$B:$AM,COLUMNS('Employee information'!$B:S),0),
IF($E$2="Fortnightly",VLOOKUP($C16,'Employee information'!$B:$AM,COLUMNS('Employee information'!$B:R),0),
0))))</f>
        <v>75</v>
      </c>
      <c r="F16" s="106"/>
      <c r="G16" s="106"/>
      <c r="H16" s="106"/>
      <c r="I16" s="106">
        <v>7.5</v>
      </c>
      <c r="J16" s="103">
        <f t="shared" si="13"/>
        <v>75</v>
      </c>
      <c r="L16" s="113">
        <f>IF(AND($E$2="Monthly",$A16&gt;12),"",
IFERROR($J16*VLOOKUP($C16,'Employee information'!$B:$AI,COLUMNS('Employee information'!$B:$P),0),0))</f>
        <v>2500</v>
      </c>
      <c r="M16" s="114">
        <f t="shared" si="14"/>
        <v>2500</v>
      </c>
      <c r="O16" s="103">
        <f t="shared" si="15"/>
        <v>75</v>
      </c>
      <c r="P16" s="113">
        <f>IFERROR(
IF(AND($E$2="Monthly",$A16&gt;12),0,
$O16*VLOOKUP($C16,'Employee information'!$B:$AI,COLUMNS('Employee information'!$B:$P),0)),
0)</f>
        <v>2500</v>
      </c>
      <c r="R16" s="114">
        <f t="shared" si="1"/>
        <v>2500</v>
      </c>
      <c r="T16" s="103"/>
      <c r="U16" s="103"/>
      <c r="V16" s="282">
        <f>IF($C16="","",
IF(AND($E$2="Monthly",$A16&gt;12),"",
$T16*VLOOKUP($C16,'Employee information'!$B:$P,COLUMNS('Employee information'!$B:$P),0)))</f>
        <v>0</v>
      </c>
      <c r="W16" s="282">
        <f>IF($C16="","",
IF(AND($E$2="Monthly",$A16&gt;12),"",
$U16*VLOOKUP($C16,'Employee information'!$B:$P,COLUMNS('Employee information'!$B:$P),0)))</f>
        <v>0</v>
      </c>
      <c r="X16" s="114">
        <f t="shared" si="2"/>
        <v>0</v>
      </c>
      <c r="Y16" s="114">
        <f t="shared" si="3"/>
        <v>0</v>
      </c>
      <c r="AA16" s="118">
        <f>IFERROR(
IF(OR('Basic payroll data'!$D$12="",'Basic payroll data'!$D$12="No"),0,
$T16*VLOOKUP($C16,'Employee information'!$B:$P,COLUMNS('Employee information'!$B:$P),0)*AL_loading_perc),
0)</f>
        <v>0</v>
      </c>
      <c r="AC16" s="118"/>
      <c r="AD16" s="118"/>
      <c r="AE16" s="283" t="str">
        <f t="shared" si="16"/>
        <v/>
      </c>
      <c r="AF16" s="283" t="str">
        <f t="shared" si="17"/>
        <v/>
      </c>
      <c r="AG16" s="118"/>
      <c r="AH16" s="118"/>
      <c r="AI16" s="283" t="str">
        <f t="shared" si="18"/>
        <v/>
      </c>
      <c r="AJ16" s="118"/>
      <c r="AK16" s="118"/>
      <c r="AM16" s="118">
        <f t="shared" si="19"/>
        <v>2500</v>
      </c>
      <c r="AN16" s="118">
        <f t="shared" si="4"/>
        <v>2500</v>
      </c>
      <c r="AO16" s="118" t="str">
        <f>IFERROR(
IF(VLOOKUP($C16,'Employee information'!$B:$M,COLUMNS('Employee information'!$B:$M),0)=1,
IF($E$2="Fortnightly",
ROUND(
ROUND((((TRUNC($AN16/2,0)+0.99))*VLOOKUP((TRUNC($AN16/2,0)+0.99),'Tax scales - NAT 1004'!$A$12:$C$18,2,1)-VLOOKUP((TRUNC($AN16/2,0)+0.99),'Tax scales - NAT 1004'!$A$12:$C$18,3,1)),0)
*2,
0),
IF(AND($E$2="Monthly",ROUND($AN16-TRUNC($AN16),2)=0.33),
ROUND(
ROUND(((TRUNC(($AN16+0.01)*3/13,0)+0.99)*VLOOKUP((TRUNC(($AN16+0.01)*3/13,0)+0.99),'Tax scales - NAT 1004'!$A$12:$C$18,2,1)-VLOOKUP((TRUNC(($AN16+0.01)*3/13,0)+0.99),'Tax scales - NAT 1004'!$A$12:$C$18,3,1)),0)
*13/3,
0),
IF($E$2="Monthly",
ROUND(
ROUND(((TRUNC($AN16*3/13,0)+0.99)*VLOOKUP((TRUNC($AN16*3/13,0)+0.99),'Tax scales - NAT 1004'!$A$12:$C$18,2,1)-VLOOKUP((TRUNC($AN16*3/13,0)+0.99),'Tax scales - NAT 1004'!$A$12:$C$18,3,1)),0)
*13/3,
0),
""))),
""),
"")</f>
        <v/>
      </c>
      <c r="AP16" s="118" t="str">
        <f>IFERROR(
IF(VLOOKUP($C16,'Employee information'!$B:$M,COLUMNS('Employee information'!$B:$M),0)=2,
IF($E$2="Fortnightly",
ROUND(
ROUND((((TRUNC($AN16/2,0)+0.99))*VLOOKUP((TRUNC($AN16/2,0)+0.99),'Tax scales - NAT 1004'!$A$25:$C$33,2,1)-VLOOKUP((TRUNC($AN16/2,0)+0.99),'Tax scales - NAT 1004'!$A$25:$C$33,3,1)),0)
*2,
0),
IF(AND($E$2="Monthly",ROUND($AN16-TRUNC($AN16),2)=0.33),
ROUND(
ROUND(((TRUNC(($AN16+0.01)*3/13,0)+0.99)*VLOOKUP((TRUNC(($AN16+0.01)*3/13,0)+0.99),'Tax scales - NAT 1004'!$A$25:$C$33,2,1)-VLOOKUP((TRUNC(($AN16+0.01)*3/13,0)+0.99),'Tax scales - NAT 1004'!$A$25:$C$33,3,1)),0)
*13/3,
0),
IF($E$2="Monthly",
ROUND(
ROUND(((TRUNC($AN16*3/13,0)+0.99)*VLOOKUP((TRUNC($AN16*3/13,0)+0.99),'Tax scales - NAT 1004'!$A$25:$C$33,2,1)-VLOOKUP((TRUNC($AN16*3/13,0)+0.99),'Tax scales - NAT 1004'!$A$25:$C$33,3,1)),0)
*13/3,
0),
""))),
""),
"")</f>
        <v/>
      </c>
      <c r="AQ16" s="118" t="str">
        <f>IFERROR(
IF(VLOOKUP($C16,'Employee information'!$B:$M,COLUMNS('Employee information'!$B:$M),0)=3,
IF($E$2="Fortnightly",
ROUND(
ROUND((((TRUNC($AN16/2,0)+0.99))*VLOOKUP((TRUNC($AN16/2,0)+0.99),'Tax scales - NAT 1004'!$A$39:$C$41,2,1)-VLOOKUP((TRUNC($AN16/2,0)+0.99),'Tax scales - NAT 1004'!$A$39:$C$41,3,1)),0)
*2,
0),
IF(AND($E$2="Monthly",ROUND($AN16-TRUNC($AN16),2)=0.33),
ROUND(
ROUND(((TRUNC(($AN16+0.01)*3/13,0)+0.99)*VLOOKUP((TRUNC(($AN16+0.01)*3/13,0)+0.99),'Tax scales - NAT 1004'!$A$39:$C$41,2,1)-VLOOKUP((TRUNC(($AN16+0.01)*3/13,0)+0.99),'Tax scales - NAT 1004'!$A$39:$C$41,3,1)),0)
*13/3,
0),
IF($E$2="Monthly",
ROUND(
ROUND(((TRUNC($AN16*3/13,0)+0.99)*VLOOKUP((TRUNC($AN16*3/13,0)+0.99),'Tax scales - NAT 1004'!$A$39:$C$41,2,1)-VLOOKUP((TRUNC($AN16*3/13,0)+0.99),'Tax scales - NAT 1004'!$A$39:$C$41,3,1)),0)
*13/3,
0),
""))),
""),
"")</f>
        <v/>
      </c>
      <c r="AR16" s="118">
        <f>IFERROR(
IF(AND(VLOOKUP($C16,'Employee information'!$B:$M,COLUMNS('Employee information'!$B:$M),0)=4,
VLOOKUP($C16,'Employee information'!$B:$J,COLUMNS('Employee information'!$B:$J),0)="Resident"),
TRUNC(TRUNC($AN16)*'Tax scales - NAT 1004'!$B$47),
IF(AND(VLOOKUP($C16,'Employee information'!$B:$M,COLUMNS('Employee information'!$B:$M),0)=4,
VLOOKUP($C16,'Employee information'!$B:$J,COLUMNS('Employee information'!$B:$J),0)="Foreign resident"),
TRUNC(TRUNC($AN16)*'Tax scales - NAT 1004'!$B$48),
"")),
"")</f>
        <v>1175</v>
      </c>
      <c r="AS16" s="118" t="str">
        <f>IFERROR(
IF(VLOOKUP($C16,'Employee information'!$B:$M,COLUMNS('Employee information'!$B:$M),0)=5,
IF($E$2="Fortnightly",
ROUND(
ROUND((((TRUNC($AN16/2,0)+0.99))*VLOOKUP((TRUNC($AN16/2,0)+0.99),'Tax scales - NAT 1004'!$A$53:$C$59,2,1)-VLOOKUP((TRUNC($AN16/2,0)+0.99),'Tax scales - NAT 1004'!$A$53:$C$59,3,1)),0)
*2,
0),
IF(AND($E$2="Monthly",ROUND($AN16-TRUNC($AN16),2)=0.33),
ROUND(
ROUND(((TRUNC(($AN16+0.01)*3/13,0)+0.99)*VLOOKUP((TRUNC(($AN16+0.01)*3/13,0)+0.99),'Tax scales - NAT 1004'!$A$53:$C$59,2,1)-VLOOKUP((TRUNC(($AN16+0.01)*3/13,0)+0.99),'Tax scales - NAT 1004'!$A$53:$C$59,3,1)),0)
*13/3,
0),
IF($E$2="Monthly",
ROUND(
ROUND(((TRUNC($AN16*3/13,0)+0.99)*VLOOKUP((TRUNC($AN16*3/13,0)+0.99),'Tax scales - NAT 1004'!$A$53:$C$59,2,1)-VLOOKUP((TRUNC($AN16*3/13,0)+0.99),'Tax scales - NAT 1004'!$A$53:$C$59,3,1)),0)
*13/3,
0),
""))),
""),
"")</f>
        <v/>
      </c>
      <c r="AT16" s="118" t="str">
        <f>IFERROR(
IF(VLOOKUP($C16,'Employee information'!$B:$M,COLUMNS('Employee information'!$B:$M),0)=6,
IF($E$2="Fortnightly",
ROUND(
ROUND((((TRUNC($AN16/2,0)+0.99))*VLOOKUP((TRUNC($AN16/2,0)+0.99),'Tax scales - NAT 1004'!$A$65:$C$73,2,1)-VLOOKUP((TRUNC($AN16/2,0)+0.99),'Tax scales - NAT 1004'!$A$65:$C$73,3,1)),0)
*2,
0),
IF(AND($E$2="Monthly",ROUND($AN16-TRUNC($AN16),2)=0.33),
ROUND(
ROUND(((TRUNC(($AN16+0.01)*3/13,0)+0.99)*VLOOKUP((TRUNC(($AN16+0.01)*3/13,0)+0.99),'Tax scales - NAT 1004'!$A$65:$C$73,2,1)-VLOOKUP((TRUNC(($AN16+0.01)*3/13,0)+0.99),'Tax scales - NAT 1004'!$A$65:$C$73,3,1)),0)
*13/3,
0),
IF($E$2="Monthly",
ROUND(
ROUND(((TRUNC($AN16*3/13,0)+0.99)*VLOOKUP((TRUNC($AN16*3/13,0)+0.99),'Tax scales - NAT 1004'!$A$65:$C$73,2,1)-VLOOKUP((TRUNC($AN16*3/13,0)+0.99),'Tax scales - NAT 1004'!$A$65:$C$73,3,1)),0)
*13/3,
0),
""))),
""),
"")</f>
        <v/>
      </c>
      <c r="AU16" s="118" t="str">
        <f>IFERROR(
IF(VLOOKUP($C16,'Employee information'!$B:$M,COLUMNS('Employee information'!$B:$M),0)=11,
IF($E$2="Fortnightly",
ROUND(
ROUND((((TRUNC($AN16/2,0)+0.99))*VLOOKUP((TRUNC($AN16/2,0)+0.99),'Tax scales - NAT 3539'!$A$14:$C$38,2,1)-VLOOKUP((TRUNC($AN16/2,0)+0.99),'Tax scales - NAT 3539'!$A$14:$C$38,3,1)),0)
*2,
0),
IF(AND($E$2="Monthly",ROUND($AN16-TRUNC($AN16),2)=0.33),
ROUND(
ROUND(((TRUNC(($AN16+0.01)*3/13,0)+0.99)*VLOOKUP((TRUNC(($AN16+0.01)*3/13,0)+0.99),'Tax scales - NAT 3539'!$A$14:$C$38,2,1)-VLOOKUP((TRUNC(($AN16+0.01)*3/13,0)+0.99),'Tax scales - NAT 3539'!$A$14:$C$38,3,1)),0)
*13/3,
0),
IF($E$2="Monthly",
ROUND(
ROUND(((TRUNC($AN16*3/13,0)+0.99)*VLOOKUP((TRUNC($AN16*3/13,0)+0.99),'Tax scales - NAT 3539'!$A$14:$C$38,2,1)-VLOOKUP((TRUNC($AN16*3/13,0)+0.99),'Tax scales - NAT 3539'!$A$14:$C$38,3,1)),0)
*13/3,
0),
""))),
""),
"")</f>
        <v/>
      </c>
      <c r="AV16" s="118" t="str">
        <f>IFERROR(
IF(VLOOKUP($C16,'Employee information'!$B:$M,COLUMNS('Employee information'!$B:$M),0)=22,
IF($E$2="Fortnightly",
ROUND(
ROUND((((TRUNC($AN16/2,0)+0.99))*VLOOKUP((TRUNC($AN16/2,0)+0.99),'Tax scales - NAT 3539'!$A$43:$C$69,2,1)-VLOOKUP((TRUNC($AN16/2,0)+0.99),'Tax scales - NAT 3539'!$A$43:$C$69,3,1)),0)
*2,
0),
IF(AND($E$2="Monthly",ROUND($AN16-TRUNC($AN16),2)=0.33),
ROUND(
ROUND(((TRUNC(($AN16+0.01)*3/13,0)+0.99)*VLOOKUP((TRUNC(($AN16+0.01)*3/13,0)+0.99),'Tax scales - NAT 3539'!$A$43:$C$69,2,1)-VLOOKUP((TRUNC(($AN16+0.01)*3/13,0)+0.99),'Tax scales - NAT 3539'!$A$43:$C$69,3,1)),0)
*13/3,
0),
IF($E$2="Monthly",
ROUND(
ROUND(((TRUNC($AN16*3/13,0)+0.99)*VLOOKUP((TRUNC($AN16*3/13,0)+0.99),'Tax scales - NAT 3539'!$A$43:$C$69,2,1)-VLOOKUP((TRUNC($AN16*3/13,0)+0.99),'Tax scales - NAT 3539'!$A$43:$C$69,3,1)),0)
*13/3,
0),
""))),
""),
"")</f>
        <v/>
      </c>
      <c r="AW16" s="118" t="str">
        <f>IFERROR(
IF(VLOOKUP($C16,'Employee information'!$B:$M,COLUMNS('Employee information'!$B:$M),0)=33,
IF($E$2="Fortnightly",
ROUND(
ROUND((((TRUNC($AN16/2,0)+0.99))*VLOOKUP((TRUNC($AN16/2,0)+0.99),'Tax scales - NAT 3539'!$A$74:$C$94,2,1)-VLOOKUP((TRUNC($AN16/2,0)+0.99),'Tax scales - NAT 3539'!$A$74:$C$94,3,1)),0)
*2,
0),
IF(AND($E$2="Monthly",ROUND($AN16-TRUNC($AN16),2)=0.33),
ROUND(
ROUND(((TRUNC(($AN16+0.01)*3/13,0)+0.99)*VLOOKUP((TRUNC(($AN16+0.01)*3/13,0)+0.99),'Tax scales - NAT 3539'!$A$74:$C$94,2,1)-VLOOKUP((TRUNC(($AN16+0.01)*3/13,0)+0.99),'Tax scales - NAT 3539'!$A$74:$C$94,3,1)),0)
*13/3,
0),
IF($E$2="Monthly",
ROUND(
ROUND(((TRUNC($AN16*3/13,0)+0.99)*VLOOKUP((TRUNC($AN16*3/13,0)+0.99),'Tax scales - NAT 3539'!$A$74:$C$94,2,1)-VLOOKUP((TRUNC($AN16*3/13,0)+0.99),'Tax scales - NAT 3539'!$A$74:$C$94,3,1)),0)
*13/3,
0),
""))),
""),
"")</f>
        <v/>
      </c>
      <c r="AX16" s="118" t="str">
        <f>IFERROR(
IF(VLOOKUP($C16,'Employee information'!$B:$M,COLUMNS('Employee information'!$B:$M),0)=55,
IF($E$2="Fortnightly",
ROUND(
ROUND((((TRUNC($AN16/2,0)+0.99))*VLOOKUP((TRUNC($AN16/2,0)+0.99),'Tax scales - NAT 3539'!$A$99:$C$123,2,1)-VLOOKUP((TRUNC($AN16/2,0)+0.99),'Tax scales - NAT 3539'!$A$99:$C$123,3,1)),0)
*2,
0),
IF(AND($E$2="Monthly",ROUND($AN16-TRUNC($AN16),2)=0.33),
ROUND(
ROUND(((TRUNC(($AN16+0.01)*3/13,0)+0.99)*VLOOKUP((TRUNC(($AN16+0.01)*3/13,0)+0.99),'Tax scales - NAT 3539'!$A$99:$C$123,2,1)-VLOOKUP((TRUNC(($AN16+0.01)*3/13,0)+0.99),'Tax scales - NAT 3539'!$A$99:$C$123,3,1)),0)
*13/3,
0),
IF($E$2="Monthly",
ROUND(
ROUND(((TRUNC($AN16*3/13,0)+0.99)*VLOOKUP((TRUNC($AN16*3/13,0)+0.99),'Tax scales - NAT 3539'!$A$99:$C$123,2,1)-VLOOKUP((TRUNC($AN16*3/13,0)+0.99),'Tax scales - NAT 3539'!$A$99:$C$123,3,1)),0)
*13/3,
0),
""))),
""),
"")</f>
        <v/>
      </c>
      <c r="AY16" s="118" t="str">
        <f>IFERROR(
IF(VLOOKUP($C16,'Employee information'!$B:$M,COLUMNS('Employee information'!$B:$M),0)=66,
IF($E$2="Fortnightly",
ROUND(
ROUND((((TRUNC($AN16/2,0)+0.99))*VLOOKUP((TRUNC($AN16/2,0)+0.99),'Tax scales - NAT 3539'!$A$127:$C$154,2,1)-VLOOKUP((TRUNC($AN16/2,0)+0.99),'Tax scales - NAT 3539'!$A$127:$C$154,3,1)),0)
*2,
0),
IF(AND($E$2="Monthly",ROUND($AN16-TRUNC($AN16),2)=0.33),
ROUND(
ROUND(((TRUNC(($AN16+0.01)*3/13,0)+0.99)*VLOOKUP((TRUNC(($AN16+0.01)*3/13,0)+0.99),'Tax scales - NAT 3539'!$A$127:$C$154,2,1)-VLOOKUP((TRUNC(($AN16+0.01)*3/13,0)+0.99),'Tax scales - NAT 3539'!$A$127:$C$154,3,1)),0)
*13/3,
0),
IF($E$2="Monthly",
ROUND(
ROUND(((TRUNC($AN16*3/13,0)+0.99)*VLOOKUP((TRUNC($AN16*3/13,0)+0.99),'Tax scales - NAT 3539'!$A$127:$C$154,2,1)-VLOOKUP((TRUNC($AN16*3/13,0)+0.99),'Tax scales - NAT 3539'!$A$127:$C$154,3,1)),0)
*13/3,
0),
""))),
""),
"")</f>
        <v/>
      </c>
      <c r="AZ16" s="118">
        <f>IFERROR(
HLOOKUP(VLOOKUP($C16,'Employee information'!$B:$M,COLUMNS('Employee information'!$B:$M),0),'PAYG worksheet'!$AO$10:$AY$29,COUNTA($C$11:$C16)+1,0),
0)</f>
        <v>1175</v>
      </c>
      <c r="BA16" s="118"/>
      <c r="BB16" s="118">
        <f t="shared" si="20"/>
        <v>1325</v>
      </c>
      <c r="BC16" s="119">
        <f>IFERROR(
IF(OR($AE16=1,$AE16=""),SUM($P16,$AA16,$AC16,$AK16)*VLOOKUP($C16,'Employee information'!$B:$Q,COLUMNS('Employee information'!$B:$H),0),
IF($AE16=0,SUM($P16,$AA16,$AK16)*VLOOKUP($C16,'Employee information'!$B:$Q,COLUMNS('Employee information'!$B:$H),0),
0)),
0)</f>
        <v>237.5</v>
      </c>
      <c r="BE16" s="114">
        <f t="shared" si="5"/>
        <v>2500</v>
      </c>
      <c r="BF16" s="114">
        <f t="shared" si="6"/>
        <v>2500</v>
      </c>
      <c r="BG16" s="114">
        <f t="shared" si="7"/>
        <v>0</v>
      </c>
      <c r="BH16" s="114">
        <f t="shared" si="8"/>
        <v>0</v>
      </c>
      <c r="BI16" s="114">
        <f t="shared" si="9"/>
        <v>1175</v>
      </c>
      <c r="BJ16" s="114">
        <f t="shared" si="10"/>
        <v>0</v>
      </c>
      <c r="BK16" s="114">
        <f t="shared" si="11"/>
        <v>0</v>
      </c>
      <c r="BL16" s="114">
        <f t="shared" si="21"/>
        <v>0</v>
      </c>
      <c r="BM16" s="114">
        <f t="shared" si="12"/>
        <v>237.5</v>
      </c>
    </row>
    <row r="17" spans="1:65" x14ac:dyDescent="0.25">
      <c r="A17" s="228">
        <f t="shared" si="0"/>
        <v>1</v>
      </c>
      <c r="C17" s="278" t="s">
        <v>95</v>
      </c>
      <c r="E17" s="103">
        <f>IF($C17="",0,
IF(AND($E$2="Monthly",$A17&gt;12),0,
IF($E$2="Monthly",VLOOKUP($C17,'Employee information'!$B:$AM,COLUMNS('Employee information'!$B:S),0),
IF($E$2="Fortnightly",VLOOKUP($C17,'Employee information'!$B:$AM,COLUMNS('Employee information'!$B:R),0),
0))))</f>
        <v>45</v>
      </c>
      <c r="F17" s="106"/>
      <c r="G17" s="106"/>
      <c r="H17" s="106"/>
      <c r="I17" s="106">
        <v>7.5</v>
      </c>
      <c r="J17" s="103">
        <f t="shared" si="13"/>
        <v>45</v>
      </c>
      <c r="L17" s="113">
        <f>IF(AND($E$2="Monthly",$A17&gt;12),"",
IFERROR($J17*VLOOKUP($C17,'Employee information'!$B:$AI,COLUMNS('Employee information'!$B:$P),0),0))</f>
        <v>1107.6923076923078</v>
      </c>
      <c r="M17" s="114">
        <f t="shared" si="14"/>
        <v>1107.6923076923078</v>
      </c>
      <c r="O17" s="103">
        <f t="shared" si="15"/>
        <v>45</v>
      </c>
      <c r="P17" s="113">
        <f>IFERROR(
IF(AND($E$2="Monthly",$A17&gt;12),0,
$O17*VLOOKUP($C17,'Employee information'!$B:$AI,COLUMNS('Employee information'!$B:$P),0)),
0)</f>
        <v>1107.6923076923078</v>
      </c>
      <c r="R17" s="114">
        <f t="shared" si="1"/>
        <v>1107.6923076923078</v>
      </c>
      <c r="T17" s="103"/>
      <c r="U17" s="103"/>
      <c r="V17" s="282">
        <f>IF($C17="","",
IF(AND($E$2="Monthly",$A17&gt;12),"",
$T17*VLOOKUP($C17,'Employee information'!$B:$P,COLUMNS('Employee information'!$B:$P),0)))</f>
        <v>0</v>
      </c>
      <c r="W17" s="282">
        <f>IF($C17="","",
IF(AND($E$2="Monthly",$A17&gt;12),"",
$U17*VLOOKUP($C17,'Employee information'!$B:$P,COLUMNS('Employee information'!$B:$P),0)))</f>
        <v>0</v>
      </c>
      <c r="X17" s="114">
        <f t="shared" si="2"/>
        <v>0</v>
      </c>
      <c r="Y17" s="114">
        <f t="shared" si="3"/>
        <v>0</v>
      </c>
      <c r="AA17" s="118">
        <f>IFERROR(
IF(OR('Basic payroll data'!$D$12="",'Basic payroll data'!$D$12="No"),0,
$T17*VLOOKUP($C17,'Employee information'!$B:$P,COLUMNS('Employee information'!$B:$P),0)*AL_loading_perc),
0)</f>
        <v>0</v>
      </c>
      <c r="AC17" s="118"/>
      <c r="AD17" s="118"/>
      <c r="AE17" s="283" t="str">
        <f t="shared" si="16"/>
        <v/>
      </c>
      <c r="AF17" s="283" t="str">
        <f t="shared" si="17"/>
        <v/>
      </c>
      <c r="AG17" s="118"/>
      <c r="AH17" s="118"/>
      <c r="AI17" s="283" t="str">
        <f t="shared" si="18"/>
        <v/>
      </c>
      <c r="AJ17" s="118"/>
      <c r="AK17" s="118"/>
      <c r="AM17" s="118">
        <f t="shared" si="19"/>
        <v>1107.6923076923078</v>
      </c>
      <c r="AN17" s="118">
        <f t="shared" si="4"/>
        <v>1107.6923076923078</v>
      </c>
      <c r="AO17" s="118" t="str">
        <f>IFERROR(
IF(VLOOKUP($C17,'Employee information'!$B:$M,COLUMNS('Employee information'!$B:$M),0)=1,
IF($E$2="Fortnightly",
ROUND(
ROUND((((TRUNC($AN17/2,0)+0.99))*VLOOKUP((TRUNC($AN17/2,0)+0.99),'Tax scales - NAT 1004'!$A$12:$C$18,2,1)-VLOOKUP((TRUNC($AN17/2,0)+0.99),'Tax scales - NAT 1004'!$A$12:$C$18,3,1)),0)
*2,
0),
IF(AND($E$2="Monthly",ROUND($AN17-TRUNC($AN17),2)=0.33),
ROUND(
ROUND(((TRUNC(($AN17+0.01)*3/13,0)+0.99)*VLOOKUP((TRUNC(($AN17+0.01)*3/13,0)+0.99),'Tax scales - NAT 1004'!$A$12:$C$18,2,1)-VLOOKUP((TRUNC(($AN17+0.01)*3/13,0)+0.99),'Tax scales - NAT 1004'!$A$12:$C$18,3,1)),0)
*13/3,
0),
IF($E$2="Monthly",
ROUND(
ROUND(((TRUNC($AN17*3/13,0)+0.99)*VLOOKUP((TRUNC($AN17*3/13,0)+0.99),'Tax scales - NAT 1004'!$A$12:$C$18,2,1)-VLOOKUP((TRUNC($AN17*3/13,0)+0.99),'Tax scales - NAT 1004'!$A$12:$C$18,3,1)),0)
*13/3,
0),
""))),
""),
"")</f>
        <v/>
      </c>
      <c r="AP17" s="118" t="str">
        <f>IFERROR(
IF(VLOOKUP($C17,'Employee information'!$B:$M,COLUMNS('Employee information'!$B:$M),0)=2,
IF($E$2="Fortnightly",
ROUND(
ROUND((((TRUNC($AN17/2,0)+0.99))*VLOOKUP((TRUNC($AN17/2,0)+0.99),'Tax scales - NAT 1004'!$A$25:$C$33,2,1)-VLOOKUP((TRUNC($AN17/2,0)+0.99),'Tax scales - NAT 1004'!$A$25:$C$33,3,1)),0)
*2,
0),
IF(AND($E$2="Monthly",ROUND($AN17-TRUNC($AN17),2)=0.33),
ROUND(
ROUND(((TRUNC(($AN17+0.01)*3/13,0)+0.99)*VLOOKUP((TRUNC(($AN17+0.01)*3/13,0)+0.99),'Tax scales - NAT 1004'!$A$25:$C$33,2,1)-VLOOKUP((TRUNC(($AN17+0.01)*3/13,0)+0.99),'Tax scales - NAT 1004'!$A$25:$C$33,3,1)),0)
*13/3,
0),
IF($E$2="Monthly",
ROUND(
ROUND(((TRUNC($AN17*3/13,0)+0.99)*VLOOKUP((TRUNC($AN17*3/13,0)+0.99),'Tax scales - NAT 1004'!$A$25:$C$33,2,1)-VLOOKUP((TRUNC($AN17*3/13,0)+0.99),'Tax scales - NAT 1004'!$A$25:$C$33,3,1)),0)
*13/3,
0),
""))),
""),
"")</f>
        <v/>
      </c>
      <c r="AQ17" s="118" t="str">
        <f>IFERROR(
IF(VLOOKUP($C17,'Employee information'!$B:$M,COLUMNS('Employee information'!$B:$M),0)=3,
IF($E$2="Fortnightly",
ROUND(
ROUND((((TRUNC($AN17/2,0)+0.99))*VLOOKUP((TRUNC($AN17/2,0)+0.99),'Tax scales - NAT 1004'!$A$39:$C$41,2,1)-VLOOKUP((TRUNC($AN17/2,0)+0.99),'Tax scales - NAT 1004'!$A$39:$C$41,3,1)),0)
*2,
0),
IF(AND($E$2="Monthly",ROUND($AN17-TRUNC($AN17),2)=0.33),
ROUND(
ROUND(((TRUNC(($AN17+0.01)*3/13,0)+0.99)*VLOOKUP((TRUNC(($AN17+0.01)*3/13,0)+0.99),'Tax scales - NAT 1004'!$A$39:$C$41,2,1)-VLOOKUP((TRUNC(($AN17+0.01)*3/13,0)+0.99),'Tax scales - NAT 1004'!$A$39:$C$41,3,1)),0)
*13/3,
0),
IF($E$2="Monthly",
ROUND(
ROUND(((TRUNC($AN17*3/13,0)+0.99)*VLOOKUP((TRUNC($AN17*3/13,0)+0.99),'Tax scales - NAT 1004'!$A$39:$C$41,2,1)-VLOOKUP((TRUNC($AN17*3/13,0)+0.99),'Tax scales - NAT 1004'!$A$39:$C$41,3,1)),0)
*13/3,
0),
""))),
""),
"")</f>
        <v/>
      </c>
      <c r="AR17" s="118" t="str">
        <f>IFERROR(
IF(AND(VLOOKUP($C17,'Employee information'!$B:$M,COLUMNS('Employee information'!$B:$M),0)=4,
VLOOKUP($C17,'Employee information'!$B:$J,COLUMNS('Employee information'!$B:$J),0)="Resident"),
TRUNC(TRUNC($AN17)*'Tax scales - NAT 1004'!$B$47),
IF(AND(VLOOKUP($C17,'Employee information'!$B:$M,COLUMNS('Employee information'!$B:$M),0)=4,
VLOOKUP($C17,'Employee information'!$B:$J,COLUMNS('Employee information'!$B:$J),0)="Foreign resident"),
TRUNC(TRUNC($AN17)*'Tax scales - NAT 1004'!$B$48),
"")),
"")</f>
        <v/>
      </c>
      <c r="AS17" s="118" t="str">
        <f>IFERROR(
IF(VLOOKUP($C17,'Employee information'!$B:$M,COLUMNS('Employee information'!$B:$M),0)=5,
IF($E$2="Fortnightly",
ROUND(
ROUND((((TRUNC($AN17/2,0)+0.99))*VLOOKUP((TRUNC($AN17/2,0)+0.99),'Tax scales - NAT 1004'!$A$53:$C$59,2,1)-VLOOKUP((TRUNC($AN17/2,0)+0.99),'Tax scales - NAT 1004'!$A$53:$C$59,3,1)),0)
*2,
0),
IF(AND($E$2="Monthly",ROUND($AN17-TRUNC($AN17),2)=0.33),
ROUND(
ROUND(((TRUNC(($AN17+0.01)*3/13,0)+0.99)*VLOOKUP((TRUNC(($AN17+0.01)*3/13,0)+0.99),'Tax scales - NAT 1004'!$A$53:$C$59,2,1)-VLOOKUP((TRUNC(($AN17+0.01)*3/13,0)+0.99),'Tax scales - NAT 1004'!$A$53:$C$59,3,1)),0)
*13/3,
0),
IF($E$2="Monthly",
ROUND(
ROUND(((TRUNC($AN17*3/13,0)+0.99)*VLOOKUP((TRUNC($AN17*3/13,0)+0.99),'Tax scales - NAT 1004'!$A$53:$C$59,2,1)-VLOOKUP((TRUNC($AN17*3/13,0)+0.99),'Tax scales - NAT 1004'!$A$53:$C$59,3,1)),0)
*13/3,
0),
""))),
""),
"")</f>
        <v/>
      </c>
      <c r="AT17" s="118" t="str">
        <f>IFERROR(
IF(VLOOKUP($C17,'Employee information'!$B:$M,COLUMNS('Employee information'!$B:$M),0)=6,
IF($E$2="Fortnightly",
ROUND(
ROUND((((TRUNC($AN17/2,0)+0.99))*VLOOKUP((TRUNC($AN17/2,0)+0.99),'Tax scales - NAT 1004'!$A$65:$C$73,2,1)-VLOOKUP((TRUNC($AN17/2,0)+0.99),'Tax scales - NAT 1004'!$A$65:$C$73,3,1)),0)
*2,
0),
IF(AND($E$2="Monthly",ROUND($AN17-TRUNC($AN17),2)=0.33),
ROUND(
ROUND(((TRUNC(($AN17+0.01)*3/13,0)+0.99)*VLOOKUP((TRUNC(($AN17+0.01)*3/13,0)+0.99),'Tax scales - NAT 1004'!$A$65:$C$73,2,1)-VLOOKUP((TRUNC(($AN17+0.01)*3/13,0)+0.99),'Tax scales - NAT 1004'!$A$65:$C$73,3,1)),0)
*13/3,
0),
IF($E$2="Monthly",
ROUND(
ROUND(((TRUNC($AN17*3/13,0)+0.99)*VLOOKUP((TRUNC($AN17*3/13,0)+0.99),'Tax scales - NAT 1004'!$A$65:$C$73,2,1)-VLOOKUP((TRUNC($AN17*3/13,0)+0.99),'Tax scales - NAT 1004'!$A$65:$C$73,3,1)),0)
*13/3,
0),
""))),
""),
"")</f>
        <v/>
      </c>
      <c r="AU17" s="118" t="str">
        <f>IFERROR(
IF(VLOOKUP($C17,'Employee information'!$B:$M,COLUMNS('Employee information'!$B:$M),0)=11,
IF($E$2="Fortnightly",
ROUND(
ROUND((((TRUNC($AN17/2,0)+0.99))*VLOOKUP((TRUNC($AN17/2,0)+0.99),'Tax scales - NAT 3539'!$A$14:$C$38,2,1)-VLOOKUP((TRUNC($AN17/2,0)+0.99),'Tax scales - NAT 3539'!$A$14:$C$38,3,1)),0)
*2,
0),
IF(AND($E$2="Monthly",ROUND($AN17-TRUNC($AN17),2)=0.33),
ROUND(
ROUND(((TRUNC(($AN17+0.01)*3/13,0)+0.99)*VLOOKUP((TRUNC(($AN17+0.01)*3/13,0)+0.99),'Tax scales - NAT 3539'!$A$14:$C$38,2,1)-VLOOKUP((TRUNC(($AN17+0.01)*3/13,0)+0.99),'Tax scales - NAT 3539'!$A$14:$C$38,3,1)),0)
*13/3,
0),
IF($E$2="Monthly",
ROUND(
ROUND(((TRUNC($AN17*3/13,0)+0.99)*VLOOKUP((TRUNC($AN17*3/13,0)+0.99),'Tax scales - NAT 3539'!$A$14:$C$38,2,1)-VLOOKUP((TRUNC($AN17*3/13,0)+0.99),'Tax scales - NAT 3539'!$A$14:$C$38,3,1)),0)
*13/3,
0),
""))),
""),
"")</f>
        <v/>
      </c>
      <c r="AV17" s="118" t="str">
        <f>IFERROR(
IF(VLOOKUP($C17,'Employee information'!$B:$M,COLUMNS('Employee information'!$B:$M),0)=22,
IF($E$2="Fortnightly",
ROUND(
ROUND((((TRUNC($AN17/2,0)+0.99))*VLOOKUP((TRUNC($AN17/2,0)+0.99),'Tax scales - NAT 3539'!$A$43:$C$69,2,1)-VLOOKUP((TRUNC($AN17/2,0)+0.99),'Tax scales - NAT 3539'!$A$43:$C$69,3,1)),0)
*2,
0),
IF(AND($E$2="Monthly",ROUND($AN17-TRUNC($AN17),2)=0.33),
ROUND(
ROUND(((TRUNC(($AN17+0.01)*3/13,0)+0.99)*VLOOKUP((TRUNC(($AN17+0.01)*3/13,0)+0.99),'Tax scales - NAT 3539'!$A$43:$C$69,2,1)-VLOOKUP((TRUNC(($AN17+0.01)*3/13,0)+0.99),'Tax scales - NAT 3539'!$A$43:$C$69,3,1)),0)
*13/3,
0),
IF($E$2="Monthly",
ROUND(
ROUND(((TRUNC($AN17*3/13,0)+0.99)*VLOOKUP((TRUNC($AN17*3/13,0)+0.99),'Tax scales - NAT 3539'!$A$43:$C$69,2,1)-VLOOKUP((TRUNC($AN17*3/13,0)+0.99),'Tax scales - NAT 3539'!$A$43:$C$69,3,1)),0)
*13/3,
0),
""))),
""),
"")</f>
        <v/>
      </c>
      <c r="AW17" s="118" t="str">
        <f>IFERROR(
IF(VLOOKUP($C17,'Employee information'!$B:$M,COLUMNS('Employee information'!$B:$M),0)=33,
IF($E$2="Fortnightly",
ROUND(
ROUND((((TRUNC($AN17/2,0)+0.99))*VLOOKUP((TRUNC($AN17/2,0)+0.99),'Tax scales - NAT 3539'!$A$74:$C$94,2,1)-VLOOKUP((TRUNC($AN17/2,0)+0.99),'Tax scales - NAT 3539'!$A$74:$C$94,3,1)),0)
*2,
0),
IF(AND($E$2="Monthly",ROUND($AN17-TRUNC($AN17),2)=0.33),
ROUND(
ROUND(((TRUNC(($AN17+0.01)*3/13,0)+0.99)*VLOOKUP((TRUNC(($AN17+0.01)*3/13,0)+0.99),'Tax scales - NAT 3539'!$A$74:$C$94,2,1)-VLOOKUP((TRUNC(($AN17+0.01)*3/13,0)+0.99),'Tax scales - NAT 3539'!$A$74:$C$94,3,1)),0)
*13/3,
0),
IF($E$2="Monthly",
ROUND(
ROUND(((TRUNC($AN17*3/13,0)+0.99)*VLOOKUP((TRUNC($AN17*3/13,0)+0.99),'Tax scales - NAT 3539'!$A$74:$C$94,2,1)-VLOOKUP((TRUNC($AN17*3/13,0)+0.99),'Tax scales - NAT 3539'!$A$74:$C$94,3,1)),0)
*13/3,
0),
""))),
""),
"")</f>
        <v/>
      </c>
      <c r="AX17" s="118" t="str">
        <f>IFERROR(
IF(VLOOKUP($C17,'Employee information'!$B:$M,COLUMNS('Employee information'!$B:$M),0)=55,
IF($E$2="Fortnightly",
ROUND(
ROUND((((TRUNC($AN17/2,0)+0.99))*VLOOKUP((TRUNC($AN17/2,0)+0.99),'Tax scales - NAT 3539'!$A$99:$C$123,2,1)-VLOOKUP((TRUNC($AN17/2,0)+0.99),'Tax scales - NAT 3539'!$A$99:$C$123,3,1)),0)
*2,
0),
IF(AND($E$2="Monthly",ROUND($AN17-TRUNC($AN17),2)=0.33),
ROUND(
ROUND(((TRUNC(($AN17+0.01)*3/13,0)+0.99)*VLOOKUP((TRUNC(($AN17+0.01)*3/13,0)+0.99),'Tax scales - NAT 3539'!$A$99:$C$123,2,1)-VLOOKUP((TRUNC(($AN17+0.01)*3/13,0)+0.99),'Tax scales - NAT 3539'!$A$99:$C$123,3,1)),0)
*13/3,
0),
IF($E$2="Monthly",
ROUND(
ROUND(((TRUNC($AN17*3/13,0)+0.99)*VLOOKUP((TRUNC($AN17*3/13,0)+0.99),'Tax scales - NAT 3539'!$A$99:$C$123,2,1)-VLOOKUP((TRUNC($AN17*3/13,0)+0.99),'Tax scales - NAT 3539'!$A$99:$C$123,3,1)),0)
*13/3,
0),
""))),
""),
"")</f>
        <v/>
      </c>
      <c r="AY17" s="118">
        <f>IFERROR(
IF(VLOOKUP($C17,'Employee information'!$B:$M,COLUMNS('Employee information'!$B:$M),0)=66,
IF($E$2="Fortnightly",
ROUND(
ROUND((((TRUNC($AN17/2,0)+0.99))*VLOOKUP((TRUNC($AN17/2,0)+0.99),'Tax scales - NAT 3539'!$A$127:$C$154,2,1)-VLOOKUP((TRUNC($AN17/2,0)+0.99),'Tax scales - NAT 3539'!$A$127:$C$154,3,1)),0)
*2,
0),
IF(AND($E$2="Monthly",ROUND($AN17-TRUNC($AN17),2)=0.33),
ROUND(
ROUND(((TRUNC(($AN17+0.01)*3/13,0)+0.99)*VLOOKUP((TRUNC(($AN17+0.01)*3/13,0)+0.99),'Tax scales - NAT 3539'!$A$127:$C$154,2,1)-VLOOKUP((TRUNC(($AN17+0.01)*3/13,0)+0.99),'Tax scales - NAT 3539'!$A$127:$C$154,3,1)),0)
*13/3,
0),
IF($E$2="Monthly",
ROUND(
ROUND(((TRUNC($AN17*3/13,0)+0.99)*VLOOKUP((TRUNC($AN17*3/13,0)+0.99),'Tax scales - NAT 3539'!$A$127:$C$154,2,1)-VLOOKUP((TRUNC($AN17*3/13,0)+0.99),'Tax scales - NAT 3539'!$A$127:$C$154,3,1)),0)
*13/3,
0),
""))),
""),
"")</f>
        <v>74</v>
      </c>
      <c r="AZ17" s="118">
        <f>IFERROR(
HLOOKUP(VLOOKUP($C17,'Employee information'!$B:$M,COLUMNS('Employee information'!$B:$M),0),'PAYG worksheet'!$AO$10:$AY$29,COUNTA($C$11:$C17)+1,0),
0)</f>
        <v>74</v>
      </c>
      <c r="BA17" s="118"/>
      <c r="BB17" s="118">
        <f t="shared" si="20"/>
        <v>1033.6923076923078</v>
      </c>
      <c r="BC17" s="119">
        <f>IFERROR(
IF(OR($AE17=1,$AE17=""),SUM($P17,$AA17,$AC17,$AK17)*VLOOKUP($C17,'Employee information'!$B:$Q,COLUMNS('Employee information'!$B:$H),0),
IF($AE17=0,SUM($P17,$AA17,$AK17)*VLOOKUP($C17,'Employee information'!$B:$Q,COLUMNS('Employee information'!$B:$H),0),
0)),
0)</f>
        <v>105.23076923076924</v>
      </c>
      <c r="BE17" s="114">
        <f t="shared" si="5"/>
        <v>1107.6923076923078</v>
      </c>
      <c r="BF17" s="114">
        <f t="shared" si="6"/>
        <v>1107.6923076923078</v>
      </c>
      <c r="BG17" s="114">
        <f t="shared" si="7"/>
        <v>0</v>
      </c>
      <c r="BH17" s="114">
        <f t="shared" si="8"/>
        <v>0</v>
      </c>
      <c r="BI17" s="114">
        <f t="shared" si="9"/>
        <v>74</v>
      </c>
      <c r="BJ17" s="114">
        <f t="shared" si="10"/>
        <v>0</v>
      </c>
      <c r="BK17" s="114">
        <f t="shared" si="11"/>
        <v>0</v>
      </c>
      <c r="BL17" s="114">
        <f t="shared" si="21"/>
        <v>0</v>
      </c>
      <c r="BM17" s="114">
        <f t="shared" si="12"/>
        <v>105.23076923076924</v>
      </c>
    </row>
    <row r="18" spans="1:65" x14ac:dyDescent="0.25">
      <c r="A18" s="228">
        <f t="shared" si="0"/>
        <v>1</v>
      </c>
      <c r="C18" s="278"/>
      <c r="E18" s="103">
        <f>IF($C18="",0,
IF(AND($E$2="Monthly",$A18&gt;12),0,
IF($E$2="Monthly",VLOOKUP($C18,'Employee information'!$B:$AM,COLUMNS('Employee information'!$B:S),0),
IF($E$2="Fortnightly",VLOOKUP($C18,'Employee information'!$B:$AM,COLUMNS('Employee information'!$B:R),0),
0))))</f>
        <v>0</v>
      </c>
      <c r="F18" s="106"/>
      <c r="G18" s="106"/>
      <c r="H18" s="106"/>
      <c r="I18" s="106"/>
      <c r="J18" s="103">
        <f>IF($E$2="Monthly",
IF(AND($E$2="Monthly",$H18&lt;&gt;""),$H18,
IF(AND($E$2="Monthly",$E18=0),SUM($F18:$G18),
$E18)),
IF($E$2="Fortnightly",
IF(AND($E$2="Fortnightly",$H18&lt;&gt;""),$H18,
IF(AND($E$2="Fortnightly",$F18&lt;&gt;"",$E18&lt;&gt;0),$F18,
IF(AND($E$2="Fortnightly",$E18=0),SUM($F18:$G18),
$E18)))))</f>
        <v>0</v>
      </c>
      <c r="L18" s="113">
        <f>IF(AND($E$2="Monthly",$A18&gt;12),"",
IFERROR($J18*VLOOKUP($C18,'Employee information'!$B:$AI,COLUMNS('Employee information'!$B:$P),0),0))</f>
        <v>0</v>
      </c>
      <c r="M18" s="114">
        <f t="shared" si="14"/>
        <v>0</v>
      </c>
      <c r="O18" s="103">
        <f t="shared" si="15"/>
        <v>0</v>
      </c>
      <c r="P18" s="113">
        <f>IFERROR(
IF(AND($E$2="Monthly",$A18&gt;12),0,
$O18*VLOOKUP($C18,'Employee information'!$B:$AI,COLUMNS('Employee information'!$B:$P),0)),
0)</f>
        <v>0</v>
      </c>
      <c r="R18" s="114">
        <f t="shared" si="1"/>
        <v>0</v>
      </c>
      <c r="T18" s="103"/>
      <c r="U18" s="103"/>
      <c r="V18" s="282" t="str">
        <f>IF($C18="","",
IF(AND($E$2="Monthly",$A18&gt;12),"",
$T18*VLOOKUP($C18,'Employee information'!$B:$P,COLUMNS('Employee information'!$B:$P),0)))</f>
        <v/>
      </c>
      <c r="W18" s="282" t="str">
        <f>IF($C18="","",
IF(AND($E$2="Monthly",$A18&gt;12),"",
$U18*VLOOKUP($C18,'Employee information'!$B:$P,COLUMNS('Employee information'!$B:$P),0)))</f>
        <v/>
      </c>
      <c r="X18" s="114">
        <f t="shared" si="2"/>
        <v>0</v>
      </c>
      <c r="Y18" s="114">
        <f t="shared" si="3"/>
        <v>0</v>
      </c>
      <c r="AA18" s="118">
        <f>IFERROR(
IF(OR('Basic payroll data'!$D$12="",'Basic payroll data'!$D$12="No"),0,
$T18*VLOOKUP($C18,'Employee information'!$B:$P,COLUMNS('Employee information'!$B:$P),0)*AL_loading_perc),
0)</f>
        <v>0</v>
      </c>
      <c r="AC18" s="118"/>
      <c r="AD18" s="118"/>
      <c r="AE18" s="283" t="str">
        <f t="shared" si="16"/>
        <v/>
      </c>
      <c r="AF18" s="283" t="str">
        <f t="shared" si="17"/>
        <v/>
      </c>
      <c r="AG18" s="118"/>
      <c r="AH18" s="118"/>
      <c r="AI18" s="283" t="str">
        <f t="shared" si="18"/>
        <v/>
      </c>
      <c r="AJ18" s="118"/>
      <c r="AK18" s="118"/>
      <c r="AM18" s="118">
        <f t="shared" si="19"/>
        <v>0</v>
      </c>
      <c r="AN18" s="118">
        <f t="shared" si="4"/>
        <v>0</v>
      </c>
      <c r="AO18" s="118" t="str">
        <f>IFERROR(
IF(VLOOKUP($C18,'Employee information'!$B:$M,COLUMNS('Employee information'!$B:$M),0)=1,
IF($E$2="Fortnightly",
ROUND(
ROUND((((TRUNC($AN18/2,0)+0.99))*VLOOKUP((TRUNC($AN18/2,0)+0.99),'Tax scales - NAT 1004'!$A$12:$C$18,2,1)-VLOOKUP((TRUNC($AN18/2,0)+0.99),'Tax scales - NAT 1004'!$A$12:$C$18,3,1)),0)
*2,
0),
IF(AND($E$2="Monthly",ROUND($AN18-TRUNC($AN18),2)=0.33),
ROUND(
ROUND(((TRUNC(($AN18+0.01)*3/13,0)+0.99)*VLOOKUP((TRUNC(($AN18+0.01)*3/13,0)+0.99),'Tax scales - NAT 1004'!$A$12:$C$18,2,1)-VLOOKUP((TRUNC(($AN18+0.01)*3/13,0)+0.99),'Tax scales - NAT 1004'!$A$12:$C$18,3,1)),0)
*13/3,
0),
IF($E$2="Monthly",
ROUND(
ROUND(((TRUNC($AN18*3/13,0)+0.99)*VLOOKUP((TRUNC($AN18*3/13,0)+0.99),'Tax scales - NAT 1004'!$A$12:$C$18,2,1)-VLOOKUP((TRUNC($AN18*3/13,0)+0.99),'Tax scales - NAT 1004'!$A$12:$C$18,3,1)),0)
*13/3,
0),
""))),
""),
"")</f>
        <v/>
      </c>
      <c r="AP18" s="118" t="str">
        <f>IFERROR(
IF(VLOOKUP($C18,'Employee information'!$B:$M,COLUMNS('Employee information'!$B:$M),0)=2,
IF($E$2="Fortnightly",
ROUND(
ROUND((((TRUNC($AN18/2,0)+0.99))*VLOOKUP((TRUNC($AN18/2,0)+0.99),'Tax scales - NAT 1004'!$A$25:$C$33,2,1)-VLOOKUP((TRUNC($AN18/2,0)+0.99),'Tax scales - NAT 1004'!$A$25:$C$33,3,1)),0)
*2,
0),
IF(AND($E$2="Monthly",ROUND($AN18-TRUNC($AN18),2)=0.33),
ROUND(
ROUND(((TRUNC(($AN18+0.01)*3/13,0)+0.99)*VLOOKUP((TRUNC(($AN18+0.01)*3/13,0)+0.99),'Tax scales - NAT 1004'!$A$25:$C$33,2,1)-VLOOKUP((TRUNC(($AN18+0.01)*3/13,0)+0.99),'Tax scales - NAT 1004'!$A$25:$C$33,3,1)),0)
*13/3,
0),
IF($E$2="Monthly",
ROUND(
ROUND(((TRUNC($AN18*3/13,0)+0.99)*VLOOKUP((TRUNC($AN18*3/13,0)+0.99),'Tax scales - NAT 1004'!$A$25:$C$33,2,1)-VLOOKUP((TRUNC($AN18*3/13,0)+0.99),'Tax scales - NAT 1004'!$A$25:$C$33,3,1)),0)
*13/3,
0),
""))),
""),
"")</f>
        <v/>
      </c>
      <c r="AQ18" s="118" t="str">
        <f>IFERROR(
IF(VLOOKUP($C18,'Employee information'!$B:$M,COLUMNS('Employee information'!$B:$M),0)=3,
IF($E$2="Fortnightly",
ROUND(
ROUND((((TRUNC($AN18/2,0)+0.99))*VLOOKUP((TRUNC($AN18/2,0)+0.99),'Tax scales - NAT 1004'!$A$39:$C$41,2,1)-VLOOKUP((TRUNC($AN18/2,0)+0.99),'Tax scales - NAT 1004'!$A$39:$C$41,3,1)),0)
*2,
0),
IF(AND($E$2="Monthly",ROUND($AN18-TRUNC($AN18),2)=0.33),
ROUND(
ROUND(((TRUNC(($AN18+0.01)*3/13,0)+0.99)*VLOOKUP((TRUNC(($AN18+0.01)*3/13,0)+0.99),'Tax scales - NAT 1004'!$A$39:$C$41,2,1)-VLOOKUP((TRUNC(($AN18+0.01)*3/13,0)+0.99),'Tax scales - NAT 1004'!$A$39:$C$41,3,1)),0)
*13/3,
0),
IF($E$2="Monthly",
ROUND(
ROUND(((TRUNC($AN18*3/13,0)+0.99)*VLOOKUP((TRUNC($AN18*3/13,0)+0.99),'Tax scales - NAT 1004'!$A$39:$C$41,2,1)-VLOOKUP((TRUNC($AN18*3/13,0)+0.99),'Tax scales - NAT 1004'!$A$39:$C$41,3,1)),0)
*13/3,
0),
""))),
""),
"")</f>
        <v/>
      </c>
      <c r="AR18" s="118" t="str">
        <f>IFERROR(
IF(AND(VLOOKUP($C18,'Employee information'!$B:$M,COLUMNS('Employee information'!$B:$M),0)=4,
VLOOKUP($C18,'Employee information'!$B:$J,COLUMNS('Employee information'!$B:$J),0)="Resident"),
TRUNC(TRUNC($AN18)*'Tax scales - NAT 1004'!$B$47),
IF(AND(VLOOKUP($C18,'Employee information'!$B:$M,COLUMNS('Employee information'!$B:$M),0)=4,
VLOOKUP($C18,'Employee information'!$B:$J,COLUMNS('Employee information'!$B:$J),0)="Foreign resident"),
TRUNC(TRUNC($AN18)*'Tax scales - NAT 1004'!$B$48),
"")),
"")</f>
        <v/>
      </c>
      <c r="AS18" s="118" t="str">
        <f>IFERROR(
IF(VLOOKUP($C18,'Employee information'!$B:$M,COLUMNS('Employee information'!$B:$M),0)=5,
IF($E$2="Fortnightly",
ROUND(
ROUND((((TRUNC($AN18/2,0)+0.99))*VLOOKUP((TRUNC($AN18/2,0)+0.99),'Tax scales - NAT 1004'!$A$53:$C$59,2,1)-VLOOKUP((TRUNC($AN18/2,0)+0.99),'Tax scales - NAT 1004'!$A$53:$C$59,3,1)),0)
*2,
0),
IF(AND($E$2="Monthly",ROUND($AN18-TRUNC($AN18),2)=0.33),
ROUND(
ROUND(((TRUNC(($AN18+0.01)*3/13,0)+0.99)*VLOOKUP((TRUNC(($AN18+0.01)*3/13,0)+0.99),'Tax scales - NAT 1004'!$A$53:$C$59,2,1)-VLOOKUP((TRUNC(($AN18+0.01)*3/13,0)+0.99),'Tax scales - NAT 1004'!$A$53:$C$59,3,1)),0)
*13/3,
0),
IF($E$2="Monthly",
ROUND(
ROUND(((TRUNC($AN18*3/13,0)+0.99)*VLOOKUP((TRUNC($AN18*3/13,0)+0.99),'Tax scales - NAT 1004'!$A$53:$C$59,2,1)-VLOOKUP((TRUNC($AN18*3/13,0)+0.99),'Tax scales - NAT 1004'!$A$53:$C$59,3,1)),0)
*13/3,
0),
""))),
""),
"")</f>
        <v/>
      </c>
      <c r="AT18" s="118" t="str">
        <f>IFERROR(
IF(VLOOKUP($C18,'Employee information'!$B:$M,COLUMNS('Employee information'!$B:$M),0)=6,
IF($E$2="Fortnightly",
ROUND(
ROUND((((TRUNC($AN18/2,0)+0.99))*VLOOKUP((TRUNC($AN18/2,0)+0.99),'Tax scales - NAT 1004'!$A$65:$C$73,2,1)-VLOOKUP((TRUNC($AN18/2,0)+0.99),'Tax scales - NAT 1004'!$A$65:$C$73,3,1)),0)
*2,
0),
IF(AND($E$2="Monthly",ROUND($AN18-TRUNC($AN18),2)=0.33),
ROUND(
ROUND(((TRUNC(($AN18+0.01)*3/13,0)+0.99)*VLOOKUP((TRUNC(($AN18+0.01)*3/13,0)+0.99),'Tax scales - NAT 1004'!$A$65:$C$73,2,1)-VLOOKUP((TRUNC(($AN18+0.01)*3/13,0)+0.99),'Tax scales - NAT 1004'!$A$65:$C$73,3,1)),0)
*13/3,
0),
IF($E$2="Monthly",
ROUND(
ROUND(((TRUNC($AN18*3/13,0)+0.99)*VLOOKUP((TRUNC($AN18*3/13,0)+0.99),'Tax scales - NAT 1004'!$A$65:$C$73,2,1)-VLOOKUP((TRUNC($AN18*3/13,0)+0.99),'Tax scales - NAT 1004'!$A$65:$C$73,3,1)),0)
*13/3,
0),
""))),
""),
"")</f>
        <v/>
      </c>
      <c r="AU18" s="118" t="str">
        <f>IFERROR(
IF(VLOOKUP($C18,'Employee information'!$B:$M,COLUMNS('Employee information'!$B:$M),0)=11,
IF($E$2="Fortnightly",
ROUND(
ROUND((((TRUNC($AN18/2,0)+0.99))*VLOOKUP((TRUNC($AN18/2,0)+0.99),'Tax scales - NAT 3539'!$A$14:$C$38,2,1)-VLOOKUP((TRUNC($AN18/2,0)+0.99),'Tax scales - NAT 3539'!$A$14:$C$38,3,1)),0)
*2,
0),
IF(AND($E$2="Monthly",ROUND($AN18-TRUNC($AN18),2)=0.33),
ROUND(
ROUND(((TRUNC(($AN18+0.01)*3/13,0)+0.99)*VLOOKUP((TRUNC(($AN18+0.01)*3/13,0)+0.99),'Tax scales - NAT 3539'!$A$14:$C$38,2,1)-VLOOKUP((TRUNC(($AN18+0.01)*3/13,0)+0.99),'Tax scales - NAT 3539'!$A$14:$C$38,3,1)),0)
*13/3,
0),
IF($E$2="Monthly",
ROUND(
ROUND(((TRUNC($AN18*3/13,0)+0.99)*VLOOKUP((TRUNC($AN18*3/13,0)+0.99),'Tax scales - NAT 3539'!$A$14:$C$38,2,1)-VLOOKUP((TRUNC($AN18*3/13,0)+0.99),'Tax scales - NAT 3539'!$A$14:$C$38,3,1)),0)
*13/3,
0),
""))),
""),
"")</f>
        <v/>
      </c>
      <c r="AV18" s="118" t="str">
        <f>IFERROR(
IF(VLOOKUP($C18,'Employee information'!$B:$M,COLUMNS('Employee information'!$B:$M),0)=22,
IF($E$2="Fortnightly",
ROUND(
ROUND((((TRUNC($AN18/2,0)+0.99))*VLOOKUP((TRUNC($AN18/2,0)+0.99),'Tax scales - NAT 3539'!$A$43:$C$69,2,1)-VLOOKUP((TRUNC($AN18/2,0)+0.99),'Tax scales - NAT 3539'!$A$43:$C$69,3,1)),0)
*2,
0),
IF(AND($E$2="Monthly",ROUND($AN18-TRUNC($AN18),2)=0.33),
ROUND(
ROUND(((TRUNC(($AN18+0.01)*3/13,0)+0.99)*VLOOKUP((TRUNC(($AN18+0.01)*3/13,0)+0.99),'Tax scales - NAT 3539'!$A$43:$C$69,2,1)-VLOOKUP((TRUNC(($AN18+0.01)*3/13,0)+0.99),'Tax scales - NAT 3539'!$A$43:$C$69,3,1)),0)
*13/3,
0),
IF($E$2="Monthly",
ROUND(
ROUND(((TRUNC($AN18*3/13,0)+0.99)*VLOOKUP((TRUNC($AN18*3/13,0)+0.99),'Tax scales - NAT 3539'!$A$43:$C$69,2,1)-VLOOKUP((TRUNC($AN18*3/13,0)+0.99),'Tax scales - NAT 3539'!$A$43:$C$69,3,1)),0)
*13/3,
0),
""))),
""),
"")</f>
        <v/>
      </c>
      <c r="AW18" s="118" t="str">
        <f>IFERROR(
IF(VLOOKUP($C18,'Employee information'!$B:$M,COLUMNS('Employee information'!$B:$M),0)=33,
IF($E$2="Fortnightly",
ROUND(
ROUND((((TRUNC($AN18/2,0)+0.99))*VLOOKUP((TRUNC($AN18/2,0)+0.99),'Tax scales - NAT 3539'!$A$74:$C$94,2,1)-VLOOKUP((TRUNC($AN18/2,0)+0.99),'Tax scales - NAT 3539'!$A$74:$C$94,3,1)),0)
*2,
0),
IF(AND($E$2="Monthly",ROUND($AN18-TRUNC($AN18),2)=0.33),
ROUND(
ROUND(((TRUNC(($AN18+0.01)*3/13,0)+0.99)*VLOOKUP((TRUNC(($AN18+0.01)*3/13,0)+0.99),'Tax scales - NAT 3539'!$A$74:$C$94,2,1)-VLOOKUP((TRUNC(($AN18+0.01)*3/13,0)+0.99),'Tax scales - NAT 3539'!$A$74:$C$94,3,1)),0)
*13/3,
0),
IF($E$2="Monthly",
ROUND(
ROUND(((TRUNC($AN18*3/13,0)+0.99)*VLOOKUP((TRUNC($AN18*3/13,0)+0.99),'Tax scales - NAT 3539'!$A$74:$C$94,2,1)-VLOOKUP((TRUNC($AN18*3/13,0)+0.99),'Tax scales - NAT 3539'!$A$74:$C$94,3,1)),0)
*13/3,
0),
""))),
""),
"")</f>
        <v/>
      </c>
      <c r="AX18" s="118" t="str">
        <f>IFERROR(
IF(VLOOKUP($C18,'Employee information'!$B:$M,COLUMNS('Employee information'!$B:$M),0)=55,
IF($E$2="Fortnightly",
ROUND(
ROUND((((TRUNC($AN18/2,0)+0.99))*VLOOKUP((TRUNC($AN18/2,0)+0.99),'Tax scales - NAT 3539'!$A$99:$C$123,2,1)-VLOOKUP((TRUNC($AN18/2,0)+0.99),'Tax scales - NAT 3539'!$A$99:$C$123,3,1)),0)
*2,
0),
IF(AND($E$2="Monthly",ROUND($AN18-TRUNC($AN18),2)=0.33),
ROUND(
ROUND(((TRUNC(($AN18+0.01)*3/13,0)+0.99)*VLOOKUP((TRUNC(($AN18+0.01)*3/13,0)+0.99),'Tax scales - NAT 3539'!$A$99:$C$123,2,1)-VLOOKUP((TRUNC(($AN18+0.01)*3/13,0)+0.99),'Tax scales - NAT 3539'!$A$99:$C$123,3,1)),0)
*13/3,
0),
IF($E$2="Monthly",
ROUND(
ROUND(((TRUNC($AN18*3/13,0)+0.99)*VLOOKUP((TRUNC($AN18*3/13,0)+0.99),'Tax scales - NAT 3539'!$A$99:$C$123,2,1)-VLOOKUP((TRUNC($AN18*3/13,0)+0.99),'Tax scales - NAT 3539'!$A$99:$C$123,3,1)),0)
*13/3,
0),
""))),
""),
"")</f>
        <v/>
      </c>
      <c r="AY18" s="118" t="str">
        <f>IFERROR(
IF(VLOOKUP($C18,'Employee information'!$B:$M,COLUMNS('Employee information'!$B:$M),0)=66,
IF($E$2="Fortnightly",
ROUND(
ROUND((((TRUNC($AN18/2,0)+0.99))*VLOOKUP((TRUNC($AN18/2,0)+0.99),'Tax scales - NAT 3539'!$A$127:$C$154,2,1)-VLOOKUP((TRUNC($AN18/2,0)+0.99),'Tax scales - NAT 3539'!$A$127:$C$154,3,1)),0)
*2,
0),
IF(AND($E$2="Monthly",ROUND($AN18-TRUNC($AN18),2)=0.33),
ROUND(
ROUND(((TRUNC(($AN18+0.01)*3/13,0)+0.99)*VLOOKUP((TRUNC(($AN18+0.01)*3/13,0)+0.99),'Tax scales - NAT 3539'!$A$127:$C$154,2,1)-VLOOKUP((TRUNC(($AN18+0.01)*3/13,0)+0.99),'Tax scales - NAT 3539'!$A$127:$C$154,3,1)),0)
*13/3,
0),
IF($E$2="Monthly",
ROUND(
ROUND(((TRUNC($AN18*3/13,0)+0.99)*VLOOKUP((TRUNC($AN18*3/13,0)+0.99),'Tax scales - NAT 3539'!$A$127:$C$154,2,1)-VLOOKUP((TRUNC($AN18*3/13,0)+0.99),'Tax scales - NAT 3539'!$A$127:$C$154,3,1)),0)
*13/3,
0),
""))),
""),
"")</f>
        <v/>
      </c>
      <c r="AZ18" s="118">
        <f>IFERROR(
HLOOKUP(VLOOKUP($C18,'Employee information'!$B:$M,COLUMNS('Employee information'!$B:$M),0),'PAYG worksheet'!$AO$10:$AY$29,COUNTA($C$11:$C18)+1,0),
0)</f>
        <v>0</v>
      </c>
      <c r="BA18" s="118"/>
      <c r="BB18" s="118">
        <f t="shared" si="20"/>
        <v>0</v>
      </c>
      <c r="BC18" s="119">
        <f>IFERROR(
IF(OR($AE18=1,$AE18=""),SUM($P18,$AA18,$AC18,$AK18)*VLOOKUP($C18,'Employee information'!$B:$Q,COLUMNS('Employee information'!$B:$H),0),
IF($AE18=0,SUM($P18,$AA18,$AK18)*VLOOKUP($C18,'Employee information'!$B:$Q,COLUMNS('Employee information'!$B:$H),0),
0)),
0)</f>
        <v>0</v>
      </c>
      <c r="BE18" s="114">
        <f t="shared" si="5"/>
        <v>0</v>
      </c>
      <c r="BF18" s="114">
        <f t="shared" si="6"/>
        <v>0</v>
      </c>
      <c r="BG18" s="114">
        <f t="shared" si="7"/>
        <v>0</v>
      </c>
      <c r="BH18" s="114">
        <f t="shared" si="8"/>
        <v>0</v>
      </c>
      <c r="BI18" s="114">
        <f t="shared" si="9"/>
        <v>0</v>
      </c>
      <c r="BJ18" s="114">
        <f t="shared" si="10"/>
        <v>0</v>
      </c>
      <c r="BK18" s="114">
        <f t="shared" si="11"/>
        <v>0</v>
      </c>
      <c r="BL18" s="114">
        <f t="shared" si="21"/>
        <v>0</v>
      </c>
      <c r="BM18" s="114">
        <f t="shared" si="12"/>
        <v>0</v>
      </c>
    </row>
    <row r="19" spans="1:65" x14ac:dyDescent="0.25">
      <c r="A19" s="228">
        <f t="shared" si="0"/>
        <v>1</v>
      </c>
      <c r="C19" s="278"/>
      <c r="E19" s="103">
        <f>IF($C19="",0,
IF(AND($E$2="Monthly",$A19&gt;12),0,
IF($E$2="Monthly",VLOOKUP($C19,'Employee information'!$B:$AM,COLUMNS('Employee information'!$B:S),0),
IF($E$2="Fortnightly",VLOOKUP($C19,'Employee information'!$B:$AM,COLUMNS('Employee information'!$B:R),0),
0))))</f>
        <v>0</v>
      </c>
      <c r="F19" s="106"/>
      <c r="G19" s="106"/>
      <c r="H19" s="106"/>
      <c r="I19" s="106"/>
      <c r="J19" s="103">
        <f t="shared" si="13"/>
        <v>0</v>
      </c>
      <c r="L19" s="113">
        <f>IF(AND($E$2="Monthly",$A19&gt;12),"",
IFERROR($J19*VLOOKUP($C19,'Employee information'!$B:$AI,COLUMNS('Employee information'!$B:$P),0),0))</f>
        <v>0</v>
      </c>
      <c r="M19" s="114">
        <f t="shared" si="14"/>
        <v>0</v>
      </c>
      <c r="O19" s="103">
        <f t="shared" si="15"/>
        <v>0</v>
      </c>
      <c r="P19" s="113">
        <f>IFERROR(
IF(AND($E$2="Monthly",$A19&gt;12),0,
$O19*VLOOKUP($C19,'Employee information'!$B:$AI,COLUMNS('Employee information'!$B:$P),0)),
0)</f>
        <v>0</v>
      </c>
      <c r="R19" s="114">
        <f t="shared" si="1"/>
        <v>0</v>
      </c>
      <c r="T19" s="103"/>
      <c r="U19" s="103"/>
      <c r="V19" s="282" t="str">
        <f>IF($C19="","",
IF(AND($E$2="Monthly",$A19&gt;12),"",
$T19*VLOOKUP($C19,'Employee information'!$B:$P,COLUMNS('Employee information'!$B:$P),0)))</f>
        <v/>
      </c>
      <c r="W19" s="282" t="str">
        <f>IF($C19="","",
IF(AND($E$2="Monthly",$A19&gt;12),"",
$U19*VLOOKUP($C19,'Employee information'!$B:$P,COLUMNS('Employee information'!$B:$P),0)))</f>
        <v/>
      </c>
      <c r="X19" s="114">
        <f t="shared" si="2"/>
        <v>0</v>
      </c>
      <c r="Y19" s="114">
        <f t="shared" si="3"/>
        <v>0</v>
      </c>
      <c r="AA19" s="118">
        <f>IFERROR(
IF(OR('Basic payroll data'!$D$12="",'Basic payroll data'!$D$12="No"),0,
$T19*VLOOKUP($C19,'Employee information'!$B:$P,COLUMNS('Employee information'!$B:$P),0)*AL_loading_perc),
0)</f>
        <v>0</v>
      </c>
      <c r="AC19" s="118"/>
      <c r="AD19" s="118"/>
      <c r="AE19" s="283" t="str">
        <f t="shared" si="16"/>
        <v/>
      </c>
      <c r="AF19" s="283" t="str">
        <f t="shared" si="17"/>
        <v/>
      </c>
      <c r="AG19" s="118"/>
      <c r="AH19" s="118"/>
      <c r="AI19" s="283" t="str">
        <f t="shared" si="18"/>
        <v/>
      </c>
      <c r="AJ19" s="118"/>
      <c r="AK19" s="118"/>
      <c r="AM19" s="118">
        <f t="shared" si="19"/>
        <v>0</v>
      </c>
      <c r="AN19" s="118">
        <f t="shared" si="4"/>
        <v>0</v>
      </c>
      <c r="AO19" s="118" t="str">
        <f>IFERROR(
IF(VLOOKUP($C19,'Employee information'!$B:$M,COLUMNS('Employee information'!$B:$M),0)=1,
IF($E$2="Fortnightly",
ROUND(
ROUND((((TRUNC($AN19/2,0)+0.99))*VLOOKUP((TRUNC($AN19/2,0)+0.99),'Tax scales - NAT 1004'!$A$12:$C$18,2,1)-VLOOKUP((TRUNC($AN19/2,0)+0.99),'Tax scales - NAT 1004'!$A$12:$C$18,3,1)),0)
*2,
0),
IF(AND($E$2="Monthly",ROUND($AN19-TRUNC($AN19),2)=0.33),
ROUND(
ROUND(((TRUNC(($AN19+0.01)*3/13,0)+0.99)*VLOOKUP((TRUNC(($AN19+0.01)*3/13,0)+0.99),'Tax scales - NAT 1004'!$A$12:$C$18,2,1)-VLOOKUP((TRUNC(($AN19+0.01)*3/13,0)+0.99),'Tax scales - NAT 1004'!$A$12:$C$18,3,1)),0)
*13/3,
0),
IF($E$2="Monthly",
ROUND(
ROUND(((TRUNC($AN19*3/13,0)+0.99)*VLOOKUP((TRUNC($AN19*3/13,0)+0.99),'Tax scales - NAT 1004'!$A$12:$C$18,2,1)-VLOOKUP((TRUNC($AN19*3/13,0)+0.99),'Tax scales - NAT 1004'!$A$12:$C$18,3,1)),0)
*13/3,
0),
""))),
""),
"")</f>
        <v/>
      </c>
      <c r="AP19" s="118" t="str">
        <f>IFERROR(
IF(VLOOKUP($C19,'Employee information'!$B:$M,COLUMNS('Employee information'!$B:$M),0)=2,
IF($E$2="Fortnightly",
ROUND(
ROUND((((TRUNC($AN19/2,0)+0.99))*VLOOKUP((TRUNC($AN19/2,0)+0.99),'Tax scales - NAT 1004'!$A$25:$C$33,2,1)-VLOOKUP((TRUNC($AN19/2,0)+0.99),'Tax scales - NAT 1004'!$A$25:$C$33,3,1)),0)
*2,
0),
IF(AND($E$2="Monthly",ROUND($AN19-TRUNC($AN19),2)=0.33),
ROUND(
ROUND(((TRUNC(($AN19+0.01)*3/13,0)+0.99)*VLOOKUP((TRUNC(($AN19+0.01)*3/13,0)+0.99),'Tax scales - NAT 1004'!$A$25:$C$33,2,1)-VLOOKUP((TRUNC(($AN19+0.01)*3/13,0)+0.99),'Tax scales - NAT 1004'!$A$25:$C$33,3,1)),0)
*13/3,
0),
IF($E$2="Monthly",
ROUND(
ROUND(((TRUNC($AN19*3/13,0)+0.99)*VLOOKUP((TRUNC($AN19*3/13,0)+0.99),'Tax scales - NAT 1004'!$A$25:$C$33,2,1)-VLOOKUP((TRUNC($AN19*3/13,0)+0.99),'Tax scales - NAT 1004'!$A$25:$C$33,3,1)),0)
*13/3,
0),
""))),
""),
"")</f>
        <v/>
      </c>
      <c r="AQ19" s="118" t="str">
        <f>IFERROR(
IF(VLOOKUP($C19,'Employee information'!$B:$M,COLUMNS('Employee information'!$B:$M),0)=3,
IF($E$2="Fortnightly",
ROUND(
ROUND((((TRUNC($AN19/2,0)+0.99))*VLOOKUP((TRUNC($AN19/2,0)+0.99),'Tax scales - NAT 1004'!$A$39:$C$41,2,1)-VLOOKUP((TRUNC($AN19/2,0)+0.99),'Tax scales - NAT 1004'!$A$39:$C$41,3,1)),0)
*2,
0),
IF(AND($E$2="Monthly",ROUND($AN19-TRUNC($AN19),2)=0.33),
ROUND(
ROUND(((TRUNC(($AN19+0.01)*3/13,0)+0.99)*VLOOKUP((TRUNC(($AN19+0.01)*3/13,0)+0.99),'Tax scales - NAT 1004'!$A$39:$C$41,2,1)-VLOOKUP((TRUNC(($AN19+0.01)*3/13,0)+0.99),'Tax scales - NAT 1004'!$A$39:$C$41,3,1)),0)
*13/3,
0),
IF($E$2="Monthly",
ROUND(
ROUND(((TRUNC($AN19*3/13,0)+0.99)*VLOOKUP((TRUNC($AN19*3/13,0)+0.99),'Tax scales - NAT 1004'!$A$39:$C$41,2,1)-VLOOKUP((TRUNC($AN19*3/13,0)+0.99),'Tax scales - NAT 1004'!$A$39:$C$41,3,1)),0)
*13/3,
0),
""))),
""),
"")</f>
        <v/>
      </c>
      <c r="AR19" s="118" t="str">
        <f>IFERROR(
IF(AND(VLOOKUP($C19,'Employee information'!$B:$M,COLUMNS('Employee information'!$B:$M),0)=4,
VLOOKUP($C19,'Employee information'!$B:$J,COLUMNS('Employee information'!$B:$J),0)="Resident"),
TRUNC(TRUNC($AN19)*'Tax scales - NAT 1004'!$B$47),
IF(AND(VLOOKUP($C19,'Employee information'!$B:$M,COLUMNS('Employee information'!$B:$M),0)=4,
VLOOKUP($C19,'Employee information'!$B:$J,COLUMNS('Employee information'!$B:$J),0)="Foreign resident"),
TRUNC(TRUNC($AN19)*'Tax scales - NAT 1004'!$B$48),
"")),
"")</f>
        <v/>
      </c>
      <c r="AS19" s="118" t="str">
        <f>IFERROR(
IF(VLOOKUP($C19,'Employee information'!$B:$M,COLUMNS('Employee information'!$B:$M),0)=5,
IF($E$2="Fortnightly",
ROUND(
ROUND((((TRUNC($AN19/2,0)+0.99))*VLOOKUP((TRUNC($AN19/2,0)+0.99),'Tax scales - NAT 1004'!$A$53:$C$59,2,1)-VLOOKUP((TRUNC($AN19/2,0)+0.99),'Tax scales - NAT 1004'!$A$53:$C$59,3,1)),0)
*2,
0),
IF(AND($E$2="Monthly",ROUND($AN19-TRUNC($AN19),2)=0.33),
ROUND(
ROUND(((TRUNC(($AN19+0.01)*3/13,0)+0.99)*VLOOKUP((TRUNC(($AN19+0.01)*3/13,0)+0.99),'Tax scales - NAT 1004'!$A$53:$C$59,2,1)-VLOOKUP((TRUNC(($AN19+0.01)*3/13,0)+0.99),'Tax scales - NAT 1004'!$A$53:$C$59,3,1)),0)
*13/3,
0),
IF($E$2="Monthly",
ROUND(
ROUND(((TRUNC($AN19*3/13,0)+0.99)*VLOOKUP((TRUNC($AN19*3/13,0)+0.99),'Tax scales - NAT 1004'!$A$53:$C$59,2,1)-VLOOKUP((TRUNC($AN19*3/13,0)+0.99),'Tax scales - NAT 1004'!$A$53:$C$59,3,1)),0)
*13/3,
0),
""))),
""),
"")</f>
        <v/>
      </c>
      <c r="AT19" s="118" t="str">
        <f>IFERROR(
IF(VLOOKUP($C19,'Employee information'!$B:$M,COLUMNS('Employee information'!$B:$M),0)=6,
IF($E$2="Fortnightly",
ROUND(
ROUND((((TRUNC($AN19/2,0)+0.99))*VLOOKUP((TRUNC($AN19/2,0)+0.99),'Tax scales - NAT 1004'!$A$65:$C$73,2,1)-VLOOKUP((TRUNC($AN19/2,0)+0.99),'Tax scales - NAT 1004'!$A$65:$C$73,3,1)),0)
*2,
0),
IF(AND($E$2="Monthly",ROUND($AN19-TRUNC($AN19),2)=0.33),
ROUND(
ROUND(((TRUNC(($AN19+0.01)*3/13,0)+0.99)*VLOOKUP((TRUNC(($AN19+0.01)*3/13,0)+0.99),'Tax scales - NAT 1004'!$A$65:$C$73,2,1)-VLOOKUP((TRUNC(($AN19+0.01)*3/13,0)+0.99),'Tax scales - NAT 1004'!$A$65:$C$73,3,1)),0)
*13/3,
0),
IF($E$2="Monthly",
ROUND(
ROUND(((TRUNC($AN19*3/13,0)+0.99)*VLOOKUP((TRUNC($AN19*3/13,0)+0.99),'Tax scales - NAT 1004'!$A$65:$C$73,2,1)-VLOOKUP((TRUNC($AN19*3/13,0)+0.99),'Tax scales - NAT 1004'!$A$65:$C$73,3,1)),0)
*13/3,
0),
""))),
""),
"")</f>
        <v/>
      </c>
      <c r="AU19" s="118" t="str">
        <f>IFERROR(
IF(VLOOKUP($C19,'Employee information'!$B:$M,COLUMNS('Employee information'!$B:$M),0)=11,
IF($E$2="Fortnightly",
ROUND(
ROUND((((TRUNC($AN19/2,0)+0.99))*VLOOKUP((TRUNC($AN19/2,0)+0.99),'Tax scales - NAT 3539'!$A$14:$C$38,2,1)-VLOOKUP((TRUNC($AN19/2,0)+0.99),'Tax scales - NAT 3539'!$A$14:$C$38,3,1)),0)
*2,
0),
IF(AND($E$2="Monthly",ROUND($AN19-TRUNC($AN19),2)=0.33),
ROUND(
ROUND(((TRUNC(($AN19+0.01)*3/13,0)+0.99)*VLOOKUP((TRUNC(($AN19+0.01)*3/13,0)+0.99),'Tax scales - NAT 3539'!$A$14:$C$38,2,1)-VLOOKUP((TRUNC(($AN19+0.01)*3/13,0)+0.99),'Tax scales - NAT 3539'!$A$14:$C$38,3,1)),0)
*13/3,
0),
IF($E$2="Monthly",
ROUND(
ROUND(((TRUNC($AN19*3/13,0)+0.99)*VLOOKUP((TRUNC($AN19*3/13,0)+0.99),'Tax scales - NAT 3539'!$A$14:$C$38,2,1)-VLOOKUP((TRUNC($AN19*3/13,0)+0.99),'Tax scales - NAT 3539'!$A$14:$C$38,3,1)),0)
*13/3,
0),
""))),
""),
"")</f>
        <v/>
      </c>
      <c r="AV19" s="118" t="str">
        <f>IFERROR(
IF(VLOOKUP($C19,'Employee information'!$B:$M,COLUMNS('Employee information'!$B:$M),0)=22,
IF($E$2="Fortnightly",
ROUND(
ROUND((((TRUNC($AN19/2,0)+0.99))*VLOOKUP((TRUNC($AN19/2,0)+0.99),'Tax scales - NAT 3539'!$A$43:$C$69,2,1)-VLOOKUP((TRUNC($AN19/2,0)+0.99),'Tax scales - NAT 3539'!$A$43:$C$69,3,1)),0)
*2,
0),
IF(AND($E$2="Monthly",ROUND($AN19-TRUNC($AN19),2)=0.33),
ROUND(
ROUND(((TRUNC(($AN19+0.01)*3/13,0)+0.99)*VLOOKUP((TRUNC(($AN19+0.01)*3/13,0)+0.99),'Tax scales - NAT 3539'!$A$43:$C$69,2,1)-VLOOKUP((TRUNC(($AN19+0.01)*3/13,0)+0.99),'Tax scales - NAT 3539'!$A$43:$C$69,3,1)),0)
*13/3,
0),
IF($E$2="Monthly",
ROUND(
ROUND(((TRUNC($AN19*3/13,0)+0.99)*VLOOKUP((TRUNC($AN19*3/13,0)+0.99),'Tax scales - NAT 3539'!$A$43:$C$69,2,1)-VLOOKUP((TRUNC($AN19*3/13,0)+0.99),'Tax scales - NAT 3539'!$A$43:$C$69,3,1)),0)
*13/3,
0),
""))),
""),
"")</f>
        <v/>
      </c>
      <c r="AW19" s="118" t="str">
        <f>IFERROR(
IF(VLOOKUP($C19,'Employee information'!$B:$M,COLUMNS('Employee information'!$B:$M),0)=33,
IF($E$2="Fortnightly",
ROUND(
ROUND((((TRUNC($AN19/2,0)+0.99))*VLOOKUP((TRUNC($AN19/2,0)+0.99),'Tax scales - NAT 3539'!$A$74:$C$94,2,1)-VLOOKUP((TRUNC($AN19/2,0)+0.99),'Tax scales - NAT 3539'!$A$74:$C$94,3,1)),0)
*2,
0),
IF(AND($E$2="Monthly",ROUND($AN19-TRUNC($AN19),2)=0.33),
ROUND(
ROUND(((TRUNC(($AN19+0.01)*3/13,0)+0.99)*VLOOKUP((TRUNC(($AN19+0.01)*3/13,0)+0.99),'Tax scales - NAT 3539'!$A$74:$C$94,2,1)-VLOOKUP((TRUNC(($AN19+0.01)*3/13,0)+0.99),'Tax scales - NAT 3539'!$A$74:$C$94,3,1)),0)
*13/3,
0),
IF($E$2="Monthly",
ROUND(
ROUND(((TRUNC($AN19*3/13,0)+0.99)*VLOOKUP((TRUNC($AN19*3/13,0)+0.99),'Tax scales - NAT 3539'!$A$74:$C$94,2,1)-VLOOKUP((TRUNC($AN19*3/13,0)+0.99),'Tax scales - NAT 3539'!$A$74:$C$94,3,1)),0)
*13/3,
0),
""))),
""),
"")</f>
        <v/>
      </c>
      <c r="AX19" s="118" t="str">
        <f>IFERROR(
IF(VLOOKUP($C19,'Employee information'!$B:$M,COLUMNS('Employee information'!$B:$M),0)=55,
IF($E$2="Fortnightly",
ROUND(
ROUND((((TRUNC($AN19/2,0)+0.99))*VLOOKUP((TRUNC($AN19/2,0)+0.99),'Tax scales - NAT 3539'!$A$99:$C$123,2,1)-VLOOKUP((TRUNC($AN19/2,0)+0.99),'Tax scales - NAT 3539'!$A$99:$C$123,3,1)),0)
*2,
0),
IF(AND($E$2="Monthly",ROUND($AN19-TRUNC($AN19),2)=0.33),
ROUND(
ROUND(((TRUNC(($AN19+0.01)*3/13,0)+0.99)*VLOOKUP((TRUNC(($AN19+0.01)*3/13,0)+0.99),'Tax scales - NAT 3539'!$A$99:$C$123,2,1)-VLOOKUP((TRUNC(($AN19+0.01)*3/13,0)+0.99),'Tax scales - NAT 3539'!$A$99:$C$123,3,1)),0)
*13/3,
0),
IF($E$2="Monthly",
ROUND(
ROUND(((TRUNC($AN19*3/13,0)+0.99)*VLOOKUP((TRUNC($AN19*3/13,0)+0.99),'Tax scales - NAT 3539'!$A$99:$C$123,2,1)-VLOOKUP((TRUNC($AN19*3/13,0)+0.99),'Tax scales - NAT 3539'!$A$99:$C$123,3,1)),0)
*13/3,
0),
""))),
""),
"")</f>
        <v/>
      </c>
      <c r="AY19" s="118" t="str">
        <f>IFERROR(
IF(VLOOKUP($C19,'Employee information'!$B:$M,COLUMNS('Employee information'!$B:$M),0)=66,
IF($E$2="Fortnightly",
ROUND(
ROUND((((TRUNC($AN19/2,0)+0.99))*VLOOKUP((TRUNC($AN19/2,0)+0.99),'Tax scales - NAT 3539'!$A$127:$C$154,2,1)-VLOOKUP((TRUNC($AN19/2,0)+0.99),'Tax scales - NAT 3539'!$A$127:$C$154,3,1)),0)
*2,
0),
IF(AND($E$2="Monthly",ROUND($AN19-TRUNC($AN19),2)=0.33),
ROUND(
ROUND(((TRUNC(($AN19+0.01)*3/13,0)+0.99)*VLOOKUP((TRUNC(($AN19+0.01)*3/13,0)+0.99),'Tax scales - NAT 3539'!$A$127:$C$154,2,1)-VLOOKUP((TRUNC(($AN19+0.01)*3/13,0)+0.99),'Tax scales - NAT 3539'!$A$127:$C$154,3,1)),0)
*13/3,
0),
IF($E$2="Monthly",
ROUND(
ROUND(((TRUNC($AN19*3/13,0)+0.99)*VLOOKUP((TRUNC($AN19*3/13,0)+0.99),'Tax scales - NAT 3539'!$A$127:$C$154,2,1)-VLOOKUP((TRUNC($AN19*3/13,0)+0.99),'Tax scales - NAT 3539'!$A$127:$C$154,3,1)),0)
*13/3,
0),
""))),
""),
"")</f>
        <v/>
      </c>
      <c r="AZ19" s="118">
        <f>IFERROR(
HLOOKUP(VLOOKUP($C19,'Employee information'!$B:$M,COLUMNS('Employee information'!$B:$M),0),'PAYG worksheet'!$AO$10:$AY$29,COUNTA($C$11:$C19)+1,0),
0)</f>
        <v>0</v>
      </c>
      <c r="BA19" s="118"/>
      <c r="BB19" s="118">
        <f t="shared" si="20"/>
        <v>0</v>
      </c>
      <c r="BC19" s="119">
        <f>IFERROR(
IF(OR($AE19=1,$AE19=""),SUM($P19,$AA19,$AC19,$AK19)*VLOOKUP($C19,'Employee information'!$B:$Q,COLUMNS('Employee information'!$B:$H),0),
IF($AE19=0,SUM($P19,$AA19,$AK19)*VLOOKUP($C19,'Employee information'!$B:$Q,COLUMNS('Employee information'!$B:$H),0),
0)),
0)</f>
        <v>0</v>
      </c>
      <c r="BE19" s="114">
        <f t="shared" si="5"/>
        <v>0</v>
      </c>
      <c r="BF19" s="114">
        <f t="shared" si="6"/>
        <v>0</v>
      </c>
      <c r="BG19" s="114">
        <f t="shared" si="7"/>
        <v>0</v>
      </c>
      <c r="BH19" s="114">
        <f t="shared" si="8"/>
        <v>0</v>
      </c>
      <c r="BI19" s="114">
        <f t="shared" si="9"/>
        <v>0</v>
      </c>
      <c r="BJ19" s="114">
        <f t="shared" si="10"/>
        <v>0</v>
      </c>
      <c r="BK19" s="114">
        <f t="shared" si="11"/>
        <v>0</v>
      </c>
      <c r="BL19" s="114">
        <f t="shared" si="21"/>
        <v>0</v>
      </c>
      <c r="BM19" s="114">
        <f t="shared" si="12"/>
        <v>0</v>
      </c>
    </row>
    <row r="20" spans="1:65" x14ac:dyDescent="0.25">
      <c r="A20" s="228">
        <f t="shared" si="0"/>
        <v>1</v>
      </c>
      <c r="C20" s="278"/>
      <c r="E20" s="103">
        <f>IF($C20="",0,
IF(AND($E$2="Monthly",$A20&gt;12),0,
IF($E$2="Monthly",VLOOKUP($C20,'Employee information'!$B:$AM,COLUMNS('Employee information'!$B:S),0),
IF($E$2="Fortnightly",VLOOKUP($C20,'Employee information'!$B:$AM,COLUMNS('Employee information'!$B:R),0),
0))))</f>
        <v>0</v>
      </c>
      <c r="F20" s="106"/>
      <c r="G20" s="106"/>
      <c r="H20" s="106"/>
      <c r="I20" s="106"/>
      <c r="J20" s="103">
        <f t="shared" si="13"/>
        <v>0</v>
      </c>
      <c r="L20" s="113">
        <f>IF(AND($E$2="Monthly",$A20&gt;12),"",
IFERROR($J20*VLOOKUP($C20,'Employee information'!$B:$AI,COLUMNS('Employee information'!$B:$P),0),0))</f>
        <v>0</v>
      </c>
      <c r="M20" s="114">
        <f t="shared" si="14"/>
        <v>0</v>
      </c>
      <c r="O20" s="103">
        <f>IF($E$2="Monthly",
IF(AND($E$2="Monthly",$H20&lt;&gt;""),$H20,
IF(AND($E$2="Monthly",$E20=0),$F20,
$E20)),
IF($E$2="Fortnightly",
IF(AND($E$2="Fortnightly",$H20&lt;&gt;""),$H20,
IF(AND($E$2="Fortnightly",$F20&lt;&gt;"",$E20&lt;&gt;0),$F20,
IF(AND($E$2="Fortnightly",$E20=0),$F20,
$E20)))))</f>
        <v>0</v>
      </c>
      <c r="P20" s="113">
        <f>IFERROR(
IF(AND($E$2="Monthly",$A20&gt;12),0,
$O20*VLOOKUP($C20,'Employee information'!$B:$AI,COLUMNS('Employee information'!$B:$P),0)),
0)</f>
        <v>0</v>
      </c>
      <c r="R20" s="114">
        <f t="shared" si="1"/>
        <v>0</v>
      </c>
      <c r="T20" s="103"/>
      <c r="U20" s="103"/>
      <c r="V20" s="282" t="str">
        <f>IF($C20="","",
IF(AND($E$2="Monthly",$A20&gt;12),"",
$T20*VLOOKUP($C20,'Employee information'!$B:$P,COLUMNS('Employee information'!$B:$P),0)))</f>
        <v/>
      </c>
      <c r="W20" s="282" t="str">
        <f>IF($C20="","",
IF(AND($E$2="Monthly",$A20&gt;12),"",
$U20*VLOOKUP($C20,'Employee information'!$B:$P,COLUMNS('Employee information'!$B:$P),0)))</f>
        <v/>
      </c>
      <c r="X20" s="114">
        <f t="shared" si="2"/>
        <v>0</v>
      </c>
      <c r="Y20" s="114">
        <f t="shared" si="3"/>
        <v>0</v>
      </c>
      <c r="AA20" s="118">
        <f>IFERROR(
IF(OR('Basic payroll data'!$D$12="",'Basic payroll data'!$D$12="No"),0,
$T20*VLOOKUP($C20,'Employee information'!$B:$P,COLUMNS('Employee information'!$B:$P),0)*AL_loading_perc),
0)</f>
        <v>0</v>
      </c>
      <c r="AC20" s="118"/>
      <c r="AD20" s="118"/>
      <c r="AE20" s="283" t="str">
        <f t="shared" si="16"/>
        <v/>
      </c>
      <c r="AF20" s="283" t="str">
        <f t="shared" si="17"/>
        <v/>
      </c>
      <c r="AG20" s="118"/>
      <c r="AH20" s="118"/>
      <c r="AI20" s="283" t="str">
        <f t="shared" si="18"/>
        <v/>
      </c>
      <c r="AJ20" s="118"/>
      <c r="AK20" s="118"/>
      <c r="AM20" s="118">
        <f t="shared" si="19"/>
        <v>0</v>
      </c>
      <c r="AN20" s="118">
        <f t="shared" si="4"/>
        <v>0</v>
      </c>
      <c r="AO20" s="118" t="str">
        <f>IFERROR(
IF(VLOOKUP($C20,'Employee information'!$B:$M,COLUMNS('Employee information'!$B:$M),0)=1,
IF($E$2="Fortnightly",
ROUND(
ROUND((((TRUNC($AN20/2,0)+0.99))*VLOOKUP((TRUNC($AN20/2,0)+0.99),'Tax scales - NAT 1004'!$A$12:$C$18,2,1)-VLOOKUP((TRUNC($AN20/2,0)+0.99),'Tax scales - NAT 1004'!$A$12:$C$18,3,1)),0)
*2,
0),
IF(AND($E$2="Monthly",ROUND($AN20-TRUNC($AN20),2)=0.33),
ROUND(
ROUND(((TRUNC(($AN20+0.01)*3/13,0)+0.99)*VLOOKUP((TRUNC(($AN20+0.01)*3/13,0)+0.99),'Tax scales - NAT 1004'!$A$12:$C$18,2,1)-VLOOKUP((TRUNC(($AN20+0.01)*3/13,0)+0.99),'Tax scales - NAT 1004'!$A$12:$C$18,3,1)),0)
*13/3,
0),
IF($E$2="Monthly",
ROUND(
ROUND(((TRUNC($AN20*3/13,0)+0.99)*VLOOKUP((TRUNC($AN20*3/13,0)+0.99),'Tax scales - NAT 1004'!$A$12:$C$18,2,1)-VLOOKUP((TRUNC($AN20*3/13,0)+0.99),'Tax scales - NAT 1004'!$A$12:$C$18,3,1)),0)
*13/3,
0),
""))),
""),
"")</f>
        <v/>
      </c>
      <c r="AP20" s="118" t="str">
        <f>IFERROR(
IF(VLOOKUP($C20,'Employee information'!$B:$M,COLUMNS('Employee information'!$B:$M),0)=2,
IF($E$2="Fortnightly",
ROUND(
ROUND((((TRUNC($AN20/2,0)+0.99))*VLOOKUP((TRUNC($AN20/2,0)+0.99),'Tax scales - NAT 1004'!$A$25:$C$33,2,1)-VLOOKUP((TRUNC($AN20/2,0)+0.99),'Tax scales - NAT 1004'!$A$25:$C$33,3,1)),0)
*2,
0),
IF(AND($E$2="Monthly",ROUND($AN20-TRUNC($AN20),2)=0.33),
ROUND(
ROUND(((TRUNC(($AN20+0.01)*3/13,0)+0.99)*VLOOKUP((TRUNC(($AN20+0.01)*3/13,0)+0.99),'Tax scales - NAT 1004'!$A$25:$C$33,2,1)-VLOOKUP((TRUNC(($AN20+0.01)*3/13,0)+0.99),'Tax scales - NAT 1004'!$A$25:$C$33,3,1)),0)
*13/3,
0),
IF($E$2="Monthly",
ROUND(
ROUND(((TRUNC($AN20*3/13,0)+0.99)*VLOOKUP((TRUNC($AN20*3/13,0)+0.99),'Tax scales - NAT 1004'!$A$25:$C$33,2,1)-VLOOKUP((TRUNC($AN20*3/13,0)+0.99),'Tax scales - NAT 1004'!$A$25:$C$33,3,1)),0)
*13/3,
0),
""))),
""),
"")</f>
        <v/>
      </c>
      <c r="AQ20" s="118" t="str">
        <f>IFERROR(
IF(VLOOKUP($C20,'Employee information'!$B:$M,COLUMNS('Employee information'!$B:$M),0)=3,
IF($E$2="Fortnightly",
ROUND(
ROUND((((TRUNC($AN20/2,0)+0.99))*VLOOKUP((TRUNC($AN20/2,0)+0.99),'Tax scales - NAT 1004'!$A$39:$C$41,2,1)-VLOOKUP((TRUNC($AN20/2,0)+0.99),'Tax scales - NAT 1004'!$A$39:$C$41,3,1)),0)
*2,
0),
IF(AND($E$2="Monthly",ROUND($AN20-TRUNC($AN20),2)=0.33),
ROUND(
ROUND(((TRUNC(($AN20+0.01)*3/13,0)+0.99)*VLOOKUP((TRUNC(($AN20+0.01)*3/13,0)+0.99),'Tax scales - NAT 1004'!$A$39:$C$41,2,1)-VLOOKUP((TRUNC(($AN20+0.01)*3/13,0)+0.99),'Tax scales - NAT 1004'!$A$39:$C$41,3,1)),0)
*13/3,
0),
IF($E$2="Monthly",
ROUND(
ROUND(((TRUNC($AN20*3/13,0)+0.99)*VLOOKUP((TRUNC($AN20*3/13,0)+0.99),'Tax scales - NAT 1004'!$A$39:$C$41,2,1)-VLOOKUP((TRUNC($AN20*3/13,0)+0.99),'Tax scales - NAT 1004'!$A$39:$C$41,3,1)),0)
*13/3,
0),
""))),
""),
"")</f>
        <v/>
      </c>
      <c r="AR20" s="118" t="str">
        <f>IFERROR(
IF(AND(VLOOKUP($C20,'Employee information'!$B:$M,COLUMNS('Employee information'!$B:$M),0)=4,
VLOOKUP($C20,'Employee information'!$B:$J,COLUMNS('Employee information'!$B:$J),0)="Resident"),
TRUNC(TRUNC($AN20)*'Tax scales - NAT 1004'!$B$47),
IF(AND(VLOOKUP($C20,'Employee information'!$B:$M,COLUMNS('Employee information'!$B:$M),0)=4,
VLOOKUP($C20,'Employee information'!$B:$J,COLUMNS('Employee information'!$B:$J),0)="Foreign resident"),
TRUNC(TRUNC($AN20)*'Tax scales - NAT 1004'!$B$48),
"")),
"")</f>
        <v/>
      </c>
      <c r="AS20" s="118" t="str">
        <f>IFERROR(
IF(VLOOKUP($C20,'Employee information'!$B:$M,COLUMNS('Employee information'!$B:$M),0)=5,
IF($E$2="Fortnightly",
ROUND(
ROUND((((TRUNC($AN20/2,0)+0.99))*VLOOKUP((TRUNC($AN20/2,0)+0.99),'Tax scales - NAT 1004'!$A$53:$C$59,2,1)-VLOOKUP((TRUNC($AN20/2,0)+0.99),'Tax scales - NAT 1004'!$A$53:$C$59,3,1)),0)
*2,
0),
IF(AND($E$2="Monthly",ROUND($AN20-TRUNC($AN20),2)=0.33),
ROUND(
ROUND(((TRUNC(($AN20+0.01)*3/13,0)+0.99)*VLOOKUP((TRUNC(($AN20+0.01)*3/13,0)+0.99),'Tax scales - NAT 1004'!$A$53:$C$59,2,1)-VLOOKUP((TRUNC(($AN20+0.01)*3/13,0)+0.99),'Tax scales - NAT 1004'!$A$53:$C$59,3,1)),0)
*13/3,
0),
IF($E$2="Monthly",
ROUND(
ROUND(((TRUNC($AN20*3/13,0)+0.99)*VLOOKUP((TRUNC($AN20*3/13,0)+0.99),'Tax scales - NAT 1004'!$A$53:$C$59,2,1)-VLOOKUP((TRUNC($AN20*3/13,0)+0.99),'Tax scales - NAT 1004'!$A$53:$C$59,3,1)),0)
*13/3,
0),
""))),
""),
"")</f>
        <v/>
      </c>
      <c r="AT20" s="118" t="str">
        <f>IFERROR(
IF(VLOOKUP($C20,'Employee information'!$B:$M,COLUMNS('Employee information'!$B:$M),0)=6,
IF($E$2="Fortnightly",
ROUND(
ROUND((((TRUNC($AN20/2,0)+0.99))*VLOOKUP((TRUNC($AN20/2,0)+0.99),'Tax scales - NAT 1004'!$A$65:$C$73,2,1)-VLOOKUP((TRUNC($AN20/2,0)+0.99),'Tax scales - NAT 1004'!$A$65:$C$73,3,1)),0)
*2,
0),
IF(AND($E$2="Monthly",ROUND($AN20-TRUNC($AN20),2)=0.33),
ROUND(
ROUND(((TRUNC(($AN20+0.01)*3/13,0)+0.99)*VLOOKUP((TRUNC(($AN20+0.01)*3/13,0)+0.99),'Tax scales - NAT 1004'!$A$65:$C$73,2,1)-VLOOKUP((TRUNC(($AN20+0.01)*3/13,0)+0.99),'Tax scales - NAT 1004'!$A$65:$C$73,3,1)),0)
*13/3,
0),
IF($E$2="Monthly",
ROUND(
ROUND(((TRUNC($AN20*3/13,0)+0.99)*VLOOKUP((TRUNC($AN20*3/13,0)+0.99),'Tax scales - NAT 1004'!$A$65:$C$73,2,1)-VLOOKUP((TRUNC($AN20*3/13,0)+0.99),'Tax scales - NAT 1004'!$A$65:$C$73,3,1)),0)
*13/3,
0),
""))),
""),
"")</f>
        <v/>
      </c>
      <c r="AU20" s="118" t="str">
        <f>IFERROR(
IF(VLOOKUP($C20,'Employee information'!$B:$M,COLUMNS('Employee information'!$B:$M),0)=11,
IF($E$2="Fortnightly",
ROUND(
ROUND((((TRUNC($AN20/2,0)+0.99))*VLOOKUP((TRUNC($AN20/2,0)+0.99),'Tax scales - NAT 3539'!$A$14:$C$38,2,1)-VLOOKUP((TRUNC($AN20/2,0)+0.99),'Tax scales - NAT 3539'!$A$14:$C$38,3,1)),0)
*2,
0),
IF(AND($E$2="Monthly",ROUND($AN20-TRUNC($AN20),2)=0.33),
ROUND(
ROUND(((TRUNC(($AN20+0.01)*3/13,0)+0.99)*VLOOKUP((TRUNC(($AN20+0.01)*3/13,0)+0.99),'Tax scales - NAT 3539'!$A$14:$C$38,2,1)-VLOOKUP((TRUNC(($AN20+0.01)*3/13,0)+0.99),'Tax scales - NAT 3539'!$A$14:$C$38,3,1)),0)
*13/3,
0),
IF($E$2="Monthly",
ROUND(
ROUND(((TRUNC($AN20*3/13,0)+0.99)*VLOOKUP((TRUNC($AN20*3/13,0)+0.99),'Tax scales - NAT 3539'!$A$14:$C$38,2,1)-VLOOKUP((TRUNC($AN20*3/13,0)+0.99),'Tax scales - NAT 3539'!$A$14:$C$38,3,1)),0)
*13/3,
0),
""))),
""),
"")</f>
        <v/>
      </c>
      <c r="AV20" s="118" t="str">
        <f>IFERROR(
IF(VLOOKUP($C20,'Employee information'!$B:$M,COLUMNS('Employee information'!$B:$M),0)=22,
IF($E$2="Fortnightly",
ROUND(
ROUND((((TRUNC($AN20/2,0)+0.99))*VLOOKUP((TRUNC($AN20/2,0)+0.99),'Tax scales - NAT 3539'!$A$43:$C$69,2,1)-VLOOKUP((TRUNC($AN20/2,0)+0.99),'Tax scales - NAT 3539'!$A$43:$C$69,3,1)),0)
*2,
0),
IF(AND($E$2="Monthly",ROUND($AN20-TRUNC($AN20),2)=0.33),
ROUND(
ROUND(((TRUNC(($AN20+0.01)*3/13,0)+0.99)*VLOOKUP((TRUNC(($AN20+0.01)*3/13,0)+0.99),'Tax scales - NAT 3539'!$A$43:$C$69,2,1)-VLOOKUP((TRUNC(($AN20+0.01)*3/13,0)+0.99),'Tax scales - NAT 3539'!$A$43:$C$69,3,1)),0)
*13/3,
0),
IF($E$2="Monthly",
ROUND(
ROUND(((TRUNC($AN20*3/13,0)+0.99)*VLOOKUP((TRUNC($AN20*3/13,0)+0.99),'Tax scales - NAT 3539'!$A$43:$C$69,2,1)-VLOOKUP((TRUNC($AN20*3/13,0)+0.99),'Tax scales - NAT 3539'!$A$43:$C$69,3,1)),0)
*13/3,
0),
""))),
""),
"")</f>
        <v/>
      </c>
      <c r="AW20" s="118" t="str">
        <f>IFERROR(
IF(VLOOKUP($C20,'Employee information'!$B:$M,COLUMNS('Employee information'!$B:$M),0)=33,
IF($E$2="Fortnightly",
ROUND(
ROUND((((TRUNC($AN20/2,0)+0.99))*VLOOKUP((TRUNC($AN20/2,0)+0.99),'Tax scales - NAT 3539'!$A$74:$C$94,2,1)-VLOOKUP((TRUNC($AN20/2,0)+0.99),'Tax scales - NAT 3539'!$A$74:$C$94,3,1)),0)
*2,
0),
IF(AND($E$2="Monthly",ROUND($AN20-TRUNC($AN20),2)=0.33),
ROUND(
ROUND(((TRUNC(($AN20+0.01)*3/13,0)+0.99)*VLOOKUP((TRUNC(($AN20+0.01)*3/13,0)+0.99),'Tax scales - NAT 3539'!$A$74:$C$94,2,1)-VLOOKUP((TRUNC(($AN20+0.01)*3/13,0)+0.99),'Tax scales - NAT 3539'!$A$74:$C$94,3,1)),0)
*13/3,
0),
IF($E$2="Monthly",
ROUND(
ROUND(((TRUNC($AN20*3/13,0)+0.99)*VLOOKUP((TRUNC($AN20*3/13,0)+0.99),'Tax scales - NAT 3539'!$A$74:$C$94,2,1)-VLOOKUP((TRUNC($AN20*3/13,0)+0.99),'Tax scales - NAT 3539'!$A$74:$C$94,3,1)),0)
*13/3,
0),
""))),
""),
"")</f>
        <v/>
      </c>
      <c r="AX20" s="118" t="str">
        <f>IFERROR(
IF(VLOOKUP($C20,'Employee information'!$B:$M,COLUMNS('Employee information'!$B:$M),0)=55,
IF($E$2="Fortnightly",
ROUND(
ROUND((((TRUNC($AN20/2,0)+0.99))*VLOOKUP((TRUNC($AN20/2,0)+0.99),'Tax scales - NAT 3539'!$A$99:$C$123,2,1)-VLOOKUP((TRUNC($AN20/2,0)+0.99),'Tax scales - NAT 3539'!$A$99:$C$123,3,1)),0)
*2,
0),
IF(AND($E$2="Monthly",ROUND($AN20-TRUNC($AN20),2)=0.33),
ROUND(
ROUND(((TRUNC(($AN20+0.01)*3/13,0)+0.99)*VLOOKUP((TRUNC(($AN20+0.01)*3/13,0)+0.99),'Tax scales - NAT 3539'!$A$99:$C$123,2,1)-VLOOKUP((TRUNC(($AN20+0.01)*3/13,0)+0.99),'Tax scales - NAT 3539'!$A$99:$C$123,3,1)),0)
*13/3,
0),
IF($E$2="Monthly",
ROUND(
ROUND(((TRUNC($AN20*3/13,0)+0.99)*VLOOKUP((TRUNC($AN20*3/13,0)+0.99),'Tax scales - NAT 3539'!$A$99:$C$123,2,1)-VLOOKUP((TRUNC($AN20*3/13,0)+0.99),'Tax scales - NAT 3539'!$A$99:$C$123,3,1)),0)
*13/3,
0),
""))),
""),
"")</f>
        <v/>
      </c>
      <c r="AY20" s="118" t="str">
        <f>IFERROR(
IF(VLOOKUP($C20,'Employee information'!$B:$M,COLUMNS('Employee information'!$B:$M),0)=66,
IF($E$2="Fortnightly",
ROUND(
ROUND((((TRUNC($AN20/2,0)+0.99))*VLOOKUP((TRUNC($AN20/2,0)+0.99),'Tax scales - NAT 3539'!$A$127:$C$154,2,1)-VLOOKUP((TRUNC($AN20/2,0)+0.99),'Tax scales - NAT 3539'!$A$127:$C$154,3,1)),0)
*2,
0),
IF(AND($E$2="Monthly",ROUND($AN20-TRUNC($AN20),2)=0.33),
ROUND(
ROUND(((TRUNC(($AN20+0.01)*3/13,0)+0.99)*VLOOKUP((TRUNC(($AN20+0.01)*3/13,0)+0.99),'Tax scales - NAT 3539'!$A$127:$C$154,2,1)-VLOOKUP((TRUNC(($AN20+0.01)*3/13,0)+0.99),'Tax scales - NAT 3539'!$A$127:$C$154,3,1)),0)
*13/3,
0),
IF($E$2="Monthly",
ROUND(
ROUND(((TRUNC($AN20*3/13,0)+0.99)*VLOOKUP((TRUNC($AN20*3/13,0)+0.99),'Tax scales - NAT 3539'!$A$127:$C$154,2,1)-VLOOKUP((TRUNC($AN20*3/13,0)+0.99),'Tax scales - NAT 3539'!$A$127:$C$154,3,1)),0)
*13/3,
0),
""))),
""),
"")</f>
        <v/>
      </c>
      <c r="AZ20" s="118">
        <f>IFERROR(
HLOOKUP(VLOOKUP($C20,'Employee information'!$B:$M,COLUMNS('Employee information'!$B:$M),0),'PAYG worksheet'!$AO$10:$AY$29,COUNTA($C$11:$C20)+1,0),
0)</f>
        <v>0</v>
      </c>
      <c r="BA20" s="118"/>
      <c r="BB20" s="118">
        <f t="shared" si="20"/>
        <v>0</v>
      </c>
      <c r="BC20" s="119">
        <f>IFERROR(
IF(OR($AE20=1,$AE20=""),SUM($P20,$AA20,$AC20,$AK20)*VLOOKUP($C20,'Employee information'!$B:$Q,COLUMNS('Employee information'!$B:$H),0),
IF($AE20=0,SUM($P20,$AA20,$AK20)*VLOOKUP($C20,'Employee information'!$B:$Q,COLUMNS('Employee information'!$B:$H),0),
0)),
0)</f>
        <v>0</v>
      </c>
      <c r="BE20" s="114">
        <f t="shared" si="5"/>
        <v>0</v>
      </c>
      <c r="BF20" s="114">
        <f t="shared" si="6"/>
        <v>0</v>
      </c>
      <c r="BG20" s="114">
        <f t="shared" si="7"/>
        <v>0</v>
      </c>
      <c r="BH20" s="114">
        <f t="shared" si="8"/>
        <v>0</v>
      </c>
      <c r="BI20" s="114">
        <f t="shared" si="9"/>
        <v>0</v>
      </c>
      <c r="BJ20" s="114">
        <f t="shared" si="10"/>
        <v>0</v>
      </c>
      <c r="BK20" s="114">
        <f t="shared" si="11"/>
        <v>0</v>
      </c>
      <c r="BL20" s="114">
        <f t="shared" si="21"/>
        <v>0</v>
      </c>
      <c r="BM20" s="114">
        <f t="shared" si="12"/>
        <v>0</v>
      </c>
    </row>
    <row r="21" spans="1:65" x14ac:dyDescent="0.25">
      <c r="A21" s="228">
        <f t="shared" si="0"/>
        <v>1</v>
      </c>
      <c r="C21" s="278"/>
      <c r="E21" s="103">
        <f>IF($C21="",0,
IF(AND($E$2="Monthly",$A21&gt;12),0,
IF($E$2="Monthly",VLOOKUP($C21,'Employee information'!$B:$AM,COLUMNS('Employee information'!$B:S),0),
IF($E$2="Fortnightly",VLOOKUP($C21,'Employee information'!$B:$AM,COLUMNS('Employee information'!$B:R),0),
0))))</f>
        <v>0</v>
      </c>
      <c r="F21" s="106"/>
      <c r="G21" s="106"/>
      <c r="H21" s="106"/>
      <c r="I21" s="106"/>
      <c r="J21" s="103">
        <f t="shared" si="13"/>
        <v>0</v>
      </c>
      <c r="L21" s="113">
        <f>IF(AND($E$2="Monthly",$A21&gt;12),"",
IFERROR($J21*VLOOKUP($C21,'Employee information'!$B:$AI,COLUMNS('Employee information'!$B:$P),0),0))</f>
        <v>0</v>
      </c>
      <c r="M21" s="114">
        <f t="shared" si="14"/>
        <v>0</v>
      </c>
      <c r="O21" s="103">
        <f t="shared" si="15"/>
        <v>0</v>
      </c>
      <c r="P21" s="113">
        <f>IFERROR(
IF(AND($E$2="Monthly",$A21&gt;12),0,
$O21*VLOOKUP($C21,'Employee information'!$B:$AI,COLUMNS('Employee information'!$B:$P),0)),
0)</f>
        <v>0</v>
      </c>
      <c r="R21" s="114">
        <f t="shared" si="1"/>
        <v>0</v>
      </c>
      <c r="T21" s="103"/>
      <c r="U21" s="103"/>
      <c r="V21" s="282" t="str">
        <f>IF($C21="","",
IF(AND($E$2="Monthly",$A21&gt;12),"",
$T21*VLOOKUP($C21,'Employee information'!$B:$P,COLUMNS('Employee information'!$B:$P),0)))</f>
        <v/>
      </c>
      <c r="W21" s="282" t="str">
        <f>IF($C21="","",
IF(AND($E$2="Monthly",$A21&gt;12),"",
$U21*VLOOKUP($C21,'Employee information'!$B:$P,COLUMNS('Employee information'!$B:$P),0)))</f>
        <v/>
      </c>
      <c r="X21" s="114">
        <f t="shared" si="2"/>
        <v>0</v>
      </c>
      <c r="Y21" s="114">
        <f t="shared" si="3"/>
        <v>0</v>
      </c>
      <c r="AA21" s="118">
        <f>IFERROR(
IF(OR('Basic payroll data'!$D$12="",'Basic payroll data'!$D$12="No"),0,
$T21*VLOOKUP($C21,'Employee information'!$B:$P,COLUMNS('Employee information'!$B:$P),0)*AL_loading_perc),
0)</f>
        <v>0</v>
      </c>
      <c r="AC21" s="118"/>
      <c r="AD21" s="118"/>
      <c r="AE21" s="283" t="str">
        <f t="shared" si="16"/>
        <v/>
      </c>
      <c r="AF21" s="283" t="str">
        <f t="shared" si="17"/>
        <v/>
      </c>
      <c r="AG21" s="118"/>
      <c r="AH21" s="118"/>
      <c r="AI21" s="283" t="str">
        <f t="shared" si="18"/>
        <v/>
      </c>
      <c r="AJ21" s="118"/>
      <c r="AK21" s="118"/>
      <c r="AM21" s="118">
        <f t="shared" si="19"/>
        <v>0</v>
      </c>
      <c r="AN21" s="118">
        <f t="shared" si="4"/>
        <v>0</v>
      </c>
      <c r="AO21" s="118" t="str">
        <f>IFERROR(
IF(VLOOKUP($C21,'Employee information'!$B:$M,COLUMNS('Employee information'!$B:$M),0)=1,
IF($E$2="Fortnightly",
ROUND(
ROUND((((TRUNC($AN21/2,0)+0.99))*VLOOKUP((TRUNC($AN21/2,0)+0.99),'Tax scales - NAT 1004'!$A$12:$C$18,2,1)-VLOOKUP((TRUNC($AN21/2,0)+0.99),'Tax scales - NAT 1004'!$A$12:$C$18,3,1)),0)
*2,
0),
IF(AND($E$2="Monthly",ROUND($AN21-TRUNC($AN21),2)=0.33),
ROUND(
ROUND(((TRUNC(($AN21+0.01)*3/13,0)+0.99)*VLOOKUP((TRUNC(($AN21+0.01)*3/13,0)+0.99),'Tax scales - NAT 1004'!$A$12:$C$18,2,1)-VLOOKUP((TRUNC(($AN21+0.01)*3/13,0)+0.99),'Tax scales - NAT 1004'!$A$12:$C$18,3,1)),0)
*13/3,
0),
IF($E$2="Monthly",
ROUND(
ROUND(((TRUNC($AN21*3/13,0)+0.99)*VLOOKUP((TRUNC($AN21*3/13,0)+0.99),'Tax scales - NAT 1004'!$A$12:$C$18,2,1)-VLOOKUP((TRUNC($AN21*3/13,0)+0.99),'Tax scales - NAT 1004'!$A$12:$C$18,3,1)),0)
*13/3,
0),
""))),
""),
"")</f>
        <v/>
      </c>
      <c r="AP21" s="118" t="str">
        <f>IFERROR(
IF(VLOOKUP($C21,'Employee information'!$B:$M,COLUMNS('Employee information'!$B:$M),0)=2,
IF($E$2="Fortnightly",
ROUND(
ROUND((((TRUNC($AN21/2,0)+0.99))*VLOOKUP((TRUNC($AN21/2,0)+0.99),'Tax scales - NAT 1004'!$A$25:$C$33,2,1)-VLOOKUP((TRUNC($AN21/2,0)+0.99),'Tax scales - NAT 1004'!$A$25:$C$33,3,1)),0)
*2,
0),
IF(AND($E$2="Monthly",ROUND($AN21-TRUNC($AN21),2)=0.33),
ROUND(
ROUND(((TRUNC(($AN21+0.01)*3/13,0)+0.99)*VLOOKUP((TRUNC(($AN21+0.01)*3/13,0)+0.99),'Tax scales - NAT 1004'!$A$25:$C$33,2,1)-VLOOKUP((TRUNC(($AN21+0.01)*3/13,0)+0.99),'Tax scales - NAT 1004'!$A$25:$C$33,3,1)),0)
*13/3,
0),
IF($E$2="Monthly",
ROUND(
ROUND(((TRUNC($AN21*3/13,0)+0.99)*VLOOKUP((TRUNC($AN21*3/13,0)+0.99),'Tax scales - NAT 1004'!$A$25:$C$33,2,1)-VLOOKUP((TRUNC($AN21*3/13,0)+0.99),'Tax scales - NAT 1004'!$A$25:$C$33,3,1)),0)
*13/3,
0),
""))),
""),
"")</f>
        <v/>
      </c>
      <c r="AQ21" s="118" t="str">
        <f>IFERROR(
IF(VLOOKUP($C21,'Employee information'!$B:$M,COLUMNS('Employee information'!$B:$M),0)=3,
IF($E$2="Fortnightly",
ROUND(
ROUND((((TRUNC($AN21/2,0)+0.99))*VLOOKUP((TRUNC($AN21/2,0)+0.99),'Tax scales - NAT 1004'!$A$39:$C$41,2,1)-VLOOKUP((TRUNC($AN21/2,0)+0.99),'Tax scales - NAT 1004'!$A$39:$C$41,3,1)),0)
*2,
0),
IF(AND($E$2="Monthly",ROUND($AN21-TRUNC($AN21),2)=0.33),
ROUND(
ROUND(((TRUNC(($AN21+0.01)*3/13,0)+0.99)*VLOOKUP((TRUNC(($AN21+0.01)*3/13,0)+0.99),'Tax scales - NAT 1004'!$A$39:$C$41,2,1)-VLOOKUP((TRUNC(($AN21+0.01)*3/13,0)+0.99),'Tax scales - NAT 1004'!$A$39:$C$41,3,1)),0)
*13/3,
0),
IF($E$2="Monthly",
ROUND(
ROUND(((TRUNC($AN21*3/13,0)+0.99)*VLOOKUP((TRUNC($AN21*3/13,0)+0.99),'Tax scales - NAT 1004'!$A$39:$C$41,2,1)-VLOOKUP((TRUNC($AN21*3/13,0)+0.99),'Tax scales - NAT 1004'!$A$39:$C$41,3,1)),0)
*13/3,
0),
""))),
""),
"")</f>
        <v/>
      </c>
      <c r="AR21" s="118" t="str">
        <f>IFERROR(
IF(AND(VLOOKUP($C21,'Employee information'!$B:$M,COLUMNS('Employee information'!$B:$M),0)=4,
VLOOKUP($C21,'Employee information'!$B:$J,COLUMNS('Employee information'!$B:$J),0)="Resident"),
TRUNC(TRUNC($AN21)*'Tax scales - NAT 1004'!$B$47),
IF(AND(VLOOKUP($C21,'Employee information'!$B:$M,COLUMNS('Employee information'!$B:$M),0)=4,
VLOOKUP($C21,'Employee information'!$B:$J,COLUMNS('Employee information'!$B:$J),0)="Foreign resident"),
TRUNC(TRUNC($AN21)*'Tax scales - NAT 1004'!$B$48),
"")),
"")</f>
        <v/>
      </c>
      <c r="AS21" s="118" t="str">
        <f>IFERROR(
IF(VLOOKUP($C21,'Employee information'!$B:$M,COLUMNS('Employee information'!$B:$M),0)=5,
IF($E$2="Fortnightly",
ROUND(
ROUND((((TRUNC($AN21/2,0)+0.99))*VLOOKUP((TRUNC($AN21/2,0)+0.99),'Tax scales - NAT 1004'!$A$53:$C$59,2,1)-VLOOKUP((TRUNC($AN21/2,0)+0.99),'Tax scales - NAT 1004'!$A$53:$C$59,3,1)),0)
*2,
0),
IF(AND($E$2="Monthly",ROUND($AN21-TRUNC($AN21),2)=0.33),
ROUND(
ROUND(((TRUNC(($AN21+0.01)*3/13,0)+0.99)*VLOOKUP((TRUNC(($AN21+0.01)*3/13,0)+0.99),'Tax scales - NAT 1004'!$A$53:$C$59,2,1)-VLOOKUP((TRUNC(($AN21+0.01)*3/13,0)+0.99),'Tax scales - NAT 1004'!$A$53:$C$59,3,1)),0)
*13/3,
0),
IF($E$2="Monthly",
ROUND(
ROUND(((TRUNC($AN21*3/13,0)+0.99)*VLOOKUP((TRUNC($AN21*3/13,0)+0.99),'Tax scales - NAT 1004'!$A$53:$C$59,2,1)-VLOOKUP((TRUNC($AN21*3/13,0)+0.99),'Tax scales - NAT 1004'!$A$53:$C$59,3,1)),0)
*13/3,
0),
""))),
""),
"")</f>
        <v/>
      </c>
      <c r="AT21" s="118" t="str">
        <f>IFERROR(
IF(VLOOKUP($C21,'Employee information'!$B:$M,COLUMNS('Employee information'!$B:$M),0)=6,
IF($E$2="Fortnightly",
ROUND(
ROUND((((TRUNC($AN21/2,0)+0.99))*VLOOKUP((TRUNC($AN21/2,0)+0.99),'Tax scales - NAT 1004'!$A$65:$C$73,2,1)-VLOOKUP((TRUNC($AN21/2,0)+0.99),'Tax scales - NAT 1004'!$A$65:$C$73,3,1)),0)
*2,
0),
IF(AND($E$2="Monthly",ROUND($AN21-TRUNC($AN21),2)=0.33),
ROUND(
ROUND(((TRUNC(($AN21+0.01)*3/13,0)+0.99)*VLOOKUP((TRUNC(($AN21+0.01)*3/13,0)+0.99),'Tax scales - NAT 1004'!$A$65:$C$73,2,1)-VLOOKUP((TRUNC(($AN21+0.01)*3/13,0)+0.99),'Tax scales - NAT 1004'!$A$65:$C$73,3,1)),0)
*13/3,
0),
IF($E$2="Monthly",
ROUND(
ROUND(((TRUNC($AN21*3/13,0)+0.99)*VLOOKUP((TRUNC($AN21*3/13,0)+0.99),'Tax scales - NAT 1004'!$A$65:$C$73,2,1)-VLOOKUP((TRUNC($AN21*3/13,0)+0.99),'Tax scales - NAT 1004'!$A$65:$C$73,3,1)),0)
*13/3,
0),
""))),
""),
"")</f>
        <v/>
      </c>
      <c r="AU21" s="118" t="str">
        <f>IFERROR(
IF(VLOOKUP($C21,'Employee information'!$B:$M,COLUMNS('Employee information'!$B:$M),0)=11,
IF($E$2="Fortnightly",
ROUND(
ROUND((((TRUNC($AN21/2,0)+0.99))*VLOOKUP((TRUNC($AN21/2,0)+0.99),'Tax scales - NAT 3539'!$A$14:$C$38,2,1)-VLOOKUP((TRUNC($AN21/2,0)+0.99),'Tax scales - NAT 3539'!$A$14:$C$38,3,1)),0)
*2,
0),
IF(AND($E$2="Monthly",ROUND($AN21-TRUNC($AN21),2)=0.33),
ROUND(
ROUND(((TRUNC(($AN21+0.01)*3/13,0)+0.99)*VLOOKUP((TRUNC(($AN21+0.01)*3/13,0)+0.99),'Tax scales - NAT 3539'!$A$14:$C$38,2,1)-VLOOKUP((TRUNC(($AN21+0.01)*3/13,0)+0.99),'Tax scales - NAT 3539'!$A$14:$C$38,3,1)),0)
*13/3,
0),
IF($E$2="Monthly",
ROUND(
ROUND(((TRUNC($AN21*3/13,0)+0.99)*VLOOKUP((TRUNC($AN21*3/13,0)+0.99),'Tax scales - NAT 3539'!$A$14:$C$38,2,1)-VLOOKUP((TRUNC($AN21*3/13,0)+0.99),'Tax scales - NAT 3539'!$A$14:$C$38,3,1)),0)
*13/3,
0),
""))),
""),
"")</f>
        <v/>
      </c>
      <c r="AV21" s="118" t="str">
        <f>IFERROR(
IF(VLOOKUP($C21,'Employee information'!$B:$M,COLUMNS('Employee information'!$B:$M),0)=22,
IF($E$2="Fortnightly",
ROUND(
ROUND((((TRUNC($AN21/2,0)+0.99))*VLOOKUP((TRUNC($AN21/2,0)+0.99),'Tax scales - NAT 3539'!$A$43:$C$69,2,1)-VLOOKUP((TRUNC($AN21/2,0)+0.99),'Tax scales - NAT 3539'!$A$43:$C$69,3,1)),0)
*2,
0),
IF(AND($E$2="Monthly",ROUND($AN21-TRUNC($AN21),2)=0.33),
ROUND(
ROUND(((TRUNC(($AN21+0.01)*3/13,0)+0.99)*VLOOKUP((TRUNC(($AN21+0.01)*3/13,0)+0.99),'Tax scales - NAT 3539'!$A$43:$C$69,2,1)-VLOOKUP((TRUNC(($AN21+0.01)*3/13,0)+0.99),'Tax scales - NAT 3539'!$A$43:$C$69,3,1)),0)
*13/3,
0),
IF($E$2="Monthly",
ROUND(
ROUND(((TRUNC($AN21*3/13,0)+0.99)*VLOOKUP((TRUNC($AN21*3/13,0)+0.99),'Tax scales - NAT 3539'!$A$43:$C$69,2,1)-VLOOKUP((TRUNC($AN21*3/13,0)+0.99),'Tax scales - NAT 3539'!$A$43:$C$69,3,1)),0)
*13/3,
0),
""))),
""),
"")</f>
        <v/>
      </c>
      <c r="AW21" s="118" t="str">
        <f>IFERROR(
IF(VLOOKUP($C21,'Employee information'!$B:$M,COLUMNS('Employee information'!$B:$M),0)=33,
IF($E$2="Fortnightly",
ROUND(
ROUND((((TRUNC($AN21/2,0)+0.99))*VLOOKUP((TRUNC($AN21/2,0)+0.99),'Tax scales - NAT 3539'!$A$74:$C$94,2,1)-VLOOKUP((TRUNC($AN21/2,0)+0.99),'Tax scales - NAT 3539'!$A$74:$C$94,3,1)),0)
*2,
0),
IF(AND($E$2="Monthly",ROUND($AN21-TRUNC($AN21),2)=0.33),
ROUND(
ROUND(((TRUNC(($AN21+0.01)*3/13,0)+0.99)*VLOOKUP((TRUNC(($AN21+0.01)*3/13,0)+0.99),'Tax scales - NAT 3539'!$A$74:$C$94,2,1)-VLOOKUP((TRUNC(($AN21+0.01)*3/13,0)+0.99),'Tax scales - NAT 3539'!$A$74:$C$94,3,1)),0)
*13/3,
0),
IF($E$2="Monthly",
ROUND(
ROUND(((TRUNC($AN21*3/13,0)+0.99)*VLOOKUP((TRUNC($AN21*3/13,0)+0.99),'Tax scales - NAT 3539'!$A$74:$C$94,2,1)-VLOOKUP((TRUNC($AN21*3/13,0)+0.99),'Tax scales - NAT 3539'!$A$74:$C$94,3,1)),0)
*13/3,
0),
""))),
""),
"")</f>
        <v/>
      </c>
      <c r="AX21" s="118" t="str">
        <f>IFERROR(
IF(VLOOKUP($C21,'Employee information'!$B:$M,COLUMNS('Employee information'!$B:$M),0)=55,
IF($E$2="Fortnightly",
ROUND(
ROUND((((TRUNC($AN21/2,0)+0.99))*VLOOKUP((TRUNC($AN21/2,0)+0.99),'Tax scales - NAT 3539'!$A$99:$C$123,2,1)-VLOOKUP((TRUNC($AN21/2,0)+0.99),'Tax scales - NAT 3539'!$A$99:$C$123,3,1)),0)
*2,
0),
IF(AND($E$2="Monthly",ROUND($AN21-TRUNC($AN21),2)=0.33),
ROUND(
ROUND(((TRUNC(($AN21+0.01)*3/13,0)+0.99)*VLOOKUP((TRUNC(($AN21+0.01)*3/13,0)+0.99),'Tax scales - NAT 3539'!$A$99:$C$123,2,1)-VLOOKUP((TRUNC(($AN21+0.01)*3/13,0)+0.99),'Tax scales - NAT 3539'!$A$99:$C$123,3,1)),0)
*13/3,
0),
IF($E$2="Monthly",
ROUND(
ROUND(((TRUNC($AN21*3/13,0)+0.99)*VLOOKUP((TRUNC($AN21*3/13,0)+0.99),'Tax scales - NAT 3539'!$A$99:$C$123,2,1)-VLOOKUP((TRUNC($AN21*3/13,0)+0.99),'Tax scales - NAT 3539'!$A$99:$C$123,3,1)),0)
*13/3,
0),
""))),
""),
"")</f>
        <v/>
      </c>
      <c r="AY21" s="118" t="str">
        <f>IFERROR(
IF(VLOOKUP($C21,'Employee information'!$B:$M,COLUMNS('Employee information'!$B:$M),0)=66,
IF($E$2="Fortnightly",
ROUND(
ROUND((((TRUNC($AN21/2,0)+0.99))*VLOOKUP((TRUNC($AN21/2,0)+0.99),'Tax scales - NAT 3539'!$A$127:$C$154,2,1)-VLOOKUP((TRUNC($AN21/2,0)+0.99),'Tax scales - NAT 3539'!$A$127:$C$154,3,1)),0)
*2,
0),
IF(AND($E$2="Monthly",ROUND($AN21-TRUNC($AN21),2)=0.33),
ROUND(
ROUND(((TRUNC(($AN21+0.01)*3/13,0)+0.99)*VLOOKUP((TRUNC(($AN21+0.01)*3/13,0)+0.99),'Tax scales - NAT 3539'!$A$127:$C$154,2,1)-VLOOKUP((TRUNC(($AN21+0.01)*3/13,0)+0.99),'Tax scales - NAT 3539'!$A$127:$C$154,3,1)),0)
*13/3,
0),
IF($E$2="Monthly",
ROUND(
ROUND(((TRUNC($AN21*3/13,0)+0.99)*VLOOKUP((TRUNC($AN21*3/13,0)+0.99),'Tax scales - NAT 3539'!$A$127:$C$154,2,1)-VLOOKUP((TRUNC($AN21*3/13,0)+0.99),'Tax scales - NAT 3539'!$A$127:$C$154,3,1)),0)
*13/3,
0),
""))),
""),
"")</f>
        <v/>
      </c>
      <c r="AZ21" s="118">
        <f>IFERROR(
HLOOKUP(VLOOKUP($C21,'Employee information'!$B:$M,COLUMNS('Employee information'!$B:$M),0),'PAYG worksheet'!$AO$10:$AY$29,COUNTA($C$11:$C21)+1,0),
0)</f>
        <v>0</v>
      </c>
      <c r="BA21" s="118"/>
      <c r="BB21" s="118">
        <f t="shared" si="20"/>
        <v>0</v>
      </c>
      <c r="BC21" s="119">
        <f>IFERROR(
IF(OR($AE21=1,$AE21=""),SUM($P21,$AA21,$AC21,$AK21)*VLOOKUP($C21,'Employee information'!$B:$Q,COLUMNS('Employee information'!$B:$H),0),
IF($AE21=0,SUM($P21,$AA21,$AK21)*VLOOKUP($C21,'Employee information'!$B:$Q,COLUMNS('Employee information'!$B:$H),0),
0)),
0)</f>
        <v>0</v>
      </c>
      <c r="BE21" s="114">
        <f t="shared" si="5"/>
        <v>0</v>
      </c>
      <c r="BF21" s="114">
        <f t="shared" si="6"/>
        <v>0</v>
      </c>
      <c r="BG21" s="114">
        <f t="shared" si="7"/>
        <v>0</v>
      </c>
      <c r="BH21" s="114">
        <f t="shared" si="8"/>
        <v>0</v>
      </c>
      <c r="BI21" s="114">
        <f t="shared" si="9"/>
        <v>0</v>
      </c>
      <c r="BJ21" s="114">
        <f t="shared" si="10"/>
        <v>0</v>
      </c>
      <c r="BK21" s="114">
        <f t="shared" si="11"/>
        <v>0</v>
      </c>
      <c r="BL21" s="114">
        <f t="shared" si="21"/>
        <v>0</v>
      </c>
      <c r="BM21" s="114">
        <f t="shared" si="12"/>
        <v>0</v>
      </c>
    </row>
    <row r="22" spans="1:65" x14ac:dyDescent="0.25">
      <c r="A22" s="228">
        <f t="shared" si="0"/>
        <v>1</v>
      </c>
      <c r="C22" s="278"/>
      <c r="E22" s="103">
        <f>IF($C22="",0,
IF(AND($E$2="Monthly",$A22&gt;12),0,
IF($E$2="Monthly",VLOOKUP($C22,'Employee information'!$B:$AM,COLUMNS('Employee information'!$B:S),0),
IF($E$2="Fortnightly",VLOOKUP($C22,'Employee information'!$B:$AM,COLUMNS('Employee information'!$B:R),0),
0))))</f>
        <v>0</v>
      </c>
      <c r="F22" s="106"/>
      <c r="G22" s="106"/>
      <c r="H22" s="106"/>
      <c r="I22" s="106"/>
      <c r="J22" s="103">
        <f t="shared" si="13"/>
        <v>0</v>
      </c>
      <c r="L22" s="113">
        <f>IF(AND($E$2="Monthly",$A22&gt;12),"",
IFERROR($J22*VLOOKUP($C22,'Employee information'!$B:$AI,COLUMNS('Employee information'!$B:$P),0),0))</f>
        <v>0</v>
      </c>
      <c r="M22" s="114">
        <f t="shared" si="14"/>
        <v>0</v>
      </c>
      <c r="O22" s="103">
        <f t="shared" si="15"/>
        <v>0</v>
      </c>
      <c r="P22" s="113">
        <f>IFERROR(
IF(AND($E$2="Monthly",$A22&gt;12),0,
$O22*VLOOKUP($C22,'Employee information'!$B:$AI,COLUMNS('Employee information'!$B:$P),0)),
0)</f>
        <v>0</v>
      </c>
      <c r="R22" s="114">
        <f t="shared" si="1"/>
        <v>0</v>
      </c>
      <c r="T22" s="103"/>
      <c r="U22" s="103"/>
      <c r="V22" s="282" t="str">
        <f>IF($C22="","",
IF(AND($E$2="Monthly",$A22&gt;12),"",
$T22*VLOOKUP($C22,'Employee information'!$B:$P,COLUMNS('Employee information'!$B:$P),0)))</f>
        <v/>
      </c>
      <c r="W22" s="282" t="str">
        <f>IF($C22="","",
IF(AND($E$2="Monthly",$A22&gt;12),"",
$U22*VLOOKUP($C22,'Employee information'!$B:$P,COLUMNS('Employee information'!$B:$P),0)))</f>
        <v/>
      </c>
      <c r="X22" s="114">
        <f t="shared" si="2"/>
        <v>0</v>
      </c>
      <c r="Y22" s="114">
        <f t="shared" si="3"/>
        <v>0</v>
      </c>
      <c r="AA22" s="118">
        <f>IFERROR(
IF(OR('Basic payroll data'!$D$12="",'Basic payroll data'!$D$12="No"),0,
$T22*VLOOKUP($C22,'Employee information'!$B:$P,COLUMNS('Employee information'!$B:$P),0)*AL_loading_perc),
0)</f>
        <v>0</v>
      </c>
      <c r="AC22" s="118"/>
      <c r="AD22" s="118"/>
      <c r="AE22" s="283" t="str">
        <f t="shared" si="16"/>
        <v/>
      </c>
      <c r="AF22" s="283" t="str">
        <f t="shared" si="17"/>
        <v/>
      </c>
      <c r="AG22" s="118"/>
      <c r="AH22" s="118"/>
      <c r="AI22" s="283" t="str">
        <f t="shared" si="18"/>
        <v/>
      </c>
      <c r="AJ22" s="118"/>
      <c r="AK22" s="118"/>
      <c r="AM22" s="118">
        <f t="shared" si="19"/>
        <v>0</v>
      </c>
      <c r="AN22" s="118">
        <f t="shared" si="4"/>
        <v>0</v>
      </c>
      <c r="AO22" s="118" t="str">
        <f>IFERROR(
IF(VLOOKUP($C22,'Employee information'!$B:$M,COLUMNS('Employee information'!$B:$M),0)=1,
IF($E$2="Fortnightly",
ROUND(
ROUND((((TRUNC($AN22/2,0)+0.99))*VLOOKUP((TRUNC($AN22/2,0)+0.99),'Tax scales - NAT 1004'!$A$12:$C$18,2,1)-VLOOKUP((TRUNC($AN22/2,0)+0.99),'Tax scales - NAT 1004'!$A$12:$C$18,3,1)),0)
*2,
0),
IF(AND($E$2="Monthly",ROUND($AN22-TRUNC($AN22),2)=0.33),
ROUND(
ROUND(((TRUNC(($AN22+0.01)*3/13,0)+0.99)*VLOOKUP((TRUNC(($AN22+0.01)*3/13,0)+0.99),'Tax scales - NAT 1004'!$A$12:$C$18,2,1)-VLOOKUP((TRUNC(($AN22+0.01)*3/13,0)+0.99),'Tax scales - NAT 1004'!$A$12:$C$18,3,1)),0)
*13/3,
0),
IF($E$2="Monthly",
ROUND(
ROUND(((TRUNC($AN22*3/13,0)+0.99)*VLOOKUP((TRUNC($AN22*3/13,0)+0.99),'Tax scales - NAT 1004'!$A$12:$C$18,2,1)-VLOOKUP((TRUNC($AN22*3/13,0)+0.99),'Tax scales - NAT 1004'!$A$12:$C$18,3,1)),0)
*13/3,
0),
""))),
""),
"")</f>
        <v/>
      </c>
      <c r="AP22" s="118" t="str">
        <f>IFERROR(
IF(VLOOKUP($C22,'Employee information'!$B:$M,COLUMNS('Employee information'!$B:$M),0)=2,
IF($E$2="Fortnightly",
ROUND(
ROUND((((TRUNC($AN22/2,0)+0.99))*VLOOKUP((TRUNC($AN22/2,0)+0.99),'Tax scales - NAT 1004'!$A$25:$C$33,2,1)-VLOOKUP((TRUNC($AN22/2,0)+0.99),'Tax scales - NAT 1004'!$A$25:$C$33,3,1)),0)
*2,
0),
IF(AND($E$2="Monthly",ROUND($AN22-TRUNC($AN22),2)=0.33),
ROUND(
ROUND(((TRUNC(($AN22+0.01)*3/13,0)+0.99)*VLOOKUP((TRUNC(($AN22+0.01)*3/13,0)+0.99),'Tax scales - NAT 1004'!$A$25:$C$33,2,1)-VLOOKUP((TRUNC(($AN22+0.01)*3/13,0)+0.99),'Tax scales - NAT 1004'!$A$25:$C$33,3,1)),0)
*13/3,
0),
IF($E$2="Monthly",
ROUND(
ROUND(((TRUNC($AN22*3/13,0)+0.99)*VLOOKUP((TRUNC($AN22*3/13,0)+0.99),'Tax scales - NAT 1004'!$A$25:$C$33,2,1)-VLOOKUP((TRUNC($AN22*3/13,0)+0.99),'Tax scales - NAT 1004'!$A$25:$C$33,3,1)),0)
*13/3,
0),
""))),
""),
"")</f>
        <v/>
      </c>
      <c r="AQ22" s="118" t="str">
        <f>IFERROR(
IF(VLOOKUP($C22,'Employee information'!$B:$M,COLUMNS('Employee information'!$B:$M),0)=3,
IF($E$2="Fortnightly",
ROUND(
ROUND((((TRUNC($AN22/2,0)+0.99))*VLOOKUP((TRUNC($AN22/2,0)+0.99),'Tax scales - NAT 1004'!$A$39:$C$41,2,1)-VLOOKUP((TRUNC($AN22/2,0)+0.99),'Tax scales - NAT 1004'!$A$39:$C$41,3,1)),0)
*2,
0),
IF(AND($E$2="Monthly",ROUND($AN22-TRUNC($AN22),2)=0.33),
ROUND(
ROUND(((TRUNC(($AN22+0.01)*3/13,0)+0.99)*VLOOKUP((TRUNC(($AN22+0.01)*3/13,0)+0.99),'Tax scales - NAT 1004'!$A$39:$C$41,2,1)-VLOOKUP((TRUNC(($AN22+0.01)*3/13,0)+0.99),'Tax scales - NAT 1004'!$A$39:$C$41,3,1)),0)
*13/3,
0),
IF($E$2="Monthly",
ROUND(
ROUND(((TRUNC($AN22*3/13,0)+0.99)*VLOOKUP((TRUNC($AN22*3/13,0)+0.99),'Tax scales - NAT 1004'!$A$39:$C$41,2,1)-VLOOKUP((TRUNC($AN22*3/13,0)+0.99),'Tax scales - NAT 1004'!$A$39:$C$41,3,1)),0)
*13/3,
0),
""))),
""),
"")</f>
        <v/>
      </c>
      <c r="AR22" s="118" t="str">
        <f>IFERROR(
IF(AND(VLOOKUP($C22,'Employee information'!$B:$M,COLUMNS('Employee information'!$B:$M),0)=4,
VLOOKUP($C22,'Employee information'!$B:$J,COLUMNS('Employee information'!$B:$J),0)="Resident"),
TRUNC(TRUNC($AN22)*'Tax scales - NAT 1004'!$B$47),
IF(AND(VLOOKUP($C22,'Employee information'!$B:$M,COLUMNS('Employee information'!$B:$M),0)=4,
VLOOKUP($C22,'Employee information'!$B:$J,COLUMNS('Employee information'!$B:$J),0)="Foreign resident"),
TRUNC(TRUNC($AN22)*'Tax scales - NAT 1004'!$B$48),
"")),
"")</f>
        <v/>
      </c>
      <c r="AS22" s="118" t="str">
        <f>IFERROR(
IF(VLOOKUP($C22,'Employee information'!$B:$M,COLUMNS('Employee information'!$B:$M),0)=5,
IF($E$2="Fortnightly",
ROUND(
ROUND((((TRUNC($AN22/2,0)+0.99))*VLOOKUP((TRUNC($AN22/2,0)+0.99),'Tax scales - NAT 1004'!$A$53:$C$59,2,1)-VLOOKUP((TRUNC($AN22/2,0)+0.99),'Tax scales - NAT 1004'!$A$53:$C$59,3,1)),0)
*2,
0),
IF(AND($E$2="Monthly",ROUND($AN22-TRUNC($AN22),2)=0.33),
ROUND(
ROUND(((TRUNC(($AN22+0.01)*3/13,0)+0.99)*VLOOKUP((TRUNC(($AN22+0.01)*3/13,0)+0.99),'Tax scales - NAT 1004'!$A$53:$C$59,2,1)-VLOOKUP((TRUNC(($AN22+0.01)*3/13,0)+0.99),'Tax scales - NAT 1004'!$A$53:$C$59,3,1)),0)
*13/3,
0),
IF($E$2="Monthly",
ROUND(
ROUND(((TRUNC($AN22*3/13,0)+0.99)*VLOOKUP((TRUNC($AN22*3/13,0)+0.99),'Tax scales - NAT 1004'!$A$53:$C$59,2,1)-VLOOKUP((TRUNC($AN22*3/13,0)+0.99),'Tax scales - NAT 1004'!$A$53:$C$59,3,1)),0)
*13/3,
0),
""))),
""),
"")</f>
        <v/>
      </c>
      <c r="AT22" s="118" t="str">
        <f>IFERROR(
IF(VLOOKUP($C22,'Employee information'!$B:$M,COLUMNS('Employee information'!$B:$M),0)=6,
IF($E$2="Fortnightly",
ROUND(
ROUND((((TRUNC($AN22/2,0)+0.99))*VLOOKUP((TRUNC($AN22/2,0)+0.99),'Tax scales - NAT 1004'!$A$65:$C$73,2,1)-VLOOKUP((TRUNC($AN22/2,0)+0.99),'Tax scales - NAT 1004'!$A$65:$C$73,3,1)),0)
*2,
0),
IF(AND($E$2="Monthly",ROUND($AN22-TRUNC($AN22),2)=0.33),
ROUND(
ROUND(((TRUNC(($AN22+0.01)*3/13,0)+0.99)*VLOOKUP((TRUNC(($AN22+0.01)*3/13,0)+0.99),'Tax scales - NAT 1004'!$A$65:$C$73,2,1)-VLOOKUP((TRUNC(($AN22+0.01)*3/13,0)+0.99),'Tax scales - NAT 1004'!$A$65:$C$73,3,1)),0)
*13/3,
0),
IF($E$2="Monthly",
ROUND(
ROUND(((TRUNC($AN22*3/13,0)+0.99)*VLOOKUP((TRUNC($AN22*3/13,0)+0.99),'Tax scales - NAT 1004'!$A$65:$C$73,2,1)-VLOOKUP((TRUNC($AN22*3/13,0)+0.99),'Tax scales - NAT 1004'!$A$65:$C$73,3,1)),0)
*13/3,
0),
""))),
""),
"")</f>
        <v/>
      </c>
      <c r="AU22" s="118" t="str">
        <f>IFERROR(
IF(VLOOKUP($C22,'Employee information'!$B:$M,COLUMNS('Employee information'!$B:$M),0)=11,
IF($E$2="Fortnightly",
ROUND(
ROUND((((TRUNC($AN22/2,0)+0.99))*VLOOKUP((TRUNC($AN22/2,0)+0.99),'Tax scales - NAT 3539'!$A$14:$C$38,2,1)-VLOOKUP((TRUNC($AN22/2,0)+0.99),'Tax scales - NAT 3539'!$A$14:$C$38,3,1)),0)
*2,
0),
IF(AND($E$2="Monthly",ROUND($AN22-TRUNC($AN22),2)=0.33),
ROUND(
ROUND(((TRUNC(($AN22+0.01)*3/13,0)+0.99)*VLOOKUP((TRUNC(($AN22+0.01)*3/13,0)+0.99),'Tax scales - NAT 3539'!$A$14:$C$38,2,1)-VLOOKUP((TRUNC(($AN22+0.01)*3/13,0)+0.99),'Tax scales - NAT 3539'!$A$14:$C$38,3,1)),0)
*13/3,
0),
IF($E$2="Monthly",
ROUND(
ROUND(((TRUNC($AN22*3/13,0)+0.99)*VLOOKUP((TRUNC($AN22*3/13,0)+0.99),'Tax scales - NAT 3539'!$A$14:$C$38,2,1)-VLOOKUP((TRUNC($AN22*3/13,0)+0.99),'Tax scales - NAT 3539'!$A$14:$C$38,3,1)),0)
*13/3,
0),
""))),
""),
"")</f>
        <v/>
      </c>
      <c r="AV22" s="118" t="str">
        <f>IFERROR(
IF(VLOOKUP($C22,'Employee information'!$B:$M,COLUMNS('Employee information'!$B:$M),0)=22,
IF($E$2="Fortnightly",
ROUND(
ROUND((((TRUNC($AN22/2,0)+0.99))*VLOOKUP((TRUNC($AN22/2,0)+0.99),'Tax scales - NAT 3539'!$A$43:$C$69,2,1)-VLOOKUP((TRUNC($AN22/2,0)+0.99),'Tax scales - NAT 3539'!$A$43:$C$69,3,1)),0)
*2,
0),
IF(AND($E$2="Monthly",ROUND($AN22-TRUNC($AN22),2)=0.33),
ROUND(
ROUND(((TRUNC(($AN22+0.01)*3/13,0)+0.99)*VLOOKUP((TRUNC(($AN22+0.01)*3/13,0)+0.99),'Tax scales - NAT 3539'!$A$43:$C$69,2,1)-VLOOKUP((TRUNC(($AN22+0.01)*3/13,0)+0.99),'Tax scales - NAT 3539'!$A$43:$C$69,3,1)),0)
*13/3,
0),
IF($E$2="Monthly",
ROUND(
ROUND(((TRUNC($AN22*3/13,0)+0.99)*VLOOKUP((TRUNC($AN22*3/13,0)+0.99),'Tax scales - NAT 3539'!$A$43:$C$69,2,1)-VLOOKUP((TRUNC($AN22*3/13,0)+0.99),'Tax scales - NAT 3539'!$A$43:$C$69,3,1)),0)
*13/3,
0),
""))),
""),
"")</f>
        <v/>
      </c>
      <c r="AW22" s="118" t="str">
        <f>IFERROR(
IF(VLOOKUP($C22,'Employee information'!$B:$M,COLUMNS('Employee information'!$B:$M),0)=33,
IF($E$2="Fortnightly",
ROUND(
ROUND((((TRUNC($AN22/2,0)+0.99))*VLOOKUP((TRUNC($AN22/2,0)+0.99),'Tax scales - NAT 3539'!$A$74:$C$94,2,1)-VLOOKUP((TRUNC($AN22/2,0)+0.99),'Tax scales - NAT 3539'!$A$74:$C$94,3,1)),0)
*2,
0),
IF(AND($E$2="Monthly",ROUND($AN22-TRUNC($AN22),2)=0.33),
ROUND(
ROUND(((TRUNC(($AN22+0.01)*3/13,0)+0.99)*VLOOKUP((TRUNC(($AN22+0.01)*3/13,0)+0.99),'Tax scales - NAT 3539'!$A$74:$C$94,2,1)-VLOOKUP((TRUNC(($AN22+0.01)*3/13,0)+0.99),'Tax scales - NAT 3539'!$A$74:$C$94,3,1)),0)
*13/3,
0),
IF($E$2="Monthly",
ROUND(
ROUND(((TRUNC($AN22*3/13,0)+0.99)*VLOOKUP((TRUNC($AN22*3/13,0)+0.99),'Tax scales - NAT 3539'!$A$74:$C$94,2,1)-VLOOKUP((TRUNC($AN22*3/13,0)+0.99),'Tax scales - NAT 3539'!$A$74:$C$94,3,1)),0)
*13/3,
0),
""))),
""),
"")</f>
        <v/>
      </c>
      <c r="AX22" s="118" t="str">
        <f>IFERROR(
IF(VLOOKUP($C22,'Employee information'!$B:$M,COLUMNS('Employee information'!$B:$M),0)=55,
IF($E$2="Fortnightly",
ROUND(
ROUND((((TRUNC($AN22/2,0)+0.99))*VLOOKUP((TRUNC($AN22/2,0)+0.99),'Tax scales - NAT 3539'!$A$99:$C$123,2,1)-VLOOKUP((TRUNC($AN22/2,0)+0.99),'Tax scales - NAT 3539'!$A$99:$C$123,3,1)),0)
*2,
0),
IF(AND($E$2="Monthly",ROUND($AN22-TRUNC($AN22),2)=0.33),
ROUND(
ROUND(((TRUNC(($AN22+0.01)*3/13,0)+0.99)*VLOOKUP((TRUNC(($AN22+0.01)*3/13,0)+0.99),'Tax scales - NAT 3539'!$A$99:$C$123,2,1)-VLOOKUP((TRUNC(($AN22+0.01)*3/13,0)+0.99),'Tax scales - NAT 3539'!$A$99:$C$123,3,1)),0)
*13/3,
0),
IF($E$2="Monthly",
ROUND(
ROUND(((TRUNC($AN22*3/13,0)+0.99)*VLOOKUP((TRUNC($AN22*3/13,0)+0.99),'Tax scales - NAT 3539'!$A$99:$C$123,2,1)-VLOOKUP((TRUNC($AN22*3/13,0)+0.99),'Tax scales - NAT 3539'!$A$99:$C$123,3,1)),0)
*13/3,
0),
""))),
""),
"")</f>
        <v/>
      </c>
      <c r="AY22" s="118" t="str">
        <f>IFERROR(
IF(VLOOKUP($C22,'Employee information'!$B:$M,COLUMNS('Employee information'!$B:$M),0)=66,
IF($E$2="Fortnightly",
ROUND(
ROUND((((TRUNC($AN22/2,0)+0.99))*VLOOKUP((TRUNC($AN22/2,0)+0.99),'Tax scales - NAT 3539'!$A$127:$C$154,2,1)-VLOOKUP((TRUNC($AN22/2,0)+0.99),'Tax scales - NAT 3539'!$A$127:$C$154,3,1)),0)
*2,
0),
IF(AND($E$2="Monthly",ROUND($AN22-TRUNC($AN22),2)=0.33),
ROUND(
ROUND(((TRUNC(($AN22+0.01)*3/13,0)+0.99)*VLOOKUP((TRUNC(($AN22+0.01)*3/13,0)+0.99),'Tax scales - NAT 3539'!$A$127:$C$154,2,1)-VLOOKUP((TRUNC(($AN22+0.01)*3/13,0)+0.99),'Tax scales - NAT 3539'!$A$127:$C$154,3,1)),0)
*13/3,
0),
IF($E$2="Monthly",
ROUND(
ROUND(((TRUNC($AN22*3/13,0)+0.99)*VLOOKUP((TRUNC($AN22*3/13,0)+0.99),'Tax scales - NAT 3539'!$A$127:$C$154,2,1)-VLOOKUP((TRUNC($AN22*3/13,0)+0.99),'Tax scales - NAT 3539'!$A$127:$C$154,3,1)),0)
*13/3,
0),
""))),
""),
"")</f>
        <v/>
      </c>
      <c r="AZ22" s="118">
        <f>IFERROR(
HLOOKUP(VLOOKUP($C22,'Employee information'!$B:$M,COLUMNS('Employee information'!$B:$M),0),'PAYG worksheet'!$AO$10:$AY$29,COUNTA($C$11:$C22)+1,0),
0)</f>
        <v>0</v>
      </c>
      <c r="BA22" s="118"/>
      <c r="BB22" s="118">
        <f t="shared" si="20"/>
        <v>0</v>
      </c>
      <c r="BC22" s="119">
        <f>IFERROR(
IF(OR($AE22=1,$AE22=""),SUM($P22,$AA22,$AC22,$AK22)*VLOOKUP($C22,'Employee information'!$B:$Q,COLUMNS('Employee information'!$B:$H),0),
IF($AE22=0,SUM($P22,$AA22,$AK22)*VLOOKUP($C22,'Employee information'!$B:$Q,COLUMNS('Employee information'!$B:$H),0),
0)),
0)</f>
        <v>0</v>
      </c>
      <c r="BE22" s="114">
        <f t="shared" si="5"/>
        <v>0</v>
      </c>
      <c r="BF22" s="114">
        <f t="shared" si="6"/>
        <v>0</v>
      </c>
      <c r="BG22" s="114">
        <f t="shared" si="7"/>
        <v>0</v>
      </c>
      <c r="BH22" s="114">
        <f t="shared" si="8"/>
        <v>0</v>
      </c>
      <c r="BI22" s="114">
        <f t="shared" si="9"/>
        <v>0</v>
      </c>
      <c r="BJ22" s="114">
        <f t="shared" si="10"/>
        <v>0</v>
      </c>
      <c r="BK22" s="114">
        <f t="shared" si="11"/>
        <v>0</v>
      </c>
      <c r="BL22" s="114">
        <f t="shared" si="21"/>
        <v>0</v>
      </c>
      <c r="BM22" s="114">
        <f t="shared" si="12"/>
        <v>0</v>
      </c>
    </row>
    <row r="23" spans="1:65" x14ac:dyDescent="0.25">
      <c r="A23" s="228">
        <f t="shared" si="0"/>
        <v>1</v>
      </c>
      <c r="C23" s="278"/>
      <c r="E23" s="103">
        <f>IF($C23="",0,
IF(AND($E$2="Monthly",$A23&gt;12),0,
IF($E$2="Monthly",VLOOKUP($C23,'Employee information'!$B:$AM,COLUMNS('Employee information'!$B:S),0),
IF($E$2="Fortnightly",VLOOKUP($C23,'Employee information'!$B:$AM,COLUMNS('Employee information'!$B:R),0),
0))))</f>
        <v>0</v>
      </c>
      <c r="F23" s="106"/>
      <c r="G23" s="106"/>
      <c r="H23" s="106"/>
      <c r="I23" s="106"/>
      <c r="J23" s="103">
        <f t="shared" si="13"/>
        <v>0</v>
      </c>
      <c r="L23" s="113">
        <f>IF(AND($E$2="Monthly",$A23&gt;12),"",
IFERROR($J23*VLOOKUP($C23,'Employee information'!$B:$AI,COLUMNS('Employee information'!$B:$P),0),0))</f>
        <v>0</v>
      </c>
      <c r="M23" s="114">
        <f t="shared" si="14"/>
        <v>0</v>
      </c>
      <c r="O23" s="103">
        <f t="shared" si="15"/>
        <v>0</v>
      </c>
      <c r="P23" s="113">
        <f>IFERROR(
IF(AND($E$2="Monthly",$A23&gt;12),0,
$O23*VLOOKUP($C23,'Employee information'!$B:$AI,COLUMNS('Employee information'!$B:$P),0)),
0)</f>
        <v>0</v>
      </c>
      <c r="R23" s="114">
        <f t="shared" si="1"/>
        <v>0</v>
      </c>
      <c r="T23" s="103"/>
      <c r="U23" s="103"/>
      <c r="V23" s="282" t="str">
        <f>IF($C23="","",
IF(AND($E$2="Monthly",$A23&gt;12),"",
$T23*VLOOKUP($C23,'Employee information'!$B:$P,COLUMNS('Employee information'!$B:$P),0)))</f>
        <v/>
      </c>
      <c r="W23" s="282" t="str">
        <f>IF($C23="","",
IF(AND($E$2="Monthly",$A23&gt;12),"",
$U23*VLOOKUP($C23,'Employee information'!$B:$P,COLUMNS('Employee information'!$B:$P),0)))</f>
        <v/>
      </c>
      <c r="X23" s="114">
        <f t="shared" si="2"/>
        <v>0</v>
      </c>
      <c r="Y23" s="114">
        <f t="shared" si="3"/>
        <v>0</v>
      </c>
      <c r="AA23" s="118">
        <f>IFERROR(
IF(OR('Basic payroll data'!$D$12="",'Basic payroll data'!$D$12="No"),0,
$T23*VLOOKUP($C23,'Employee information'!$B:$P,COLUMNS('Employee information'!$B:$P),0)*AL_loading_perc),
0)</f>
        <v>0</v>
      </c>
      <c r="AC23" s="118"/>
      <c r="AD23" s="118"/>
      <c r="AE23" s="283" t="str">
        <f t="shared" si="16"/>
        <v/>
      </c>
      <c r="AF23" s="283" t="str">
        <f t="shared" si="17"/>
        <v/>
      </c>
      <c r="AG23" s="118"/>
      <c r="AH23" s="118"/>
      <c r="AI23" s="283" t="str">
        <f t="shared" si="18"/>
        <v/>
      </c>
      <c r="AJ23" s="118"/>
      <c r="AK23" s="118"/>
      <c r="AM23" s="118">
        <f t="shared" si="19"/>
        <v>0</v>
      </c>
      <c r="AN23" s="118">
        <f t="shared" si="4"/>
        <v>0</v>
      </c>
      <c r="AO23" s="118" t="str">
        <f>IFERROR(
IF(VLOOKUP($C23,'Employee information'!$B:$M,COLUMNS('Employee information'!$B:$M),0)=1,
IF($E$2="Fortnightly",
ROUND(
ROUND((((TRUNC($AN23/2,0)+0.99))*VLOOKUP((TRUNC($AN23/2,0)+0.99),'Tax scales - NAT 1004'!$A$12:$C$18,2,1)-VLOOKUP((TRUNC($AN23/2,0)+0.99),'Tax scales - NAT 1004'!$A$12:$C$18,3,1)),0)
*2,
0),
IF(AND($E$2="Monthly",ROUND($AN23-TRUNC($AN23),2)=0.33),
ROUND(
ROUND(((TRUNC(($AN23+0.01)*3/13,0)+0.99)*VLOOKUP((TRUNC(($AN23+0.01)*3/13,0)+0.99),'Tax scales - NAT 1004'!$A$12:$C$18,2,1)-VLOOKUP((TRUNC(($AN23+0.01)*3/13,0)+0.99),'Tax scales - NAT 1004'!$A$12:$C$18,3,1)),0)
*13/3,
0),
IF($E$2="Monthly",
ROUND(
ROUND(((TRUNC($AN23*3/13,0)+0.99)*VLOOKUP((TRUNC($AN23*3/13,0)+0.99),'Tax scales - NAT 1004'!$A$12:$C$18,2,1)-VLOOKUP((TRUNC($AN23*3/13,0)+0.99),'Tax scales - NAT 1004'!$A$12:$C$18,3,1)),0)
*13/3,
0),
""))),
""),
"")</f>
        <v/>
      </c>
      <c r="AP23" s="118" t="str">
        <f>IFERROR(
IF(VLOOKUP($C23,'Employee information'!$B:$M,COLUMNS('Employee information'!$B:$M),0)=2,
IF($E$2="Fortnightly",
ROUND(
ROUND((((TRUNC($AN23/2,0)+0.99))*VLOOKUP((TRUNC($AN23/2,0)+0.99),'Tax scales - NAT 1004'!$A$25:$C$33,2,1)-VLOOKUP((TRUNC($AN23/2,0)+0.99),'Tax scales - NAT 1004'!$A$25:$C$33,3,1)),0)
*2,
0),
IF(AND($E$2="Monthly",ROUND($AN23-TRUNC($AN23),2)=0.33),
ROUND(
ROUND(((TRUNC(($AN23+0.01)*3/13,0)+0.99)*VLOOKUP((TRUNC(($AN23+0.01)*3/13,0)+0.99),'Tax scales - NAT 1004'!$A$25:$C$33,2,1)-VLOOKUP((TRUNC(($AN23+0.01)*3/13,0)+0.99),'Tax scales - NAT 1004'!$A$25:$C$33,3,1)),0)
*13/3,
0),
IF($E$2="Monthly",
ROUND(
ROUND(((TRUNC($AN23*3/13,0)+0.99)*VLOOKUP((TRUNC($AN23*3/13,0)+0.99),'Tax scales - NAT 1004'!$A$25:$C$33,2,1)-VLOOKUP((TRUNC($AN23*3/13,0)+0.99),'Tax scales - NAT 1004'!$A$25:$C$33,3,1)),0)
*13/3,
0),
""))),
""),
"")</f>
        <v/>
      </c>
      <c r="AQ23" s="118" t="str">
        <f>IFERROR(
IF(VLOOKUP($C23,'Employee information'!$B:$M,COLUMNS('Employee information'!$B:$M),0)=3,
IF($E$2="Fortnightly",
ROUND(
ROUND((((TRUNC($AN23/2,0)+0.99))*VLOOKUP((TRUNC($AN23/2,0)+0.99),'Tax scales - NAT 1004'!$A$39:$C$41,2,1)-VLOOKUP((TRUNC($AN23/2,0)+0.99),'Tax scales - NAT 1004'!$A$39:$C$41,3,1)),0)
*2,
0),
IF(AND($E$2="Monthly",ROUND($AN23-TRUNC($AN23),2)=0.33),
ROUND(
ROUND(((TRUNC(($AN23+0.01)*3/13,0)+0.99)*VLOOKUP((TRUNC(($AN23+0.01)*3/13,0)+0.99),'Tax scales - NAT 1004'!$A$39:$C$41,2,1)-VLOOKUP((TRUNC(($AN23+0.01)*3/13,0)+0.99),'Tax scales - NAT 1004'!$A$39:$C$41,3,1)),0)
*13/3,
0),
IF($E$2="Monthly",
ROUND(
ROUND(((TRUNC($AN23*3/13,0)+0.99)*VLOOKUP((TRUNC($AN23*3/13,0)+0.99),'Tax scales - NAT 1004'!$A$39:$C$41,2,1)-VLOOKUP((TRUNC($AN23*3/13,0)+0.99),'Tax scales - NAT 1004'!$A$39:$C$41,3,1)),0)
*13/3,
0),
""))),
""),
"")</f>
        <v/>
      </c>
      <c r="AR23" s="118" t="str">
        <f>IFERROR(
IF(AND(VLOOKUP($C23,'Employee information'!$B:$M,COLUMNS('Employee information'!$B:$M),0)=4,
VLOOKUP($C23,'Employee information'!$B:$J,COLUMNS('Employee information'!$B:$J),0)="Resident"),
TRUNC(TRUNC($AN23)*'Tax scales - NAT 1004'!$B$47),
IF(AND(VLOOKUP($C23,'Employee information'!$B:$M,COLUMNS('Employee information'!$B:$M),0)=4,
VLOOKUP($C23,'Employee information'!$B:$J,COLUMNS('Employee information'!$B:$J),0)="Foreign resident"),
TRUNC(TRUNC($AN23)*'Tax scales - NAT 1004'!$B$48),
"")),
"")</f>
        <v/>
      </c>
      <c r="AS23" s="118" t="str">
        <f>IFERROR(
IF(VLOOKUP($C23,'Employee information'!$B:$M,COLUMNS('Employee information'!$B:$M),0)=5,
IF($E$2="Fortnightly",
ROUND(
ROUND((((TRUNC($AN23/2,0)+0.99))*VLOOKUP((TRUNC($AN23/2,0)+0.99),'Tax scales - NAT 1004'!$A$53:$C$59,2,1)-VLOOKUP((TRUNC($AN23/2,0)+0.99),'Tax scales - NAT 1004'!$A$53:$C$59,3,1)),0)
*2,
0),
IF(AND($E$2="Monthly",ROUND($AN23-TRUNC($AN23),2)=0.33),
ROUND(
ROUND(((TRUNC(($AN23+0.01)*3/13,0)+0.99)*VLOOKUP((TRUNC(($AN23+0.01)*3/13,0)+0.99),'Tax scales - NAT 1004'!$A$53:$C$59,2,1)-VLOOKUP((TRUNC(($AN23+0.01)*3/13,0)+0.99),'Tax scales - NAT 1004'!$A$53:$C$59,3,1)),0)
*13/3,
0),
IF($E$2="Monthly",
ROUND(
ROUND(((TRUNC($AN23*3/13,0)+0.99)*VLOOKUP((TRUNC($AN23*3/13,0)+0.99),'Tax scales - NAT 1004'!$A$53:$C$59,2,1)-VLOOKUP((TRUNC($AN23*3/13,0)+0.99),'Tax scales - NAT 1004'!$A$53:$C$59,3,1)),0)
*13/3,
0),
""))),
""),
"")</f>
        <v/>
      </c>
      <c r="AT23" s="118" t="str">
        <f>IFERROR(
IF(VLOOKUP($C23,'Employee information'!$B:$M,COLUMNS('Employee information'!$B:$M),0)=6,
IF($E$2="Fortnightly",
ROUND(
ROUND((((TRUNC($AN23/2,0)+0.99))*VLOOKUP((TRUNC($AN23/2,0)+0.99),'Tax scales - NAT 1004'!$A$65:$C$73,2,1)-VLOOKUP((TRUNC($AN23/2,0)+0.99),'Tax scales - NAT 1004'!$A$65:$C$73,3,1)),0)
*2,
0),
IF(AND($E$2="Monthly",ROUND($AN23-TRUNC($AN23),2)=0.33),
ROUND(
ROUND(((TRUNC(($AN23+0.01)*3/13,0)+0.99)*VLOOKUP((TRUNC(($AN23+0.01)*3/13,0)+0.99),'Tax scales - NAT 1004'!$A$65:$C$73,2,1)-VLOOKUP((TRUNC(($AN23+0.01)*3/13,0)+0.99),'Tax scales - NAT 1004'!$A$65:$C$73,3,1)),0)
*13/3,
0),
IF($E$2="Monthly",
ROUND(
ROUND(((TRUNC($AN23*3/13,0)+0.99)*VLOOKUP((TRUNC($AN23*3/13,0)+0.99),'Tax scales - NAT 1004'!$A$65:$C$73,2,1)-VLOOKUP((TRUNC($AN23*3/13,0)+0.99),'Tax scales - NAT 1004'!$A$65:$C$73,3,1)),0)
*13/3,
0),
""))),
""),
"")</f>
        <v/>
      </c>
      <c r="AU23" s="118" t="str">
        <f>IFERROR(
IF(VLOOKUP($C23,'Employee information'!$B:$M,COLUMNS('Employee information'!$B:$M),0)=11,
IF($E$2="Fortnightly",
ROUND(
ROUND((((TRUNC($AN23/2,0)+0.99))*VLOOKUP((TRUNC($AN23/2,0)+0.99),'Tax scales - NAT 3539'!$A$14:$C$38,2,1)-VLOOKUP((TRUNC($AN23/2,0)+0.99),'Tax scales - NAT 3539'!$A$14:$C$38,3,1)),0)
*2,
0),
IF(AND($E$2="Monthly",ROUND($AN23-TRUNC($AN23),2)=0.33),
ROUND(
ROUND(((TRUNC(($AN23+0.01)*3/13,0)+0.99)*VLOOKUP((TRUNC(($AN23+0.01)*3/13,0)+0.99),'Tax scales - NAT 3539'!$A$14:$C$38,2,1)-VLOOKUP((TRUNC(($AN23+0.01)*3/13,0)+0.99),'Tax scales - NAT 3539'!$A$14:$C$38,3,1)),0)
*13/3,
0),
IF($E$2="Monthly",
ROUND(
ROUND(((TRUNC($AN23*3/13,0)+0.99)*VLOOKUP((TRUNC($AN23*3/13,0)+0.99),'Tax scales - NAT 3539'!$A$14:$C$38,2,1)-VLOOKUP((TRUNC($AN23*3/13,0)+0.99),'Tax scales - NAT 3539'!$A$14:$C$38,3,1)),0)
*13/3,
0),
""))),
""),
"")</f>
        <v/>
      </c>
      <c r="AV23" s="118" t="str">
        <f>IFERROR(
IF(VLOOKUP($C23,'Employee information'!$B:$M,COLUMNS('Employee information'!$B:$M),0)=22,
IF($E$2="Fortnightly",
ROUND(
ROUND((((TRUNC($AN23/2,0)+0.99))*VLOOKUP((TRUNC($AN23/2,0)+0.99),'Tax scales - NAT 3539'!$A$43:$C$69,2,1)-VLOOKUP((TRUNC($AN23/2,0)+0.99),'Tax scales - NAT 3539'!$A$43:$C$69,3,1)),0)
*2,
0),
IF(AND($E$2="Monthly",ROUND($AN23-TRUNC($AN23),2)=0.33),
ROUND(
ROUND(((TRUNC(($AN23+0.01)*3/13,0)+0.99)*VLOOKUP((TRUNC(($AN23+0.01)*3/13,0)+0.99),'Tax scales - NAT 3539'!$A$43:$C$69,2,1)-VLOOKUP((TRUNC(($AN23+0.01)*3/13,0)+0.99),'Tax scales - NAT 3539'!$A$43:$C$69,3,1)),0)
*13/3,
0),
IF($E$2="Monthly",
ROUND(
ROUND(((TRUNC($AN23*3/13,0)+0.99)*VLOOKUP((TRUNC($AN23*3/13,0)+0.99),'Tax scales - NAT 3539'!$A$43:$C$69,2,1)-VLOOKUP((TRUNC($AN23*3/13,0)+0.99),'Tax scales - NAT 3539'!$A$43:$C$69,3,1)),0)
*13/3,
0),
""))),
""),
"")</f>
        <v/>
      </c>
      <c r="AW23" s="118" t="str">
        <f>IFERROR(
IF(VLOOKUP($C23,'Employee information'!$B:$M,COLUMNS('Employee information'!$B:$M),0)=33,
IF($E$2="Fortnightly",
ROUND(
ROUND((((TRUNC($AN23/2,0)+0.99))*VLOOKUP((TRUNC($AN23/2,0)+0.99),'Tax scales - NAT 3539'!$A$74:$C$94,2,1)-VLOOKUP((TRUNC($AN23/2,0)+0.99),'Tax scales - NAT 3539'!$A$74:$C$94,3,1)),0)
*2,
0),
IF(AND($E$2="Monthly",ROUND($AN23-TRUNC($AN23),2)=0.33),
ROUND(
ROUND(((TRUNC(($AN23+0.01)*3/13,0)+0.99)*VLOOKUP((TRUNC(($AN23+0.01)*3/13,0)+0.99),'Tax scales - NAT 3539'!$A$74:$C$94,2,1)-VLOOKUP((TRUNC(($AN23+0.01)*3/13,0)+0.99),'Tax scales - NAT 3539'!$A$74:$C$94,3,1)),0)
*13/3,
0),
IF($E$2="Monthly",
ROUND(
ROUND(((TRUNC($AN23*3/13,0)+0.99)*VLOOKUP((TRUNC($AN23*3/13,0)+0.99),'Tax scales - NAT 3539'!$A$74:$C$94,2,1)-VLOOKUP((TRUNC($AN23*3/13,0)+0.99),'Tax scales - NAT 3539'!$A$74:$C$94,3,1)),0)
*13/3,
0),
""))),
""),
"")</f>
        <v/>
      </c>
      <c r="AX23" s="118" t="str">
        <f>IFERROR(
IF(VLOOKUP($C23,'Employee information'!$B:$M,COLUMNS('Employee information'!$B:$M),0)=55,
IF($E$2="Fortnightly",
ROUND(
ROUND((((TRUNC($AN23/2,0)+0.99))*VLOOKUP((TRUNC($AN23/2,0)+0.99),'Tax scales - NAT 3539'!$A$99:$C$123,2,1)-VLOOKUP((TRUNC($AN23/2,0)+0.99),'Tax scales - NAT 3539'!$A$99:$C$123,3,1)),0)
*2,
0),
IF(AND($E$2="Monthly",ROUND($AN23-TRUNC($AN23),2)=0.33),
ROUND(
ROUND(((TRUNC(($AN23+0.01)*3/13,0)+0.99)*VLOOKUP((TRUNC(($AN23+0.01)*3/13,0)+0.99),'Tax scales - NAT 3539'!$A$99:$C$123,2,1)-VLOOKUP((TRUNC(($AN23+0.01)*3/13,0)+0.99),'Tax scales - NAT 3539'!$A$99:$C$123,3,1)),0)
*13/3,
0),
IF($E$2="Monthly",
ROUND(
ROUND(((TRUNC($AN23*3/13,0)+0.99)*VLOOKUP((TRUNC($AN23*3/13,0)+0.99),'Tax scales - NAT 3539'!$A$99:$C$123,2,1)-VLOOKUP((TRUNC($AN23*3/13,0)+0.99),'Tax scales - NAT 3539'!$A$99:$C$123,3,1)),0)
*13/3,
0),
""))),
""),
"")</f>
        <v/>
      </c>
      <c r="AY23" s="118" t="str">
        <f>IFERROR(
IF(VLOOKUP($C23,'Employee information'!$B:$M,COLUMNS('Employee information'!$B:$M),0)=66,
IF($E$2="Fortnightly",
ROUND(
ROUND((((TRUNC($AN23/2,0)+0.99))*VLOOKUP((TRUNC($AN23/2,0)+0.99),'Tax scales - NAT 3539'!$A$127:$C$154,2,1)-VLOOKUP((TRUNC($AN23/2,0)+0.99),'Tax scales - NAT 3539'!$A$127:$C$154,3,1)),0)
*2,
0),
IF(AND($E$2="Monthly",ROUND($AN23-TRUNC($AN23),2)=0.33),
ROUND(
ROUND(((TRUNC(($AN23+0.01)*3/13,0)+0.99)*VLOOKUP((TRUNC(($AN23+0.01)*3/13,0)+0.99),'Tax scales - NAT 3539'!$A$127:$C$154,2,1)-VLOOKUP((TRUNC(($AN23+0.01)*3/13,0)+0.99),'Tax scales - NAT 3539'!$A$127:$C$154,3,1)),0)
*13/3,
0),
IF($E$2="Monthly",
ROUND(
ROUND(((TRUNC($AN23*3/13,0)+0.99)*VLOOKUP((TRUNC($AN23*3/13,0)+0.99),'Tax scales - NAT 3539'!$A$127:$C$154,2,1)-VLOOKUP((TRUNC($AN23*3/13,0)+0.99),'Tax scales - NAT 3539'!$A$127:$C$154,3,1)),0)
*13/3,
0),
""))),
""),
"")</f>
        <v/>
      </c>
      <c r="AZ23" s="118">
        <f>IFERROR(
HLOOKUP(VLOOKUP($C23,'Employee information'!$B:$M,COLUMNS('Employee information'!$B:$M),0),'PAYG worksheet'!$AO$10:$AY$29,COUNTA($C$11:$C23)+1,0),
0)</f>
        <v>0</v>
      </c>
      <c r="BA23" s="118"/>
      <c r="BB23" s="118">
        <f t="shared" si="20"/>
        <v>0</v>
      </c>
      <c r="BC23" s="119">
        <f>IFERROR(
IF(OR($AE23=1,$AE23=""),SUM($P23,$AA23,$AC23,$AK23)*VLOOKUP($C23,'Employee information'!$B:$Q,COLUMNS('Employee information'!$B:$H),0),
IF($AE23=0,SUM($P23,$AA23,$AK23)*VLOOKUP($C23,'Employee information'!$B:$Q,COLUMNS('Employee information'!$B:$H),0),
0)),
0)</f>
        <v>0</v>
      </c>
      <c r="BE23" s="114">
        <f t="shared" si="5"/>
        <v>0</v>
      </c>
      <c r="BF23" s="114">
        <f t="shared" si="6"/>
        <v>0</v>
      </c>
      <c r="BG23" s="114">
        <f t="shared" si="7"/>
        <v>0</v>
      </c>
      <c r="BH23" s="114">
        <f t="shared" si="8"/>
        <v>0</v>
      </c>
      <c r="BI23" s="114">
        <f t="shared" si="9"/>
        <v>0</v>
      </c>
      <c r="BJ23" s="114">
        <f t="shared" si="10"/>
        <v>0</v>
      </c>
      <c r="BK23" s="114">
        <f t="shared" si="11"/>
        <v>0</v>
      </c>
      <c r="BL23" s="114">
        <f t="shared" si="21"/>
        <v>0</v>
      </c>
      <c r="BM23" s="114">
        <f t="shared" si="12"/>
        <v>0</v>
      </c>
    </row>
    <row r="24" spans="1:65" x14ac:dyDescent="0.25">
      <c r="A24" s="228">
        <f t="shared" si="0"/>
        <v>1</v>
      </c>
      <c r="C24" s="278"/>
      <c r="E24" s="103">
        <f>IF($C24="",0,
IF(AND($E$2="Monthly",$A24&gt;12),0,
IF($E$2="Monthly",VLOOKUP($C24,'Employee information'!$B:$AM,COLUMNS('Employee information'!$B:S),0),
IF($E$2="Fortnightly",VLOOKUP($C24,'Employee information'!$B:$AM,COLUMNS('Employee information'!$B:R),0),
0))))</f>
        <v>0</v>
      </c>
      <c r="F24" s="106"/>
      <c r="G24" s="106"/>
      <c r="H24" s="106"/>
      <c r="I24" s="106"/>
      <c r="J24" s="103">
        <f t="shared" si="13"/>
        <v>0</v>
      </c>
      <c r="L24" s="113">
        <f>IF(AND($E$2="Monthly",$A24&gt;12),"",
IFERROR($J24*VLOOKUP($C24,'Employee information'!$B:$AI,COLUMNS('Employee information'!$B:$P),0),0))</f>
        <v>0</v>
      </c>
      <c r="M24" s="114">
        <f t="shared" si="14"/>
        <v>0</v>
      </c>
      <c r="O24" s="103">
        <f t="shared" si="15"/>
        <v>0</v>
      </c>
      <c r="P24" s="113">
        <f>IFERROR(
IF(AND($E$2="Monthly",$A24&gt;12),0,
$O24*VLOOKUP($C24,'Employee information'!$B:$AI,COLUMNS('Employee information'!$B:$P),0)),
0)</f>
        <v>0</v>
      </c>
      <c r="R24" s="114">
        <f t="shared" si="1"/>
        <v>0</v>
      </c>
      <c r="T24" s="103"/>
      <c r="U24" s="103"/>
      <c r="V24" s="282" t="str">
        <f>IF($C24="","",
IF(AND($E$2="Monthly",$A24&gt;12),"",
$T24*VLOOKUP($C24,'Employee information'!$B:$P,COLUMNS('Employee information'!$B:$P),0)))</f>
        <v/>
      </c>
      <c r="W24" s="282" t="str">
        <f>IF($C24="","",
IF(AND($E$2="Monthly",$A24&gt;12),"",
$U24*VLOOKUP($C24,'Employee information'!$B:$P,COLUMNS('Employee information'!$B:$P),0)))</f>
        <v/>
      </c>
      <c r="X24" s="114">
        <f t="shared" si="2"/>
        <v>0</v>
      </c>
      <c r="Y24" s="114">
        <f t="shared" si="3"/>
        <v>0</v>
      </c>
      <c r="AA24" s="118">
        <f>IFERROR(
IF(OR('Basic payroll data'!$D$12="",'Basic payroll data'!$D$12="No"),0,
$T24*VLOOKUP($C24,'Employee information'!$B:$P,COLUMNS('Employee information'!$B:$P),0)*AL_loading_perc),
0)</f>
        <v>0</v>
      </c>
      <c r="AC24" s="118"/>
      <c r="AD24" s="118"/>
      <c r="AE24" s="283" t="str">
        <f t="shared" si="16"/>
        <v/>
      </c>
      <c r="AF24" s="283" t="str">
        <f t="shared" si="17"/>
        <v/>
      </c>
      <c r="AG24" s="118"/>
      <c r="AH24" s="118"/>
      <c r="AI24" s="283" t="str">
        <f t="shared" si="18"/>
        <v/>
      </c>
      <c r="AJ24" s="118"/>
      <c r="AK24" s="118"/>
      <c r="AM24" s="118">
        <f t="shared" si="19"/>
        <v>0</v>
      </c>
      <c r="AN24" s="118">
        <f t="shared" si="4"/>
        <v>0</v>
      </c>
      <c r="AO24" s="118" t="str">
        <f>IFERROR(
IF(VLOOKUP($C24,'Employee information'!$B:$M,COLUMNS('Employee information'!$B:$M),0)=1,
IF($E$2="Fortnightly",
ROUND(
ROUND((((TRUNC($AN24/2,0)+0.99))*VLOOKUP((TRUNC($AN24/2,0)+0.99),'Tax scales - NAT 1004'!$A$12:$C$18,2,1)-VLOOKUP((TRUNC($AN24/2,0)+0.99),'Tax scales - NAT 1004'!$A$12:$C$18,3,1)),0)
*2,
0),
IF(AND($E$2="Monthly",ROUND($AN24-TRUNC($AN24),2)=0.33),
ROUND(
ROUND(((TRUNC(($AN24+0.01)*3/13,0)+0.99)*VLOOKUP((TRUNC(($AN24+0.01)*3/13,0)+0.99),'Tax scales - NAT 1004'!$A$12:$C$18,2,1)-VLOOKUP((TRUNC(($AN24+0.01)*3/13,0)+0.99),'Tax scales - NAT 1004'!$A$12:$C$18,3,1)),0)
*13/3,
0),
IF($E$2="Monthly",
ROUND(
ROUND(((TRUNC($AN24*3/13,0)+0.99)*VLOOKUP((TRUNC($AN24*3/13,0)+0.99),'Tax scales - NAT 1004'!$A$12:$C$18,2,1)-VLOOKUP((TRUNC($AN24*3/13,0)+0.99),'Tax scales - NAT 1004'!$A$12:$C$18,3,1)),0)
*13/3,
0),
""))),
""),
"")</f>
        <v/>
      </c>
      <c r="AP24" s="118" t="str">
        <f>IFERROR(
IF(VLOOKUP($C24,'Employee information'!$B:$M,COLUMNS('Employee information'!$B:$M),0)=2,
IF($E$2="Fortnightly",
ROUND(
ROUND((((TRUNC($AN24/2,0)+0.99))*VLOOKUP((TRUNC($AN24/2,0)+0.99),'Tax scales - NAT 1004'!$A$25:$C$33,2,1)-VLOOKUP((TRUNC($AN24/2,0)+0.99),'Tax scales - NAT 1004'!$A$25:$C$33,3,1)),0)
*2,
0),
IF(AND($E$2="Monthly",ROUND($AN24-TRUNC($AN24),2)=0.33),
ROUND(
ROUND(((TRUNC(($AN24+0.01)*3/13,0)+0.99)*VLOOKUP((TRUNC(($AN24+0.01)*3/13,0)+0.99),'Tax scales - NAT 1004'!$A$25:$C$33,2,1)-VLOOKUP((TRUNC(($AN24+0.01)*3/13,0)+0.99),'Tax scales - NAT 1004'!$A$25:$C$33,3,1)),0)
*13/3,
0),
IF($E$2="Monthly",
ROUND(
ROUND(((TRUNC($AN24*3/13,0)+0.99)*VLOOKUP((TRUNC($AN24*3/13,0)+0.99),'Tax scales - NAT 1004'!$A$25:$C$33,2,1)-VLOOKUP((TRUNC($AN24*3/13,0)+0.99),'Tax scales - NAT 1004'!$A$25:$C$33,3,1)),0)
*13/3,
0),
""))),
""),
"")</f>
        <v/>
      </c>
      <c r="AQ24" s="118" t="str">
        <f>IFERROR(
IF(VLOOKUP($C24,'Employee information'!$B:$M,COLUMNS('Employee information'!$B:$M),0)=3,
IF($E$2="Fortnightly",
ROUND(
ROUND((((TRUNC($AN24/2,0)+0.99))*VLOOKUP((TRUNC($AN24/2,0)+0.99),'Tax scales - NAT 1004'!$A$39:$C$41,2,1)-VLOOKUP((TRUNC($AN24/2,0)+0.99),'Tax scales - NAT 1004'!$A$39:$C$41,3,1)),0)
*2,
0),
IF(AND($E$2="Monthly",ROUND($AN24-TRUNC($AN24),2)=0.33),
ROUND(
ROUND(((TRUNC(($AN24+0.01)*3/13,0)+0.99)*VLOOKUP((TRUNC(($AN24+0.01)*3/13,0)+0.99),'Tax scales - NAT 1004'!$A$39:$C$41,2,1)-VLOOKUP((TRUNC(($AN24+0.01)*3/13,0)+0.99),'Tax scales - NAT 1004'!$A$39:$C$41,3,1)),0)
*13/3,
0),
IF($E$2="Monthly",
ROUND(
ROUND(((TRUNC($AN24*3/13,0)+0.99)*VLOOKUP((TRUNC($AN24*3/13,0)+0.99),'Tax scales - NAT 1004'!$A$39:$C$41,2,1)-VLOOKUP((TRUNC($AN24*3/13,0)+0.99),'Tax scales - NAT 1004'!$A$39:$C$41,3,1)),0)
*13/3,
0),
""))),
""),
"")</f>
        <v/>
      </c>
      <c r="AR24" s="118" t="str">
        <f>IFERROR(
IF(AND(VLOOKUP($C24,'Employee information'!$B:$M,COLUMNS('Employee information'!$B:$M),0)=4,
VLOOKUP($C24,'Employee information'!$B:$J,COLUMNS('Employee information'!$B:$J),0)="Resident"),
TRUNC(TRUNC($AN24)*'Tax scales - NAT 1004'!$B$47),
IF(AND(VLOOKUP($C24,'Employee information'!$B:$M,COLUMNS('Employee information'!$B:$M),0)=4,
VLOOKUP($C24,'Employee information'!$B:$J,COLUMNS('Employee information'!$B:$J),0)="Foreign resident"),
TRUNC(TRUNC($AN24)*'Tax scales - NAT 1004'!$B$48),
"")),
"")</f>
        <v/>
      </c>
      <c r="AS24" s="118" t="str">
        <f>IFERROR(
IF(VLOOKUP($C24,'Employee information'!$B:$M,COLUMNS('Employee information'!$B:$M),0)=5,
IF($E$2="Fortnightly",
ROUND(
ROUND((((TRUNC($AN24/2,0)+0.99))*VLOOKUP((TRUNC($AN24/2,0)+0.99),'Tax scales - NAT 1004'!$A$53:$C$59,2,1)-VLOOKUP((TRUNC($AN24/2,0)+0.99),'Tax scales - NAT 1004'!$A$53:$C$59,3,1)),0)
*2,
0),
IF(AND($E$2="Monthly",ROUND($AN24-TRUNC($AN24),2)=0.33),
ROUND(
ROUND(((TRUNC(($AN24+0.01)*3/13,0)+0.99)*VLOOKUP((TRUNC(($AN24+0.01)*3/13,0)+0.99),'Tax scales - NAT 1004'!$A$53:$C$59,2,1)-VLOOKUP((TRUNC(($AN24+0.01)*3/13,0)+0.99),'Tax scales - NAT 1004'!$A$53:$C$59,3,1)),0)
*13/3,
0),
IF($E$2="Monthly",
ROUND(
ROUND(((TRUNC($AN24*3/13,0)+0.99)*VLOOKUP((TRUNC($AN24*3/13,0)+0.99),'Tax scales - NAT 1004'!$A$53:$C$59,2,1)-VLOOKUP((TRUNC($AN24*3/13,0)+0.99),'Tax scales - NAT 1004'!$A$53:$C$59,3,1)),0)
*13/3,
0),
""))),
""),
"")</f>
        <v/>
      </c>
      <c r="AT24" s="118" t="str">
        <f>IFERROR(
IF(VLOOKUP($C24,'Employee information'!$B:$M,COLUMNS('Employee information'!$B:$M),0)=6,
IF($E$2="Fortnightly",
ROUND(
ROUND((((TRUNC($AN24/2,0)+0.99))*VLOOKUP((TRUNC($AN24/2,0)+0.99),'Tax scales - NAT 1004'!$A$65:$C$73,2,1)-VLOOKUP((TRUNC($AN24/2,0)+0.99),'Tax scales - NAT 1004'!$A$65:$C$73,3,1)),0)
*2,
0),
IF(AND($E$2="Monthly",ROUND($AN24-TRUNC($AN24),2)=0.33),
ROUND(
ROUND(((TRUNC(($AN24+0.01)*3/13,0)+0.99)*VLOOKUP((TRUNC(($AN24+0.01)*3/13,0)+0.99),'Tax scales - NAT 1004'!$A$65:$C$73,2,1)-VLOOKUP((TRUNC(($AN24+0.01)*3/13,0)+0.99),'Tax scales - NAT 1004'!$A$65:$C$73,3,1)),0)
*13/3,
0),
IF($E$2="Monthly",
ROUND(
ROUND(((TRUNC($AN24*3/13,0)+0.99)*VLOOKUP((TRUNC($AN24*3/13,0)+0.99),'Tax scales - NAT 1004'!$A$65:$C$73,2,1)-VLOOKUP((TRUNC($AN24*3/13,0)+0.99),'Tax scales - NAT 1004'!$A$65:$C$73,3,1)),0)
*13/3,
0),
""))),
""),
"")</f>
        <v/>
      </c>
      <c r="AU24" s="118" t="str">
        <f>IFERROR(
IF(VLOOKUP($C24,'Employee information'!$B:$M,COLUMNS('Employee information'!$B:$M),0)=11,
IF($E$2="Fortnightly",
ROUND(
ROUND((((TRUNC($AN24/2,0)+0.99))*VLOOKUP((TRUNC($AN24/2,0)+0.99),'Tax scales - NAT 3539'!$A$14:$C$38,2,1)-VLOOKUP((TRUNC($AN24/2,0)+0.99),'Tax scales - NAT 3539'!$A$14:$C$38,3,1)),0)
*2,
0),
IF(AND($E$2="Monthly",ROUND($AN24-TRUNC($AN24),2)=0.33),
ROUND(
ROUND(((TRUNC(($AN24+0.01)*3/13,0)+0.99)*VLOOKUP((TRUNC(($AN24+0.01)*3/13,0)+0.99),'Tax scales - NAT 3539'!$A$14:$C$38,2,1)-VLOOKUP((TRUNC(($AN24+0.01)*3/13,0)+0.99),'Tax scales - NAT 3539'!$A$14:$C$38,3,1)),0)
*13/3,
0),
IF($E$2="Monthly",
ROUND(
ROUND(((TRUNC($AN24*3/13,0)+0.99)*VLOOKUP((TRUNC($AN24*3/13,0)+0.99),'Tax scales - NAT 3539'!$A$14:$C$38,2,1)-VLOOKUP((TRUNC($AN24*3/13,0)+0.99),'Tax scales - NAT 3539'!$A$14:$C$38,3,1)),0)
*13/3,
0),
""))),
""),
"")</f>
        <v/>
      </c>
      <c r="AV24" s="118" t="str">
        <f>IFERROR(
IF(VLOOKUP($C24,'Employee information'!$B:$M,COLUMNS('Employee information'!$B:$M),0)=22,
IF($E$2="Fortnightly",
ROUND(
ROUND((((TRUNC($AN24/2,0)+0.99))*VLOOKUP((TRUNC($AN24/2,0)+0.99),'Tax scales - NAT 3539'!$A$43:$C$69,2,1)-VLOOKUP((TRUNC($AN24/2,0)+0.99),'Tax scales - NAT 3539'!$A$43:$C$69,3,1)),0)
*2,
0),
IF(AND($E$2="Monthly",ROUND($AN24-TRUNC($AN24),2)=0.33),
ROUND(
ROUND(((TRUNC(($AN24+0.01)*3/13,0)+0.99)*VLOOKUP((TRUNC(($AN24+0.01)*3/13,0)+0.99),'Tax scales - NAT 3539'!$A$43:$C$69,2,1)-VLOOKUP((TRUNC(($AN24+0.01)*3/13,0)+0.99),'Tax scales - NAT 3539'!$A$43:$C$69,3,1)),0)
*13/3,
0),
IF($E$2="Monthly",
ROUND(
ROUND(((TRUNC($AN24*3/13,0)+0.99)*VLOOKUP((TRUNC($AN24*3/13,0)+0.99),'Tax scales - NAT 3539'!$A$43:$C$69,2,1)-VLOOKUP((TRUNC($AN24*3/13,0)+0.99),'Tax scales - NAT 3539'!$A$43:$C$69,3,1)),0)
*13/3,
0),
""))),
""),
"")</f>
        <v/>
      </c>
      <c r="AW24" s="118" t="str">
        <f>IFERROR(
IF(VLOOKUP($C24,'Employee information'!$B:$M,COLUMNS('Employee information'!$B:$M),0)=33,
IF($E$2="Fortnightly",
ROUND(
ROUND((((TRUNC($AN24/2,0)+0.99))*VLOOKUP((TRUNC($AN24/2,0)+0.99),'Tax scales - NAT 3539'!$A$74:$C$94,2,1)-VLOOKUP((TRUNC($AN24/2,0)+0.99),'Tax scales - NAT 3539'!$A$74:$C$94,3,1)),0)
*2,
0),
IF(AND($E$2="Monthly",ROUND($AN24-TRUNC($AN24),2)=0.33),
ROUND(
ROUND(((TRUNC(($AN24+0.01)*3/13,0)+0.99)*VLOOKUP((TRUNC(($AN24+0.01)*3/13,0)+0.99),'Tax scales - NAT 3539'!$A$74:$C$94,2,1)-VLOOKUP((TRUNC(($AN24+0.01)*3/13,0)+0.99),'Tax scales - NAT 3539'!$A$74:$C$94,3,1)),0)
*13/3,
0),
IF($E$2="Monthly",
ROUND(
ROUND(((TRUNC($AN24*3/13,0)+0.99)*VLOOKUP((TRUNC($AN24*3/13,0)+0.99),'Tax scales - NAT 3539'!$A$74:$C$94,2,1)-VLOOKUP((TRUNC($AN24*3/13,0)+0.99),'Tax scales - NAT 3539'!$A$74:$C$94,3,1)),0)
*13/3,
0),
""))),
""),
"")</f>
        <v/>
      </c>
      <c r="AX24" s="118" t="str">
        <f>IFERROR(
IF(VLOOKUP($C24,'Employee information'!$B:$M,COLUMNS('Employee information'!$B:$M),0)=55,
IF($E$2="Fortnightly",
ROUND(
ROUND((((TRUNC($AN24/2,0)+0.99))*VLOOKUP((TRUNC($AN24/2,0)+0.99),'Tax scales - NAT 3539'!$A$99:$C$123,2,1)-VLOOKUP((TRUNC($AN24/2,0)+0.99),'Tax scales - NAT 3539'!$A$99:$C$123,3,1)),0)
*2,
0),
IF(AND($E$2="Monthly",ROUND($AN24-TRUNC($AN24),2)=0.33),
ROUND(
ROUND(((TRUNC(($AN24+0.01)*3/13,0)+0.99)*VLOOKUP((TRUNC(($AN24+0.01)*3/13,0)+0.99),'Tax scales - NAT 3539'!$A$99:$C$123,2,1)-VLOOKUP((TRUNC(($AN24+0.01)*3/13,0)+0.99),'Tax scales - NAT 3539'!$A$99:$C$123,3,1)),0)
*13/3,
0),
IF($E$2="Monthly",
ROUND(
ROUND(((TRUNC($AN24*3/13,0)+0.99)*VLOOKUP((TRUNC($AN24*3/13,0)+0.99),'Tax scales - NAT 3539'!$A$99:$C$123,2,1)-VLOOKUP((TRUNC($AN24*3/13,0)+0.99),'Tax scales - NAT 3539'!$A$99:$C$123,3,1)),0)
*13/3,
0),
""))),
""),
"")</f>
        <v/>
      </c>
      <c r="AY24" s="118" t="str">
        <f>IFERROR(
IF(VLOOKUP($C24,'Employee information'!$B:$M,COLUMNS('Employee information'!$B:$M),0)=66,
IF($E$2="Fortnightly",
ROUND(
ROUND((((TRUNC($AN24/2,0)+0.99))*VLOOKUP((TRUNC($AN24/2,0)+0.99),'Tax scales - NAT 3539'!$A$127:$C$154,2,1)-VLOOKUP((TRUNC($AN24/2,0)+0.99),'Tax scales - NAT 3539'!$A$127:$C$154,3,1)),0)
*2,
0),
IF(AND($E$2="Monthly",ROUND($AN24-TRUNC($AN24),2)=0.33),
ROUND(
ROUND(((TRUNC(($AN24+0.01)*3/13,0)+0.99)*VLOOKUP((TRUNC(($AN24+0.01)*3/13,0)+0.99),'Tax scales - NAT 3539'!$A$127:$C$154,2,1)-VLOOKUP((TRUNC(($AN24+0.01)*3/13,0)+0.99),'Tax scales - NAT 3539'!$A$127:$C$154,3,1)),0)
*13/3,
0),
IF($E$2="Monthly",
ROUND(
ROUND(((TRUNC($AN24*3/13,0)+0.99)*VLOOKUP((TRUNC($AN24*3/13,0)+0.99),'Tax scales - NAT 3539'!$A$127:$C$154,2,1)-VLOOKUP((TRUNC($AN24*3/13,0)+0.99),'Tax scales - NAT 3539'!$A$127:$C$154,3,1)),0)
*13/3,
0),
""))),
""),
"")</f>
        <v/>
      </c>
      <c r="AZ24" s="118">
        <f>IFERROR(
HLOOKUP(VLOOKUP($C24,'Employee information'!$B:$M,COLUMNS('Employee information'!$B:$M),0),'PAYG worksheet'!$AO$10:$AY$29,COUNTA($C$11:$C24)+1,0),
0)</f>
        <v>0</v>
      </c>
      <c r="BA24" s="118"/>
      <c r="BB24" s="118">
        <f t="shared" si="20"/>
        <v>0</v>
      </c>
      <c r="BC24" s="119">
        <f>IFERROR(
IF(OR($AE24=1,$AE24=""),SUM($P24,$AA24,$AC24,$AK24)*VLOOKUP($C24,'Employee information'!$B:$Q,COLUMNS('Employee information'!$B:$H),0),
IF($AE24=0,SUM($P24,$AA24,$AK24)*VLOOKUP($C24,'Employee information'!$B:$Q,COLUMNS('Employee information'!$B:$H),0),
0)),
0)</f>
        <v>0</v>
      </c>
      <c r="BE24" s="114">
        <f t="shared" si="5"/>
        <v>0</v>
      </c>
      <c r="BF24" s="114">
        <f t="shared" si="6"/>
        <v>0</v>
      </c>
      <c r="BG24" s="114">
        <f t="shared" si="7"/>
        <v>0</v>
      </c>
      <c r="BH24" s="114">
        <f t="shared" si="8"/>
        <v>0</v>
      </c>
      <c r="BI24" s="114">
        <f t="shared" si="9"/>
        <v>0</v>
      </c>
      <c r="BJ24" s="114">
        <f t="shared" si="10"/>
        <v>0</v>
      </c>
      <c r="BK24" s="114">
        <f t="shared" si="11"/>
        <v>0</v>
      </c>
      <c r="BL24" s="114">
        <f t="shared" si="21"/>
        <v>0</v>
      </c>
      <c r="BM24" s="114">
        <f t="shared" si="12"/>
        <v>0</v>
      </c>
    </row>
    <row r="25" spans="1:65" x14ac:dyDescent="0.25">
      <c r="A25" s="228">
        <f t="shared" si="0"/>
        <v>1</v>
      </c>
      <c r="C25" s="278"/>
      <c r="E25" s="103">
        <f>IF($C25="",0,
IF(AND($E$2="Monthly",$A25&gt;12),0,
IF($E$2="Monthly",VLOOKUP($C25,'Employee information'!$B:$AM,COLUMNS('Employee information'!$B:S),0),
IF($E$2="Fortnightly",VLOOKUP($C25,'Employee information'!$B:$AM,COLUMNS('Employee information'!$B:R),0),
0))))</f>
        <v>0</v>
      </c>
      <c r="F25" s="106"/>
      <c r="G25" s="106"/>
      <c r="H25" s="106"/>
      <c r="I25" s="106"/>
      <c r="J25" s="103">
        <f t="shared" si="13"/>
        <v>0</v>
      </c>
      <c r="L25" s="113">
        <f>IF(AND($E$2="Monthly",$A25&gt;12),"",
IFERROR($J25*VLOOKUP($C25,'Employee information'!$B:$AI,COLUMNS('Employee information'!$B:$P),0),0))</f>
        <v>0</v>
      </c>
      <c r="M25" s="114">
        <f t="shared" si="14"/>
        <v>0</v>
      </c>
      <c r="O25" s="103">
        <f t="shared" si="15"/>
        <v>0</v>
      </c>
      <c r="P25" s="113">
        <f>IFERROR(
IF(AND($E$2="Monthly",$A25&gt;12),0,
$O25*VLOOKUP($C25,'Employee information'!$B:$AI,COLUMNS('Employee information'!$B:$P),0)),
0)</f>
        <v>0</v>
      </c>
      <c r="R25" s="114">
        <f t="shared" si="1"/>
        <v>0</v>
      </c>
      <c r="T25" s="103"/>
      <c r="U25" s="103"/>
      <c r="V25" s="282" t="str">
        <f>IF($C25="","",
IF(AND($E$2="Monthly",$A25&gt;12),"",
$T25*VLOOKUP($C25,'Employee information'!$B:$P,COLUMNS('Employee information'!$B:$P),0)))</f>
        <v/>
      </c>
      <c r="W25" s="282" t="str">
        <f>IF($C25="","",
IF(AND($E$2="Monthly",$A25&gt;12),"",
$U25*VLOOKUP($C25,'Employee information'!$B:$P,COLUMNS('Employee information'!$B:$P),0)))</f>
        <v/>
      </c>
      <c r="X25" s="114">
        <f t="shared" si="2"/>
        <v>0</v>
      </c>
      <c r="Y25" s="114">
        <f t="shared" si="3"/>
        <v>0</v>
      </c>
      <c r="AA25" s="118">
        <f>IFERROR(
IF(OR('Basic payroll data'!$D$12="",'Basic payroll data'!$D$12="No"),0,
$T25*VLOOKUP($C25,'Employee information'!$B:$P,COLUMNS('Employee information'!$B:$P),0)*AL_loading_perc),
0)</f>
        <v>0</v>
      </c>
      <c r="AC25" s="118"/>
      <c r="AD25" s="118"/>
      <c r="AE25" s="283" t="str">
        <f t="shared" si="16"/>
        <v/>
      </c>
      <c r="AF25" s="283" t="str">
        <f t="shared" si="17"/>
        <v/>
      </c>
      <c r="AG25" s="118"/>
      <c r="AH25" s="118"/>
      <c r="AI25" s="283" t="str">
        <f t="shared" si="18"/>
        <v/>
      </c>
      <c r="AJ25" s="118"/>
      <c r="AK25" s="118"/>
      <c r="AM25" s="118">
        <f t="shared" si="19"/>
        <v>0</v>
      </c>
      <c r="AN25" s="118">
        <f t="shared" si="4"/>
        <v>0</v>
      </c>
      <c r="AO25" s="118" t="str">
        <f>IFERROR(
IF(VLOOKUP($C25,'Employee information'!$B:$M,COLUMNS('Employee information'!$B:$M),0)=1,
IF($E$2="Fortnightly",
ROUND(
ROUND((((TRUNC($AN25/2,0)+0.99))*VLOOKUP((TRUNC($AN25/2,0)+0.99),'Tax scales - NAT 1004'!$A$12:$C$18,2,1)-VLOOKUP((TRUNC($AN25/2,0)+0.99),'Tax scales - NAT 1004'!$A$12:$C$18,3,1)),0)
*2,
0),
IF(AND($E$2="Monthly",ROUND($AN25-TRUNC($AN25),2)=0.33),
ROUND(
ROUND(((TRUNC(($AN25+0.01)*3/13,0)+0.99)*VLOOKUP((TRUNC(($AN25+0.01)*3/13,0)+0.99),'Tax scales - NAT 1004'!$A$12:$C$18,2,1)-VLOOKUP((TRUNC(($AN25+0.01)*3/13,0)+0.99),'Tax scales - NAT 1004'!$A$12:$C$18,3,1)),0)
*13/3,
0),
IF($E$2="Monthly",
ROUND(
ROUND(((TRUNC($AN25*3/13,0)+0.99)*VLOOKUP((TRUNC($AN25*3/13,0)+0.99),'Tax scales - NAT 1004'!$A$12:$C$18,2,1)-VLOOKUP((TRUNC($AN25*3/13,0)+0.99),'Tax scales - NAT 1004'!$A$12:$C$18,3,1)),0)
*13/3,
0),
""))),
""),
"")</f>
        <v/>
      </c>
      <c r="AP25" s="118" t="str">
        <f>IFERROR(
IF(VLOOKUP($C25,'Employee information'!$B:$M,COLUMNS('Employee information'!$B:$M),0)=2,
IF($E$2="Fortnightly",
ROUND(
ROUND((((TRUNC($AN25/2,0)+0.99))*VLOOKUP((TRUNC($AN25/2,0)+0.99),'Tax scales - NAT 1004'!$A$25:$C$33,2,1)-VLOOKUP((TRUNC($AN25/2,0)+0.99),'Tax scales - NAT 1004'!$A$25:$C$33,3,1)),0)
*2,
0),
IF(AND($E$2="Monthly",ROUND($AN25-TRUNC($AN25),2)=0.33),
ROUND(
ROUND(((TRUNC(($AN25+0.01)*3/13,0)+0.99)*VLOOKUP((TRUNC(($AN25+0.01)*3/13,0)+0.99),'Tax scales - NAT 1004'!$A$25:$C$33,2,1)-VLOOKUP((TRUNC(($AN25+0.01)*3/13,0)+0.99),'Tax scales - NAT 1004'!$A$25:$C$33,3,1)),0)
*13/3,
0),
IF($E$2="Monthly",
ROUND(
ROUND(((TRUNC($AN25*3/13,0)+0.99)*VLOOKUP((TRUNC($AN25*3/13,0)+0.99),'Tax scales - NAT 1004'!$A$25:$C$33,2,1)-VLOOKUP((TRUNC($AN25*3/13,0)+0.99),'Tax scales - NAT 1004'!$A$25:$C$33,3,1)),0)
*13/3,
0),
""))),
""),
"")</f>
        <v/>
      </c>
      <c r="AQ25" s="118" t="str">
        <f>IFERROR(
IF(VLOOKUP($C25,'Employee information'!$B:$M,COLUMNS('Employee information'!$B:$M),0)=3,
IF($E$2="Fortnightly",
ROUND(
ROUND((((TRUNC($AN25/2,0)+0.99))*VLOOKUP((TRUNC($AN25/2,0)+0.99),'Tax scales - NAT 1004'!$A$39:$C$41,2,1)-VLOOKUP((TRUNC($AN25/2,0)+0.99),'Tax scales - NAT 1004'!$A$39:$C$41,3,1)),0)
*2,
0),
IF(AND($E$2="Monthly",ROUND($AN25-TRUNC($AN25),2)=0.33),
ROUND(
ROUND(((TRUNC(($AN25+0.01)*3/13,0)+0.99)*VLOOKUP((TRUNC(($AN25+0.01)*3/13,0)+0.99),'Tax scales - NAT 1004'!$A$39:$C$41,2,1)-VLOOKUP((TRUNC(($AN25+0.01)*3/13,0)+0.99),'Tax scales - NAT 1004'!$A$39:$C$41,3,1)),0)
*13/3,
0),
IF($E$2="Monthly",
ROUND(
ROUND(((TRUNC($AN25*3/13,0)+0.99)*VLOOKUP((TRUNC($AN25*3/13,0)+0.99),'Tax scales - NAT 1004'!$A$39:$C$41,2,1)-VLOOKUP((TRUNC($AN25*3/13,0)+0.99),'Tax scales - NAT 1004'!$A$39:$C$41,3,1)),0)
*13/3,
0),
""))),
""),
"")</f>
        <v/>
      </c>
      <c r="AR25" s="118" t="str">
        <f>IFERROR(
IF(AND(VLOOKUP($C25,'Employee information'!$B:$M,COLUMNS('Employee information'!$B:$M),0)=4,
VLOOKUP($C25,'Employee information'!$B:$J,COLUMNS('Employee information'!$B:$J),0)="Resident"),
TRUNC(TRUNC($AN25)*'Tax scales - NAT 1004'!$B$47),
IF(AND(VLOOKUP($C25,'Employee information'!$B:$M,COLUMNS('Employee information'!$B:$M),0)=4,
VLOOKUP($C25,'Employee information'!$B:$J,COLUMNS('Employee information'!$B:$J),0)="Foreign resident"),
TRUNC(TRUNC($AN25)*'Tax scales - NAT 1004'!$B$48),
"")),
"")</f>
        <v/>
      </c>
      <c r="AS25" s="118" t="str">
        <f>IFERROR(
IF(VLOOKUP($C25,'Employee information'!$B:$M,COLUMNS('Employee information'!$B:$M),0)=5,
IF($E$2="Fortnightly",
ROUND(
ROUND((((TRUNC($AN25/2,0)+0.99))*VLOOKUP((TRUNC($AN25/2,0)+0.99),'Tax scales - NAT 1004'!$A$53:$C$59,2,1)-VLOOKUP((TRUNC($AN25/2,0)+0.99),'Tax scales - NAT 1004'!$A$53:$C$59,3,1)),0)
*2,
0),
IF(AND($E$2="Monthly",ROUND($AN25-TRUNC($AN25),2)=0.33),
ROUND(
ROUND(((TRUNC(($AN25+0.01)*3/13,0)+0.99)*VLOOKUP((TRUNC(($AN25+0.01)*3/13,0)+0.99),'Tax scales - NAT 1004'!$A$53:$C$59,2,1)-VLOOKUP((TRUNC(($AN25+0.01)*3/13,0)+0.99),'Tax scales - NAT 1004'!$A$53:$C$59,3,1)),0)
*13/3,
0),
IF($E$2="Monthly",
ROUND(
ROUND(((TRUNC($AN25*3/13,0)+0.99)*VLOOKUP((TRUNC($AN25*3/13,0)+0.99),'Tax scales - NAT 1004'!$A$53:$C$59,2,1)-VLOOKUP((TRUNC($AN25*3/13,0)+0.99),'Tax scales - NAT 1004'!$A$53:$C$59,3,1)),0)
*13/3,
0),
""))),
""),
"")</f>
        <v/>
      </c>
      <c r="AT25" s="118" t="str">
        <f>IFERROR(
IF(VLOOKUP($C25,'Employee information'!$B:$M,COLUMNS('Employee information'!$B:$M),0)=6,
IF($E$2="Fortnightly",
ROUND(
ROUND((((TRUNC($AN25/2,0)+0.99))*VLOOKUP((TRUNC($AN25/2,0)+0.99),'Tax scales - NAT 1004'!$A$65:$C$73,2,1)-VLOOKUP((TRUNC($AN25/2,0)+0.99),'Tax scales - NAT 1004'!$A$65:$C$73,3,1)),0)
*2,
0),
IF(AND($E$2="Monthly",ROUND($AN25-TRUNC($AN25),2)=0.33),
ROUND(
ROUND(((TRUNC(($AN25+0.01)*3/13,0)+0.99)*VLOOKUP((TRUNC(($AN25+0.01)*3/13,0)+0.99),'Tax scales - NAT 1004'!$A$65:$C$73,2,1)-VLOOKUP((TRUNC(($AN25+0.01)*3/13,0)+0.99),'Tax scales - NAT 1004'!$A$65:$C$73,3,1)),0)
*13/3,
0),
IF($E$2="Monthly",
ROUND(
ROUND(((TRUNC($AN25*3/13,0)+0.99)*VLOOKUP((TRUNC($AN25*3/13,0)+0.99),'Tax scales - NAT 1004'!$A$65:$C$73,2,1)-VLOOKUP((TRUNC($AN25*3/13,0)+0.99),'Tax scales - NAT 1004'!$A$65:$C$73,3,1)),0)
*13/3,
0),
""))),
""),
"")</f>
        <v/>
      </c>
      <c r="AU25" s="118" t="str">
        <f>IFERROR(
IF(VLOOKUP($C25,'Employee information'!$B:$M,COLUMNS('Employee information'!$B:$M),0)=11,
IF($E$2="Fortnightly",
ROUND(
ROUND((((TRUNC($AN25/2,0)+0.99))*VLOOKUP((TRUNC($AN25/2,0)+0.99),'Tax scales - NAT 3539'!$A$14:$C$38,2,1)-VLOOKUP((TRUNC($AN25/2,0)+0.99),'Tax scales - NAT 3539'!$A$14:$C$38,3,1)),0)
*2,
0),
IF(AND($E$2="Monthly",ROUND($AN25-TRUNC($AN25),2)=0.33),
ROUND(
ROUND(((TRUNC(($AN25+0.01)*3/13,0)+0.99)*VLOOKUP((TRUNC(($AN25+0.01)*3/13,0)+0.99),'Tax scales - NAT 3539'!$A$14:$C$38,2,1)-VLOOKUP((TRUNC(($AN25+0.01)*3/13,0)+0.99),'Tax scales - NAT 3539'!$A$14:$C$38,3,1)),0)
*13/3,
0),
IF($E$2="Monthly",
ROUND(
ROUND(((TRUNC($AN25*3/13,0)+0.99)*VLOOKUP((TRUNC($AN25*3/13,0)+0.99),'Tax scales - NAT 3539'!$A$14:$C$38,2,1)-VLOOKUP((TRUNC($AN25*3/13,0)+0.99),'Tax scales - NAT 3539'!$A$14:$C$38,3,1)),0)
*13/3,
0),
""))),
""),
"")</f>
        <v/>
      </c>
      <c r="AV25" s="118" t="str">
        <f>IFERROR(
IF(VLOOKUP($C25,'Employee information'!$B:$M,COLUMNS('Employee information'!$B:$M),0)=22,
IF($E$2="Fortnightly",
ROUND(
ROUND((((TRUNC($AN25/2,0)+0.99))*VLOOKUP((TRUNC($AN25/2,0)+0.99),'Tax scales - NAT 3539'!$A$43:$C$69,2,1)-VLOOKUP((TRUNC($AN25/2,0)+0.99),'Tax scales - NAT 3539'!$A$43:$C$69,3,1)),0)
*2,
0),
IF(AND($E$2="Monthly",ROUND($AN25-TRUNC($AN25),2)=0.33),
ROUND(
ROUND(((TRUNC(($AN25+0.01)*3/13,0)+0.99)*VLOOKUP((TRUNC(($AN25+0.01)*3/13,0)+0.99),'Tax scales - NAT 3539'!$A$43:$C$69,2,1)-VLOOKUP((TRUNC(($AN25+0.01)*3/13,0)+0.99),'Tax scales - NAT 3539'!$A$43:$C$69,3,1)),0)
*13/3,
0),
IF($E$2="Monthly",
ROUND(
ROUND(((TRUNC($AN25*3/13,0)+0.99)*VLOOKUP((TRUNC($AN25*3/13,0)+0.99),'Tax scales - NAT 3539'!$A$43:$C$69,2,1)-VLOOKUP((TRUNC($AN25*3/13,0)+0.99),'Tax scales - NAT 3539'!$A$43:$C$69,3,1)),0)
*13/3,
0),
""))),
""),
"")</f>
        <v/>
      </c>
      <c r="AW25" s="118" t="str">
        <f>IFERROR(
IF(VLOOKUP($C25,'Employee information'!$B:$M,COLUMNS('Employee information'!$B:$M),0)=33,
IF($E$2="Fortnightly",
ROUND(
ROUND((((TRUNC($AN25/2,0)+0.99))*VLOOKUP((TRUNC($AN25/2,0)+0.99),'Tax scales - NAT 3539'!$A$74:$C$94,2,1)-VLOOKUP((TRUNC($AN25/2,0)+0.99),'Tax scales - NAT 3539'!$A$74:$C$94,3,1)),0)
*2,
0),
IF(AND($E$2="Monthly",ROUND($AN25-TRUNC($AN25),2)=0.33),
ROUND(
ROUND(((TRUNC(($AN25+0.01)*3/13,0)+0.99)*VLOOKUP((TRUNC(($AN25+0.01)*3/13,0)+0.99),'Tax scales - NAT 3539'!$A$74:$C$94,2,1)-VLOOKUP((TRUNC(($AN25+0.01)*3/13,0)+0.99),'Tax scales - NAT 3539'!$A$74:$C$94,3,1)),0)
*13/3,
0),
IF($E$2="Monthly",
ROUND(
ROUND(((TRUNC($AN25*3/13,0)+0.99)*VLOOKUP((TRUNC($AN25*3/13,0)+0.99),'Tax scales - NAT 3539'!$A$74:$C$94,2,1)-VLOOKUP((TRUNC($AN25*3/13,0)+0.99),'Tax scales - NAT 3539'!$A$74:$C$94,3,1)),0)
*13/3,
0),
""))),
""),
"")</f>
        <v/>
      </c>
      <c r="AX25" s="118" t="str">
        <f>IFERROR(
IF(VLOOKUP($C25,'Employee information'!$B:$M,COLUMNS('Employee information'!$B:$M),0)=55,
IF($E$2="Fortnightly",
ROUND(
ROUND((((TRUNC($AN25/2,0)+0.99))*VLOOKUP((TRUNC($AN25/2,0)+0.99),'Tax scales - NAT 3539'!$A$99:$C$123,2,1)-VLOOKUP((TRUNC($AN25/2,0)+0.99),'Tax scales - NAT 3539'!$A$99:$C$123,3,1)),0)
*2,
0),
IF(AND($E$2="Monthly",ROUND($AN25-TRUNC($AN25),2)=0.33),
ROUND(
ROUND(((TRUNC(($AN25+0.01)*3/13,0)+0.99)*VLOOKUP((TRUNC(($AN25+0.01)*3/13,0)+0.99),'Tax scales - NAT 3539'!$A$99:$C$123,2,1)-VLOOKUP((TRUNC(($AN25+0.01)*3/13,0)+0.99),'Tax scales - NAT 3539'!$A$99:$C$123,3,1)),0)
*13/3,
0),
IF($E$2="Monthly",
ROUND(
ROUND(((TRUNC($AN25*3/13,0)+0.99)*VLOOKUP((TRUNC($AN25*3/13,0)+0.99),'Tax scales - NAT 3539'!$A$99:$C$123,2,1)-VLOOKUP((TRUNC($AN25*3/13,0)+0.99),'Tax scales - NAT 3539'!$A$99:$C$123,3,1)),0)
*13/3,
0),
""))),
""),
"")</f>
        <v/>
      </c>
      <c r="AY25" s="118" t="str">
        <f>IFERROR(
IF(VLOOKUP($C25,'Employee information'!$B:$M,COLUMNS('Employee information'!$B:$M),0)=66,
IF($E$2="Fortnightly",
ROUND(
ROUND((((TRUNC($AN25/2,0)+0.99))*VLOOKUP((TRUNC($AN25/2,0)+0.99),'Tax scales - NAT 3539'!$A$127:$C$154,2,1)-VLOOKUP((TRUNC($AN25/2,0)+0.99),'Tax scales - NAT 3539'!$A$127:$C$154,3,1)),0)
*2,
0),
IF(AND($E$2="Monthly",ROUND($AN25-TRUNC($AN25),2)=0.33),
ROUND(
ROUND(((TRUNC(($AN25+0.01)*3/13,0)+0.99)*VLOOKUP((TRUNC(($AN25+0.01)*3/13,0)+0.99),'Tax scales - NAT 3539'!$A$127:$C$154,2,1)-VLOOKUP((TRUNC(($AN25+0.01)*3/13,0)+0.99),'Tax scales - NAT 3539'!$A$127:$C$154,3,1)),0)
*13/3,
0),
IF($E$2="Monthly",
ROUND(
ROUND(((TRUNC($AN25*3/13,0)+0.99)*VLOOKUP((TRUNC($AN25*3/13,0)+0.99),'Tax scales - NAT 3539'!$A$127:$C$154,2,1)-VLOOKUP((TRUNC($AN25*3/13,0)+0.99),'Tax scales - NAT 3539'!$A$127:$C$154,3,1)),0)
*13/3,
0),
""))),
""),
"")</f>
        <v/>
      </c>
      <c r="AZ25" s="118">
        <f>IFERROR(
HLOOKUP(VLOOKUP($C25,'Employee information'!$B:$M,COLUMNS('Employee information'!$B:$M),0),'PAYG worksheet'!$AO$10:$AY$29,COUNTA($C$11:$C25)+1,0),
0)</f>
        <v>0</v>
      </c>
      <c r="BA25" s="118"/>
      <c r="BB25" s="118">
        <f t="shared" si="20"/>
        <v>0</v>
      </c>
      <c r="BC25" s="119">
        <f>IFERROR(
IF(OR($AE25=1,$AE25=""),SUM($P25,$AA25,$AC25,$AK25)*VLOOKUP($C25,'Employee information'!$B:$Q,COLUMNS('Employee information'!$B:$H),0),
IF($AE25=0,SUM($P25,$AA25,$AK25)*VLOOKUP($C25,'Employee information'!$B:$Q,COLUMNS('Employee information'!$B:$H),0),
0)),
0)</f>
        <v>0</v>
      </c>
      <c r="BE25" s="114">
        <f t="shared" si="5"/>
        <v>0</v>
      </c>
      <c r="BF25" s="114">
        <f t="shared" si="6"/>
        <v>0</v>
      </c>
      <c r="BG25" s="114">
        <f t="shared" si="7"/>
        <v>0</v>
      </c>
      <c r="BH25" s="114">
        <f t="shared" si="8"/>
        <v>0</v>
      </c>
      <c r="BI25" s="114">
        <f t="shared" si="9"/>
        <v>0</v>
      </c>
      <c r="BJ25" s="114">
        <f t="shared" si="10"/>
        <v>0</v>
      </c>
      <c r="BK25" s="114">
        <f t="shared" si="11"/>
        <v>0</v>
      </c>
      <c r="BL25" s="114">
        <f t="shared" si="21"/>
        <v>0</v>
      </c>
      <c r="BM25" s="114">
        <f t="shared" si="12"/>
        <v>0</v>
      </c>
    </row>
    <row r="26" spans="1:65" x14ac:dyDescent="0.25">
      <c r="A26" s="228">
        <f t="shared" si="0"/>
        <v>1</v>
      </c>
      <c r="C26" s="278"/>
      <c r="E26" s="103">
        <f>IF($C26="",0,
IF(AND($E$2="Monthly",$A26&gt;12),0,
IF($E$2="Monthly",VLOOKUP($C26,'Employee information'!$B:$AM,COLUMNS('Employee information'!$B:S),0),
IF($E$2="Fortnightly",VLOOKUP($C26,'Employee information'!$B:$AM,COLUMNS('Employee information'!$B:R),0),
0))))</f>
        <v>0</v>
      </c>
      <c r="F26" s="106"/>
      <c r="G26" s="106"/>
      <c r="H26" s="106"/>
      <c r="I26" s="106"/>
      <c r="J26" s="103">
        <f t="shared" si="13"/>
        <v>0</v>
      </c>
      <c r="L26" s="113">
        <f>IF(AND($E$2="Monthly",$A26&gt;12),"",
IFERROR($J26*VLOOKUP($C26,'Employee information'!$B:$AI,COLUMNS('Employee information'!$B:$P),0),0))</f>
        <v>0</v>
      </c>
      <c r="M26" s="114">
        <f t="shared" si="14"/>
        <v>0</v>
      </c>
      <c r="O26" s="103">
        <f t="shared" si="15"/>
        <v>0</v>
      </c>
      <c r="P26" s="113">
        <f>IFERROR(
IF(AND($E$2="Monthly",$A26&gt;12),0,
$O26*VLOOKUP($C26,'Employee information'!$B:$AI,COLUMNS('Employee information'!$B:$P),0)),
0)</f>
        <v>0</v>
      </c>
      <c r="R26" s="114">
        <f t="shared" si="1"/>
        <v>0</v>
      </c>
      <c r="T26" s="103"/>
      <c r="U26" s="103"/>
      <c r="V26" s="282" t="str">
        <f>IF($C26="","",
IF(AND($E$2="Monthly",$A26&gt;12),"",
$T26*VLOOKUP($C26,'Employee information'!$B:$P,COLUMNS('Employee information'!$B:$P),0)))</f>
        <v/>
      </c>
      <c r="W26" s="282" t="str">
        <f>IF($C26="","",
IF(AND($E$2="Monthly",$A26&gt;12),"",
$U26*VLOOKUP($C26,'Employee information'!$B:$P,COLUMNS('Employee information'!$B:$P),0)))</f>
        <v/>
      </c>
      <c r="X26" s="114">
        <f t="shared" si="2"/>
        <v>0</v>
      </c>
      <c r="Y26" s="114">
        <f t="shared" si="3"/>
        <v>0</v>
      </c>
      <c r="AA26" s="118">
        <f>IFERROR(
IF(OR('Basic payroll data'!$D$12="",'Basic payroll data'!$D$12="No"),0,
$T26*VLOOKUP($C26,'Employee information'!$B:$P,COLUMNS('Employee information'!$B:$P),0)*AL_loading_perc),
0)</f>
        <v>0</v>
      </c>
      <c r="AC26" s="118"/>
      <c r="AD26" s="118"/>
      <c r="AE26" s="283" t="str">
        <f t="shared" si="16"/>
        <v/>
      </c>
      <c r="AF26" s="283" t="str">
        <f t="shared" si="17"/>
        <v/>
      </c>
      <c r="AG26" s="118"/>
      <c r="AH26" s="118"/>
      <c r="AI26" s="283" t="str">
        <f t="shared" si="18"/>
        <v/>
      </c>
      <c r="AJ26" s="118"/>
      <c r="AK26" s="118"/>
      <c r="AM26" s="118">
        <f t="shared" si="19"/>
        <v>0</v>
      </c>
      <c r="AN26" s="118">
        <f t="shared" si="4"/>
        <v>0</v>
      </c>
      <c r="AO26" s="118" t="str">
        <f>IFERROR(
IF(VLOOKUP($C26,'Employee information'!$B:$M,COLUMNS('Employee information'!$B:$M),0)=1,
IF($E$2="Fortnightly",
ROUND(
ROUND((((TRUNC($AN26/2,0)+0.99))*VLOOKUP((TRUNC($AN26/2,0)+0.99),'Tax scales - NAT 1004'!$A$12:$C$18,2,1)-VLOOKUP((TRUNC($AN26/2,0)+0.99),'Tax scales - NAT 1004'!$A$12:$C$18,3,1)),0)
*2,
0),
IF(AND($E$2="Monthly",ROUND($AN26-TRUNC($AN26),2)=0.33),
ROUND(
ROUND(((TRUNC(($AN26+0.01)*3/13,0)+0.99)*VLOOKUP((TRUNC(($AN26+0.01)*3/13,0)+0.99),'Tax scales - NAT 1004'!$A$12:$C$18,2,1)-VLOOKUP((TRUNC(($AN26+0.01)*3/13,0)+0.99),'Tax scales - NAT 1004'!$A$12:$C$18,3,1)),0)
*13/3,
0),
IF($E$2="Monthly",
ROUND(
ROUND(((TRUNC($AN26*3/13,0)+0.99)*VLOOKUP((TRUNC($AN26*3/13,0)+0.99),'Tax scales - NAT 1004'!$A$12:$C$18,2,1)-VLOOKUP((TRUNC($AN26*3/13,0)+0.99),'Tax scales - NAT 1004'!$A$12:$C$18,3,1)),0)
*13/3,
0),
""))),
""),
"")</f>
        <v/>
      </c>
      <c r="AP26" s="118" t="str">
        <f>IFERROR(
IF(VLOOKUP($C26,'Employee information'!$B:$M,COLUMNS('Employee information'!$B:$M),0)=2,
IF($E$2="Fortnightly",
ROUND(
ROUND((((TRUNC($AN26/2,0)+0.99))*VLOOKUP((TRUNC($AN26/2,0)+0.99),'Tax scales - NAT 1004'!$A$25:$C$33,2,1)-VLOOKUP((TRUNC($AN26/2,0)+0.99),'Tax scales - NAT 1004'!$A$25:$C$33,3,1)),0)
*2,
0),
IF(AND($E$2="Monthly",ROUND($AN26-TRUNC($AN26),2)=0.33),
ROUND(
ROUND(((TRUNC(($AN26+0.01)*3/13,0)+0.99)*VLOOKUP((TRUNC(($AN26+0.01)*3/13,0)+0.99),'Tax scales - NAT 1004'!$A$25:$C$33,2,1)-VLOOKUP((TRUNC(($AN26+0.01)*3/13,0)+0.99),'Tax scales - NAT 1004'!$A$25:$C$33,3,1)),0)
*13/3,
0),
IF($E$2="Monthly",
ROUND(
ROUND(((TRUNC($AN26*3/13,0)+0.99)*VLOOKUP((TRUNC($AN26*3/13,0)+0.99),'Tax scales - NAT 1004'!$A$25:$C$33,2,1)-VLOOKUP((TRUNC($AN26*3/13,0)+0.99),'Tax scales - NAT 1004'!$A$25:$C$33,3,1)),0)
*13/3,
0),
""))),
""),
"")</f>
        <v/>
      </c>
      <c r="AQ26" s="118" t="str">
        <f>IFERROR(
IF(VLOOKUP($C26,'Employee information'!$B:$M,COLUMNS('Employee information'!$B:$M),0)=3,
IF($E$2="Fortnightly",
ROUND(
ROUND((((TRUNC($AN26/2,0)+0.99))*VLOOKUP((TRUNC($AN26/2,0)+0.99),'Tax scales - NAT 1004'!$A$39:$C$41,2,1)-VLOOKUP((TRUNC($AN26/2,0)+0.99),'Tax scales - NAT 1004'!$A$39:$C$41,3,1)),0)
*2,
0),
IF(AND($E$2="Monthly",ROUND($AN26-TRUNC($AN26),2)=0.33),
ROUND(
ROUND(((TRUNC(($AN26+0.01)*3/13,0)+0.99)*VLOOKUP((TRUNC(($AN26+0.01)*3/13,0)+0.99),'Tax scales - NAT 1004'!$A$39:$C$41,2,1)-VLOOKUP((TRUNC(($AN26+0.01)*3/13,0)+0.99),'Tax scales - NAT 1004'!$A$39:$C$41,3,1)),0)
*13/3,
0),
IF($E$2="Monthly",
ROUND(
ROUND(((TRUNC($AN26*3/13,0)+0.99)*VLOOKUP((TRUNC($AN26*3/13,0)+0.99),'Tax scales - NAT 1004'!$A$39:$C$41,2,1)-VLOOKUP((TRUNC($AN26*3/13,0)+0.99),'Tax scales - NAT 1004'!$A$39:$C$41,3,1)),0)
*13/3,
0),
""))),
""),
"")</f>
        <v/>
      </c>
      <c r="AR26" s="118" t="str">
        <f>IFERROR(
IF(AND(VLOOKUP($C26,'Employee information'!$B:$M,COLUMNS('Employee information'!$B:$M),0)=4,
VLOOKUP($C26,'Employee information'!$B:$J,COLUMNS('Employee information'!$B:$J),0)="Resident"),
TRUNC(TRUNC($AN26)*'Tax scales - NAT 1004'!$B$47),
IF(AND(VLOOKUP($C26,'Employee information'!$B:$M,COLUMNS('Employee information'!$B:$M),0)=4,
VLOOKUP($C26,'Employee information'!$B:$J,COLUMNS('Employee information'!$B:$J),0)="Foreign resident"),
TRUNC(TRUNC($AN26)*'Tax scales - NAT 1004'!$B$48),
"")),
"")</f>
        <v/>
      </c>
      <c r="AS26" s="118" t="str">
        <f>IFERROR(
IF(VLOOKUP($C26,'Employee information'!$B:$M,COLUMNS('Employee information'!$B:$M),0)=5,
IF($E$2="Fortnightly",
ROUND(
ROUND((((TRUNC($AN26/2,0)+0.99))*VLOOKUP((TRUNC($AN26/2,0)+0.99),'Tax scales - NAT 1004'!$A$53:$C$59,2,1)-VLOOKUP((TRUNC($AN26/2,0)+0.99),'Tax scales - NAT 1004'!$A$53:$C$59,3,1)),0)
*2,
0),
IF(AND($E$2="Monthly",ROUND($AN26-TRUNC($AN26),2)=0.33),
ROUND(
ROUND(((TRUNC(($AN26+0.01)*3/13,0)+0.99)*VLOOKUP((TRUNC(($AN26+0.01)*3/13,0)+0.99),'Tax scales - NAT 1004'!$A$53:$C$59,2,1)-VLOOKUP((TRUNC(($AN26+0.01)*3/13,0)+0.99),'Tax scales - NAT 1004'!$A$53:$C$59,3,1)),0)
*13/3,
0),
IF($E$2="Monthly",
ROUND(
ROUND(((TRUNC($AN26*3/13,0)+0.99)*VLOOKUP((TRUNC($AN26*3/13,0)+0.99),'Tax scales - NAT 1004'!$A$53:$C$59,2,1)-VLOOKUP((TRUNC($AN26*3/13,0)+0.99),'Tax scales - NAT 1004'!$A$53:$C$59,3,1)),0)
*13/3,
0),
""))),
""),
"")</f>
        <v/>
      </c>
      <c r="AT26" s="118" t="str">
        <f>IFERROR(
IF(VLOOKUP($C26,'Employee information'!$B:$M,COLUMNS('Employee information'!$B:$M),0)=6,
IF($E$2="Fortnightly",
ROUND(
ROUND((((TRUNC($AN26/2,0)+0.99))*VLOOKUP((TRUNC($AN26/2,0)+0.99),'Tax scales - NAT 1004'!$A$65:$C$73,2,1)-VLOOKUP((TRUNC($AN26/2,0)+0.99),'Tax scales - NAT 1004'!$A$65:$C$73,3,1)),0)
*2,
0),
IF(AND($E$2="Monthly",ROUND($AN26-TRUNC($AN26),2)=0.33),
ROUND(
ROUND(((TRUNC(($AN26+0.01)*3/13,0)+0.99)*VLOOKUP((TRUNC(($AN26+0.01)*3/13,0)+0.99),'Tax scales - NAT 1004'!$A$65:$C$73,2,1)-VLOOKUP((TRUNC(($AN26+0.01)*3/13,0)+0.99),'Tax scales - NAT 1004'!$A$65:$C$73,3,1)),0)
*13/3,
0),
IF($E$2="Monthly",
ROUND(
ROUND(((TRUNC($AN26*3/13,0)+0.99)*VLOOKUP((TRUNC($AN26*3/13,0)+0.99),'Tax scales - NAT 1004'!$A$65:$C$73,2,1)-VLOOKUP((TRUNC($AN26*3/13,0)+0.99),'Tax scales - NAT 1004'!$A$65:$C$73,3,1)),0)
*13/3,
0),
""))),
""),
"")</f>
        <v/>
      </c>
      <c r="AU26" s="118" t="str">
        <f>IFERROR(
IF(VLOOKUP($C26,'Employee information'!$B:$M,COLUMNS('Employee information'!$B:$M),0)=11,
IF($E$2="Fortnightly",
ROUND(
ROUND((((TRUNC($AN26/2,0)+0.99))*VLOOKUP((TRUNC($AN26/2,0)+0.99),'Tax scales - NAT 3539'!$A$14:$C$38,2,1)-VLOOKUP((TRUNC($AN26/2,0)+0.99),'Tax scales - NAT 3539'!$A$14:$C$38,3,1)),0)
*2,
0),
IF(AND($E$2="Monthly",ROUND($AN26-TRUNC($AN26),2)=0.33),
ROUND(
ROUND(((TRUNC(($AN26+0.01)*3/13,0)+0.99)*VLOOKUP((TRUNC(($AN26+0.01)*3/13,0)+0.99),'Tax scales - NAT 3539'!$A$14:$C$38,2,1)-VLOOKUP((TRUNC(($AN26+0.01)*3/13,0)+0.99),'Tax scales - NAT 3539'!$A$14:$C$38,3,1)),0)
*13/3,
0),
IF($E$2="Monthly",
ROUND(
ROUND(((TRUNC($AN26*3/13,0)+0.99)*VLOOKUP((TRUNC($AN26*3/13,0)+0.99),'Tax scales - NAT 3539'!$A$14:$C$38,2,1)-VLOOKUP((TRUNC($AN26*3/13,0)+0.99),'Tax scales - NAT 3539'!$A$14:$C$38,3,1)),0)
*13/3,
0),
""))),
""),
"")</f>
        <v/>
      </c>
      <c r="AV26" s="118" t="str">
        <f>IFERROR(
IF(VLOOKUP($C26,'Employee information'!$B:$M,COLUMNS('Employee information'!$B:$M),0)=22,
IF($E$2="Fortnightly",
ROUND(
ROUND((((TRUNC($AN26/2,0)+0.99))*VLOOKUP((TRUNC($AN26/2,0)+0.99),'Tax scales - NAT 3539'!$A$43:$C$69,2,1)-VLOOKUP((TRUNC($AN26/2,0)+0.99),'Tax scales - NAT 3539'!$A$43:$C$69,3,1)),0)
*2,
0),
IF(AND($E$2="Monthly",ROUND($AN26-TRUNC($AN26),2)=0.33),
ROUND(
ROUND(((TRUNC(($AN26+0.01)*3/13,0)+0.99)*VLOOKUP((TRUNC(($AN26+0.01)*3/13,0)+0.99),'Tax scales - NAT 3539'!$A$43:$C$69,2,1)-VLOOKUP((TRUNC(($AN26+0.01)*3/13,0)+0.99),'Tax scales - NAT 3539'!$A$43:$C$69,3,1)),0)
*13/3,
0),
IF($E$2="Monthly",
ROUND(
ROUND(((TRUNC($AN26*3/13,0)+0.99)*VLOOKUP((TRUNC($AN26*3/13,0)+0.99),'Tax scales - NAT 3539'!$A$43:$C$69,2,1)-VLOOKUP((TRUNC($AN26*3/13,0)+0.99),'Tax scales - NAT 3539'!$A$43:$C$69,3,1)),0)
*13/3,
0),
""))),
""),
"")</f>
        <v/>
      </c>
      <c r="AW26" s="118" t="str">
        <f>IFERROR(
IF(VLOOKUP($C26,'Employee information'!$B:$M,COLUMNS('Employee information'!$B:$M),0)=33,
IF($E$2="Fortnightly",
ROUND(
ROUND((((TRUNC($AN26/2,0)+0.99))*VLOOKUP((TRUNC($AN26/2,0)+0.99),'Tax scales - NAT 3539'!$A$74:$C$94,2,1)-VLOOKUP((TRUNC($AN26/2,0)+0.99),'Tax scales - NAT 3539'!$A$74:$C$94,3,1)),0)
*2,
0),
IF(AND($E$2="Monthly",ROUND($AN26-TRUNC($AN26),2)=0.33),
ROUND(
ROUND(((TRUNC(($AN26+0.01)*3/13,0)+0.99)*VLOOKUP((TRUNC(($AN26+0.01)*3/13,0)+0.99),'Tax scales - NAT 3539'!$A$74:$C$94,2,1)-VLOOKUP((TRUNC(($AN26+0.01)*3/13,0)+0.99),'Tax scales - NAT 3539'!$A$74:$C$94,3,1)),0)
*13/3,
0),
IF($E$2="Monthly",
ROUND(
ROUND(((TRUNC($AN26*3/13,0)+0.99)*VLOOKUP((TRUNC($AN26*3/13,0)+0.99),'Tax scales - NAT 3539'!$A$74:$C$94,2,1)-VLOOKUP((TRUNC($AN26*3/13,0)+0.99),'Tax scales - NAT 3539'!$A$74:$C$94,3,1)),0)
*13/3,
0),
""))),
""),
"")</f>
        <v/>
      </c>
      <c r="AX26" s="118" t="str">
        <f>IFERROR(
IF(VLOOKUP($C26,'Employee information'!$B:$M,COLUMNS('Employee information'!$B:$M),0)=55,
IF($E$2="Fortnightly",
ROUND(
ROUND((((TRUNC($AN26/2,0)+0.99))*VLOOKUP((TRUNC($AN26/2,0)+0.99),'Tax scales - NAT 3539'!$A$99:$C$123,2,1)-VLOOKUP((TRUNC($AN26/2,0)+0.99),'Tax scales - NAT 3539'!$A$99:$C$123,3,1)),0)
*2,
0),
IF(AND($E$2="Monthly",ROUND($AN26-TRUNC($AN26),2)=0.33),
ROUND(
ROUND(((TRUNC(($AN26+0.01)*3/13,0)+0.99)*VLOOKUP((TRUNC(($AN26+0.01)*3/13,0)+0.99),'Tax scales - NAT 3539'!$A$99:$C$123,2,1)-VLOOKUP((TRUNC(($AN26+0.01)*3/13,0)+0.99),'Tax scales - NAT 3539'!$A$99:$C$123,3,1)),0)
*13/3,
0),
IF($E$2="Monthly",
ROUND(
ROUND(((TRUNC($AN26*3/13,0)+0.99)*VLOOKUP((TRUNC($AN26*3/13,0)+0.99),'Tax scales - NAT 3539'!$A$99:$C$123,2,1)-VLOOKUP((TRUNC($AN26*3/13,0)+0.99),'Tax scales - NAT 3539'!$A$99:$C$123,3,1)),0)
*13/3,
0),
""))),
""),
"")</f>
        <v/>
      </c>
      <c r="AY26" s="118" t="str">
        <f>IFERROR(
IF(VLOOKUP($C26,'Employee information'!$B:$M,COLUMNS('Employee information'!$B:$M),0)=66,
IF($E$2="Fortnightly",
ROUND(
ROUND((((TRUNC($AN26/2,0)+0.99))*VLOOKUP((TRUNC($AN26/2,0)+0.99),'Tax scales - NAT 3539'!$A$127:$C$154,2,1)-VLOOKUP((TRUNC($AN26/2,0)+0.99),'Tax scales - NAT 3539'!$A$127:$C$154,3,1)),0)
*2,
0),
IF(AND($E$2="Monthly",ROUND($AN26-TRUNC($AN26),2)=0.33),
ROUND(
ROUND(((TRUNC(($AN26+0.01)*3/13,0)+0.99)*VLOOKUP((TRUNC(($AN26+0.01)*3/13,0)+0.99),'Tax scales - NAT 3539'!$A$127:$C$154,2,1)-VLOOKUP((TRUNC(($AN26+0.01)*3/13,0)+0.99),'Tax scales - NAT 3539'!$A$127:$C$154,3,1)),0)
*13/3,
0),
IF($E$2="Monthly",
ROUND(
ROUND(((TRUNC($AN26*3/13,0)+0.99)*VLOOKUP((TRUNC($AN26*3/13,0)+0.99),'Tax scales - NAT 3539'!$A$127:$C$154,2,1)-VLOOKUP((TRUNC($AN26*3/13,0)+0.99),'Tax scales - NAT 3539'!$A$127:$C$154,3,1)),0)
*13/3,
0),
""))),
""),
"")</f>
        <v/>
      </c>
      <c r="AZ26" s="118">
        <f>IFERROR(
HLOOKUP(VLOOKUP($C26,'Employee information'!$B:$M,COLUMNS('Employee information'!$B:$M),0),'PAYG worksheet'!$AO$10:$AY$29,COUNTA($C$11:$C26)+1,0),
0)</f>
        <v>0</v>
      </c>
      <c r="BA26" s="118"/>
      <c r="BB26" s="118">
        <f t="shared" si="20"/>
        <v>0</v>
      </c>
      <c r="BC26" s="119">
        <f>IFERROR(
IF(OR($AE26=1,$AE26=""),SUM($P26,$AA26,$AC26,$AK26)*VLOOKUP($C26,'Employee information'!$B:$Q,COLUMNS('Employee information'!$B:$H),0),
IF($AE26=0,SUM($P26,$AA26,$AK26)*VLOOKUP($C26,'Employee information'!$B:$Q,COLUMNS('Employee information'!$B:$H),0),
0)),
0)</f>
        <v>0</v>
      </c>
      <c r="BE26" s="114">
        <f t="shared" si="5"/>
        <v>0</v>
      </c>
      <c r="BF26" s="114">
        <f t="shared" si="6"/>
        <v>0</v>
      </c>
      <c r="BG26" s="114">
        <f t="shared" si="7"/>
        <v>0</v>
      </c>
      <c r="BH26" s="114">
        <f t="shared" si="8"/>
        <v>0</v>
      </c>
      <c r="BI26" s="114">
        <f t="shared" si="9"/>
        <v>0</v>
      </c>
      <c r="BJ26" s="114">
        <f t="shared" si="10"/>
        <v>0</v>
      </c>
      <c r="BK26" s="114">
        <f t="shared" si="11"/>
        <v>0</v>
      </c>
      <c r="BL26" s="114">
        <f t="shared" si="21"/>
        <v>0</v>
      </c>
      <c r="BM26" s="114">
        <f t="shared" si="12"/>
        <v>0</v>
      </c>
    </row>
    <row r="27" spans="1:65" x14ac:dyDescent="0.25">
      <c r="A27" s="228">
        <f t="shared" si="0"/>
        <v>1</v>
      </c>
      <c r="C27" s="278"/>
      <c r="E27" s="103">
        <f>IF($C27="",0,
IF(AND($E$2="Monthly",$A27&gt;12),0,
IF($E$2="Monthly",VLOOKUP($C27,'Employee information'!$B:$AM,COLUMNS('Employee information'!$B:S),0),
IF($E$2="Fortnightly",VLOOKUP($C27,'Employee information'!$B:$AM,COLUMNS('Employee information'!$B:R),0),
0))))</f>
        <v>0</v>
      </c>
      <c r="F27" s="106"/>
      <c r="G27" s="106"/>
      <c r="H27" s="106"/>
      <c r="I27" s="106"/>
      <c r="J27" s="103">
        <f t="shared" si="13"/>
        <v>0</v>
      </c>
      <c r="L27" s="113">
        <f>IF(AND($E$2="Monthly",$A27&gt;12),"",
IFERROR($J27*VLOOKUP($C27,'Employee information'!$B:$AI,COLUMNS('Employee information'!$B:$P),0),0))</f>
        <v>0</v>
      </c>
      <c r="M27" s="114">
        <f t="shared" si="14"/>
        <v>0</v>
      </c>
      <c r="O27" s="103">
        <f t="shared" si="15"/>
        <v>0</v>
      </c>
      <c r="P27" s="113">
        <f>IFERROR(
IF(AND($E$2="Monthly",$A27&gt;12),0,
$O27*VLOOKUP($C27,'Employee information'!$B:$AI,COLUMNS('Employee information'!$B:$P),0)),
0)</f>
        <v>0</v>
      </c>
      <c r="R27" s="114">
        <f t="shared" si="1"/>
        <v>0</v>
      </c>
      <c r="T27" s="103"/>
      <c r="U27" s="103"/>
      <c r="V27" s="282" t="str">
        <f>IF($C27="","",
IF(AND($E$2="Monthly",$A27&gt;12),"",
$T27*VLOOKUP($C27,'Employee information'!$B:$P,COLUMNS('Employee information'!$B:$P),0)))</f>
        <v/>
      </c>
      <c r="W27" s="282" t="str">
        <f>IF($C27="","",
IF(AND($E$2="Monthly",$A27&gt;12),"",
$U27*VLOOKUP($C27,'Employee information'!$B:$P,COLUMNS('Employee information'!$B:$P),0)))</f>
        <v/>
      </c>
      <c r="X27" s="114">
        <f t="shared" si="2"/>
        <v>0</v>
      </c>
      <c r="Y27" s="114">
        <f t="shared" si="3"/>
        <v>0</v>
      </c>
      <c r="AA27" s="118">
        <f>IFERROR(
IF(OR('Basic payroll data'!$D$12="",'Basic payroll data'!$D$12="No"),0,
$T27*VLOOKUP($C27,'Employee information'!$B:$P,COLUMNS('Employee information'!$B:$P),0)*AL_loading_perc),
0)</f>
        <v>0</v>
      </c>
      <c r="AC27" s="118"/>
      <c r="AD27" s="118"/>
      <c r="AE27" s="283" t="str">
        <f t="shared" si="16"/>
        <v/>
      </c>
      <c r="AF27" s="283" t="str">
        <f t="shared" si="17"/>
        <v/>
      </c>
      <c r="AG27" s="118"/>
      <c r="AH27" s="118"/>
      <c r="AI27" s="283" t="str">
        <f t="shared" si="18"/>
        <v/>
      </c>
      <c r="AJ27" s="118"/>
      <c r="AK27" s="118"/>
      <c r="AM27" s="118">
        <f t="shared" si="19"/>
        <v>0</v>
      </c>
      <c r="AN27" s="118">
        <f t="shared" si="4"/>
        <v>0</v>
      </c>
      <c r="AO27" s="118" t="str">
        <f>IFERROR(
IF(VLOOKUP($C27,'Employee information'!$B:$M,COLUMNS('Employee information'!$B:$M),0)=1,
IF($E$2="Fortnightly",
ROUND(
ROUND((((TRUNC($AN27/2,0)+0.99))*VLOOKUP((TRUNC($AN27/2,0)+0.99),'Tax scales - NAT 1004'!$A$12:$C$18,2,1)-VLOOKUP((TRUNC($AN27/2,0)+0.99),'Tax scales - NAT 1004'!$A$12:$C$18,3,1)),0)
*2,
0),
IF(AND($E$2="Monthly",ROUND($AN27-TRUNC($AN27),2)=0.33),
ROUND(
ROUND(((TRUNC(($AN27+0.01)*3/13,0)+0.99)*VLOOKUP((TRUNC(($AN27+0.01)*3/13,0)+0.99),'Tax scales - NAT 1004'!$A$12:$C$18,2,1)-VLOOKUP((TRUNC(($AN27+0.01)*3/13,0)+0.99),'Tax scales - NAT 1004'!$A$12:$C$18,3,1)),0)
*13/3,
0),
IF($E$2="Monthly",
ROUND(
ROUND(((TRUNC($AN27*3/13,0)+0.99)*VLOOKUP((TRUNC($AN27*3/13,0)+0.99),'Tax scales - NAT 1004'!$A$12:$C$18,2,1)-VLOOKUP((TRUNC($AN27*3/13,0)+0.99),'Tax scales - NAT 1004'!$A$12:$C$18,3,1)),0)
*13/3,
0),
""))),
""),
"")</f>
        <v/>
      </c>
      <c r="AP27" s="118" t="str">
        <f>IFERROR(
IF(VLOOKUP($C27,'Employee information'!$B:$M,COLUMNS('Employee information'!$B:$M),0)=2,
IF($E$2="Fortnightly",
ROUND(
ROUND((((TRUNC($AN27/2,0)+0.99))*VLOOKUP((TRUNC($AN27/2,0)+0.99),'Tax scales - NAT 1004'!$A$25:$C$33,2,1)-VLOOKUP((TRUNC($AN27/2,0)+0.99),'Tax scales - NAT 1004'!$A$25:$C$33,3,1)),0)
*2,
0),
IF(AND($E$2="Monthly",ROUND($AN27-TRUNC($AN27),2)=0.33),
ROUND(
ROUND(((TRUNC(($AN27+0.01)*3/13,0)+0.99)*VLOOKUP((TRUNC(($AN27+0.01)*3/13,0)+0.99),'Tax scales - NAT 1004'!$A$25:$C$33,2,1)-VLOOKUP((TRUNC(($AN27+0.01)*3/13,0)+0.99),'Tax scales - NAT 1004'!$A$25:$C$33,3,1)),0)
*13/3,
0),
IF($E$2="Monthly",
ROUND(
ROUND(((TRUNC($AN27*3/13,0)+0.99)*VLOOKUP((TRUNC($AN27*3/13,0)+0.99),'Tax scales - NAT 1004'!$A$25:$C$33,2,1)-VLOOKUP((TRUNC($AN27*3/13,0)+0.99),'Tax scales - NAT 1004'!$A$25:$C$33,3,1)),0)
*13/3,
0),
""))),
""),
"")</f>
        <v/>
      </c>
      <c r="AQ27" s="118" t="str">
        <f>IFERROR(
IF(VLOOKUP($C27,'Employee information'!$B:$M,COLUMNS('Employee information'!$B:$M),0)=3,
IF($E$2="Fortnightly",
ROUND(
ROUND((((TRUNC($AN27/2,0)+0.99))*VLOOKUP((TRUNC($AN27/2,0)+0.99),'Tax scales - NAT 1004'!$A$39:$C$41,2,1)-VLOOKUP((TRUNC($AN27/2,0)+0.99),'Tax scales - NAT 1004'!$A$39:$C$41,3,1)),0)
*2,
0),
IF(AND($E$2="Monthly",ROUND($AN27-TRUNC($AN27),2)=0.33),
ROUND(
ROUND(((TRUNC(($AN27+0.01)*3/13,0)+0.99)*VLOOKUP((TRUNC(($AN27+0.01)*3/13,0)+0.99),'Tax scales - NAT 1004'!$A$39:$C$41,2,1)-VLOOKUP((TRUNC(($AN27+0.01)*3/13,0)+0.99),'Tax scales - NAT 1004'!$A$39:$C$41,3,1)),0)
*13/3,
0),
IF($E$2="Monthly",
ROUND(
ROUND(((TRUNC($AN27*3/13,0)+0.99)*VLOOKUP((TRUNC($AN27*3/13,0)+0.99),'Tax scales - NAT 1004'!$A$39:$C$41,2,1)-VLOOKUP((TRUNC($AN27*3/13,0)+0.99),'Tax scales - NAT 1004'!$A$39:$C$41,3,1)),0)
*13/3,
0),
""))),
""),
"")</f>
        <v/>
      </c>
      <c r="AR27" s="118" t="str">
        <f>IFERROR(
IF(AND(VLOOKUP($C27,'Employee information'!$B:$M,COLUMNS('Employee information'!$B:$M),0)=4,
VLOOKUP($C27,'Employee information'!$B:$J,COLUMNS('Employee information'!$B:$J),0)="Resident"),
TRUNC(TRUNC($AN27)*'Tax scales - NAT 1004'!$B$47),
IF(AND(VLOOKUP($C27,'Employee information'!$B:$M,COLUMNS('Employee information'!$B:$M),0)=4,
VLOOKUP($C27,'Employee information'!$B:$J,COLUMNS('Employee information'!$B:$J),0)="Foreign resident"),
TRUNC(TRUNC($AN27)*'Tax scales - NAT 1004'!$B$48),
"")),
"")</f>
        <v/>
      </c>
      <c r="AS27" s="118" t="str">
        <f>IFERROR(
IF(VLOOKUP($C27,'Employee information'!$B:$M,COLUMNS('Employee information'!$B:$M),0)=5,
IF($E$2="Fortnightly",
ROUND(
ROUND((((TRUNC($AN27/2,0)+0.99))*VLOOKUP((TRUNC($AN27/2,0)+0.99),'Tax scales - NAT 1004'!$A$53:$C$59,2,1)-VLOOKUP((TRUNC($AN27/2,0)+0.99),'Tax scales - NAT 1004'!$A$53:$C$59,3,1)),0)
*2,
0),
IF(AND($E$2="Monthly",ROUND($AN27-TRUNC($AN27),2)=0.33),
ROUND(
ROUND(((TRUNC(($AN27+0.01)*3/13,0)+0.99)*VLOOKUP((TRUNC(($AN27+0.01)*3/13,0)+0.99),'Tax scales - NAT 1004'!$A$53:$C$59,2,1)-VLOOKUP((TRUNC(($AN27+0.01)*3/13,0)+0.99),'Tax scales - NAT 1004'!$A$53:$C$59,3,1)),0)
*13/3,
0),
IF($E$2="Monthly",
ROUND(
ROUND(((TRUNC($AN27*3/13,0)+0.99)*VLOOKUP((TRUNC($AN27*3/13,0)+0.99),'Tax scales - NAT 1004'!$A$53:$C$59,2,1)-VLOOKUP((TRUNC($AN27*3/13,0)+0.99),'Tax scales - NAT 1004'!$A$53:$C$59,3,1)),0)
*13/3,
0),
""))),
""),
"")</f>
        <v/>
      </c>
      <c r="AT27" s="118" t="str">
        <f>IFERROR(
IF(VLOOKUP($C27,'Employee information'!$B:$M,COLUMNS('Employee information'!$B:$M),0)=6,
IF($E$2="Fortnightly",
ROUND(
ROUND((((TRUNC($AN27/2,0)+0.99))*VLOOKUP((TRUNC($AN27/2,0)+0.99),'Tax scales - NAT 1004'!$A$65:$C$73,2,1)-VLOOKUP((TRUNC($AN27/2,0)+0.99),'Tax scales - NAT 1004'!$A$65:$C$73,3,1)),0)
*2,
0),
IF(AND($E$2="Monthly",ROUND($AN27-TRUNC($AN27),2)=0.33),
ROUND(
ROUND(((TRUNC(($AN27+0.01)*3/13,0)+0.99)*VLOOKUP((TRUNC(($AN27+0.01)*3/13,0)+0.99),'Tax scales - NAT 1004'!$A$65:$C$73,2,1)-VLOOKUP((TRUNC(($AN27+0.01)*3/13,0)+0.99),'Tax scales - NAT 1004'!$A$65:$C$73,3,1)),0)
*13/3,
0),
IF($E$2="Monthly",
ROUND(
ROUND(((TRUNC($AN27*3/13,0)+0.99)*VLOOKUP((TRUNC($AN27*3/13,0)+0.99),'Tax scales - NAT 1004'!$A$65:$C$73,2,1)-VLOOKUP((TRUNC($AN27*3/13,0)+0.99),'Tax scales - NAT 1004'!$A$65:$C$73,3,1)),0)
*13/3,
0),
""))),
""),
"")</f>
        <v/>
      </c>
      <c r="AU27" s="118" t="str">
        <f>IFERROR(
IF(VLOOKUP($C27,'Employee information'!$B:$M,COLUMNS('Employee information'!$B:$M),0)=11,
IF($E$2="Fortnightly",
ROUND(
ROUND((((TRUNC($AN27/2,0)+0.99))*VLOOKUP((TRUNC($AN27/2,0)+0.99),'Tax scales - NAT 3539'!$A$14:$C$38,2,1)-VLOOKUP((TRUNC($AN27/2,0)+0.99),'Tax scales - NAT 3539'!$A$14:$C$38,3,1)),0)
*2,
0),
IF(AND($E$2="Monthly",ROUND($AN27-TRUNC($AN27),2)=0.33),
ROUND(
ROUND(((TRUNC(($AN27+0.01)*3/13,0)+0.99)*VLOOKUP((TRUNC(($AN27+0.01)*3/13,0)+0.99),'Tax scales - NAT 3539'!$A$14:$C$38,2,1)-VLOOKUP((TRUNC(($AN27+0.01)*3/13,0)+0.99),'Tax scales - NAT 3539'!$A$14:$C$38,3,1)),0)
*13/3,
0),
IF($E$2="Monthly",
ROUND(
ROUND(((TRUNC($AN27*3/13,0)+0.99)*VLOOKUP((TRUNC($AN27*3/13,0)+0.99),'Tax scales - NAT 3539'!$A$14:$C$38,2,1)-VLOOKUP((TRUNC($AN27*3/13,0)+0.99),'Tax scales - NAT 3539'!$A$14:$C$38,3,1)),0)
*13/3,
0),
""))),
""),
"")</f>
        <v/>
      </c>
      <c r="AV27" s="118" t="str">
        <f>IFERROR(
IF(VLOOKUP($C27,'Employee information'!$B:$M,COLUMNS('Employee information'!$B:$M),0)=22,
IF($E$2="Fortnightly",
ROUND(
ROUND((((TRUNC($AN27/2,0)+0.99))*VLOOKUP((TRUNC($AN27/2,0)+0.99),'Tax scales - NAT 3539'!$A$43:$C$69,2,1)-VLOOKUP((TRUNC($AN27/2,0)+0.99),'Tax scales - NAT 3539'!$A$43:$C$69,3,1)),0)
*2,
0),
IF(AND($E$2="Monthly",ROUND($AN27-TRUNC($AN27),2)=0.33),
ROUND(
ROUND(((TRUNC(($AN27+0.01)*3/13,0)+0.99)*VLOOKUP((TRUNC(($AN27+0.01)*3/13,0)+0.99),'Tax scales - NAT 3539'!$A$43:$C$69,2,1)-VLOOKUP((TRUNC(($AN27+0.01)*3/13,0)+0.99),'Tax scales - NAT 3539'!$A$43:$C$69,3,1)),0)
*13/3,
0),
IF($E$2="Monthly",
ROUND(
ROUND(((TRUNC($AN27*3/13,0)+0.99)*VLOOKUP((TRUNC($AN27*3/13,0)+0.99),'Tax scales - NAT 3539'!$A$43:$C$69,2,1)-VLOOKUP((TRUNC($AN27*3/13,0)+0.99),'Tax scales - NAT 3539'!$A$43:$C$69,3,1)),0)
*13/3,
0),
""))),
""),
"")</f>
        <v/>
      </c>
      <c r="AW27" s="118" t="str">
        <f>IFERROR(
IF(VLOOKUP($C27,'Employee information'!$B:$M,COLUMNS('Employee information'!$B:$M),0)=33,
IF($E$2="Fortnightly",
ROUND(
ROUND((((TRUNC($AN27/2,0)+0.99))*VLOOKUP((TRUNC($AN27/2,0)+0.99),'Tax scales - NAT 3539'!$A$74:$C$94,2,1)-VLOOKUP((TRUNC($AN27/2,0)+0.99),'Tax scales - NAT 3539'!$A$74:$C$94,3,1)),0)
*2,
0),
IF(AND($E$2="Monthly",ROUND($AN27-TRUNC($AN27),2)=0.33),
ROUND(
ROUND(((TRUNC(($AN27+0.01)*3/13,0)+0.99)*VLOOKUP((TRUNC(($AN27+0.01)*3/13,0)+0.99),'Tax scales - NAT 3539'!$A$74:$C$94,2,1)-VLOOKUP((TRUNC(($AN27+0.01)*3/13,0)+0.99),'Tax scales - NAT 3539'!$A$74:$C$94,3,1)),0)
*13/3,
0),
IF($E$2="Monthly",
ROUND(
ROUND(((TRUNC($AN27*3/13,0)+0.99)*VLOOKUP((TRUNC($AN27*3/13,0)+0.99),'Tax scales - NAT 3539'!$A$74:$C$94,2,1)-VLOOKUP((TRUNC($AN27*3/13,0)+0.99),'Tax scales - NAT 3539'!$A$74:$C$94,3,1)),0)
*13/3,
0),
""))),
""),
"")</f>
        <v/>
      </c>
      <c r="AX27" s="118" t="str">
        <f>IFERROR(
IF(VLOOKUP($C27,'Employee information'!$B:$M,COLUMNS('Employee information'!$B:$M),0)=55,
IF($E$2="Fortnightly",
ROUND(
ROUND((((TRUNC($AN27/2,0)+0.99))*VLOOKUP((TRUNC($AN27/2,0)+0.99),'Tax scales - NAT 3539'!$A$99:$C$123,2,1)-VLOOKUP((TRUNC($AN27/2,0)+0.99),'Tax scales - NAT 3539'!$A$99:$C$123,3,1)),0)
*2,
0),
IF(AND($E$2="Monthly",ROUND($AN27-TRUNC($AN27),2)=0.33),
ROUND(
ROUND(((TRUNC(($AN27+0.01)*3/13,0)+0.99)*VLOOKUP((TRUNC(($AN27+0.01)*3/13,0)+0.99),'Tax scales - NAT 3539'!$A$99:$C$123,2,1)-VLOOKUP((TRUNC(($AN27+0.01)*3/13,0)+0.99),'Tax scales - NAT 3539'!$A$99:$C$123,3,1)),0)
*13/3,
0),
IF($E$2="Monthly",
ROUND(
ROUND(((TRUNC($AN27*3/13,0)+0.99)*VLOOKUP((TRUNC($AN27*3/13,0)+0.99),'Tax scales - NAT 3539'!$A$99:$C$123,2,1)-VLOOKUP((TRUNC($AN27*3/13,0)+0.99),'Tax scales - NAT 3539'!$A$99:$C$123,3,1)),0)
*13/3,
0),
""))),
""),
"")</f>
        <v/>
      </c>
      <c r="AY27" s="118" t="str">
        <f>IFERROR(
IF(VLOOKUP($C27,'Employee information'!$B:$M,COLUMNS('Employee information'!$B:$M),0)=66,
IF($E$2="Fortnightly",
ROUND(
ROUND((((TRUNC($AN27/2,0)+0.99))*VLOOKUP((TRUNC($AN27/2,0)+0.99),'Tax scales - NAT 3539'!$A$127:$C$154,2,1)-VLOOKUP((TRUNC($AN27/2,0)+0.99),'Tax scales - NAT 3539'!$A$127:$C$154,3,1)),0)
*2,
0),
IF(AND($E$2="Monthly",ROUND($AN27-TRUNC($AN27),2)=0.33),
ROUND(
ROUND(((TRUNC(($AN27+0.01)*3/13,0)+0.99)*VLOOKUP((TRUNC(($AN27+0.01)*3/13,0)+0.99),'Tax scales - NAT 3539'!$A$127:$C$154,2,1)-VLOOKUP((TRUNC(($AN27+0.01)*3/13,0)+0.99),'Tax scales - NAT 3539'!$A$127:$C$154,3,1)),0)
*13/3,
0),
IF($E$2="Monthly",
ROUND(
ROUND(((TRUNC($AN27*3/13,0)+0.99)*VLOOKUP((TRUNC($AN27*3/13,0)+0.99),'Tax scales - NAT 3539'!$A$127:$C$154,2,1)-VLOOKUP((TRUNC($AN27*3/13,0)+0.99),'Tax scales - NAT 3539'!$A$127:$C$154,3,1)),0)
*13/3,
0),
""))),
""),
"")</f>
        <v/>
      </c>
      <c r="AZ27" s="118">
        <f>IFERROR(
HLOOKUP(VLOOKUP($C27,'Employee information'!$B:$M,COLUMNS('Employee information'!$B:$M),0),'PAYG worksheet'!$AO$10:$AY$29,COUNTA($C$11:$C27)+1,0),
0)</f>
        <v>0</v>
      </c>
      <c r="BA27" s="118"/>
      <c r="BB27" s="118">
        <f t="shared" si="20"/>
        <v>0</v>
      </c>
      <c r="BC27" s="119">
        <f>IFERROR(
IF(OR($AE27=1,$AE27=""),SUM($P27,$AA27,$AC27,$AK27)*VLOOKUP($C27,'Employee information'!$B:$Q,COLUMNS('Employee information'!$B:$H),0),
IF($AE27=0,SUM($P27,$AA27,$AK27)*VLOOKUP($C27,'Employee information'!$B:$Q,COLUMNS('Employee information'!$B:$H),0),
0)),
0)</f>
        <v>0</v>
      </c>
      <c r="BE27" s="114">
        <f t="shared" si="5"/>
        <v>0</v>
      </c>
      <c r="BF27" s="114">
        <f t="shared" si="6"/>
        <v>0</v>
      </c>
      <c r="BG27" s="114">
        <f t="shared" si="7"/>
        <v>0</v>
      </c>
      <c r="BH27" s="114">
        <f t="shared" si="8"/>
        <v>0</v>
      </c>
      <c r="BI27" s="114">
        <f t="shared" si="9"/>
        <v>0</v>
      </c>
      <c r="BJ27" s="114">
        <f t="shared" si="10"/>
        <v>0</v>
      </c>
      <c r="BK27" s="114">
        <f t="shared" si="11"/>
        <v>0</v>
      </c>
      <c r="BL27" s="114">
        <f t="shared" si="21"/>
        <v>0</v>
      </c>
      <c r="BM27" s="114">
        <f t="shared" si="12"/>
        <v>0</v>
      </c>
    </row>
    <row r="28" spans="1:65" x14ac:dyDescent="0.25">
      <c r="A28" s="228">
        <f t="shared" si="0"/>
        <v>1</v>
      </c>
      <c r="C28" s="278"/>
      <c r="E28" s="103">
        <f>IF($C28="",0,
IF(AND($E$2="Monthly",$A28&gt;12),0,
IF($E$2="Monthly",VLOOKUP($C28,'Employee information'!$B:$AM,COLUMNS('Employee information'!$B:S),0),
IF($E$2="Fortnightly",VLOOKUP($C28,'Employee information'!$B:$AM,COLUMNS('Employee information'!$B:R),0),
0))))</f>
        <v>0</v>
      </c>
      <c r="F28" s="106"/>
      <c r="G28" s="106"/>
      <c r="H28" s="106"/>
      <c r="I28" s="106"/>
      <c r="J28" s="103">
        <f t="shared" si="13"/>
        <v>0</v>
      </c>
      <c r="L28" s="113">
        <f>IF(AND($E$2="Monthly",$A28&gt;12),"",
IFERROR($J28*VLOOKUP($C28,'Employee information'!$B:$AI,COLUMNS('Employee information'!$B:$P),0),0))</f>
        <v>0</v>
      </c>
      <c r="M28" s="114">
        <f t="shared" si="14"/>
        <v>0</v>
      </c>
      <c r="O28" s="103">
        <f t="shared" si="15"/>
        <v>0</v>
      </c>
      <c r="P28" s="113">
        <f>IFERROR(
IF(AND($E$2="Monthly",$A28&gt;12),0,
$O28*VLOOKUP($C28,'Employee information'!$B:$AI,COLUMNS('Employee information'!$B:$P),0)),
0)</f>
        <v>0</v>
      </c>
      <c r="R28" s="114">
        <f t="shared" si="1"/>
        <v>0</v>
      </c>
      <c r="T28" s="103"/>
      <c r="U28" s="103"/>
      <c r="V28" s="282" t="str">
        <f>IF($C28="","",
IF(AND($E$2="Monthly",$A28&gt;12),"",
$T28*VLOOKUP($C28,'Employee information'!$B:$P,COLUMNS('Employee information'!$B:$P),0)))</f>
        <v/>
      </c>
      <c r="W28" s="282" t="str">
        <f>IF($C28="","",
IF(AND($E$2="Monthly",$A28&gt;12),"",
$U28*VLOOKUP($C28,'Employee information'!$B:$P,COLUMNS('Employee information'!$B:$P),0)))</f>
        <v/>
      </c>
      <c r="X28" s="114">
        <f t="shared" si="2"/>
        <v>0</v>
      </c>
      <c r="Y28" s="114">
        <f t="shared" si="3"/>
        <v>0</v>
      </c>
      <c r="AA28" s="118">
        <f>IFERROR(
IF(OR('Basic payroll data'!$D$12="",'Basic payroll data'!$D$12="No"),0,
$T28*VLOOKUP($C28,'Employee information'!$B:$P,COLUMNS('Employee information'!$B:$P),0)*AL_loading_perc),
0)</f>
        <v>0</v>
      </c>
      <c r="AC28" s="118"/>
      <c r="AD28" s="118"/>
      <c r="AE28" s="283" t="str">
        <f t="shared" si="16"/>
        <v/>
      </c>
      <c r="AF28" s="283" t="str">
        <f t="shared" si="17"/>
        <v/>
      </c>
      <c r="AG28" s="118"/>
      <c r="AH28" s="118"/>
      <c r="AI28" s="283" t="str">
        <f t="shared" si="18"/>
        <v/>
      </c>
      <c r="AJ28" s="118"/>
      <c r="AK28" s="118"/>
      <c r="AM28" s="118">
        <f t="shared" si="19"/>
        <v>0</v>
      </c>
      <c r="AN28" s="118">
        <f t="shared" si="4"/>
        <v>0</v>
      </c>
      <c r="AO28" s="118" t="str">
        <f>IFERROR(
IF(VLOOKUP($C28,'Employee information'!$B:$M,COLUMNS('Employee information'!$B:$M),0)=1,
IF($E$2="Fortnightly",
ROUND(
ROUND((((TRUNC($AN28/2,0)+0.99))*VLOOKUP((TRUNC($AN28/2,0)+0.99),'Tax scales - NAT 1004'!$A$12:$C$18,2,1)-VLOOKUP((TRUNC($AN28/2,0)+0.99),'Tax scales - NAT 1004'!$A$12:$C$18,3,1)),0)
*2,
0),
IF(AND($E$2="Monthly",ROUND($AN28-TRUNC($AN28),2)=0.33),
ROUND(
ROUND(((TRUNC(($AN28+0.01)*3/13,0)+0.99)*VLOOKUP((TRUNC(($AN28+0.01)*3/13,0)+0.99),'Tax scales - NAT 1004'!$A$12:$C$18,2,1)-VLOOKUP((TRUNC(($AN28+0.01)*3/13,0)+0.99),'Tax scales - NAT 1004'!$A$12:$C$18,3,1)),0)
*13/3,
0),
IF($E$2="Monthly",
ROUND(
ROUND(((TRUNC($AN28*3/13,0)+0.99)*VLOOKUP((TRUNC($AN28*3/13,0)+0.99),'Tax scales - NAT 1004'!$A$12:$C$18,2,1)-VLOOKUP((TRUNC($AN28*3/13,0)+0.99),'Tax scales - NAT 1004'!$A$12:$C$18,3,1)),0)
*13/3,
0),
""))),
""),
"")</f>
        <v/>
      </c>
      <c r="AP28" s="118" t="str">
        <f>IFERROR(
IF(VLOOKUP($C28,'Employee information'!$B:$M,COLUMNS('Employee information'!$B:$M),0)=2,
IF($E$2="Fortnightly",
ROUND(
ROUND((((TRUNC($AN28/2,0)+0.99))*VLOOKUP((TRUNC($AN28/2,0)+0.99),'Tax scales - NAT 1004'!$A$25:$C$33,2,1)-VLOOKUP((TRUNC($AN28/2,0)+0.99),'Tax scales - NAT 1004'!$A$25:$C$33,3,1)),0)
*2,
0),
IF(AND($E$2="Monthly",ROUND($AN28-TRUNC($AN28),2)=0.33),
ROUND(
ROUND(((TRUNC(($AN28+0.01)*3/13,0)+0.99)*VLOOKUP((TRUNC(($AN28+0.01)*3/13,0)+0.99),'Tax scales - NAT 1004'!$A$25:$C$33,2,1)-VLOOKUP((TRUNC(($AN28+0.01)*3/13,0)+0.99),'Tax scales - NAT 1004'!$A$25:$C$33,3,1)),0)
*13/3,
0),
IF($E$2="Monthly",
ROUND(
ROUND(((TRUNC($AN28*3/13,0)+0.99)*VLOOKUP((TRUNC($AN28*3/13,0)+0.99),'Tax scales - NAT 1004'!$A$25:$C$33,2,1)-VLOOKUP((TRUNC($AN28*3/13,0)+0.99),'Tax scales - NAT 1004'!$A$25:$C$33,3,1)),0)
*13/3,
0),
""))),
""),
"")</f>
        <v/>
      </c>
      <c r="AQ28" s="118" t="str">
        <f>IFERROR(
IF(VLOOKUP($C28,'Employee information'!$B:$M,COLUMNS('Employee information'!$B:$M),0)=3,
IF($E$2="Fortnightly",
ROUND(
ROUND((((TRUNC($AN28/2,0)+0.99))*VLOOKUP((TRUNC($AN28/2,0)+0.99),'Tax scales - NAT 1004'!$A$39:$C$41,2,1)-VLOOKUP((TRUNC($AN28/2,0)+0.99),'Tax scales - NAT 1004'!$A$39:$C$41,3,1)),0)
*2,
0),
IF(AND($E$2="Monthly",ROUND($AN28-TRUNC($AN28),2)=0.33),
ROUND(
ROUND(((TRUNC(($AN28+0.01)*3/13,0)+0.99)*VLOOKUP((TRUNC(($AN28+0.01)*3/13,0)+0.99),'Tax scales - NAT 1004'!$A$39:$C$41,2,1)-VLOOKUP((TRUNC(($AN28+0.01)*3/13,0)+0.99),'Tax scales - NAT 1004'!$A$39:$C$41,3,1)),0)
*13/3,
0),
IF($E$2="Monthly",
ROUND(
ROUND(((TRUNC($AN28*3/13,0)+0.99)*VLOOKUP((TRUNC($AN28*3/13,0)+0.99),'Tax scales - NAT 1004'!$A$39:$C$41,2,1)-VLOOKUP((TRUNC($AN28*3/13,0)+0.99),'Tax scales - NAT 1004'!$A$39:$C$41,3,1)),0)
*13/3,
0),
""))),
""),
"")</f>
        <v/>
      </c>
      <c r="AR28" s="118" t="str">
        <f>IFERROR(
IF(AND(VLOOKUP($C28,'Employee information'!$B:$M,COLUMNS('Employee information'!$B:$M),0)=4,
VLOOKUP($C28,'Employee information'!$B:$J,COLUMNS('Employee information'!$B:$J),0)="Resident"),
TRUNC(TRUNC($AN28)*'Tax scales - NAT 1004'!$B$47),
IF(AND(VLOOKUP($C28,'Employee information'!$B:$M,COLUMNS('Employee information'!$B:$M),0)=4,
VLOOKUP($C28,'Employee information'!$B:$J,COLUMNS('Employee information'!$B:$J),0)="Foreign resident"),
TRUNC(TRUNC($AN28)*'Tax scales - NAT 1004'!$B$48),
"")),
"")</f>
        <v/>
      </c>
      <c r="AS28" s="118" t="str">
        <f>IFERROR(
IF(VLOOKUP($C28,'Employee information'!$B:$M,COLUMNS('Employee information'!$B:$M),0)=5,
IF($E$2="Fortnightly",
ROUND(
ROUND((((TRUNC($AN28/2,0)+0.99))*VLOOKUP((TRUNC($AN28/2,0)+0.99),'Tax scales - NAT 1004'!$A$53:$C$59,2,1)-VLOOKUP((TRUNC($AN28/2,0)+0.99),'Tax scales - NAT 1004'!$A$53:$C$59,3,1)),0)
*2,
0),
IF(AND($E$2="Monthly",ROUND($AN28-TRUNC($AN28),2)=0.33),
ROUND(
ROUND(((TRUNC(($AN28+0.01)*3/13,0)+0.99)*VLOOKUP((TRUNC(($AN28+0.01)*3/13,0)+0.99),'Tax scales - NAT 1004'!$A$53:$C$59,2,1)-VLOOKUP((TRUNC(($AN28+0.01)*3/13,0)+0.99),'Tax scales - NAT 1004'!$A$53:$C$59,3,1)),0)
*13/3,
0),
IF($E$2="Monthly",
ROUND(
ROUND(((TRUNC($AN28*3/13,0)+0.99)*VLOOKUP((TRUNC($AN28*3/13,0)+0.99),'Tax scales - NAT 1004'!$A$53:$C$59,2,1)-VLOOKUP((TRUNC($AN28*3/13,0)+0.99),'Tax scales - NAT 1004'!$A$53:$C$59,3,1)),0)
*13/3,
0),
""))),
""),
"")</f>
        <v/>
      </c>
      <c r="AT28" s="118" t="str">
        <f>IFERROR(
IF(VLOOKUP($C28,'Employee information'!$B:$M,COLUMNS('Employee information'!$B:$M),0)=6,
IF($E$2="Fortnightly",
ROUND(
ROUND((((TRUNC($AN28/2,0)+0.99))*VLOOKUP((TRUNC($AN28/2,0)+0.99),'Tax scales - NAT 1004'!$A$65:$C$73,2,1)-VLOOKUP((TRUNC($AN28/2,0)+0.99),'Tax scales - NAT 1004'!$A$65:$C$73,3,1)),0)
*2,
0),
IF(AND($E$2="Monthly",ROUND($AN28-TRUNC($AN28),2)=0.33),
ROUND(
ROUND(((TRUNC(($AN28+0.01)*3/13,0)+0.99)*VLOOKUP((TRUNC(($AN28+0.01)*3/13,0)+0.99),'Tax scales - NAT 1004'!$A$65:$C$73,2,1)-VLOOKUP((TRUNC(($AN28+0.01)*3/13,0)+0.99),'Tax scales - NAT 1004'!$A$65:$C$73,3,1)),0)
*13/3,
0),
IF($E$2="Monthly",
ROUND(
ROUND(((TRUNC($AN28*3/13,0)+0.99)*VLOOKUP((TRUNC($AN28*3/13,0)+0.99),'Tax scales - NAT 1004'!$A$65:$C$73,2,1)-VLOOKUP((TRUNC($AN28*3/13,0)+0.99),'Tax scales - NAT 1004'!$A$65:$C$73,3,1)),0)
*13/3,
0),
""))),
""),
"")</f>
        <v/>
      </c>
      <c r="AU28" s="118" t="str">
        <f>IFERROR(
IF(VLOOKUP($C28,'Employee information'!$B:$M,COLUMNS('Employee information'!$B:$M),0)=11,
IF($E$2="Fortnightly",
ROUND(
ROUND((((TRUNC($AN28/2,0)+0.99))*VLOOKUP((TRUNC($AN28/2,0)+0.99),'Tax scales - NAT 3539'!$A$14:$C$38,2,1)-VLOOKUP((TRUNC($AN28/2,0)+0.99),'Tax scales - NAT 3539'!$A$14:$C$38,3,1)),0)
*2,
0),
IF(AND($E$2="Monthly",ROUND($AN28-TRUNC($AN28),2)=0.33),
ROUND(
ROUND(((TRUNC(($AN28+0.01)*3/13,0)+0.99)*VLOOKUP((TRUNC(($AN28+0.01)*3/13,0)+0.99),'Tax scales - NAT 3539'!$A$14:$C$38,2,1)-VLOOKUP((TRUNC(($AN28+0.01)*3/13,0)+0.99),'Tax scales - NAT 3539'!$A$14:$C$38,3,1)),0)
*13/3,
0),
IF($E$2="Monthly",
ROUND(
ROUND(((TRUNC($AN28*3/13,0)+0.99)*VLOOKUP((TRUNC($AN28*3/13,0)+0.99),'Tax scales - NAT 3539'!$A$14:$C$38,2,1)-VLOOKUP((TRUNC($AN28*3/13,0)+0.99),'Tax scales - NAT 3539'!$A$14:$C$38,3,1)),0)
*13/3,
0),
""))),
""),
"")</f>
        <v/>
      </c>
      <c r="AV28" s="118" t="str">
        <f>IFERROR(
IF(VLOOKUP($C28,'Employee information'!$B:$M,COLUMNS('Employee information'!$B:$M),0)=22,
IF($E$2="Fortnightly",
ROUND(
ROUND((((TRUNC($AN28/2,0)+0.99))*VLOOKUP((TRUNC($AN28/2,0)+0.99),'Tax scales - NAT 3539'!$A$43:$C$69,2,1)-VLOOKUP((TRUNC($AN28/2,0)+0.99),'Tax scales - NAT 3539'!$A$43:$C$69,3,1)),0)
*2,
0),
IF(AND($E$2="Monthly",ROUND($AN28-TRUNC($AN28),2)=0.33),
ROUND(
ROUND(((TRUNC(($AN28+0.01)*3/13,0)+0.99)*VLOOKUP((TRUNC(($AN28+0.01)*3/13,0)+0.99),'Tax scales - NAT 3539'!$A$43:$C$69,2,1)-VLOOKUP((TRUNC(($AN28+0.01)*3/13,0)+0.99),'Tax scales - NAT 3539'!$A$43:$C$69,3,1)),0)
*13/3,
0),
IF($E$2="Monthly",
ROUND(
ROUND(((TRUNC($AN28*3/13,0)+0.99)*VLOOKUP((TRUNC($AN28*3/13,0)+0.99),'Tax scales - NAT 3539'!$A$43:$C$69,2,1)-VLOOKUP((TRUNC($AN28*3/13,0)+0.99),'Tax scales - NAT 3539'!$A$43:$C$69,3,1)),0)
*13/3,
0),
""))),
""),
"")</f>
        <v/>
      </c>
      <c r="AW28" s="118" t="str">
        <f>IFERROR(
IF(VLOOKUP($C28,'Employee information'!$B:$M,COLUMNS('Employee information'!$B:$M),0)=33,
IF($E$2="Fortnightly",
ROUND(
ROUND((((TRUNC($AN28/2,0)+0.99))*VLOOKUP((TRUNC($AN28/2,0)+0.99),'Tax scales - NAT 3539'!$A$74:$C$94,2,1)-VLOOKUP((TRUNC($AN28/2,0)+0.99),'Tax scales - NAT 3539'!$A$74:$C$94,3,1)),0)
*2,
0),
IF(AND($E$2="Monthly",ROUND($AN28-TRUNC($AN28),2)=0.33),
ROUND(
ROUND(((TRUNC(($AN28+0.01)*3/13,0)+0.99)*VLOOKUP((TRUNC(($AN28+0.01)*3/13,0)+0.99),'Tax scales - NAT 3539'!$A$74:$C$94,2,1)-VLOOKUP((TRUNC(($AN28+0.01)*3/13,0)+0.99),'Tax scales - NAT 3539'!$A$74:$C$94,3,1)),0)
*13/3,
0),
IF($E$2="Monthly",
ROUND(
ROUND(((TRUNC($AN28*3/13,0)+0.99)*VLOOKUP((TRUNC($AN28*3/13,0)+0.99),'Tax scales - NAT 3539'!$A$74:$C$94,2,1)-VLOOKUP((TRUNC($AN28*3/13,0)+0.99),'Tax scales - NAT 3539'!$A$74:$C$94,3,1)),0)
*13/3,
0),
""))),
""),
"")</f>
        <v/>
      </c>
      <c r="AX28" s="118" t="str">
        <f>IFERROR(
IF(VLOOKUP($C28,'Employee information'!$B:$M,COLUMNS('Employee information'!$B:$M),0)=55,
IF($E$2="Fortnightly",
ROUND(
ROUND((((TRUNC($AN28/2,0)+0.99))*VLOOKUP((TRUNC($AN28/2,0)+0.99),'Tax scales - NAT 3539'!$A$99:$C$123,2,1)-VLOOKUP((TRUNC($AN28/2,0)+0.99),'Tax scales - NAT 3539'!$A$99:$C$123,3,1)),0)
*2,
0),
IF(AND($E$2="Monthly",ROUND($AN28-TRUNC($AN28),2)=0.33),
ROUND(
ROUND(((TRUNC(($AN28+0.01)*3/13,0)+0.99)*VLOOKUP((TRUNC(($AN28+0.01)*3/13,0)+0.99),'Tax scales - NAT 3539'!$A$99:$C$123,2,1)-VLOOKUP((TRUNC(($AN28+0.01)*3/13,0)+0.99),'Tax scales - NAT 3539'!$A$99:$C$123,3,1)),0)
*13/3,
0),
IF($E$2="Monthly",
ROUND(
ROUND(((TRUNC($AN28*3/13,0)+0.99)*VLOOKUP((TRUNC($AN28*3/13,0)+0.99),'Tax scales - NAT 3539'!$A$99:$C$123,2,1)-VLOOKUP((TRUNC($AN28*3/13,0)+0.99),'Tax scales - NAT 3539'!$A$99:$C$123,3,1)),0)
*13/3,
0),
""))),
""),
"")</f>
        <v/>
      </c>
      <c r="AY28" s="118" t="str">
        <f>IFERROR(
IF(VLOOKUP($C28,'Employee information'!$B:$M,COLUMNS('Employee information'!$B:$M),0)=66,
IF($E$2="Fortnightly",
ROUND(
ROUND((((TRUNC($AN28/2,0)+0.99))*VLOOKUP((TRUNC($AN28/2,0)+0.99),'Tax scales - NAT 3539'!$A$127:$C$154,2,1)-VLOOKUP((TRUNC($AN28/2,0)+0.99),'Tax scales - NAT 3539'!$A$127:$C$154,3,1)),0)
*2,
0),
IF(AND($E$2="Monthly",ROUND($AN28-TRUNC($AN28),2)=0.33),
ROUND(
ROUND(((TRUNC(($AN28+0.01)*3/13,0)+0.99)*VLOOKUP((TRUNC(($AN28+0.01)*3/13,0)+0.99),'Tax scales - NAT 3539'!$A$127:$C$154,2,1)-VLOOKUP((TRUNC(($AN28+0.01)*3/13,0)+0.99),'Tax scales - NAT 3539'!$A$127:$C$154,3,1)),0)
*13/3,
0),
IF($E$2="Monthly",
ROUND(
ROUND(((TRUNC($AN28*3/13,0)+0.99)*VLOOKUP((TRUNC($AN28*3/13,0)+0.99),'Tax scales - NAT 3539'!$A$127:$C$154,2,1)-VLOOKUP((TRUNC($AN28*3/13,0)+0.99),'Tax scales - NAT 3539'!$A$127:$C$154,3,1)),0)
*13/3,
0),
""))),
""),
"")</f>
        <v/>
      </c>
      <c r="AZ28" s="118">
        <f>IFERROR(
HLOOKUP(VLOOKUP($C28,'Employee information'!$B:$M,COLUMNS('Employee information'!$B:$M),0),'PAYG worksheet'!$AO$10:$AY$29,COUNTA($C$11:$C28)+1,0),
0)</f>
        <v>0</v>
      </c>
      <c r="BA28" s="118"/>
      <c r="BB28" s="118">
        <f t="shared" si="20"/>
        <v>0</v>
      </c>
      <c r="BC28" s="119">
        <f>IFERROR(
IF(OR($AE28=1,$AE28=""),SUM($P28,$AA28,$AC28,$AK28)*VLOOKUP($C28,'Employee information'!$B:$Q,COLUMNS('Employee information'!$B:$H),0),
IF($AE28=0,SUM($P28,$AA28,$AK28)*VLOOKUP($C28,'Employee information'!$B:$Q,COLUMNS('Employee information'!$B:$H),0),
0)),
0)</f>
        <v>0</v>
      </c>
      <c r="BE28" s="114">
        <f t="shared" si="5"/>
        <v>0</v>
      </c>
      <c r="BF28" s="114">
        <f t="shared" si="6"/>
        <v>0</v>
      </c>
      <c r="BG28" s="114">
        <f t="shared" si="7"/>
        <v>0</v>
      </c>
      <c r="BH28" s="114">
        <f t="shared" si="8"/>
        <v>0</v>
      </c>
      <c r="BI28" s="114">
        <f t="shared" si="9"/>
        <v>0</v>
      </c>
      <c r="BJ28" s="114">
        <f t="shared" si="10"/>
        <v>0</v>
      </c>
      <c r="BK28" s="114">
        <f t="shared" si="11"/>
        <v>0</v>
      </c>
      <c r="BL28" s="114">
        <f t="shared" si="21"/>
        <v>0</v>
      </c>
      <c r="BM28" s="114">
        <f t="shared" si="12"/>
        <v>0</v>
      </c>
    </row>
    <row r="29" spans="1:65" x14ac:dyDescent="0.25">
      <c r="A29" s="228">
        <f t="shared" si="0"/>
        <v>1</v>
      </c>
      <c r="C29" s="278"/>
      <c r="E29" s="103">
        <f>IF($C29="",0,
IF(AND($E$2="Monthly",$A29&gt;12),0,
IF($E$2="Monthly",VLOOKUP($C29,'Employee information'!$B:$AM,COLUMNS('Employee information'!$B:S),0),
IF($E$2="Fortnightly",VLOOKUP($C29,'Employee information'!$B:$AM,COLUMNS('Employee information'!$B:R),0),
0))))</f>
        <v>0</v>
      </c>
      <c r="F29" s="106"/>
      <c r="G29" s="106"/>
      <c r="H29" s="106"/>
      <c r="I29" s="106"/>
      <c r="J29" s="103">
        <f t="shared" si="13"/>
        <v>0</v>
      </c>
      <c r="L29" s="113">
        <f>IF(AND($E$2="Monthly",$A29&gt;12),"",
IFERROR($J29*VLOOKUP($C29,'Employee information'!$B:$AI,COLUMNS('Employee information'!$B:$P),0),0))</f>
        <v>0</v>
      </c>
      <c r="M29" s="114">
        <f t="shared" si="14"/>
        <v>0</v>
      </c>
      <c r="O29" s="103">
        <f t="shared" si="15"/>
        <v>0</v>
      </c>
      <c r="P29" s="113">
        <f>IFERROR(
IF(AND($E$2="Monthly",$A29&gt;12),0,
$O29*VLOOKUP($C29,'Employee information'!$B:$AI,COLUMNS('Employee information'!$B:$P),0)),
0)</f>
        <v>0</v>
      </c>
      <c r="R29" s="114">
        <f t="shared" si="1"/>
        <v>0</v>
      </c>
      <c r="T29" s="103"/>
      <c r="U29" s="103"/>
      <c r="V29" s="282" t="str">
        <f>IF($C29="","",
IF(AND($E$2="Monthly",$A29&gt;12),"",
$T29*VLOOKUP($C29,'Employee information'!$B:$P,COLUMNS('Employee information'!$B:$P),0)))</f>
        <v/>
      </c>
      <c r="W29" s="282" t="str">
        <f>IF($C29="","",
IF(AND($E$2="Monthly",$A29&gt;12),"",
$U29*VLOOKUP($C29,'Employee information'!$B:$P,COLUMNS('Employee information'!$B:$P),0)))</f>
        <v/>
      </c>
      <c r="X29" s="114">
        <f t="shared" si="2"/>
        <v>0</v>
      </c>
      <c r="Y29" s="114">
        <f t="shared" si="3"/>
        <v>0</v>
      </c>
      <c r="AA29" s="118">
        <f>IFERROR(
IF(OR('Basic payroll data'!$D$12="",'Basic payroll data'!$D$12="No"),0,
$T29*VLOOKUP($C29,'Employee information'!$B:$P,COLUMNS('Employee information'!$B:$P),0)*AL_loading_perc),
0)</f>
        <v>0</v>
      </c>
      <c r="AC29" s="118"/>
      <c r="AD29" s="118"/>
      <c r="AE29" s="283" t="str">
        <f t="shared" si="16"/>
        <v/>
      </c>
      <c r="AF29" s="283" t="str">
        <f t="shared" si="17"/>
        <v/>
      </c>
      <c r="AG29" s="118"/>
      <c r="AH29" s="118"/>
      <c r="AI29" s="283" t="str">
        <f t="shared" si="18"/>
        <v/>
      </c>
      <c r="AJ29" s="118"/>
      <c r="AK29" s="118"/>
      <c r="AM29" s="118">
        <f t="shared" si="19"/>
        <v>0</v>
      </c>
      <c r="AN29" s="118">
        <f t="shared" si="4"/>
        <v>0</v>
      </c>
      <c r="AO29" s="118" t="str">
        <f>IFERROR(
IF(VLOOKUP($C29,'Employee information'!$B:$M,COLUMNS('Employee information'!$B:$M),0)=1,
IF($E$2="Fortnightly",
ROUND(
ROUND((((TRUNC($AN29/2,0)+0.99))*VLOOKUP((TRUNC($AN29/2,0)+0.99),'Tax scales - NAT 1004'!$A$12:$C$18,2,1)-VLOOKUP((TRUNC($AN29/2,0)+0.99),'Tax scales - NAT 1004'!$A$12:$C$18,3,1)),0)
*2,
0),
IF(AND($E$2="Monthly",ROUND($AN29-TRUNC($AN29),2)=0.33),
ROUND(
ROUND(((TRUNC(($AN29+0.01)*3/13,0)+0.99)*VLOOKUP((TRUNC(($AN29+0.01)*3/13,0)+0.99),'Tax scales - NAT 1004'!$A$12:$C$18,2,1)-VLOOKUP((TRUNC(($AN29+0.01)*3/13,0)+0.99),'Tax scales - NAT 1004'!$A$12:$C$18,3,1)),0)
*13/3,
0),
IF($E$2="Monthly",
ROUND(
ROUND(((TRUNC($AN29*3/13,0)+0.99)*VLOOKUP((TRUNC($AN29*3/13,0)+0.99),'Tax scales - NAT 1004'!$A$12:$C$18,2,1)-VLOOKUP((TRUNC($AN29*3/13,0)+0.99),'Tax scales - NAT 1004'!$A$12:$C$18,3,1)),0)
*13/3,
0),
""))),
""),
"")</f>
        <v/>
      </c>
      <c r="AP29" s="118" t="str">
        <f>IFERROR(
IF(VLOOKUP($C29,'Employee information'!$B:$M,COLUMNS('Employee information'!$B:$M),0)=2,
IF($E$2="Fortnightly",
ROUND(
ROUND((((TRUNC($AN29/2,0)+0.99))*VLOOKUP((TRUNC($AN29/2,0)+0.99),'Tax scales - NAT 1004'!$A$25:$C$33,2,1)-VLOOKUP((TRUNC($AN29/2,0)+0.99),'Tax scales - NAT 1004'!$A$25:$C$33,3,1)),0)
*2,
0),
IF(AND($E$2="Monthly",ROUND($AN29-TRUNC($AN29),2)=0.33),
ROUND(
ROUND(((TRUNC(($AN29+0.01)*3/13,0)+0.99)*VLOOKUP((TRUNC(($AN29+0.01)*3/13,0)+0.99),'Tax scales - NAT 1004'!$A$25:$C$33,2,1)-VLOOKUP((TRUNC(($AN29+0.01)*3/13,0)+0.99),'Tax scales - NAT 1004'!$A$25:$C$33,3,1)),0)
*13/3,
0),
IF($E$2="Monthly",
ROUND(
ROUND(((TRUNC($AN29*3/13,0)+0.99)*VLOOKUP((TRUNC($AN29*3/13,0)+0.99),'Tax scales - NAT 1004'!$A$25:$C$33,2,1)-VLOOKUP((TRUNC($AN29*3/13,0)+0.99),'Tax scales - NAT 1004'!$A$25:$C$33,3,1)),0)
*13/3,
0),
""))),
""),
"")</f>
        <v/>
      </c>
      <c r="AQ29" s="118" t="str">
        <f>IFERROR(
IF(VLOOKUP($C29,'Employee information'!$B:$M,COLUMNS('Employee information'!$B:$M),0)=3,
IF($E$2="Fortnightly",
ROUND(
ROUND((((TRUNC($AN29/2,0)+0.99))*VLOOKUP((TRUNC($AN29/2,0)+0.99),'Tax scales - NAT 1004'!$A$39:$C$41,2,1)-VLOOKUP((TRUNC($AN29/2,0)+0.99),'Tax scales - NAT 1004'!$A$39:$C$41,3,1)),0)
*2,
0),
IF(AND($E$2="Monthly",ROUND($AN29-TRUNC($AN29),2)=0.33),
ROUND(
ROUND(((TRUNC(($AN29+0.01)*3/13,0)+0.99)*VLOOKUP((TRUNC(($AN29+0.01)*3/13,0)+0.99),'Tax scales - NAT 1004'!$A$39:$C$41,2,1)-VLOOKUP((TRUNC(($AN29+0.01)*3/13,0)+0.99),'Tax scales - NAT 1004'!$A$39:$C$41,3,1)),0)
*13/3,
0),
IF($E$2="Monthly",
ROUND(
ROUND(((TRUNC($AN29*3/13,0)+0.99)*VLOOKUP((TRUNC($AN29*3/13,0)+0.99),'Tax scales - NAT 1004'!$A$39:$C$41,2,1)-VLOOKUP((TRUNC($AN29*3/13,0)+0.99),'Tax scales - NAT 1004'!$A$39:$C$41,3,1)),0)
*13/3,
0),
""))),
""),
"")</f>
        <v/>
      </c>
      <c r="AR29" s="118" t="str">
        <f>IFERROR(
IF(AND(VLOOKUP($C29,'Employee information'!$B:$M,COLUMNS('Employee information'!$B:$M),0)=4,
VLOOKUP($C29,'Employee information'!$B:$J,COLUMNS('Employee information'!$B:$J),0)="Resident"),
TRUNC(TRUNC($AN29)*'Tax scales - NAT 1004'!$B$47),
IF(AND(VLOOKUP($C29,'Employee information'!$B:$M,COLUMNS('Employee information'!$B:$M),0)=4,
VLOOKUP($C29,'Employee information'!$B:$J,COLUMNS('Employee information'!$B:$J),0)="Foreign resident"),
TRUNC(TRUNC($AN29)*'Tax scales - NAT 1004'!$B$48),
"")),
"")</f>
        <v/>
      </c>
      <c r="AS29" s="118" t="str">
        <f>IFERROR(
IF(VLOOKUP($C29,'Employee information'!$B:$M,COLUMNS('Employee information'!$B:$M),0)=5,
IF($E$2="Fortnightly",
ROUND(
ROUND((((TRUNC($AN29/2,0)+0.99))*VLOOKUP((TRUNC($AN29/2,0)+0.99),'Tax scales - NAT 1004'!$A$53:$C$59,2,1)-VLOOKUP((TRUNC($AN29/2,0)+0.99),'Tax scales - NAT 1004'!$A$53:$C$59,3,1)),0)
*2,
0),
IF(AND($E$2="Monthly",ROUND($AN29-TRUNC($AN29),2)=0.33),
ROUND(
ROUND(((TRUNC(($AN29+0.01)*3/13,0)+0.99)*VLOOKUP((TRUNC(($AN29+0.01)*3/13,0)+0.99),'Tax scales - NAT 1004'!$A$53:$C$59,2,1)-VLOOKUP((TRUNC(($AN29+0.01)*3/13,0)+0.99),'Tax scales - NAT 1004'!$A$53:$C$59,3,1)),0)
*13/3,
0),
IF($E$2="Monthly",
ROUND(
ROUND(((TRUNC($AN29*3/13,0)+0.99)*VLOOKUP((TRUNC($AN29*3/13,0)+0.99),'Tax scales - NAT 1004'!$A$53:$C$59,2,1)-VLOOKUP((TRUNC($AN29*3/13,0)+0.99),'Tax scales - NAT 1004'!$A$53:$C$59,3,1)),0)
*13/3,
0),
""))),
""),
"")</f>
        <v/>
      </c>
      <c r="AT29" s="118" t="str">
        <f>IFERROR(
IF(VLOOKUP($C29,'Employee information'!$B:$M,COLUMNS('Employee information'!$B:$M),0)=6,
IF($E$2="Fortnightly",
ROUND(
ROUND((((TRUNC($AN29/2,0)+0.99))*VLOOKUP((TRUNC($AN29/2,0)+0.99),'Tax scales - NAT 1004'!$A$65:$C$73,2,1)-VLOOKUP((TRUNC($AN29/2,0)+0.99),'Tax scales - NAT 1004'!$A$65:$C$73,3,1)),0)
*2,
0),
IF(AND($E$2="Monthly",ROUND($AN29-TRUNC($AN29),2)=0.33),
ROUND(
ROUND(((TRUNC(($AN29+0.01)*3/13,0)+0.99)*VLOOKUP((TRUNC(($AN29+0.01)*3/13,0)+0.99),'Tax scales - NAT 1004'!$A$65:$C$73,2,1)-VLOOKUP((TRUNC(($AN29+0.01)*3/13,0)+0.99),'Tax scales - NAT 1004'!$A$65:$C$73,3,1)),0)
*13/3,
0),
IF($E$2="Monthly",
ROUND(
ROUND(((TRUNC($AN29*3/13,0)+0.99)*VLOOKUP((TRUNC($AN29*3/13,0)+0.99),'Tax scales - NAT 1004'!$A$65:$C$73,2,1)-VLOOKUP((TRUNC($AN29*3/13,0)+0.99),'Tax scales - NAT 1004'!$A$65:$C$73,3,1)),0)
*13/3,
0),
""))),
""),
"")</f>
        <v/>
      </c>
      <c r="AU29" s="118" t="str">
        <f>IFERROR(
IF(VLOOKUP($C29,'Employee information'!$B:$M,COLUMNS('Employee information'!$B:$M),0)=11,
IF($E$2="Fortnightly",
ROUND(
ROUND((((TRUNC($AN29/2,0)+0.99))*VLOOKUP((TRUNC($AN29/2,0)+0.99),'Tax scales - NAT 3539'!$A$14:$C$38,2,1)-VLOOKUP((TRUNC($AN29/2,0)+0.99),'Tax scales - NAT 3539'!$A$14:$C$38,3,1)),0)
*2,
0),
IF(AND($E$2="Monthly",ROUND($AN29-TRUNC($AN29),2)=0.33),
ROUND(
ROUND(((TRUNC(($AN29+0.01)*3/13,0)+0.99)*VLOOKUP((TRUNC(($AN29+0.01)*3/13,0)+0.99),'Tax scales - NAT 3539'!$A$14:$C$38,2,1)-VLOOKUP((TRUNC(($AN29+0.01)*3/13,0)+0.99),'Tax scales - NAT 3539'!$A$14:$C$38,3,1)),0)
*13/3,
0),
IF($E$2="Monthly",
ROUND(
ROUND(((TRUNC($AN29*3/13,0)+0.99)*VLOOKUP((TRUNC($AN29*3/13,0)+0.99),'Tax scales - NAT 3539'!$A$14:$C$38,2,1)-VLOOKUP((TRUNC($AN29*3/13,0)+0.99),'Tax scales - NAT 3539'!$A$14:$C$38,3,1)),0)
*13/3,
0),
""))),
""),
"")</f>
        <v/>
      </c>
      <c r="AV29" s="118" t="str">
        <f>IFERROR(
IF(VLOOKUP($C29,'Employee information'!$B:$M,COLUMNS('Employee information'!$B:$M),0)=22,
IF($E$2="Fortnightly",
ROUND(
ROUND((((TRUNC($AN29/2,0)+0.99))*VLOOKUP((TRUNC($AN29/2,0)+0.99),'Tax scales - NAT 3539'!$A$43:$C$69,2,1)-VLOOKUP((TRUNC($AN29/2,0)+0.99),'Tax scales - NAT 3539'!$A$43:$C$69,3,1)),0)
*2,
0),
IF(AND($E$2="Monthly",ROUND($AN29-TRUNC($AN29),2)=0.33),
ROUND(
ROUND(((TRUNC(($AN29+0.01)*3/13,0)+0.99)*VLOOKUP((TRUNC(($AN29+0.01)*3/13,0)+0.99),'Tax scales - NAT 3539'!$A$43:$C$69,2,1)-VLOOKUP((TRUNC(($AN29+0.01)*3/13,0)+0.99),'Tax scales - NAT 3539'!$A$43:$C$69,3,1)),0)
*13/3,
0),
IF($E$2="Monthly",
ROUND(
ROUND(((TRUNC($AN29*3/13,0)+0.99)*VLOOKUP((TRUNC($AN29*3/13,0)+0.99),'Tax scales - NAT 3539'!$A$43:$C$69,2,1)-VLOOKUP((TRUNC($AN29*3/13,0)+0.99),'Tax scales - NAT 3539'!$A$43:$C$69,3,1)),0)
*13/3,
0),
""))),
""),
"")</f>
        <v/>
      </c>
      <c r="AW29" s="118" t="str">
        <f>IFERROR(
IF(VLOOKUP($C29,'Employee information'!$B:$M,COLUMNS('Employee information'!$B:$M),0)=33,
IF($E$2="Fortnightly",
ROUND(
ROUND((((TRUNC($AN29/2,0)+0.99))*VLOOKUP((TRUNC($AN29/2,0)+0.99),'Tax scales - NAT 3539'!$A$74:$C$94,2,1)-VLOOKUP((TRUNC($AN29/2,0)+0.99),'Tax scales - NAT 3539'!$A$74:$C$94,3,1)),0)
*2,
0),
IF(AND($E$2="Monthly",ROUND($AN29-TRUNC($AN29),2)=0.33),
ROUND(
ROUND(((TRUNC(($AN29+0.01)*3/13,0)+0.99)*VLOOKUP((TRUNC(($AN29+0.01)*3/13,0)+0.99),'Tax scales - NAT 3539'!$A$74:$C$94,2,1)-VLOOKUP((TRUNC(($AN29+0.01)*3/13,0)+0.99),'Tax scales - NAT 3539'!$A$74:$C$94,3,1)),0)
*13/3,
0),
IF($E$2="Monthly",
ROUND(
ROUND(((TRUNC($AN29*3/13,0)+0.99)*VLOOKUP((TRUNC($AN29*3/13,0)+0.99),'Tax scales - NAT 3539'!$A$74:$C$94,2,1)-VLOOKUP((TRUNC($AN29*3/13,0)+0.99),'Tax scales - NAT 3539'!$A$74:$C$94,3,1)),0)
*13/3,
0),
""))),
""),
"")</f>
        <v/>
      </c>
      <c r="AX29" s="118" t="str">
        <f>IFERROR(
IF(VLOOKUP($C29,'Employee information'!$B:$M,COLUMNS('Employee information'!$B:$M),0)=55,
IF($E$2="Fortnightly",
ROUND(
ROUND((((TRUNC($AN29/2,0)+0.99))*VLOOKUP((TRUNC($AN29/2,0)+0.99),'Tax scales - NAT 3539'!$A$99:$C$123,2,1)-VLOOKUP((TRUNC($AN29/2,0)+0.99),'Tax scales - NAT 3539'!$A$99:$C$123,3,1)),0)
*2,
0),
IF(AND($E$2="Monthly",ROUND($AN29-TRUNC($AN29),2)=0.33),
ROUND(
ROUND(((TRUNC(($AN29+0.01)*3/13,0)+0.99)*VLOOKUP((TRUNC(($AN29+0.01)*3/13,0)+0.99),'Tax scales - NAT 3539'!$A$99:$C$123,2,1)-VLOOKUP((TRUNC(($AN29+0.01)*3/13,0)+0.99),'Tax scales - NAT 3539'!$A$99:$C$123,3,1)),0)
*13/3,
0),
IF($E$2="Monthly",
ROUND(
ROUND(((TRUNC($AN29*3/13,0)+0.99)*VLOOKUP((TRUNC($AN29*3/13,0)+0.99),'Tax scales - NAT 3539'!$A$99:$C$123,2,1)-VLOOKUP((TRUNC($AN29*3/13,0)+0.99),'Tax scales - NAT 3539'!$A$99:$C$123,3,1)),0)
*13/3,
0),
""))),
""),
"")</f>
        <v/>
      </c>
      <c r="AY29" s="118" t="str">
        <f>IFERROR(
IF(VLOOKUP($C29,'Employee information'!$B:$M,COLUMNS('Employee information'!$B:$M),0)=66,
IF($E$2="Fortnightly",
ROUND(
ROUND((((TRUNC($AN29/2,0)+0.99))*VLOOKUP((TRUNC($AN29/2,0)+0.99),'Tax scales - NAT 3539'!$A$127:$C$154,2,1)-VLOOKUP((TRUNC($AN29/2,0)+0.99),'Tax scales - NAT 3539'!$A$127:$C$154,3,1)),0)
*2,
0),
IF(AND($E$2="Monthly",ROUND($AN29-TRUNC($AN29),2)=0.33),
ROUND(
ROUND(((TRUNC(($AN29+0.01)*3/13,0)+0.99)*VLOOKUP((TRUNC(($AN29+0.01)*3/13,0)+0.99),'Tax scales - NAT 3539'!$A$127:$C$154,2,1)-VLOOKUP((TRUNC(($AN29+0.01)*3/13,0)+0.99),'Tax scales - NAT 3539'!$A$127:$C$154,3,1)),0)
*13/3,
0),
IF($E$2="Monthly",
ROUND(
ROUND(((TRUNC($AN29*3/13,0)+0.99)*VLOOKUP((TRUNC($AN29*3/13,0)+0.99),'Tax scales - NAT 3539'!$A$127:$C$154,2,1)-VLOOKUP((TRUNC($AN29*3/13,0)+0.99),'Tax scales - NAT 3539'!$A$127:$C$154,3,1)),0)
*13/3,
0),
""))),
""),
"")</f>
        <v/>
      </c>
      <c r="AZ29" s="118">
        <f>IFERROR(
HLOOKUP(VLOOKUP($C29,'Employee information'!$B:$M,COLUMNS('Employee information'!$B:$M),0),'PAYG worksheet'!$AO$10:$AY$29,COUNTA($C$11:$C29)+1,0),
0)</f>
        <v>0</v>
      </c>
      <c r="BA29" s="118"/>
      <c r="BB29" s="118">
        <f t="shared" si="20"/>
        <v>0</v>
      </c>
      <c r="BC29" s="119">
        <f>IFERROR(
IF(OR($AE29=1,$AE29=""),SUM($P29,$AA29,$AC29,$AK29)*VLOOKUP($C29,'Employee information'!$B:$Q,COLUMNS('Employee information'!$B:$H),0),
IF($AE29=0,SUM($P29,$AA29,$AK29)*VLOOKUP($C29,'Employee information'!$B:$Q,COLUMNS('Employee information'!$B:$H),0),
0)),
0)</f>
        <v>0</v>
      </c>
      <c r="BE29" s="114">
        <f t="shared" si="5"/>
        <v>0</v>
      </c>
      <c r="BF29" s="114">
        <f t="shared" si="6"/>
        <v>0</v>
      </c>
      <c r="BG29" s="114">
        <f t="shared" si="7"/>
        <v>0</v>
      </c>
      <c r="BH29" s="114">
        <f t="shared" si="8"/>
        <v>0</v>
      </c>
      <c r="BI29" s="114">
        <f t="shared" si="9"/>
        <v>0</v>
      </c>
      <c r="BJ29" s="114">
        <f t="shared" si="10"/>
        <v>0</v>
      </c>
      <c r="BK29" s="114">
        <f t="shared" si="11"/>
        <v>0</v>
      </c>
      <c r="BL29" s="114">
        <f t="shared" si="21"/>
        <v>0</v>
      </c>
      <c r="BM29" s="114">
        <f t="shared" si="12"/>
        <v>0</v>
      </c>
    </row>
    <row r="30" spans="1:65" s="136" customFormat="1" x14ac:dyDescent="0.25">
      <c r="A30" s="228">
        <f t="shared" si="0"/>
        <v>1</v>
      </c>
      <c r="C30" s="284" t="s">
        <v>39</v>
      </c>
      <c r="D30" s="223"/>
      <c r="E30" s="111">
        <f>SUM(E11:E29)</f>
        <v>345</v>
      </c>
      <c r="F30" s="112">
        <f t="shared" ref="F30:J30" si="22">SUM(F11:F29)</f>
        <v>72</v>
      </c>
      <c r="G30" s="112">
        <f t="shared" si="22"/>
        <v>0</v>
      </c>
      <c r="H30" s="112">
        <f t="shared" si="22"/>
        <v>0</v>
      </c>
      <c r="I30" s="112"/>
      <c r="J30" s="111">
        <f t="shared" si="22"/>
        <v>417</v>
      </c>
      <c r="K30" s="223"/>
      <c r="L30" s="115">
        <f>SUM(L11:L29)</f>
        <v>21637.961011591149</v>
      </c>
      <c r="M30" s="115">
        <f>SUM(M11:M29)</f>
        <v>21637.961011591149</v>
      </c>
      <c r="N30" s="223"/>
      <c r="O30" s="116">
        <f>SUM(O11:O29)</f>
        <v>417</v>
      </c>
      <c r="P30" s="117">
        <f>SUM(P11:P29)</f>
        <v>21637.961011591149</v>
      </c>
      <c r="Q30" s="120"/>
      <c r="R30" s="117">
        <f>SUM(R11:R29)</f>
        <v>21637.961011591149</v>
      </c>
      <c r="S30" s="223"/>
      <c r="T30" s="116">
        <f>SUM(T11:T29)</f>
        <v>15</v>
      </c>
      <c r="U30" s="116">
        <f t="shared" ref="U30:V30" si="23">SUM(U11:U29)</f>
        <v>12.5</v>
      </c>
      <c r="V30" s="285">
        <f t="shared" si="23"/>
        <v>1538.4615384615386</v>
      </c>
      <c r="W30" s="285">
        <f t="shared" ref="W30:Y30" si="24">SUM(W11:W29)</f>
        <v>801.28205128205127</v>
      </c>
      <c r="X30" s="285">
        <f t="shared" si="24"/>
        <v>1538.4615384615386</v>
      </c>
      <c r="Y30" s="285">
        <f t="shared" si="24"/>
        <v>801.28205128205127</v>
      </c>
      <c r="Z30" s="223"/>
      <c r="AA30" s="117">
        <f t="shared" ref="AA30:BM30" si="25">SUM(AA11:AA29)</f>
        <v>0</v>
      </c>
      <c r="AB30" s="120"/>
      <c r="AC30" s="117">
        <f t="shared" si="25"/>
        <v>0</v>
      </c>
      <c r="AD30" s="117"/>
      <c r="AE30" s="117"/>
      <c r="AF30" s="117"/>
      <c r="AG30" s="117">
        <f t="shared" si="25"/>
        <v>140</v>
      </c>
      <c r="AH30" s="117"/>
      <c r="AI30" s="117"/>
      <c r="AJ30" s="117">
        <f>SUM(AJ11:AJ29)</f>
        <v>0</v>
      </c>
      <c r="AK30" s="117">
        <f>SUM(AK11:AK29)</f>
        <v>100</v>
      </c>
      <c r="AL30" s="120"/>
      <c r="AM30" s="117">
        <f t="shared" si="25"/>
        <v>21877.961011591149</v>
      </c>
      <c r="AN30" s="117">
        <f t="shared" si="25"/>
        <v>21737.961011591149</v>
      </c>
      <c r="AO30" s="117"/>
      <c r="AP30" s="117"/>
      <c r="AQ30" s="117"/>
      <c r="AR30" s="117"/>
      <c r="AS30" s="117"/>
      <c r="AT30" s="117"/>
      <c r="AU30" s="117"/>
      <c r="AV30" s="117"/>
      <c r="AW30" s="117"/>
      <c r="AX30" s="117"/>
      <c r="AY30" s="117"/>
      <c r="AZ30" s="117">
        <f>SUM(AZ11:AZ29)</f>
        <v>8295</v>
      </c>
      <c r="BA30" s="117">
        <f>SUM(BA11:BA29)</f>
        <v>0</v>
      </c>
      <c r="BB30" s="117">
        <f>SUM(BB11:BB29)</f>
        <v>13582.961011591149</v>
      </c>
      <c r="BC30" s="117">
        <f t="shared" si="25"/>
        <v>2065.1062961011589</v>
      </c>
      <c r="BE30" s="117">
        <f t="shared" si="25"/>
        <v>21877.961011591149</v>
      </c>
      <c r="BF30" s="117">
        <f t="shared" si="25"/>
        <v>21737.961011591149</v>
      </c>
      <c r="BG30" s="117">
        <f t="shared" si="25"/>
        <v>0</v>
      </c>
      <c r="BH30" s="117">
        <f t="shared" si="25"/>
        <v>140</v>
      </c>
      <c r="BI30" s="117">
        <f t="shared" si="25"/>
        <v>8295</v>
      </c>
      <c r="BJ30" s="117">
        <f t="shared" si="25"/>
        <v>0</v>
      </c>
      <c r="BK30" s="117">
        <f t="shared" si="25"/>
        <v>0</v>
      </c>
      <c r="BL30" s="117">
        <f t="shared" si="25"/>
        <v>100</v>
      </c>
      <c r="BM30" s="117">
        <f t="shared" si="25"/>
        <v>2065.1062961011589</v>
      </c>
    </row>
    <row r="32" spans="1:65" x14ac:dyDescent="0.25">
      <c r="B32" s="228">
        <v>2</v>
      </c>
      <c r="C32" s="230" t="s">
        <v>2</v>
      </c>
      <c r="E32" s="232">
        <v>44044</v>
      </c>
      <c r="F32" s="148" t="s">
        <v>91</v>
      </c>
      <c r="L32" s="286"/>
      <c r="T32" s="127"/>
      <c r="U32" s="127"/>
      <c r="V32" s="127"/>
      <c r="W32" s="127"/>
      <c r="X32" s="127"/>
      <c r="Y32" s="127"/>
    </row>
    <row r="33" spans="1:65" x14ac:dyDescent="0.25">
      <c r="C33" s="230" t="s">
        <v>3</v>
      </c>
      <c r="E33" s="232">
        <v>44074</v>
      </c>
      <c r="F33" s="148" t="s">
        <v>90</v>
      </c>
      <c r="G33" s="229"/>
      <c r="H33" s="229"/>
      <c r="I33" s="229"/>
      <c r="J33" s="229"/>
      <c r="L33" s="164"/>
      <c r="T33" s="127"/>
      <c r="U33" s="127"/>
      <c r="V33" s="127"/>
      <c r="W33" s="127"/>
      <c r="X33" s="127"/>
      <c r="Y33" s="127"/>
    </row>
    <row r="34" spans="1:65" x14ac:dyDescent="0.25">
      <c r="C34" s="233"/>
    </row>
    <row r="35" spans="1:65" ht="34.5" customHeight="1" x14ac:dyDescent="0.25">
      <c r="C35" s="234"/>
      <c r="D35" s="235"/>
      <c r="E35" s="441" t="s">
        <v>4</v>
      </c>
      <c r="F35" s="442"/>
      <c r="G35" s="442"/>
      <c r="H35" s="442"/>
      <c r="I35" s="442"/>
      <c r="J35" s="443"/>
      <c r="L35" s="444" t="s">
        <v>253</v>
      </c>
      <c r="M35" s="445"/>
      <c r="N35" s="235"/>
      <c r="O35" s="444" t="s">
        <v>148</v>
      </c>
      <c r="P35" s="445"/>
      <c r="R35" s="235"/>
      <c r="T35" s="446" t="s">
        <v>269</v>
      </c>
      <c r="U35" s="447"/>
      <c r="V35" s="447"/>
      <c r="W35" s="447"/>
      <c r="X35" s="447"/>
      <c r="Y35" s="447"/>
      <c r="Z35" s="447"/>
      <c r="AA35" s="447"/>
      <c r="AC35" s="438" t="s">
        <v>274</v>
      </c>
      <c r="AD35" s="438"/>
      <c r="AE35" s="438"/>
      <c r="AF35" s="438"/>
      <c r="AG35" s="438"/>
      <c r="AH35" s="438"/>
      <c r="AI35" s="438"/>
      <c r="AJ35" s="438"/>
      <c r="AK35" s="438"/>
      <c r="AM35" s="439" t="s">
        <v>270</v>
      </c>
      <c r="AN35" s="439"/>
      <c r="AO35" s="439"/>
      <c r="AP35" s="439"/>
      <c r="AQ35" s="439"/>
      <c r="AR35" s="439"/>
      <c r="AS35" s="439"/>
      <c r="AT35" s="439"/>
      <c r="AU35" s="439"/>
      <c r="AV35" s="439"/>
      <c r="AW35" s="439"/>
      <c r="AX35" s="439"/>
      <c r="AY35" s="439"/>
      <c r="AZ35" s="439"/>
      <c r="BA35" s="439"/>
      <c r="BB35" s="439"/>
      <c r="BC35" s="440"/>
      <c r="BE35" s="439" t="s">
        <v>246</v>
      </c>
      <c r="BF35" s="439"/>
      <c r="BG35" s="439"/>
      <c r="BH35" s="439"/>
      <c r="BI35" s="439"/>
      <c r="BJ35" s="439"/>
      <c r="BK35" s="439"/>
      <c r="BL35" s="439"/>
      <c r="BM35" s="439"/>
    </row>
    <row r="36" spans="1:65" x14ac:dyDescent="0.25">
      <c r="C36" s="236"/>
      <c r="E36" s="229"/>
      <c r="F36" s="229"/>
      <c r="G36" s="229"/>
      <c r="H36" s="229"/>
      <c r="I36" s="229"/>
      <c r="J36" s="229"/>
      <c r="L36" s="164"/>
      <c r="O36" s="229"/>
      <c r="P36" s="164"/>
      <c r="T36" s="127"/>
      <c r="U36" s="127"/>
      <c r="V36" s="127"/>
      <c r="W36" s="127"/>
      <c r="X36" s="127"/>
      <c r="Y36" s="127"/>
      <c r="AA36" s="229"/>
      <c r="AC36" s="229"/>
      <c r="AD36" s="229"/>
      <c r="AE36" s="229"/>
      <c r="AF36" s="229"/>
      <c r="AG36" s="229"/>
      <c r="AH36" s="229"/>
      <c r="AI36" s="229"/>
      <c r="AJ36" s="229"/>
      <c r="AK36" s="127"/>
      <c r="AM36" s="229"/>
      <c r="AN36" s="229"/>
      <c r="AO36" s="229"/>
      <c r="AP36" s="229"/>
      <c r="AQ36" s="229"/>
      <c r="AR36" s="229"/>
      <c r="AS36" s="229"/>
      <c r="AT36" s="229"/>
      <c r="AU36" s="229"/>
      <c r="AV36" s="229"/>
      <c r="AW36" s="229"/>
      <c r="AX36" s="229"/>
      <c r="AY36" s="229"/>
      <c r="AZ36" s="229"/>
      <c r="BA36" s="229"/>
      <c r="BB36" s="229"/>
      <c r="BC36" s="229"/>
    </row>
    <row r="37" spans="1:65" ht="60" x14ac:dyDescent="0.25">
      <c r="C37" s="238" t="s">
        <v>5</v>
      </c>
      <c r="D37" s="239"/>
      <c r="E37" s="240" t="s">
        <v>268</v>
      </c>
      <c r="F37" s="241" t="s">
        <v>271</v>
      </c>
      <c r="G37" s="242" t="s">
        <v>267</v>
      </c>
      <c r="H37" s="243" t="s">
        <v>266</v>
      </c>
      <c r="I37" s="242" t="s">
        <v>265</v>
      </c>
      <c r="J37" s="244" t="s">
        <v>6</v>
      </c>
      <c r="L37" s="245" t="s">
        <v>7</v>
      </c>
      <c r="M37" s="246" t="s">
        <v>254</v>
      </c>
      <c r="N37" s="247"/>
      <c r="O37" s="248" t="s">
        <v>272</v>
      </c>
      <c r="P37" s="249" t="s">
        <v>200</v>
      </c>
      <c r="R37" s="250" t="s">
        <v>151</v>
      </c>
      <c r="T37" s="251" t="s">
        <v>8</v>
      </c>
      <c r="U37" s="252" t="s">
        <v>9</v>
      </c>
      <c r="V37" s="252" t="s">
        <v>120</v>
      </c>
      <c r="W37" s="252" t="s">
        <v>121</v>
      </c>
      <c r="X37" s="253" t="s">
        <v>118</v>
      </c>
      <c r="Y37" s="254" t="s">
        <v>119</v>
      </c>
      <c r="AA37" s="255" t="s">
        <v>84</v>
      </c>
      <c r="AC37" s="256" t="s">
        <v>142</v>
      </c>
      <c r="AD37" s="256" t="s">
        <v>138</v>
      </c>
      <c r="AE37" s="257" t="s">
        <v>147</v>
      </c>
      <c r="AF37" s="257" t="s">
        <v>149</v>
      </c>
      <c r="AG37" s="256" t="s">
        <v>305</v>
      </c>
      <c r="AH37" s="256" t="s">
        <v>306</v>
      </c>
      <c r="AI37" s="257" t="s">
        <v>150</v>
      </c>
      <c r="AJ37" s="258" t="s">
        <v>250</v>
      </c>
      <c r="AK37" s="259" t="s">
        <v>373</v>
      </c>
      <c r="AM37" s="260" t="s">
        <v>256</v>
      </c>
      <c r="AN37" s="261" t="s">
        <v>372</v>
      </c>
      <c r="AO37" s="253" t="s">
        <v>170</v>
      </c>
      <c r="AP37" s="253" t="s">
        <v>171</v>
      </c>
      <c r="AQ37" s="253" t="s">
        <v>172</v>
      </c>
      <c r="AR37" s="253" t="s">
        <v>173</v>
      </c>
      <c r="AS37" s="253" t="s">
        <v>174</v>
      </c>
      <c r="AT37" s="253" t="s">
        <v>175</v>
      </c>
      <c r="AU37" s="262" t="s">
        <v>210</v>
      </c>
      <c r="AV37" s="262" t="s">
        <v>211</v>
      </c>
      <c r="AW37" s="262" t="s">
        <v>212</v>
      </c>
      <c r="AX37" s="262" t="s">
        <v>213</v>
      </c>
      <c r="AY37" s="263" t="s">
        <v>214</v>
      </c>
      <c r="AZ37" s="264" t="s">
        <v>111</v>
      </c>
      <c r="BA37" s="265" t="s">
        <v>199</v>
      </c>
      <c r="BB37" s="252" t="s">
        <v>223</v>
      </c>
      <c r="BC37" s="260" t="s">
        <v>112</v>
      </c>
      <c r="BE37" s="260" t="s">
        <v>257</v>
      </c>
      <c r="BF37" s="266" t="s">
        <v>255</v>
      </c>
      <c r="BG37" s="262" t="s">
        <v>247</v>
      </c>
      <c r="BH37" s="262" t="s">
        <v>248</v>
      </c>
      <c r="BI37" s="260" t="s">
        <v>249</v>
      </c>
      <c r="BJ37" s="253" t="s">
        <v>199</v>
      </c>
      <c r="BK37" s="262" t="s">
        <v>251</v>
      </c>
      <c r="BL37" s="259" t="s">
        <v>373</v>
      </c>
      <c r="BM37" s="260" t="s">
        <v>252</v>
      </c>
    </row>
    <row r="38" spans="1:65" x14ac:dyDescent="0.25">
      <c r="T38" s="120"/>
      <c r="U38" s="120"/>
      <c r="V38" s="120"/>
      <c r="W38" s="120"/>
      <c r="X38" s="120"/>
      <c r="Y38" s="120"/>
      <c r="AM38" s="267" t="s">
        <v>322</v>
      </c>
      <c r="AN38" s="237"/>
      <c r="AO38" s="237"/>
      <c r="AP38" s="237"/>
      <c r="AQ38" s="237"/>
      <c r="AR38" s="237"/>
      <c r="AS38" s="237"/>
      <c r="AT38" s="237"/>
      <c r="AU38" s="237"/>
      <c r="AV38" s="237"/>
      <c r="AW38" s="237"/>
      <c r="AX38" s="237"/>
      <c r="AY38" s="237"/>
      <c r="AZ38" s="436" t="s">
        <v>320</v>
      </c>
      <c r="BA38" s="437"/>
      <c r="BB38" s="237"/>
      <c r="BC38" s="267" t="s">
        <v>321</v>
      </c>
    </row>
    <row r="39" spans="1:65" x14ac:dyDescent="0.25">
      <c r="A39" s="228">
        <f t="shared" ref="A39:A58" si="26">IF($E$33="","",$B$32)</f>
        <v>2</v>
      </c>
      <c r="C39" s="268"/>
      <c r="D39" s="239"/>
      <c r="E39" s="269"/>
      <c r="F39" s="270"/>
      <c r="G39" s="271"/>
      <c r="H39" s="272"/>
      <c r="I39" s="271"/>
      <c r="J39" s="273"/>
      <c r="O39" s="274"/>
      <c r="P39" s="247"/>
      <c r="T39" s="271"/>
      <c r="U39" s="271"/>
      <c r="V39" s="275"/>
      <c r="W39" s="269"/>
      <c r="X39" s="269"/>
      <c r="Y39" s="269"/>
      <c r="AA39" s="271"/>
      <c r="AC39" s="271"/>
      <c r="AD39" s="271"/>
      <c r="AE39" s="271"/>
      <c r="AF39" s="271"/>
      <c r="AG39" s="271"/>
      <c r="AH39" s="271"/>
      <c r="AI39" s="271"/>
      <c r="AJ39" s="271"/>
      <c r="AK39" s="275"/>
      <c r="AM39" s="271"/>
      <c r="AN39" s="271"/>
      <c r="AO39" s="276">
        <v>1</v>
      </c>
      <c r="AP39" s="276">
        <v>2</v>
      </c>
      <c r="AQ39" s="276">
        <v>3</v>
      </c>
      <c r="AR39" s="277">
        <v>4</v>
      </c>
      <c r="AS39" s="276">
        <v>5</v>
      </c>
      <c r="AT39" s="276">
        <v>6</v>
      </c>
      <c r="AU39" s="276">
        <v>11</v>
      </c>
      <c r="AV39" s="276">
        <v>22</v>
      </c>
      <c r="AW39" s="276">
        <v>33</v>
      </c>
      <c r="AX39" s="276">
        <v>55</v>
      </c>
      <c r="AY39" s="276">
        <v>66</v>
      </c>
      <c r="AZ39" s="271"/>
      <c r="BA39" s="271"/>
      <c r="BB39" s="271"/>
      <c r="BC39" s="273"/>
    </row>
    <row r="40" spans="1:65" x14ac:dyDescent="0.25">
      <c r="A40" s="228">
        <f t="shared" si="26"/>
        <v>2</v>
      </c>
      <c r="C40" s="278" t="s">
        <v>12</v>
      </c>
      <c r="E40" s="103">
        <f>IF($C40="",0,
IF(AND($E$2="Monthly",$A40&gt;12),0,
IF($E$2="Monthly",VLOOKUP($C40,'Employee information'!$B:$AM,COLUMNS('Employee information'!$B:S),0),
IF($E$2="Fortnightly",VLOOKUP($C40,'Employee information'!$B:$AM,COLUMNS('Employee information'!$B:R),0),
0))))</f>
        <v>75</v>
      </c>
      <c r="F40" s="279"/>
      <c r="G40" s="106"/>
      <c r="H40" s="280"/>
      <c r="I40" s="106"/>
      <c r="J40" s="103">
        <f>IF($E$2="Monthly",
IF(AND($E$2="Monthly",$H40&lt;&gt;""),$H40,
IF(AND($E$2="Monthly",$E40=0),SUM($F40:$G40),
$E40)),
IF($E$2="Fortnightly",
IF(AND($E$2="Fortnightly",$H40&lt;&gt;""),$H40,
IF(AND($E$2="Fortnightly",$F40&lt;&gt;"",$E40&lt;&gt;0),$F40,
IF(AND($E$2="Fortnightly",$E40=0),SUM($F40:$G40),
$E40)))))</f>
        <v>75</v>
      </c>
      <c r="L40" s="113">
        <f>IF(AND($E$2="Monthly",$A40&gt;12),"",
IFERROR($J40*VLOOKUP($C40,'Employee information'!$B:$AI,COLUMNS('Employee information'!$B:$P),0),0))</f>
        <v>3697.576396206533</v>
      </c>
      <c r="M40" s="114">
        <f>IF(AND($E$2="Monthly",$A40&gt;12),"",
SUMIFS($L:$L,$C:$C,$C40,$A:$A,"&lt;="&amp;$A40)
)</f>
        <v>7395.152792413066</v>
      </c>
      <c r="O40" s="103">
        <f>IF($E$2="Monthly",
IF(AND($E$2="Monthly",$H40&lt;&gt;""),$H40,
IF(AND($E$2="Monthly",$E40=0),$F40,
$E40)),
IF($E$2="Fortnightly",
IF(AND($E$2="Fortnightly",$H40&lt;&gt;""),$H40,
IF(AND($E$2="Fortnightly",$F40&lt;&gt;"",$E40&lt;&gt;0),$F40,
IF(AND($E$2="Fortnightly",$E40=0),$F40,
$E40)))))</f>
        <v>75</v>
      </c>
      <c r="P40" s="113">
        <f>IFERROR(
IF(AND($E$2="Monthly",$A40&gt;12),0,
$O40*VLOOKUP($C40,'Employee information'!$B:$AI,COLUMNS('Employee information'!$B:$P),0)),
0)</f>
        <v>3697.576396206533</v>
      </c>
      <c r="R40" s="114">
        <f t="shared" ref="R40:R58" si="27">IF(AND($E$2="Monthly",$A40&gt;12),"",
SUMIFS($P:$P,$C:$C,$C40,$A:$A,"&lt;="&amp;$A40)
)</f>
        <v>7395.152792413066</v>
      </c>
      <c r="T40" s="281"/>
      <c r="U40" s="103"/>
      <c r="V40" s="282">
        <f>IF($C40="","",
IF(AND($E$2="Monthly",$A40&gt;12),"",
$T40*VLOOKUP($C40,'Employee information'!$B:$P,COLUMNS('Employee information'!$B:$P),0)))</f>
        <v>0</v>
      </c>
      <c r="W40" s="282">
        <f>IF($C40="","",
IF(AND($E$2="Monthly",$A40&gt;12),"",
$U40*VLOOKUP($C40,'Employee information'!$B:$P,COLUMNS('Employee information'!$B:$P),0)))</f>
        <v>0</v>
      </c>
      <c r="X40" s="114">
        <f t="shared" ref="X40:X58" si="28">IF(AND($E$2="Monthly",$A40&gt;12),"",
SUMIFS($V:$V,$C:$C,$C40,$A:$A,"&lt;="&amp;$A40)
)</f>
        <v>0</v>
      </c>
      <c r="Y40" s="114">
        <f t="shared" ref="Y40:Y58" si="29">IF(AND($E$2="Monthly",$A40&gt;12),"",
SUMIFS($W:$W,$C:$C,$C40,$A:$A,"&lt;="&amp;$A40)
)</f>
        <v>0</v>
      </c>
      <c r="AA40" s="118">
        <f>IFERROR(
IF(OR('Basic payroll data'!$D$12="",'Basic payroll data'!$D$12="No"),0,
$T40*VLOOKUP($C40,'Employee information'!$B:$P,COLUMNS('Employee information'!$B:$P),0)*AL_loading_perc),
0)</f>
        <v>0</v>
      </c>
      <c r="AC40" s="118"/>
      <c r="AD40" s="118"/>
      <c r="AE40" s="283" t="str">
        <f>IF(LEFT($AD40,6)="Is OTE",1,
IF(LEFT($AD40,10)="Is not OTE",0,
""))</f>
        <v/>
      </c>
      <c r="AF40" s="283" t="str">
        <f>IF(RIGHT($AD40,12)="tax withheld",1,
IF(RIGHT($AD40,16)="tax not withheld",0,
""))</f>
        <v/>
      </c>
      <c r="AG40" s="118"/>
      <c r="AH40" s="118"/>
      <c r="AI40" s="283" t="str">
        <f>IF($AH40="FBT",0,
IF($AH40="Not FBT",1,
""))</f>
        <v/>
      </c>
      <c r="AJ40" s="118"/>
      <c r="AK40" s="118"/>
      <c r="AM40" s="118">
        <f>SUM($L40,$AA40,$AC40,$AG40,$AK40)-$AJ40</f>
        <v>3697.576396206533</v>
      </c>
      <c r="AN40" s="118">
        <f t="shared" ref="AN40:AN58" si="30">IF(AND(OR($AF40=1,$AF40=""),OR($AI40=1,$AI40="")),SUM($L40,$AA40,$AC40,$AG40,$AK40)-$AJ40,
IF(AND(OR($AF40=1,$AF40=""),$AI40=0),SUM($L40,$AA40,$AC40,$AK40)-$AJ40,
IF(AND($AF40=0,OR($AI40=1,$AI40="")),SUM($L40,$AA40,$AG40,$AK40)-$AJ40,
IF(AND($AF40=0,$AI40=0),SUM($L40,$AA40,$AK40)-$AJ40,
""))))</f>
        <v>3697.576396206533</v>
      </c>
      <c r="AO40" s="118" t="str">
        <f>IFERROR(
IF(VLOOKUP($C40,'Employee information'!$B:$M,COLUMNS('Employee information'!$B:$M),0)=1,
IF($E$2="Fortnightly",
ROUND(
ROUND((((TRUNC($AN40/2,0)+0.99))*VLOOKUP((TRUNC($AN40/2,0)+0.99),'Tax scales - NAT 1004'!$A$12:$C$18,2,1)-VLOOKUP((TRUNC($AN40/2,0)+0.99),'Tax scales - NAT 1004'!$A$12:$C$18,3,1)),0)
*2,
0),
IF(AND($E$2="Monthly",ROUND($AN40-TRUNC($AN40),2)=0.33),
ROUND(
ROUND(((TRUNC(($AN40+0.01)*3/13,0)+0.99)*VLOOKUP((TRUNC(($AN40+0.01)*3/13,0)+0.99),'Tax scales - NAT 1004'!$A$12:$C$18,2,1)-VLOOKUP((TRUNC(($AN40+0.01)*3/13,0)+0.99),'Tax scales - NAT 1004'!$A$12:$C$18,3,1)),0)
*13/3,
0),
IF($E$2="Monthly",
ROUND(
ROUND(((TRUNC($AN40*3/13,0)+0.99)*VLOOKUP((TRUNC($AN40*3/13,0)+0.99),'Tax scales - NAT 1004'!$A$12:$C$18,2,1)-VLOOKUP((TRUNC($AN40*3/13,0)+0.99),'Tax scales - NAT 1004'!$A$12:$C$18,3,1)),0)
*13/3,
0),
""))),
""),
"")</f>
        <v/>
      </c>
      <c r="AP40" s="118" t="str">
        <f>IFERROR(
IF(VLOOKUP($C40,'Employee information'!$B:$M,COLUMNS('Employee information'!$B:$M),0)=2,
IF($E$2="Fortnightly",
ROUND(
ROUND((((TRUNC($AN40/2,0)+0.99))*VLOOKUP((TRUNC($AN40/2,0)+0.99),'Tax scales - NAT 1004'!$A$25:$C$33,2,1)-VLOOKUP((TRUNC($AN40/2,0)+0.99),'Tax scales - NAT 1004'!$A$25:$C$33,3,1)),0)
*2,
0),
IF(AND($E$2="Monthly",ROUND($AN40-TRUNC($AN40),2)=0.33),
ROUND(
ROUND(((TRUNC(($AN40+0.01)*3/13,0)+0.99)*VLOOKUP((TRUNC(($AN40+0.01)*3/13,0)+0.99),'Tax scales - NAT 1004'!$A$25:$C$33,2,1)-VLOOKUP((TRUNC(($AN40+0.01)*3/13,0)+0.99),'Tax scales - NAT 1004'!$A$25:$C$33,3,1)),0)
*13/3,
0),
IF($E$2="Monthly",
ROUND(
ROUND(((TRUNC($AN40*3/13,0)+0.99)*VLOOKUP((TRUNC($AN40*3/13,0)+0.99),'Tax scales - NAT 1004'!$A$25:$C$33,2,1)-VLOOKUP((TRUNC($AN40*3/13,0)+0.99),'Tax scales - NAT 1004'!$A$25:$C$33,3,1)),0)
*13/3,
0),
""))),
""),
"")</f>
        <v/>
      </c>
      <c r="AQ40" s="118" t="str">
        <f>IFERROR(
IF(VLOOKUP($C40,'Employee information'!$B:$M,COLUMNS('Employee information'!$B:$M),0)=3,
IF($E$2="Fortnightly",
ROUND(
ROUND((((TRUNC($AN40/2,0)+0.99))*VLOOKUP((TRUNC($AN40/2,0)+0.99),'Tax scales - NAT 1004'!$A$39:$C$41,2,1)-VLOOKUP((TRUNC($AN40/2,0)+0.99),'Tax scales - NAT 1004'!$A$39:$C$41,3,1)),0)
*2,
0),
IF(AND($E$2="Monthly",ROUND($AN40-TRUNC($AN40),2)=0.33),
ROUND(
ROUND(((TRUNC(($AN40+0.01)*3/13,0)+0.99)*VLOOKUP((TRUNC(($AN40+0.01)*3/13,0)+0.99),'Tax scales - NAT 1004'!$A$39:$C$41,2,1)-VLOOKUP((TRUNC(($AN40+0.01)*3/13,0)+0.99),'Tax scales - NAT 1004'!$A$39:$C$41,3,1)),0)
*13/3,
0),
IF($E$2="Monthly",
ROUND(
ROUND(((TRUNC($AN40*3/13,0)+0.99)*VLOOKUP((TRUNC($AN40*3/13,0)+0.99),'Tax scales - NAT 1004'!$A$39:$C$41,2,1)-VLOOKUP((TRUNC($AN40*3/13,0)+0.99),'Tax scales - NAT 1004'!$A$39:$C$41,3,1)),0)
*13/3,
0),
""))),
""),
"")</f>
        <v/>
      </c>
      <c r="AR40" s="118" t="str">
        <f>IFERROR(
IF(AND(VLOOKUP($C40,'Employee information'!$B:$M,COLUMNS('Employee information'!$B:$M),0)=4,
VLOOKUP($C40,'Employee information'!$B:$J,COLUMNS('Employee information'!$B:$J),0)="Resident"),
TRUNC(TRUNC($AN40)*'Tax scales - NAT 1004'!$B$47),
IF(AND(VLOOKUP($C40,'Employee information'!$B:$M,COLUMNS('Employee information'!$B:$M),0)=4,
VLOOKUP($C40,'Employee information'!$B:$J,COLUMNS('Employee information'!$B:$J),0)="Foreign resident"),
TRUNC(TRUNC($AN40)*'Tax scales - NAT 1004'!$B$48),
"")),
"")</f>
        <v/>
      </c>
      <c r="AS40" s="118" t="str">
        <f>IFERROR(
IF(VLOOKUP($C40,'Employee information'!$B:$M,COLUMNS('Employee information'!$B:$M),0)=5,
IF($E$2="Fortnightly",
ROUND(
ROUND((((TRUNC($AN40/2,0)+0.99))*VLOOKUP((TRUNC($AN40/2,0)+0.99),'Tax scales - NAT 1004'!$A$53:$C$59,2,1)-VLOOKUP((TRUNC($AN40/2,0)+0.99),'Tax scales - NAT 1004'!$A$53:$C$59,3,1)),0)
*2,
0),
IF(AND($E$2="Monthly",ROUND($AN40-TRUNC($AN40),2)=0.33),
ROUND(
ROUND(((TRUNC(($AN40+0.01)*3/13,0)+0.99)*VLOOKUP((TRUNC(($AN40+0.01)*3/13,0)+0.99),'Tax scales - NAT 1004'!$A$53:$C$59,2,1)-VLOOKUP((TRUNC(($AN40+0.01)*3/13,0)+0.99),'Tax scales - NAT 1004'!$A$53:$C$59,3,1)),0)
*13/3,
0),
IF($E$2="Monthly",
ROUND(
ROUND(((TRUNC($AN40*3/13,0)+0.99)*VLOOKUP((TRUNC($AN40*3/13,0)+0.99),'Tax scales - NAT 1004'!$A$53:$C$59,2,1)-VLOOKUP((TRUNC($AN40*3/13,0)+0.99),'Tax scales - NAT 1004'!$A$53:$C$59,3,1)),0)
*13/3,
0),
""))),
""),
"")</f>
        <v/>
      </c>
      <c r="AT40" s="118" t="str">
        <f>IFERROR(
IF(VLOOKUP($C40,'Employee information'!$B:$M,COLUMNS('Employee information'!$B:$M),0)=6,
IF($E$2="Fortnightly",
ROUND(
ROUND((((TRUNC($AN40/2,0)+0.99))*VLOOKUP((TRUNC($AN40/2,0)+0.99),'Tax scales - NAT 1004'!$A$65:$C$73,2,1)-VLOOKUP((TRUNC($AN40/2,0)+0.99),'Tax scales - NAT 1004'!$A$65:$C$73,3,1)),0)
*2,
0),
IF(AND($E$2="Monthly",ROUND($AN40-TRUNC($AN40),2)=0.33),
ROUND(
ROUND(((TRUNC(($AN40+0.01)*3/13,0)+0.99)*VLOOKUP((TRUNC(($AN40+0.01)*3/13,0)+0.99),'Tax scales - NAT 1004'!$A$65:$C$73,2,1)-VLOOKUP((TRUNC(($AN40+0.01)*3/13,0)+0.99),'Tax scales - NAT 1004'!$A$65:$C$73,3,1)),0)
*13/3,
0),
IF($E$2="Monthly",
ROUND(
ROUND(((TRUNC($AN40*3/13,0)+0.99)*VLOOKUP((TRUNC($AN40*3/13,0)+0.99),'Tax scales - NAT 1004'!$A$65:$C$73,2,1)-VLOOKUP((TRUNC($AN40*3/13,0)+0.99),'Tax scales - NAT 1004'!$A$65:$C$73,3,1)),0)
*13/3,
0),
""))),
""),
"")</f>
        <v/>
      </c>
      <c r="AU40" s="118">
        <f>IFERROR(
IF(VLOOKUP($C40,'Employee information'!$B:$M,COLUMNS('Employee information'!$B:$M),0)=11,
IF($E$2="Fortnightly",
ROUND(
ROUND((((TRUNC($AN40/2,0)+0.99))*VLOOKUP((TRUNC($AN40/2,0)+0.99),'Tax scales - NAT 3539'!$A$14:$C$38,2,1)-VLOOKUP((TRUNC($AN40/2,0)+0.99),'Tax scales - NAT 3539'!$A$14:$C$38,3,1)),0)
*2,
0),
IF(AND($E$2="Monthly",ROUND($AN40-TRUNC($AN40),2)=0.33),
ROUND(
ROUND(((TRUNC(($AN40+0.01)*3/13,0)+0.99)*VLOOKUP((TRUNC(($AN40+0.01)*3/13,0)+0.99),'Tax scales - NAT 3539'!$A$14:$C$38,2,1)-VLOOKUP((TRUNC(($AN40+0.01)*3/13,0)+0.99),'Tax scales - NAT 3539'!$A$14:$C$38,3,1)),0)
*13/3,
0),
IF($E$2="Monthly",
ROUND(
ROUND(((TRUNC($AN40*3/13,0)+0.99)*VLOOKUP((TRUNC($AN40*3/13,0)+0.99),'Tax scales - NAT 3539'!$A$14:$C$38,2,1)-VLOOKUP((TRUNC($AN40*3/13,0)+0.99),'Tax scales - NAT 3539'!$A$14:$C$38,3,1)),0)
*13/3,
0),
""))),
""),
"")</f>
        <v>1448</v>
      </c>
      <c r="AV40" s="118" t="str">
        <f>IFERROR(
IF(VLOOKUP($C40,'Employee information'!$B:$M,COLUMNS('Employee information'!$B:$M),0)=22,
IF($E$2="Fortnightly",
ROUND(
ROUND((((TRUNC($AN40/2,0)+0.99))*VLOOKUP((TRUNC($AN40/2,0)+0.99),'Tax scales - NAT 3539'!$A$43:$C$69,2,1)-VLOOKUP((TRUNC($AN40/2,0)+0.99),'Tax scales - NAT 3539'!$A$43:$C$69,3,1)),0)
*2,
0),
IF(AND($E$2="Monthly",ROUND($AN40-TRUNC($AN40),2)=0.33),
ROUND(
ROUND(((TRUNC(($AN40+0.01)*3/13,0)+0.99)*VLOOKUP((TRUNC(($AN40+0.01)*3/13,0)+0.99),'Tax scales - NAT 3539'!$A$43:$C$69,2,1)-VLOOKUP((TRUNC(($AN40+0.01)*3/13,0)+0.99),'Tax scales - NAT 3539'!$A$43:$C$69,3,1)),0)
*13/3,
0),
IF($E$2="Monthly",
ROUND(
ROUND(((TRUNC($AN40*3/13,0)+0.99)*VLOOKUP((TRUNC($AN40*3/13,0)+0.99),'Tax scales - NAT 3539'!$A$43:$C$69,2,1)-VLOOKUP((TRUNC($AN40*3/13,0)+0.99),'Tax scales - NAT 3539'!$A$43:$C$69,3,1)),0)
*13/3,
0),
""))),
""),
"")</f>
        <v/>
      </c>
      <c r="AW40" s="118" t="str">
        <f>IFERROR(
IF(VLOOKUP($C40,'Employee information'!$B:$M,COLUMNS('Employee information'!$B:$M),0)=33,
IF($E$2="Fortnightly",
ROUND(
ROUND((((TRUNC($AN40/2,0)+0.99))*VLOOKUP((TRUNC($AN40/2,0)+0.99),'Tax scales - NAT 3539'!$A$74:$C$94,2,1)-VLOOKUP((TRUNC($AN40/2,0)+0.99),'Tax scales - NAT 3539'!$A$74:$C$94,3,1)),0)
*2,
0),
IF(AND($E$2="Monthly",ROUND($AN40-TRUNC($AN40),2)=0.33),
ROUND(
ROUND(((TRUNC(($AN40+0.01)*3/13,0)+0.99)*VLOOKUP((TRUNC(($AN40+0.01)*3/13,0)+0.99),'Tax scales - NAT 3539'!$A$74:$C$94,2,1)-VLOOKUP((TRUNC(($AN40+0.01)*3/13,0)+0.99),'Tax scales - NAT 3539'!$A$74:$C$94,3,1)),0)
*13/3,
0),
IF($E$2="Monthly",
ROUND(
ROUND(((TRUNC($AN40*3/13,0)+0.99)*VLOOKUP((TRUNC($AN40*3/13,0)+0.99),'Tax scales - NAT 3539'!$A$74:$C$94,2,1)-VLOOKUP((TRUNC($AN40*3/13,0)+0.99),'Tax scales - NAT 3539'!$A$74:$C$94,3,1)),0)
*13/3,
0),
""))),
""),
"")</f>
        <v/>
      </c>
      <c r="AX40" s="118" t="str">
        <f>IFERROR(
IF(VLOOKUP($C40,'Employee information'!$B:$M,COLUMNS('Employee information'!$B:$M),0)=55,
IF($E$2="Fortnightly",
ROUND(
ROUND((((TRUNC($AN40/2,0)+0.99))*VLOOKUP((TRUNC($AN40/2,0)+0.99),'Tax scales - NAT 3539'!$A$99:$C$123,2,1)-VLOOKUP((TRUNC($AN40/2,0)+0.99),'Tax scales - NAT 3539'!$A$99:$C$123,3,1)),0)
*2,
0),
IF(AND($E$2="Monthly",ROUND($AN40-TRUNC($AN40),2)=0.33),
ROUND(
ROUND(((TRUNC(($AN40+0.01)*3/13,0)+0.99)*VLOOKUP((TRUNC(($AN40+0.01)*3/13,0)+0.99),'Tax scales - NAT 3539'!$A$99:$C$123,2,1)-VLOOKUP((TRUNC(($AN40+0.01)*3/13,0)+0.99),'Tax scales - NAT 3539'!$A$99:$C$123,3,1)),0)
*13/3,
0),
IF($E$2="Monthly",
ROUND(
ROUND(((TRUNC($AN40*3/13,0)+0.99)*VLOOKUP((TRUNC($AN40*3/13,0)+0.99),'Tax scales - NAT 3539'!$A$99:$C$123,2,1)-VLOOKUP((TRUNC($AN40*3/13,0)+0.99),'Tax scales - NAT 3539'!$A$99:$C$123,3,1)),0)
*13/3,
0),
""))),
""),
"")</f>
        <v/>
      </c>
      <c r="AY40" s="118" t="str">
        <f>IFERROR(
IF(VLOOKUP($C40,'Employee information'!$B:$M,COLUMNS('Employee information'!$B:$M),0)=66,
IF($E$2="Fortnightly",
ROUND(
ROUND((((TRUNC($AN40/2,0)+0.99))*VLOOKUP((TRUNC($AN40/2,0)+0.99),'Tax scales - NAT 3539'!$A$127:$C$154,2,1)-VLOOKUP((TRUNC($AN40/2,0)+0.99),'Tax scales - NAT 3539'!$A$127:$C$154,3,1)),0)
*2,
0),
IF(AND($E$2="Monthly",ROUND($AN40-TRUNC($AN40),2)=0.33),
ROUND(
ROUND(((TRUNC(($AN40+0.01)*3/13,0)+0.99)*VLOOKUP((TRUNC(($AN40+0.01)*3/13,0)+0.99),'Tax scales - NAT 3539'!$A$127:$C$154,2,1)-VLOOKUP((TRUNC(($AN40+0.01)*3/13,0)+0.99),'Tax scales - NAT 3539'!$A$127:$C$154,3,1)),0)
*13/3,
0),
IF($E$2="Monthly",
ROUND(
ROUND(((TRUNC($AN40*3/13,0)+0.99)*VLOOKUP((TRUNC($AN40*3/13,0)+0.99),'Tax scales - NAT 3539'!$A$127:$C$154,2,1)-VLOOKUP((TRUNC($AN40*3/13,0)+0.99),'Tax scales - NAT 3539'!$A$127:$C$154,3,1)),0)
*13/3,
0),
""))),
""),
"")</f>
        <v/>
      </c>
      <c r="AZ40" s="118">
        <f>IFERROR(
HLOOKUP(VLOOKUP($C40,'Employee information'!$B:$M,COLUMNS('Employee information'!$B:$M),0),'PAYG worksheet'!$AO$39:$AY$58,COUNTA($C$40:$C40)+1,0),
0)</f>
        <v>1448</v>
      </c>
      <c r="BA40" s="118"/>
      <c r="BB40" s="118">
        <f>IFERROR($AM40-$AZ40-$BA40,"")</f>
        <v>2249.576396206533</v>
      </c>
      <c r="BC40" s="119">
        <f>IFERROR(
IF(OR($AE40=1,$AE40=""),SUM($P40,$AA40,$AC40,$AK40)*VLOOKUP($C40,'Employee information'!$B:$Q,COLUMNS('Employee information'!$B:$H),0),
IF($AE40=0,SUM($P40,$AA40,$AK40)*VLOOKUP($C40,'Employee information'!$B:$Q,COLUMNS('Employee information'!$B:$H),0),
0)),
0)</f>
        <v>351.26975763962065</v>
      </c>
      <c r="BE40" s="114">
        <f t="shared" ref="BE40:BE58" si="31">IF(AND($E$2="Monthly",$A40&gt;12),"",
SUMIFS($AM:$AM,$C:$C,$C40,$A:$A,"&lt;="&amp;$A40)
)</f>
        <v>7395.152792413066</v>
      </c>
      <c r="BF40" s="114">
        <f t="shared" ref="BF40:BF58" si="32">IF(AND($E$2="Monthly",$A40&gt;12),"",
SUMIFS($AN:$AN,$C:$C,$C40,$A:$A,"&lt;="&amp;$A40)
)</f>
        <v>7395.152792413066</v>
      </c>
      <c r="BG40" s="114">
        <f t="shared" ref="BG40:BG58" si="33">IF(AND($E$2="Monthly",$A40&gt;12),"",
SUMIFS($AC:$AC,$C:$C,$C40,$A:$A,"&lt;="&amp;$A40)
)</f>
        <v>0</v>
      </c>
      <c r="BH40" s="114">
        <f t="shared" ref="BH40:BH58" si="34">IF(AND($E$2="Monthly",$A40&gt;12),"",
SUMIFS($AG:$AG,$C:$C,$C40,$A:$A,"&lt;="&amp;$A40)
)</f>
        <v>0</v>
      </c>
      <c r="BI40" s="114">
        <f t="shared" ref="BI40:BI58" si="35">IF(AND($E$2="Monthly",$A40&gt;12),"",
SUMIFS($AZ:$AZ,$C:$C,$C40,$A:$A,"&lt;="&amp;$A40)
)</f>
        <v>2896</v>
      </c>
      <c r="BJ40" s="114">
        <f t="shared" ref="BJ40:BJ58" si="36">IF(AND($E$2="Monthly",$A40&gt;12),"",
SUMIFS($BA:$BA,$C:$C,$C40,$A:$A,"&lt;="&amp;$A40)
)</f>
        <v>0</v>
      </c>
      <c r="BK40" s="114">
        <f t="shared" ref="BK40:BK58" si="37">IF(AND($E$2="Monthly",$A40&gt;12),"",
SUMIFS($AJ:$AJ,$C:$C,$C40,$A:$A,"&lt;="&amp;$A40)
)</f>
        <v>0</v>
      </c>
      <c r="BL40" s="114">
        <f>IF(AND($E$2="Monthly",$A40&gt;12),"",
SUMIFS($AK:$AK,$C:$C,$C40,$A:$A,"&lt;="&amp;$A40)
)</f>
        <v>0</v>
      </c>
      <c r="BM40" s="114">
        <f t="shared" ref="BM40:BM58" si="38">IF(AND($E$2="Monthly",$A40&gt;12),"",
SUMIFS($BC:$BC,$C:$C,$C40,$A:$A,"&lt;="&amp;$A40)
)</f>
        <v>702.5395152792413</v>
      </c>
    </row>
    <row r="41" spans="1:65" x14ac:dyDescent="0.25">
      <c r="A41" s="228">
        <f t="shared" si="26"/>
        <v>2</v>
      </c>
      <c r="C41" s="278" t="s">
        <v>13</v>
      </c>
      <c r="E41" s="103">
        <f>IF($C41="",0,
IF(AND($E$2="Monthly",$A41&gt;12),0,
IF($E$2="Monthly",VLOOKUP($C41,'Employee information'!$B:$AM,COLUMNS('Employee information'!$B:S),0),
IF($E$2="Fortnightly",VLOOKUP($C41,'Employee information'!$B:$AM,COLUMNS('Employee information'!$B:R),0),
0))))</f>
        <v>0</v>
      </c>
      <c r="F41" s="106"/>
      <c r="G41" s="106"/>
      <c r="H41" s="106"/>
      <c r="I41" s="106"/>
      <c r="J41" s="103">
        <f t="shared" ref="J41:J58" si="39">IF($E$2="Monthly",
IF(AND($E$2="Monthly",$H41&lt;&gt;""),$H41,
IF(AND($E$2="Monthly",$E41=0),SUM($F41:$G41),
$E41)),
IF($E$2="Fortnightly",
IF(AND($E$2="Fortnightly",$H41&lt;&gt;""),$H41,
IF(AND($E$2="Fortnightly",$F41&lt;&gt;"",$E41&lt;&gt;0),$F41,
IF(AND($E$2="Fortnightly",$E41=0),SUM($F41:$G41),
$E41)))))</f>
        <v>0</v>
      </c>
      <c r="L41" s="113">
        <f>IF(AND($E$2="Monthly",$A41&gt;12),"",
IFERROR($J41*VLOOKUP($C41,'Employee information'!$B:$AI,COLUMNS('Employee information'!$B:$P),0),0))</f>
        <v>0</v>
      </c>
      <c r="M41" s="114">
        <f t="shared" ref="M41:M58" si="40">IF(AND($E$2="Monthly",$A41&gt;12),"",
SUMIFS($L:$L,$C:$C,$C41,$A:$A,"&lt;="&amp;$A41)
)</f>
        <v>1615.3846153846152</v>
      </c>
      <c r="O41" s="103">
        <f t="shared" ref="O41:O58" si="41">IF($E$2="Monthly",
IF(AND($E$2="Monthly",$H41&lt;&gt;""),$H41,
IF(AND($E$2="Monthly",$E41=0),$F41,
$E41)),
IF($E$2="Fortnightly",
IF(AND($E$2="Fortnightly",$H41&lt;&gt;""),$H41,
IF(AND($E$2="Fortnightly",$F41&lt;&gt;"",$E41&lt;&gt;0),$F41,
IF(AND($E$2="Fortnightly",$E41=0),$F41,
$E41)))))</f>
        <v>0</v>
      </c>
      <c r="P41" s="113">
        <f>IFERROR(
IF(AND($E$2="Monthly",$A41&gt;12),0,
$O41*VLOOKUP($C41,'Employee information'!$B:$AI,COLUMNS('Employee information'!$B:$P),0)),
0)</f>
        <v>0</v>
      </c>
      <c r="R41" s="114">
        <f t="shared" si="27"/>
        <v>1615.3846153846152</v>
      </c>
      <c r="T41" s="103"/>
      <c r="U41" s="103"/>
      <c r="V41" s="282">
        <f>IF($C41="","",
IF(AND($E$2="Monthly",$A41&gt;12),"",
$T41*VLOOKUP($C41,'Employee information'!$B:$P,COLUMNS('Employee information'!$B:$P),0)))</f>
        <v>0</v>
      </c>
      <c r="W41" s="282">
        <f>IF($C41="","",
IF(AND($E$2="Monthly",$A41&gt;12),"",
$U41*VLOOKUP($C41,'Employee information'!$B:$P,COLUMNS('Employee information'!$B:$P),0)))</f>
        <v>0</v>
      </c>
      <c r="X41" s="114">
        <f t="shared" si="28"/>
        <v>0</v>
      </c>
      <c r="Y41" s="114">
        <f t="shared" si="29"/>
        <v>288.46153846153845</v>
      </c>
      <c r="AA41" s="118">
        <f>IFERROR(
IF(OR('Basic payroll data'!$D$12="",'Basic payroll data'!$D$12="No"),0,
$T41*VLOOKUP($C41,'Employee information'!$B:$P,COLUMNS('Employee information'!$B:$P),0)*AL_loading_perc),
0)</f>
        <v>0</v>
      </c>
      <c r="AC41" s="118"/>
      <c r="AD41" s="118"/>
      <c r="AE41" s="283" t="str">
        <f t="shared" ref="AE41:AE58" si="42">IF(LEFT($AD41,6)="Is OTE",1,
IF(LEFT($AD41,10)="Is not OTE",0,
""))</f>
        <v/>
      </c>
      <c r="AF41" s="283" t="str">
        <f t="shared" ref="AF41:AF58" si="43">IF(RIGHT($AD41,12)="tax withheld",1,
IF(RIGHT($AD41,16)="tax not withheld",0,
""))</f>
        <v/>
      </c>
      <c r="AG41" s="118"/>
      <c r="AH41" s="118"/>
      <c r="AI41" s="283" t="str">
        <f t="shared" ref="AI41:AI58" si="44">IF($AH41="FBT",0,
IF($AH41="Not FBT",1,
""))</f>
        <v/>
      </c>
      <c r="AJ41" s="118"/>
      <c r="AK41" s="118"/>
      <c r="AM41" s="118">
        <f t="shared" ref="AM41:AM58" si="45">SUM($L41,$AA41,$AC41,$AG41,$AK41)-$AJ41</f>
        <v>0</v>
      </c>
      <c r="AN41" s="118">
        <f t="shared" si="30"/>
        <v>0</v>
      </c>
      <c r="AO41" s="118" t="str">
        <f>IFERROR(
IF(VLOOKUP($C41,'Employee information'!$B:$M,COLUMNS('Employee information'!$B:$M),0)=1,
IF($E$2="Fortnightly",
ROUND(
ROUND((((TRUNC($AN41/2,0)+0.99))*VLOOKUP((TRUNC($AN41/2,0)+0.99),'Tax scales - NAT 1004'!$A$12:$C$18,2,1)-VLOOKUP((TRUNC($AN41/2,0)+0.99),'Tax scales - NAT 1004'!$A$12:$C$18,3,1)),0)
*2,
0),
IF(AND($E$2="Monthly",ROUND($AN41-TRUNC($AN41),2)=0.33),
ROUND(
ROUND(((TRUNC(($AN41+0.01)*3/13,0)+0.99)*VLOOKUP((TRUNC(($AN41+0.01)*3/13,0)+0.99),'Tax scales - NAT 1004'!$A$12:$C$18,2,1)-VLOOKUP((TRUNC(($AN41+0.01)*3/13,0)+0.99),'Tax scales - NAT 1004'!$A$12:$C$18,3,1)),0)
*13/3,
0),
IF($E$2="Monthly",
ROUND(
ROUND(((TRUNC($AN41*3/13,0)+0.99)*VLOOKUP((TRUNC($AN41*3/13,0)+0.99),'Tax scales - NAT 1004'!$A$12:$C$18,2,1)-VLOOKUP((TRUNC($AN41*3/13,0)+0.99),'Tax scales - NAT 1004'!$A$12:$C$18,3,1)),0)
*13/3,
0),
""))),
""),
"")</f>
        <v/>
      </c>
      <c r="AP41" s="118" t="str">
        <f>IFERROR(
IF(VLOOKUP($C41,'Employee information'!$B:$M,COLUMNS('Employee information'!$B:$M),0)=2,
IF($E$2="Fortnightly",
ROUND(
ROUND((((TRUNC($AN41/2,0)+0.99))*VLOOKUP((TRUNC($AN41/2,0)+0.99),'Tax scales - NAT 1004'!$A$25:$C$33,2,1)-VLOOKUP((TRUNC($AN41/2,0)+0.99),'Tax scales - NAT 1004'!$A$25:$C$33,3,1)),0)
*2,
0),
IF(AND($E$2="Monthly",ROUND($AN41-TRUNC($AN41),2)=0.33),
ROUND(
ROUND(((TRUNC(($AN41+0.01)*3/13,0)+0.99)*VLOOKUP((TRUNC(($AN41+0.01)*3/13,0)+0.99),'Tax scales - NAT 1004'!$A$25:$C$33,2,1)-VLOOKUP((TRUNC(($AN41+0.01)*3/13,0)+0.99),'Tax scales - NAT 1004'!$A$25:$C$33,3,1)),0)
*13/3,
0),
IF($E$2="Monthly",
ROUND(
ROUND(((TRUNC($AN41*3/13,0)+0.99)*VLOOKUP((TRUNC($AN41*3/13,0)+0.99),'Tax scales - NAT 1004'!$A$25:$C$33,2,1)-VLOOKUP((TRUNC($AN41*3/13,0)+0.99),'Tax scales - NAT 1004'!$A$25:$C$33,3,1)),0)
*13/3,
0),
""))),
""),
"")</f>
        <v/>
      </c>
      <c r="AQ41" s="118" t="str">
        <f>IFERROR(
IF(VLOOKUP($C41,'Employee information'!$B:$M,COLUMNS('Employee information'!$B:$M),0)=3,
IF($E$2="Fortnightly",
ROUND(
ROUND((((TRUNC($AN41/2,0)+0.99))*VLOOKUP((TRUNC($AN41/2,0)+0.99),'Tax scales - NAT 1004'!$A$39:$C$41,2,1)-VLOOKUP((TRUNC($AN41/2,0)+0.99),'Tax scales - NAT 1004'!$A$39:$C$41,3,1)),0)
*2,
0),
IF(AND($E$2="Monthly",ROUND($AN41-TRUNC($AN41),2)=0.33),
ROUND(
ROUND(((TRUNC(($AN41+0.01)*3/13,0)+0.99)*VLOOKUP((TRUNC(($AN41+0.01)*3/13,0)+0.99),'Tax scales - NAT 1004'!$A$39:$C$41,2,1)-VLOOKUP((TRUNC(($AN41+0.01)*3/13,0)+0.99),'Tax scales - NAT 1004'!$A$39:$C$41,3,1)),0)
*13/3,
0),
IF($E$2="Monthly",
ROUND(
ROUND(((TRUNC($AN41*3/13,0)+0.99)*VLOOKUP((TRUNC($AN41*3/13,0)+0.99),'Tax scales - NAT 1004'!$A$39:$C$41,2,1)-VLOOKUP((TRUNC($AN41*3/13,0)+0.99),'Tax scales - NAT 1004'!$A$39:$C$41,3,1)),0)
*13/3,
0),
""))),
""),
"")</f>
        <v/>
      </c>
      <c r="AR41" s="118" t="str">
        <f>IFERROR(
IF(AND(VLOOKUP($C41,'Employee information'!$B:$M,COLUMNS('Employee information'!$B:$M),0)=4,
VLOOKUP($C41,'Employee information'!$B:$J,COLUMNS('Employee information'!$B:$J),0)="Resident"),
TRUNC(TRUNC($AN41)*'Tax scales - NAT 1004'!$B$47),
IF(AND(VLOOKUP($C41,'Employee information'!$B:$M,COLUMNS('Employee information'!$B:$M),0)=4,
VLOOKUP($C41,'Employee information'!$B:$J,COLUMNS('Employee information'!$B:$J),0)="Foreign resident"),
TRUNC(TRUNC($AN41)*'Tax scales - NAT 1004'!$B$48),
"")),
"")</f>
        <v/>
      </c>
      <c r="AS41" s="118" t="str">
        <f>IFERROR(
IF(VLOOKUP($C41,'Employee information'!$B:$M,COLUMNS('Employee information'!$B:$M),0)=5,
IF($E$2="Fortnightly",
ROUND(
ROUND((((TRUNC($AN41/2,0)+0.99))*VLOOKUP((TRUNC($AN41/2,0)+0.99),'Tax scales - NAT 1004'!$A$53:$C$59,2,1)-VLOOKUP((TRUNC($AN41/2,0)+0.99),'Tax scales - NAT 1004'!$A$53:$C$59,3,1)),0)
*2,
0),
IF(AND($E$2="Monthly",ROUND($AN41-TRUNC($AN41),2)=0.33),
ROUND(
ROUND(((TRUNC(($AN41+0.01)*3/13,0)+0.99)*VLOOKUP((TRUNC(($AN41+0.01)*3/13,0)+0.99),'Tax scales - NAT 1004'!$A$53:$C$59,2,1)-VLOOKUP((TRUNC(($AN41+0.01)*3/13,0)+0.99),'Tax scales - NAT 1004'!$A$53:$C$59,3,1)),0)
*13/3,
0),
IF($E$2="Monthly",
ROUND(
ROUND(((TRUNC($AN41*3/13,0)+0.99)*VLOOKUP((TRUNC($AN41*3/13,0)+0.99),'Tax scales - NAT 1004'!$A$53:$C$59,2,1)-VLOOKUP((TRUNC($AN41*3/13,0)+0.99),'Tax scales - NAT 1004'!$A$53:$C$59,3,1)),0)
*13/3,
0),
""))),
""),
"")</f>
        <v/>
      </c>
      <c r="AT41" s="118" t="str">
        <f>IFERROR(
IF(VLOOKUP($C41,'Employee information'!$B:$M,COLUMNS('Employee information'!$B:$M),0)=6,
IF($E$2="Fortnightly",
ROUND(
ROUND((((TRUNC($AN41/2,0)+0.99))*VLOOKUP((TRUNC($AN41/2,0)+0.99),'Tax scales - NAT 1004'!$A$65:$C$73,2,1)-VLOOKUP((TRUNC($AN41/2,0)+0.99),'Tax scales - NAT 1004'!$A$65:$C$73,3,1)),0)
*2,
0),
IF(AND($E$2="Monthly",ROUND($AN41-TRUNC($AN41),2)=0.33),
ROUND(
ROUND(((TRUNC(($AN41+0.01)*3/13,0)+0.99)*VLOOKUP((TRUNC(($AN41+0.01)*3/13,0)+0.99),'Tax scales - NAT 1004'!$A$65:$C$73,2,1)-VLOOKUP((TRUNC(($AN41+0.01)*3/13,0)+0.99),'Tax scales - NAT 1004'!$A$65:$C$73,3,1)),0)
*13/3,
0),
IF($E$2="Monthly",
ROUND(
ROUND(((TRUNC($AN41*3/13,0)+0.99)*VLOOKUP((TRUNC($AN41*3/13,0)+0.99),'Tax scales - NAT 1004'!$A$65:$C$73,2,1)-VLOOKUP((TRUNC($AN41*3/13,0)+0.99),'Tax scales - NAT 1004'!$A$65:$C$73,3,1)),0)
*13/3,
0),
""))),
""),
"")</f>
        <v/>
      </c>
      <c r="AU41" s="118">
        <f>IFERROR(
IF(VLOOKUP($C41,'Employee information'!$B:$M,COLUMNS('Employee information'!$B:$M),0)=11,
IF($E$2="Fortnightly",
ROUND(
ROUND((((TRUNC($AN41/2,0)+0.99))*VLOOKUP((TRUNC($AN41/2,0)+0.99),'Tax scales - NAT 3539'!$A$14:$C$38,2,1)-VLOOKUP((TRUNC($AN41/2,0)+0.99),'Tax scales - NAT 3539'!$A$14:$C$38,3,1)),0)
*2,
0),
IF(AND($E$2="Monthly",ROUND($AN41-TRUNC($AN41),2)=0.33),
ROUND(
ROUND(((TRUNC(($AN41+0.01)*3/13,0)+0.99)*VLOOKUP((TRUNC(($AN41+0.01)*3/13,0)+0.99),'Tax scales - NAT 3539'!$A$14:$C$38,2,1)-VLOOKUP((TRUNC(($AN41+0.01)*3/13,0)+0.99),'Tax scales - NAT 3539'!$A$14:$C$38,3,1)),0)
*13/3,
0),
IF($E$2="Monthly",
ROUND(
ROUND(((TRUNC($AN41*3/13,0)+0.99)*VLOOKUP((TRUNC($AN41*3/13,0)+0.99),'Tax scales - NAT 3539'!$A$14:$C$38,2,1)-VLOOKUP((TRUNC($AN41*3/13,0)+0.99),'Tax scales - NAT 3539'!$A$14:$C$38,3,1)),0)
*13/3,
0),
""))),
""),
"")</f>
        <v>0</v>
      </c>
      <c r="AV41" s="118" t="str">
        <f>IFERROR(
IF(VLOOKUP($C41,'Employee information'!$B:$M,COLUMNS('Employee information'!$B:$M),0)=22,
IF($E$2="Fortnightly",
ROUND(
ROUND((((TRUNC($AN41/2,0)+0.99))*VLOOKUP((TRUNC($AN41/2,0)+0.99),'Tax scales - NAT 3539'!$A$43:$C$69,2,1)-VLOOKUP((TRUNC($AN41/2,0)+0.99),'Tax scales - NAT 3539'!$A$43:$C$69,3,1)),0)
*2,
0),
IF(AND($E$2="Monthly",ROUND($AN41-TRUNC($AN41),2)=0.33),
ROUND(
ROUND(((TRUNC(($AN41+0.01)*3/13,0)+0.99)*VLOOKUP((TRUNC(($AN41+0.01)*3/13,0)+0.99),'Tax scales - NAT 3539'!$A$43:$C$69,2,1)-VLOOKUP((TRUNC(($AN41+0.01)*3/13,0)+0.99),'Tax scales - NAT 3539'!$A$43:$C$69,3,1)),0)
*13/3,
0),
IF($E$2="Monthly",
ROUND(
ROUND(((TRUNC($AN41*3/13,0)+0.99)*VLOOKUP((TRUNC($AN41*3/13,0)+0.99),'Tax scales - NAT 3539'!$A$43:$C$69,2,1)-VLOOKUP((TRUNC($AN41*3/13,0)+0.99),'Tax scales - NAT 3539'!$A$43:$C$69,3,1)),0)
*13/3,
0),
""))),
""),
"")</f>
        <v/>
      </c>
      <c r="AW41" s="118" t="str">
        <f>IFERROR(
IF(VLOOKUP($C41,'Employee information'!$B:$M,COLUMNS('Employee information'!$B:$M),0)=33,
IF($E$2="Fortnightly",
ROUND(
ROUND((((TRUNC($AN41/2,0)+0.99))*VLOOKUP((TRUNC($AN41/2,0)+0.99),'Tax scales - NAT 3539'!$A$74:$C$94,2,1)-VLOOKUP((TRUNC($AN41/2,0)+0.99),'Tax scales - NAT 3539'!$A$74:$C$94,3,1)),0)
*2,
0),
IF(AND($E$2="Monthly",ROUND($AN41-TRUNC($AN41),2)=0.33),
ROUND(
ROUND(((TRUNC(($AN41+0.01)*3/13,0)+0.99)*VLOOKUP((TRUNC(($AN41+0.01)*3/13,0)+0.99),'Tax scales - NAT 3539'!$A$74:$C$94,2,1)-VLOOKUP((TRUNC(($AN41+0.01)*3/13,0)+0.99),'Tax scales - NAT 3539'!$A$74:$C$94,3,1)),0)
*13/3,
0),
IF($E$2="Monthly",
ROUND(
ROUND(((TRUNC($AN41*3/13,0)+0.99)*VLOOKUP((TRUNC($AN41*3/13,0)+0.99),'Tax scales - NAT 3539'!$A$74:$C$94,2,1)-VLOOKUP((TRUNC($AN41*3/13,0)+0.99),'Tax scales - NAT 3539'!$A$74:$C$94,3,1)),0)
*13/3,
0),
""))),
""),
"")</f>
        <v/>
      </c>
      <c r="AX41" s="118" t="str">
        <f>IFERROR(
IF(VLOOKUP($C41,'Employee information'!$B:$M,COLUMNS('Employee information'!$B:$M),0)=55,
IF($E$2="Fortnightly",
ROUND(
ROUND((((TRUNC($AN41/2,0)+0.99))*VLOOKUP((TRUNC($AN41/2,0)+0.99),'Tax scales - NAT 3539'!$A$99:$C$123,2,1)-VLOOKUP((TRUNC($AN41/2,0)+0.99),'Tax scales - NAT 3539'!$A$99:$C$123,3,1)),0)
*2,
0),
IF(AND($E$2="Monthly",ROUND($AN41-TRUNC($AN41),2)=0.33),
ROUND(
ROUND(((TRUNC(($AN41+0.01)*3/13,0)+0.99)*VLOOKUP((TRUNC(($AN41+0.01)*3/13,0)+0.99),'Tax scales - NAT 3539'!$A$99:$C$123,2,1)-VLOOKUP((TRUNC(($AN41+0.01)*3/13,0)+0.99),'Tax scales - NAT 3539'!$A$99:$C$123,3,1)),0)
*13/3,
0),
IF($E$2="Monthly",
ROUND(
ROUND(((TRUNC($AN41*3/13,0)+0.99)*VLOOKUP((TRUNC($AN41*3/13,0)+0.99),'Tax scales - NAT 3539'!$A$99:$C$123,2,1)-VLOOKUP((TRUNC($AN41*3/13,0)+0.99),'Tax scales - NAT 3539'!$A$99:$C$123,3,1)),0)
*13/3,
0),
""))),
""),
"")</f>
        <v/>
      </c>
      <c r="AY41" s="118" t="str">
        <f>IFERROR(
IF(VLOOKUP($C41,'Employee information'!$B:$M,COLUMNS('Employee information'!$B:$M),0)=66,
IF($E$2="Fortnightly",
ROUND(
ROUND((((TRUNC($AN41/2,0)+0.99))*VLOOKUP((TRUNC($AN41/2,0)+0.99),'Tax scales - NAT 3539'!$A$127:$C$154,2,1)-VLOOKUP((TRUNC($AN41/2,0)+0.99),'Tax scales - NAT 3539'!$A$127:$C$154,3,1)),0)
*2,
0),
IF(AND($E$2="Monthly",ROUND($AN41-TRUNC($AN41),2)=0.33),
ROUND(
ROUND(((TRUNC(($AN41+0.01)*3/13,0)+0.99)*VLOOKUP((TRUNC(($AN41+0.01)*3/13,0)+0.99),'Tax scales - NAT 3539'!$A$127:$C$154,2,1)-VLOOKUP((TRUNC(($AN41+0.01)*3/13,0)+0.99),'Tax scales - NAT 3539'!$A$127:$C$154,3,1)),0)
*13/3,
0),
IF($E$2="Monthly",
ROUND(
ROUND(((TRUNC($AN41*3/13,0)+0.99)*VLOOKUP((TRUNC($AN41*3/13,0)+0.99),'Tax scales - NAT 3539'!$A$127:$C$154,2,1)-VLOOKUP((TRUNC($AN41*3/13,0)+0.99),'Tax scales - NAT 3539'!$A$127:$C$154,3,1)),0)
*13/3,
0),
""))),
""),
"")</f>
        <v/>
      </c>
      <c r="AZ41" s="118">
        <f>IFERROR(
HLOOKUP(VLOOKUP($C41,'Employee information'!$B:$M,COLUMNS('Employee information'!$B:$M),0),'PAYG worksheet'!$AO$39:$AY$58,COUNTA($C$40:$C41)+1,0),
0)</f>
        <v>0</v>
      </c>
      <c r="BA41" s="118"/>
      <c r="BB41" s="118">
        <f t="shared" ref="BB41:BB58" si="46">IFERROR($AM41-$AZ41-$BA41,"")</f>
        <v>0</v>
      </c>
      <c r="BC41" s="119">
        <f>IFERROR(
IF(OR($AE41=1,$AE41=""),SUM($P41,$AA41,$AC41,$AK41)*VLOOKUP($C41,'Employee information'!$B:$Q,COLUMNS('Employee information'!$B:$H),0),
IF($AE41=0,SUM($P41,$AA41,$AK41)*VLOOKUP($C41,'Employee information'!$B:$Q,COLUMNS('Employee information'!$B:$H),0),
0)),
0)</f>
        <v>0</v>
      </c>
      <c r="BE41" s="114">
        <f t="shared" si="31"/>
        <v>1615.3846153846152</v>
      </c>
      <c r="BF41" s="114">
        <f t="shared" si="32"/>
        <v>1615.3846153846152</v>
      </c>
      <c r="BG41" s="114">
        <f t="shared" si="33"/>
        <v>0</v>
      </c>
      <c r="BH41" s="114">
        <f t="shared" si="34"/>
        <v>0</v>
      </c>
      <c r="BI41" s="114">
        <f t="shared" si="35"/>
        <v>474</v>
      </c>
      <c r="BJ41" s="114">
        <f t="shared" si="36"/>
        <v>0</v>
      </c>
      <c r="BK41" s="114">
        <f t="shared" si="37"/>
        <v>0</v>
      </c>
      <c r="BL41" s="114">
        <f t="shared" ref="BL41:BL58" si="47">IF(AND($E$2="Monthly",$A41&gt;12),"",
SUMIFS($AK:$AK,$C:$C,$C41,$A:$A,"&lt;="&amp;$A41)
)</f>
        <v>0</v>
      </c>
      <c r="BM41" s="114">
        <f t="shared" si="38"/>
        <v>153.46153846153845</v>
      </c>
    </row>
    <row r="42" spans="1:65" x14ac:dyDescent="0.25">
      <c r="A42" s="228">
        <f t="shared" si="26"/>
        <v>2</v>
      </c>
      <c r="C42" s="278" t="s">
        <v>14</v>
      </c>
      <c r="E42" s="103">
        <f>IF($C42="",0,
IF(AND($E$2="Monthly",$A42&gt;12),0,
IF($E$2="Monthly",VLOOKUP($C42,'Employee information'!$B:$AM,COLUMNS('Employee information'!$B:S),0),
IF($E$2="Fortnightly",VLOOKUP($C42,'Employee information'!$B:$AM,COLUMNS('Employee information'!$B:R),0),
0))))</f>
        <v>0</v>
      </c>
      <c r="F42" s="106"/>
      <c r="G42" s="106"/>
      <c r="H42" s="106"/>
      <c r="I42" s="106"/>
      <c r="J42" s="103">
        <f t="shared" si="39"/>
        <v>0</v>
      </c>
      <c r="L42" s="113">
        <f>IF(AND($E$2="Monthly",$A42&gt;12),"",
IFERROR($J42*VLOOKUP($C42,'Employee information'!$B:$AI,COLUMNS('Employee information'!$B:$P),0),0))</f>
        <v>0</v>
      </c>
      <c r="M42" s="114">
        <f t="shared" si="40"/>
        <v>900</v>
      </c>
      <c r="O42" s="103">
        <f t="shared" si="41"/>
        <v>0</v>
      </c>
      <c r="P42" s="113">
        <f>IFERROR(
IF(AND($E$2="Monthly",$A42&gt;12),0,
$O42*VLOOKUP($C42,'Employee information'!$B:$AI,COLUMNS('Employee information'!$B:$P),0)),
0)</f>
        <v>0</v>
      </c>
      <c r="R42" s="114">
        <f t="shared" si="27"/>
        <v>900</v>
      </c>
      <c r="T42" s="103"/>
      <c r="U42" s="103"/>
      <c r="V42" s="282">
        <f>IF($C42="","",
IF(AND($E$2="Monthly",$A42&gt;12),"",
$T42*VLOOKUP($C42,'Employee information'!$B:$P,COLUMNS('Employee information'!$B:$P),0)))</f>
        <v>0</v>
      </c>
      <c r="W42" s="282">
        <f>IF($C42="","",
IF(AND($E$2="Monthly",$A42&gt;12),"",
$U42*VLOOKUP($C42,'Employee information'!$B:$P,COLUMNS('Employee information'!$B:$P),0)))</f>
        <v>0</v>
      </c>
      <c r="X42" s="114">
        <f t="shared" si="28"/>
        <v>0</v>
      </c>
      <c r="Y42" s="114">
        <f t="shared" si="29"/>
        <v>0</v>
      </c>
      <c r="AA42" s="118">
        <f>IFERROR(
IF(OR('Basic payroll data'!$D$12="",'Basic payroll data'!$D$12="No"),0,
$T42*VLOOKUP($C42,'Employee information'!$B:$P,COLUMNS('Employee information'!$B:$P),0)*AL_loading_perc),
0)</f>
        <v>0</v>
      </c>
      <c r="AC42" s="118"/>
      <c r="AD42" s="118"/>
      <c r="AE42" s="283" t="str">
        <f t="shared" si="42"/>
        <v/>
      </c>
      <c r="AF42" s="283" t="str">
        <f t="shared" si="43"/>
        <v/>
      </c>
      <c r="AG42" s="118"/>
      <c r="AH42" s="118"/>
      <c r="AI42" s="283" t="str">
        <f t="shared" si="44"/>
        <v/>
      </c>
      <c r="AJ42" s="118"/>
      <c r="AK42" s="118"/>
      <c r="AM42" s="118">
        <f t="shared" si="45"/>
        <v>0</v>
      </c>
      <c r="AN42" s="118">
        <f t="shared" si="30"/>
        <v>0</v>
      </c>
      <c r="AO42" s="118" t="str">
        <f>IFERROR(
IF(VLOOKUP($C42,'Employee information'!$B:$M,COLUMNS('Employee information'!$B:$M),0)=1,
IF($E$2="Fortnightly",
ROUND(
ROUND((((TRUNC($AN42/2,0)+0.99))*VLOOKUP((TRUNC($AN42/2,0)+0.99),'Tax scales - NAT 1004'!$A$12:$C$18,2,1)-VLOOKUP((TRUNC($AN42/2,0)+0.99),'Tax scales - NAT 1004'!$A$12:$C$18,3,1)),0)
*2,
0),
IF(AND($E$2="Monthly",ROUND($AN42-TRUNC($AN42),2)=0.33),
ROUND(
ROUND(((TRUNC(($AN42+0.01)*3/13,0)+0.99)*VLOOKUP((TRUNC(($AN42+0.01)*3/13,0)+0.99),'Tax scales - NAT 1004'!$A$12:$C$18,2,1)-VLOOKUP((TRUNC(($AN42+0.01)*3/13,0)+0.99),'Tax scales - NAT 1004'!$A$12:$C$18,3,1)),0)
*13/3,
0),
IF($E$2="Monthly",
ROUND(
ROUND(((TRUNC($AN42*3/13,0)+0.99)*VLOOKUP((TRUNC($AN42*3/13,0)+0.99),'Tax scales - NAT 1004'!$A$12:$C$18,2,1)-VLOOKUP((TRUNC($AN42*3/13,0)+0.99),'Tax scales - NAT 1004'!$A$12:$C$18,3,1)),0)
*13/3,
0),
""))),
""),
"")</f>
        <v/>
      </c>
      <c r="AP42" s="118" t="str">
        <f>IFERROR(
IF(VLOOKUP($C42,'Employee information'!$B:$M,COLUMNS('Employee information'!$B:$M),0)=2,
IF($E$2="Fortnightly",
ROUND(
ROUND((((TRUNC($AN42/2,0)+0.99))*VLOOKUP((TRUNC($AN42/2,0)+0.99),'Tax scales - NAT 1004'!$A$25:$C$33,2,1)-VLOOKUP((TRUNC($AN42/2,0)+0.99),'Tax scales - NAT 1004'!$A$25:$C$33,3,1)),0)
*2,
0),
IF(AND($E$2="Monthly",ROUND($AN42-TRUNC($AN42),2)=0.33),
ROUND(
ROUND(((TRUNC(($AN42+0.01)*3/13,0)+0.99)*VLOOKUP((TRUNC(($AN42+0.01)*3/13,0)+0.99),'Tax scales - NAT 1004'!$A$25:$C$33,2,1)-VLOOKUP((TRUNC(($AN42+0.01)*3/13,0)+0.99),'Tax scales - NAT 1004'!$A$25:$C$33,3,1)),0)
*13/3,
0),
IF($E$2="Monthly",
ROUND(
ROUND(((TRUNC($AN42*3/13,0)+0.99)*VLOOKUP((TRUNC($AN42*3/13,0)+0.99),'Tax scales - NAT 1004'!$A$25:$C$33,2,1)-VLOOKUP((TRUNC($AN42*3/13,0)+0.99),'Tax scales - NAT 1004'!$A$25:$C$33,3,1)),0)
*13/3,
0),
""))),
""),
"")</f>
        <v/>
      </c>
      <c r="AQ42" s="118" t="str">
        <f>IFERROR(
IF(VLOOKUP($C42,'Employee information'!$B:$M,COLUMNS('Employee information'!$B:$M),0)=3,
IF($E$2="Fortnightly",
ROUND(
ROUND((((TRUNC($AN42/2,0)+0.99))*VLOOKUP((TRUNC($AN42/2,0)+0.99),'Tax scales - NAT 1004'!$A$39:$C$41,2,1)-VLOOKUP((TRUNC($AN42/2,0)+0.99),'Tax scales - NAT 1004'!$A$39:$C$41,3,1)),0)
*2,
0),
IF(AND($E$2="Monthly",ROUND($AN42-TRUNC($AN42),2)=0.33),
ROUND(
ROUND(((TRUNC(($AN42+0.01)*3/13,0)+0.99)*VLOOKUP((TRUNC(($AN42+0.01)*3/13,0)+0.99),'Tax scales - NAT 1004'!$A$39:$C$41,2,1)-VLOOKUP((TRUNC(($AN42+0.01)*3/13,0)+0.99),'Tax scales - NAT 1004'!$A$39:$C$41,3,1)),0)
*13/3,
0),
IF($E$2="Monthly",
ROUND(
ROUND(((TRUNC($AN42*3/13,0)+0.99)*VLOOKUP((TRUNC($AN42*3/13,0)+0.99),'Tax scales - NAT 1004'!$A$39:$C$41,2,1)-VLOOKUP((TRUNC($AN42*3/13,0)+0.99),'Tax scales - NAT 1004'!$A$39:$C$41,3,1)),0)
*13/3,
0),
""))),
""),
"")</f>
        <v/>
      </c>
      <c r="AR42" s="118" t="str">
        <f>IFERROR(
IF(AND(VLOOKUP($C42,'Employee information'!$B:$M,COLUMNS('Employee information'!$B:$M),0)=4,
VLOOKUP($C42,'Employee information'!$B:$J,COLUMNS('Employee information'!$B:$J),0)="Resident"),
TRUNC(TRUNC($AN42)*'Tax scales - NAT 1004'!$B$47),
IF(AND(VLOOKUP($C42,'Employee information'!$B:$M,COLUMNS('Employee information'!$B:$M),0)=4,
VLOOKUP($C42,'Employee information'!$B:$J,COLUMNS('Employee information'!$B:$J),0)="Foreign resident"),
TRUNC(TRUNC($AN42)*'Tax scales - NAT 1004'!$B$48),
"")),
"")</f>
        <v/>
      </c>
      <c r="AS42" s="118" t="str">
        <f>IFERROR(
IF(VLOOKUP($C42,'Employee information'!$B:$M,COLUMNS('Employee information'!$B:$M),0)=5,
IF($E$2="Fortnightly",
ROUND(
ROUND((((TRUNC($AN42/2,0)+0.99))*VLOOKUP((TRUNC($AN42/2,0)+0.99),'Tax scales - NAT 1004'!$A$53:$C$59,2,1)-VLOOKUP((TRUNC($AN42/2,0)+0.99),'Tax scales - NAT 1004'!$A$53:$C$59,3,1)),0)
*2,
0),
IF(AND($E$2="Monthly",ROUND($AN42-TRUNC($AN42),2)=0.33),
ROUND(
ROUND(((TRUNC(($AN42+0.01)*3/13,0)+0.99)*VLOOKUP((TRUNC(($AN42+0.01)*3/13,0)+0.99),'Tax scales - NAT 1004'!$A$53:$C$59,2,1)-VLOOKUP((TRUNC(($AN42+0.01)*3/13,0)+0.99),'Tax scales - NAT 1004'!$A$53:$C$59,3,1)),0)
*13/3,
0),
IF($E$2="Monthly",
ROUND(
ROUND(((TRUNC($AN42*3/13,0)+0.99)*VLOOKUP((TRUNC($AN42*3/13,0)+0.99),'Tax scales - NAT 1004'!$A$53:$C$59,2,1)-VLOOKUP((TRUNC($AN42*3/13,0)+0.99),'Tax scales - NAT 1004'!$A$53:$C$59,3,1)),0)
*13/3,
0),
""))),
""),
"")</f>
        <v/>
      </c>
      <c r="AT42" s="118" t="str">
        <f>IFERROR(
IF(VLOOKUP($C42,'Employee information'!$B:$M,COLUMNS('Employee information'!$B:$M),0)=6,
IF($E$2="Fortnightly",
ROUND(
ROUND((((TRUNC($AN42/2,0)+0.99))*VLOOKUP((TRUNC($AN42/2,0)+0.99),'Tax scales - NAT 1004'!$A$65:$C$73,2,1)-VLOOKUP((TRUNC($AN42/2,0)+0.99),'Tax scales - NAT 1004'!$A$65:$C$73,3,1)),0)
*2,
0),
IF(AND($E$2="Monthly",ROUND($AN42-TRUNC($AN42),2)=0.33),
ROUND(
ROUND(((TRUNC(($AN42+0.01)*3/13,0)+0.99)*VLOOKUP((TRUNC(($AN42+0.01)*3/13,0)+0.99),'Tax scales - NAT 1004'!$A$65:$C$73,2,1)-VLOOKUP((TRUNC(($AN42+0.01)*3/13,0)+0.99),'Tax scales - NAT 1004'!$A$65:$C$73,3,1)),0)
*13/3,
0),
IF($E$2="Monthly",
ROUND(
ROUND(((TRUNC($AN42*3/13,0)+0.99)*VLOOKUP((TRUNC($AN42*3/13,0)+0.99),'Tax scales - NAT 1004'!$A$65:$C$73,2,1)-VLOOKUP((TRUNC($AN42*3/13,0)+0.99),'Tax scales - NAT 1004'!$A$65:$C$73,3,1)),0)
*13/3,
0),
""))),
""),
"")</f>
        <v/>
      </c>
      <c r="AU42" s="118" t="str">
        <f>IFERROR(
IF(VLOOKUP($C42,'Employee information'!$B:$M,COLUMNS('Employee information'!$B:$M),0)=11,
IF($E$2="Fortnightly",
ROUND(
ROUND((((TRUNC($AN42/2,0)+0.99))*VLOOKUP((TRUNC($AN42/2,0)+0.99),'Tax scales - NAT 3539'!$A$14:$C$38,2,1)-VLOOKUP((TRUNC($AN42/2,0)+0.99),'Tax scales - NAT 3539'!$A$14:$C$38,3,1)),0)
*2,
0),
IF(AND($E$2="Monthly",ROUND($AN42-TRUNC($AN42),2)=0.33),
ROUND(
ROUND(((TRUNC(($AN42+0.01)*3/13,0)+0.99)*VLOOKUP((TRUNC(($AN42+0.01)*3/13,0)+0.99),'Tax scales - NAT 3539'!$A$14:$C$38,2,1)-VLOOKUP((TRUNC(($AN42+0.01)*3/13,0)+0.99),'Tax scales - NAT 3539'!$A$14:$C$38,3,1)),0)
*13/3,
0),
IF($E$2="Monthly",
ROUND(
ROUND(((TRUNC($AN42*3/13,0)+0.99)*VLOOKUP((TRUNC($AN42*3/13,0)+0.99),'Tax scales - NAT 3539'!$A$14:$C$38,2,1)-VLOOKUP((TRUNC($AN42*3/13,0)+0.99),'Tax scales - NAT 3539'!$A$14:$C$38,3,1)),0)
*13/3,
0),
""))),
""),
"")</f>
        <v/>
      </c>
      <c r="AV42" s="118" t="str">
        <f>IFERROR(
IF(VLOOKUP($C42,'Employee information'!$B:$M,COLUMNS('Employee information'!$B:$M),0)=22,
IF($E$2="Fortnightly",
ROUND(
ROUND((((TRUNC($AN42/2,0)+0.99))*VLOOKUP((TRUNC($AN42/2,0)+0.99),'Tax scales - NAT 3539'!$A$43:$C$69,2,1)-VLOOKUP((TRUNC($AN42/2,0)+0.99),'Tax scales - NAT 3539'!$A$43:$C$69,3,1)),0)
*2,
0),
IF(AND($E$2="Monthly",ROUND($AN42-TRUNC($AN42),2)=0.33),
ROUND(
ROUND(((TRUNC(($AN42+0.01)*3/13,0)+0.99)*VLOOKUP((TRUNC(($AN42+0.01)*3/13,0)+0.99),'Tax scales - NAT 3539'!$A$43:$C$69,2,1)-VLOOKUP((TRUNC(($AN42+0.01)*3/13,0)+0.99),'Tax scales - NAT 3539'!$A$43:$C$69,3,1)),0)
*13/3,
0),
IF($E$2="Monthly",
ROUND(
ROUND(((TRUNC($AN42*3/13,0)+0.99)*VLOOKUP((TRUNC($AN42*3/13,0)+0.99),'Tax scales - NAT 3539'!$A$43:$C$69,2,1)-VLOOKUP((TRUNC($AN42*3/13,0)+0.99),'Tax scales - NAT 3539'!$A$43:$C$69,3,1)),0)
*13/3,
0),
""))),
""),
"")</f>
        <v/>
      </c>
      <c r="AW42" s="118">
        <f>IFERROR(
IF(VLOOKUP($C42,'Employee information'!$B:$M,COLUMNS('Employee information'!$B:$M),0)=33,
IF($E$2="Fortnightly",
ROUND(
ROUND((((TRUNC($AN42/2,0)+0.99))*VLOOKUP((TRUNC($AN42/2,0)+0.99),'Tax scales - NAT 3539'!$A$74:$C$94,2,1)-VLOOKUP((TRUNC($AN42/2,0)+0.99),'Tax scales - NAT 3539'!$A$74:$C$94,3,1)),0)
*2,
0),
IF(AND($E$2="Monthly",ROUND($AN42-TRUNC($AN42),2)=0.33),
ROUND(
ROUND(((TRUNC(($AN42+0.01)*3/13,0)+0.99)*VLOOKUP((TRUNC(($AN42+0.01)*3/13,0)+0.99),'Tax scales - NAT 3539'!$A$74:$C$94,2,1)-VLOOKUP((TRUNC(($AN42+0.01)*3/13,0)+0.99),'Tax scales - NAT 3539'!$A$74:$C$94,3,1)),0)
*13/3,
0),
IF($E$2="Monthly",
ROUND(
ROUND(((TRUNC($AN42*3/13,0)+0.99)*VLOOKUP((TRUNC($AN42*3/13,0)+0.99),'Tax scales - NAT 3539'!$A$74:$C$94,2,1)-VLOOKUP((TRUNC($AN42*3/13,0)+0.99),'Tax scales - NAT 3539'!$A$74:$C$94,3,1)),0)
*13/3,
0),
""))),
""),
"")</f>
        <v>0</v>
      </c>
      <c r="AX42" s="118" t="str">
        <f>IFERROR(
IF(VLOOKUP($C42,'Employee information'!$B:$M,COLUMNS('Employee information'!$B:$M),0)=55,
IF($E$2="Fortnightly",
ROUND(
ROUND((((TRUNC($AN42/2,0)+0.99))*VLOOKUP((TRUNC($AN42/2,0)+0.99),'Tax scales - NAT 3539'!$A$99:$C$123,2,1)-VLOOKUP((TRUNC($AN42/2,0)+0.99),'Tax scales - NAT 3539'!$A$99:$C$123,3,1)),0)
*2,
0),
IF(AND($E$2="Monthly",ROUND($AN42-TRUNC($AN42),2)=0.33),
ROUND(
ROUND(((TRUNC(($AN42+0.01)*3/13,0)+0.99)*VLOOKUP((TRUNC(($AN42+0.01)*3/13,0)+0.99),'Tax scales - NAT 3539'!$A$99:$C$123,2,1)-VLOOKUP((TRUNC(($AN42+0.01)*3/13,0)+0.99),'Tax scales - NAT 3539'!$A$99:$C$123,3,1)),0)
*13/3,
0),
IF($E$2="Monthly",
ROUND(
ROUND(((TRUNC($AN42*3/13,0)+0.99)*VLOOKUP((TRUNC($AN42*3/13,0)+0.99),'Tax scales - NAT 3539'!$A$99:$C$123,2,1)-VLOOKUP((TRUNC($AN42*3/13,0)+0.99),'Tax scales - NAT 3539'!$A$99:$C$123,3,1)),0)
*13/3,
0),
""))),
""),
"")</f>
        <v/>
      </c>
      <c r="AY42" s="118" t="str">
        <f>IFERROR(
IF(VLOOKUP($C42,'Employee information'!$B:$M,COLUMNS('Employee information'!$B:$M),0)=66,
IF($E$2="Fortnightly",
ROUND(
ROUND((((TRUNC($AN42/2,0)+0.99))*VLOOKUP((TRUNC($AN42/2,0)+0.99),'Tax scales - NAT 3539'!$A$127:$C$154,2,1)-VLOOKUP((TRUNC($AN42/2,0)+0.99),'Tax scales - NAT 3539'!$A$127:$C$154,3,1)),0)
*2,
0),
IF(AND($E$2="Monthly",ROUND($AN42-TRUNC($AN42),2)=0.33),
ROUND(
ROUND(((TRUNC(($AN42+0.01)*3/13,0)+0.99)*VLOOKUP((TRUNC(($AN42+0.01)*3/13,0)+0.99),'Tax scales - NAT 3539'!$A$127:$C$154,2,1)-VLOOKUP((TRUNC(($AN42+0.01)*3/13,0)+0.99),'Tax scales - NAT 3539'!$A$127:$C$154,3,1)),0)
*13/3,
0),
IF($E$2="Monthly",
ROUND(
ROUND(((TRUNC($AN42*3/13,0)+0.99)*VLOOKUP((TRUNC($AN42*3/13,0)+0.99),'Tax scales - NAT 3539'!$A$127:$C$154,2,1)-VLOOKUP((TRUNC($AN42*3/13,0)+0.99),'Tax scales - NAT 3539'!$A$127:$C$154,3,1)),0)
*13/3,
0),
""))),
""),
"")</f>
        <v/>
      </c>
      <c r="AZ42" s="118">
        <f>IFERROR(
HLOOKUP(VLOOKUP($C42,'Employee information'!$B:$M,COLUMNS('Employee information'!$B:$M),0),'PAYG worksheet'!$AO$39:$AY$58,COUNTA($C$40:$C42)+1,0),
0)</f>
        <v>0</v>
      </c>
      <c r="BA42" s="118"/>
      <c r="BB42" s="118">
        <f t="shared" si="46"/>
        <v>0</v>
      </c>
      <c r="BC42" s="119">
        <f>IFERROR(
IF(OR($AE42=1,$AE42=""),SUM($P42,$AA42,$AC42,$AK42)*VLOOKUP($C42,'Employee information'!$B:$Q,COLUMNS('Employee information'!$B:$H),0),
IF($AE42=0,SUM($P42,$AA42,$AK42)*VLOOKUP($C42,'Employee information'!$B:$Q,COLUMNS('Employee information'!$B:$H),0),
0)),
0)</f>
        <v>0</v>
      </c>
      <c r="BE42" s="114">
        <f t="shared" si="31"/>
        <v>900</v>
      </c>
      <c r="BF42" s="114">
        <f t="shared" si="32"/>
        <v>900</v>
      </c>
      <c r="BG42" s="114">
        <f t="shared" si="33"/>
        <v>0</v>
      </c>
      <c r="BH42" s="114">
        <f t="shared" si="34"/>
        <v>0</v>
      </c>
      <c r="BI42" s="114">
        <f t="shared" si="35"/>
        <v>292</v>
      </c>
      <c r="BJ42" s="114">
        <f t="shared" si="36"/>
        <v>0</v>
      </c>
      <c r="BK42" s="114">
        <f t="shared" si="37"/>
        <v>0</v>
      </c>
      <c r="BL42" s="114">
        <f t="shared" si="47"/>
        <v>0</v>
      </c>
      <c r="BM42" s="114">
        <f t="shared" si="38"/>
        <v>85.5</v>
      </c>
    </row>
    <row r="43" spans="1:65" x14ac:dyDescent="0.25">
      <c r="A43" s="228">
        <f t="shared" si="26"/>
        <v>2</v>
      </c>
      <c r="C43" s="278" t="s">
        <v>15</v>
      </c>
      <c r="E43" s="103">
        <f>IF($C43="",0,
IF(AND($E$2="Monthly",$A43&gt;12),0,
IF($E$2="Monthly",VLOOKUP($C43,'Employee information'!$B:$AM,COLUMNS('Employee information'!$B:S),0),
IF($E$2="Fortnightly",VLOOKUP($C43,'Employee information'!$B:$AM,COLUMNS('Employee information'!$B:R),0),
0))))</f>
        <v>75</v>
      </c>
      <c r="F43" s="106"/>
      <c r="G43" s="106"/>
      <c r="H43" s="106"/>
      <c r="I43" s="106"/>
      <c r="J43" s="103">
        <f t="shared" si="39"/>
        <v>75</v>
      </c>
      <c r="L43" s="113">
        <f>IF(AND($E$2="Monthly",$A43&gt;12),"",
IFERROR($J43*VLOOKUP($C43,'Employee information'!$B:$AI,COLUMNS('Employee information'!$B:$P),0),0))</f>
        <v>7692.3076923076924</v>
      </c>
      <c r="M43" s="114">
        <f t="shared" si="40"/>
        <v>15384.615384615385</v>
      </c>
      <c r="O43" s="103">
        <f t="shared" si="41"/>
        <v>75</v>
      </c>
      <c r="P43" s="113">
        <f>IFERROR(
IF(AND($E$2="Monthly",$A43&gt;12),0,
$O43*VLOOKUP($C43,'Employee information'!$B:$AI,COLUMNS('Employee information'!$B:$P),0)),
0)</f>
        <v>7692.3076923076924</v>
      </c>
      <c r="R43" s="114">
        <f t="shared" si="27"/>
        <v>15384.615384615385</v>
      </c>
      <c r="T43" s="103"/>
      <c r="U43" s="103"/>
      <c r="V43" s="282">
        <f>IF($C43="","",
IF(AND($E$2="Monthly",$A43&gt;12),"",
$T43*VLOOKUP($C43,'Employee information'!$B:$P,COLUMNS('Employee information'!$B:$P),0)))</f>
        <v>0</v>
      </c>
      <c r="W43" s="282">
        <f>IF($C43="","",
IF(AND($E$2="Monthly",$A43&gt;12),"",
$U43*VLOOKUP($C43,'Employee information'!$B:$P,COLUMNS('Employee information'!$B:$P),0)))</f>
        <v>0</v>
      </c>
      <c r="X43" s="114">
        <f t="shared" si="28"/>
        <v>1538.4615384615386</v>
      </c>
      <c r="Y43" s="114">
        <f t="shared" si="29"/>
        <v>512.82051282051282</v>
      </c>
      <c r="AA43" s="118">
        <f>IFERROR(
IF(OR('Basic payroll data'!$D$12="",'Basic payroll data'!$D$12="No"),0,
$T43*VLOOKUP($C43,'Employee information'!$B:$P,COLUMNS('Employee information'!$B:$P),0)*AL_loading_perc),
0)</f>
        <v>0</v>
      </c>
      <c r="AC43" s="118"/>
      <c r="AD43" s="118"/>
      <c r="AE43" s="283" t="str">
        <f t="shared" si="42"/>
        <v/>
      </c>
      <c r="AF43" s="283" t="str">
        <f t="shared" si="43"/>
        <v/>
      </c>
      <c r="AG43" s="118"/>
      <c r="AH43" s="118"/>
      <c r="AI43" s="283" t="str">
        <f t="shared" si="44"/>
        <v/>
      </c>
      <c r="AJ43" s="118"/>
      <c r="AK43" s="118"/>
      <c r="AM43" s="118">
        <f t="shared" si="45"/>
        <v>7692.3076923076924</v>
      </c>
      <c r="AN43" s="118">
        <f t="shared" si="30"/>
        <v>7692.3076923076924</v>
      </c>
      <c r="AO43" s="118" t="str">
        <f>IFERROR(
IF(VLOOKUP($C43,'Employee information'!$B:$M,COLUMNS('Employee information'!$B:$M),0)=1,
IF($E$2="Fortnightly",
ROUND(
ROUND((((TRUNC($AN43/2,0)+0.99))*VLOOKUP((TRUNC($AN43/2,0)+0.99),'Tax scales - NAT 1004'!$A$12:$C$18,2,1)-VLOOKUP((TRUNC($AN43/2,0)+0.99),'Tax scales - NAT 1004'!$A$12:$C$18,3,1)),0)
*2,
0),
IF(AND($E$2="Monthly",ROUND($AN43-TRUNC($AN43),2)=0.33),
ROUND(
ROUND(((TRUNC(($AN43+0.01)*3/13,0)+0.99)*VLOOKUP((TRUNC(($AN43+0.01)*3/13,0)+0.99),'Tax scales - NAT 1004'!$A$12:$C$18,2,1)-VLOOKUP((TRUNC(($AN43+0.01)*3/13,0)+0.99),'Tax scales - NAT 1004'!$A$12:$C$18,3,1)),0)
*13/3,
0),
IF($E$2="Monthly",
ROUND(
ROUND(((TRUNC($AN43*3/13,0)+0.99)*VLOOKUP((TRUNC($AN43*3/13,0)+0.99),'Tax scales - NAT 1004'!$A$12:$C$18,2,1)-VLOOKUP((TRUNC($AN43*3/13,0)+0.99),'Tax scales - NAT 1004'!$A$12:$C$18,3,1)),0)
*13/3,
0),
""))),
""),
"")</f>
        <v/>
      </c>
      <c r="AP43" s="118" t="str">
        <f>IFERROR(
IF(VLOOKUP($C43,'Employee information'!$B:$M,COLUMNS('Employee information'!$B:$M),0)=2,
IF($E$2="Fortnightly",
ROUND(
ROUND((((TRUNC($AN43/2,0)+0.99))*VLOOKUP((TRUNC($AN43/2,0)+0.99),'Tax scales - NAT 1004'!$A$25:$C$33,2,1)-VLOOKUP((TRUNC($AN43/2,0)+0.99),'Tax scales - NAT 1004'!$A$25:$C$33,3,1)),0)
*2,
0),
IF(AND($E$2="Monthly",ROUND($AN43-TRUNC($AN43),2)=0.33),
ROUND(
ROUND(((TRUNC(($AN43+0.01)*3/13,0)+0.99)*VLOOKUP((TRUNC(($AN43+0.01)*3/13,0)+0.99),'Tax scales - NAT 1004'!$A$25:$C$33,2,1)-VLOOKUP((TRUNC(($AN43+0.01)*3/13,0)+0.99),'Tax scales - NAT 1004'!$A$25:$C$33,3,1)),0)
*13/3,
0),
IF($E$2="Monthly",
ROUND(
ROUND(((TRUNC($AN43*3/13,0)+0.99)*VLOOKUP((TRUNC($AN43*3/13,0)+0.99),'Tax scales - NAT 1004'!$A$25:$C$33,2,1)-VLOOKUP((TRUNC($AN43*3/13,0)+0.99),'Tax scales - NAT 1004'!$A$25:$C$33,3,1)),0)
*13/3,
0),
""))),
""),
"")</f>
        <v/>
      </c>
      <c r="AQ43" s="118" t="str">
        <f>IFERROR(
IF(VLOOKUP($C43,'Employee information'!$B:$M,COLUMNS('Employee information'!$B:$M),0)=3,
IF($E$2="Fortnightly",
ROUND(
ROUND((((TRUNC($AN43/2,0)+0.99))*VLOOKUP((TRUNC($AN43/2,0)+0.99),'Tax scales - NAT 1004'!$A$39:$C$41,2,1)-VLOOKUP((TRUNC($AN43/2,0)+0.99),'Tax scales - NAT 1004'!$A$39:$C$41,3,1)),0)
*2,
0),
IF(AND($E$2="Monthly",ROUND($AN43-TRUNC($AN43),2)=0.33),
ROUND(
ROUND(((TRUNC(($AN43+0.01)*3/13,0)+0.99)*VLOOKUP((TRUNC(($AN43+0.01)*3/13,0)+0.99),'Tax scales - NAT 1004'!$A$39:$C$41,2,1)-VLOOKUP((TRUNC(($AN43+0.01)*3/13,0)+0.99),'Tax scales - NAT 1004'!$A$39:$C$41,3,1)),0)
*13/3,
0),
IF($E$2="Monthly",
ROUND(
ROUND(((TRUNC($AN43*3/13,0)+0.99)*VLOOKUP((TRUNC($AN43*3/13,0)+0.99),'Tax scales - NAT 1004'!$A$39:$C$41,2,1)-VLOOKUP((TRUNC($AN43*3/13,0)+0.99),'Tax scales - NAT 1004'!$A$39:$C$41,3,1)),0)
*13/3,
0),
""))),
""),
"")</f>
        <v/>
      </c>
      <c r="AR43" s="118" t="str">
        <f>IFERROR(
IF(AND(VLOOKUP($C43,'Employee information'!$B:$M,COLUMNS('Employee information'!$B:$M),0)=4,
VLOOKUP($C43,'Employee information'!$B:$J,COLUMNS('Employee information'!$B:$J),0)="Resident"),
TRUNC(TRUNC($AN43)*'Tax scales - NAT 1004'!$B$47),
IF(AND(VLOOKUP($C43,'Employee information'!$B:$M,COLUMNS('Employee information'!$B:$M),0)=4,
VLOOKUP($C43,'Employee information'!$B:$J,COLUMNS('Employee information'!$B:$J),0)="Foreign resident"),
TRUNC(TRUNC($AN43)*'Tax scales - NAT 1004'!$B$48),
"")),
"")</f>
        <v/>
      </c>
      <c r="AS43" s="118" t="str">
        <f>IFERROR(
IF(VLOOKUP($C43,'Employee information'!$B:$M,COLUMNS('Employee information'!$B:$M),0)=5,
IF($E$2="Fortnightly",
ROUND(
ROUND((((TRUNC($AN43/2,0)+0.99))*VLOOKUP((TRUNC($AN43/2,0)+0.99),'Tax scales - NAT 1004'!$A$53:$C$59,2,1)-VLOOKUP((TRUNC($AN43/2,0)+0.99),'Tax scales - NAT 1004'!$A$53:$C$59,3,1)),0)
*2,
0),
IF(AND($E$2="Monthly",ROUND($AN43-TRUNC($AN43),2)=0.33),
ROUND(
ROUND(((TRUNC(($AN43+0.01)*3/13,0)+0.99)*VLOOKUP((TRUNC(($AN43+0.01)*3/13,0)+0.99),'Tax scales - NAT 1004'!$A$53:$C$59,2,1)-VLOOKUP((TRUNC(($AN43+0.01)*3/13,0)+0.99),'Tax scales - NAT 1004'!$A$53:$C$59,3,1)),0)
*13/3,
0),
IF($E$2="Monthly",
ROUND(
ROUND(((TRUNC($AN43*3/13,0)+0.99)*VLOOKUP((TRUNC($AN43*3/13,0)+0.99),'Tax scales - NAT 1004'!$A$53:$C$59,2,1)-VLOOKUP((TRUNC($AN43*3/13,0)+0.99),'Tax scales - NAT 1004'!$A$53:$C$59,3,1)),0)
*13/3,
0),
""))),
""),
"")</f>
        <v/>
      </c>
      <c r="AT43" s="118" t="str">
        <f>IFERROR(
IF(VLOOKUP($C43,'Employee information'!$B:$M,COLUMNS('Employee information'!$B:$M),0)=6,
IF($E$2="Fortnightly",
ROUND(
ROUND((((TRUNC($AN43/2,0)+0.99))*VLOOKUP((TRUNC($AN43/2,0)+0.99),'Tax scales - NAT 1004'!$A$65:$C$73,2,1)-VLOOKUP((TRUNC($AN43/2,0)+0.99),'Tax scales - NAT 1004'!$A$65:$C$73,3,1)),0)
*2,
0),
IF(AND($E$2="Monthly",ROUND($AN43-TRUNC($AN43),2)=0.33),
ROUND(
ROUND(((TRUNC(($AN43+0.01)*3/13,0)+0.99)*VLOOKUP((TRUNC(($AN43+0.01)*3/13,0)+0.99),'Tax scales - NAT 1004'!$A$65:$C$73,2,1)-VLOOKUP((TRUNC(($AN43+0.01)*3/13,0)+0.99),'Tax scales - NAT 1004'!$A$65:$C$73,3,1)),0)
*13/3,
0),
IF($E$2="Monthly",
ROUND(
ROUND(((TRUNC($AN43*3/13,0)+0.99)*VLOOKUP((TRUNC($AN43*3/13,0)+0.99),'Tax scales - NAT 1004'!$A$65:$C$73,2,1)-VLOOKUP((TRUNC($AN43*3/13,0)+0.99),'Tax scales - NAT 1004'!$A$65:$C$73,3,1)),0)
*13/3,
0),
""))),
""),
"")</f>
        <v/>
      </c>
      <c r="AU43" s="118" t="str">
        <f>IFERROR(
IF(VLOOKUP($C43,'Employee information'!$B:$M,COLUMNS('Employee information'!$B:$M),0)=11,
IF($E$2="Fortnightly",
ROUND(
ROUND((((TRUNC($AN43/2,0)+0.99))*VLOOKUP((TRUNC($AN43/2,0)+0.99),'Tax scales - NAT 3539'!$A$14:$C$38,2,1)-VLOOKUP((TRUNC($AN43/2,0)+0.99),'Tax scales - NAT 3539'!$A$14:$C$38,3,1)),0)
*2,
0),
IF(AND($E$2="Monthly",ROUND($AN43-TRUNC($AN43),2)=0.33),
ROUND(
ROUND(((TRUNC(($AN43+0.01)*3/13,0)+0.99)*VLOOKUP((TRUNC(($AN43+0.01)*3/13,0)+0.99),'Tax scales - NAT 3539'!$A$14:$C$38,2,1)-VLOOKUP((TRUNC(($AN43+0.01)*3/13,0)+0.99),'Tax scales - NAT 3539'!$A$14:$C$38,3,1)),0)
*13/3,
0),
IF($E$2="Monthly",
ROUND(
ROUND(((TRUNC($AN43*3/13,0)+0.99)*VLOOKUP((TRUNC($AN43*3/13,0)+0.99),'Tax scales - NAT 3539'!$A$14:$C$38,2,1)-VLOOKUP((TRUNC($AN43*3/13,0)+0.99),'Tax scales - NAT 3539'!$A$14:$C$38,3,1)),0)
*13/3,
0),
""))),
""),
"")</f>
        <v/>
      </c>
      <c r="AV43" s="118" t="str">
        <f>IFERROR(
IF(VLOOKUP($C43,'Employee information'!$B:$M,COLUMNS('Employee information'!$B:$M),0)=22,
IF($E$2="Fortnightly",
ROUND(
ROUND((((TRUNC($AN43/2,0)+0.99))*VLOOKUP((TRUNC($AN43/2,0)+0.99),'Tax scales - NAT 3539'!$A$43:$C$69,2,1)-VLOOKUP((TRUNC($AN43/2,0)+0.99),'Tax scales - NAT 3539'!$A$43:$C$69,3,1)),0)
*2,
0),
IF(AND($E$2="Monthly",ROUND($AN43-TRUNC($AN43),2)=0.33),
ROUND(
ROUND(((TRUNC(($AN43+0.01)*3/13,0)+0.99)*VLOOKUP((TRUNC(($AN43+0.01)*3/13,0)+0.99),'Tax scales - NAT 3539'!$A$43:$C$69,2,1)-VLOOKUP((TRUNC(($AN43+0.01)*3/13,0)+0.99),'Tax scales - NAT 3539'!$A$43:$C$69,3,1)),0)
*13/3,
0),
IF($E$2="Monthly",
ROUND(
ROUND(((TRUNC($AN43*3/13,0)+0.99)*VLOOKUP((TRUNC($AN43*3/13,0)+0.99),'Tax scales - NAT 3539'!$A$43:$C$69,2,1)-VLOOKUP((TRUNC($AN43*3/13,0)+0.99),'Tax scales - NAT 3539'!$A$43:$C$69,3,1)),0)
*13/3,
0),
""))),
""),
"")</f>
        <v/>
      </c>
      <c r="AW43" s="118" t="str">
        <f>IFERROR(
IF(VLOOKUP($C43,'Employee information'!$B:$M,COLUMNS('Employee information'!$B:$M),0)=33,
IF($E$2="Fortnightly",
ROUND(
ROUND((((TRUNC($AN43/2,0)+0.99))*VLOOKUP((TRUNC($AN43/2,0)+0.99),'Tax scales - NAT 3539'!$A$74:$C$94,2,1)-VLOOKUP((TRUNC($AN43/2,0)+0.99),'Tax scales - NAT 3539'!$A$74:$C$94,3,1)),0)
*2,
0),
IF(AND($E$2="Monthly",ROUND($AN43-TRUNC($AN43),2)=0.33),
ROUND(
ROUND(((TRUNC(($AN43+0.01)*3/13,0)+0.99)*VLOOKUP((TRUNC(($AN43+0.01)*3/13,0)+0.99),'Tax scales - NAT 3539'!$A$74:$C$94,2,1)-VLOOKUP((TRUNC(($AN43+0.01)*3/13,0)+0.99),'Tax scales - NAT 3539'!$A$74:$C$94,3,1)),0)
*13/3,
0),
IF($E$2="Monthly",
ROUND(
ROUND(((TRUNC($AN43*3/13,0)+0.99)*VLOOKUP((TRUNC($AN43*3/13,0)+0.99),'Tax scales - NAT 3539'!$A$74:$C$94,2,1)-VLOOKUP((TRUNC($AN43*3/13,0)+0.99),'Tax scales - NAT 3539'!$A$74:$C$94,3,1)),0)
*13/3,
0),
""))),
""),
"")</f>
        <v/>
      </c>
      <c r="AX43" s="118">
        <f>IFERROR(
IF(VLOOKUP($C43,'Employee information'!$B:$M,COLUMNS('Employee information'!$B:$M),0)=55,
IF($E$2="Fortnightly",
ROUND(
ROUND((((TRUNC($AN43/2,0)+0.99))*VLOOKUP((TRUNC($AN43/2,0)+0.99),'Tax scales - NAT 3539'!$A$99:$C$123,2,1)-VLOOKUP((TRUNC($AN43/2,0)+0.99),'Tax scales - NAT 3539'!$A$99:$C$123,3,1)),0)
*2,
0),
IF(AND($E$2="Monthly",ROUND($AN43-TRUNC($AN43),2)=0.33),
ROUND(
ROUND(((TRUNC(($AN43+0.01)*3/13,0)+0.99)*VLOOKUP((TRUNC(($AN43+0.01)*3/13,0)+0.99),'Tax scales - NAT 3539'!$A$99:$C$123,2,1)-VLOOKUP((TRUNC(($AN43+0.01)*3/13,0)+0.99),'Tax scales - NAT 3539'!$A$99:$C$123,3,1)),0)
*13/3,
0),
IF($E$2="Monthly",
ROUND(
ROUND(((TRUNC($AN43*3/13,0)+0.99)*VLOOKUP((TRUNC($AN43*3/13,0)+0.99),'Tax scales - NAT 3539'!$A$99:$C$123,2,1)-VLOOKUP((TRUNC($AN43*3/13,0)+0.99),'Tax scales - NAT 3539'!$A$99:$C$123,3,1)),0)
*13/3,
0),
""))),
""),
"")</f>
        <v>3104</v>
      </c>
      <c r="AY43" s="118" t="str">
        <f>IFERROR(
IF(VLOOKUP($C43,'Employee information'!$B:$M,COLUMNS('Employee information'!$B:$M),0)=66,
IF($E$2="Fortnightly",
ROUND(
ROUND((((TRUNC($AN43/2,0)+0.99))*VLOOKUP((TRUNC($AN43/2,0)+0.99),'Tax scales - NAT 3539'!$A$127:$C$154,2,1)-VLOOKUP((TRUNC($AN43/2,0)+0.99),'Tax scales - NAT 3539'!$A$127:$C$154,3,1)),0)
*2,
0),
IF(AND($E$2="Monthly",ROUND($AN43-TRUNC($AN43),2)=0.33),
ROUND(
ROUND(((TRUNC(($AN43+0.01)*3/13,0)+0.99)*VLOOKUP((TRUNC(($AN43+0.01)*3/13,0)+0.99),'Tax scales - NAT 3539'!$A$127:$C$154,2,1)-VLOOKUP((TRUNC(($AN43+0.01)*3/13,0)+0.99),'Tax scales - NAT 3539'!$A$127:$C$154,3,1)),0)
*13/3,
0),
IF($E$2="Monthly",
ROUND(
ROUND(((TRUNC($AN43*3/13,0)+0.99)*VLOOKUP((TRUNC($AN43*3/13,0)+0.99),'Tax scales - NAT 3539'!$A$127:$C$154,2,1)-VLOOKUP((TRUNC($AN43*3/13,0)+0.99),'Tax scales - NAT 3539'!$A$127:$C$154,3,1)),0)
*13/3,
0),
""))),
""),
"")</f>
        <v/>
      </c>
      <c r="AZ43" s="118">
        <f>IFERROR(
HLOOKUP(VLOOKUP($C43,'Employee information'!$B:$M,COLUMNS('Employee information'!$B:$M),0),'PAYG worksheet'!$AO$39:$AY$58,COUNTA($C$40:$C43)+1,0),
0)</f>
        <v>3104</v>
      </c>
      <c r="BA43" s="118"/>
      <c r="BB43" s="118">
        <f t="shared" si="46"/>
        <v>4588.3076923076924</v>
      </c>
      <c r="BC43" s="119">
        <f>IFERROR(
IF(OR($AE43=1,$AE43=""),SUM($P43,$AA43,$AC43,$AK43)*VLOOKUP($C43,'Employee information'!$B:$Q,COLUMNS('Employee information'!$B:$H),0),
IF($AE43=0,SUM($P43,$AA43,$AK43)*VLOOKUP($C43,'Employee information'!$B:$Q,COLUMNS('Employee information'!$B:$H),0),
0)),
0)</f>
        <v>730.76923076923083</v>
      </c>
      <c r="BE43" s="114">
        <f t="shared" si="31"/>
        <v>15524.615384615385</v>
      </c>
      <c r="BF43" s="114">
        <f t="shared" si="32"/>
        <v>15384.615384615385</v>
      </c>
      <c r="BG43" s="114">
        <f t="shared" si="33"/>
        <v>0</v>
      </c>
      <c r="BH43" s="114">
        <f t="shared" si="34"/>
        <v>140</v>
      </c>
      <c r="BI43" s="114">
        <f t="shared" si="35"/>
        <v>6208</v>
      </c>
      <c r="BJ43" s="114">
        <f t="shared" si="36"/>
        <v>0</v>
      </c>
      <c r="BK43" s="114">
        <f t="shared" si="37"/>
        <v>0</v>
      </c>
      <c r="BL43" s="114">
        <f t="shared" si="47"/>
        <v>0</v>
      </c>
      <c r="BM43" s="114">
        <f t="shared" si="38"/>
        <v>1461.5384615384617</v>
      </c>
    </row>
    <row r="44" spans="1:65" x14ac:dyDescent="0.25">
      <c r="A44" s="228">
        <f t="shared" si="26"/>
        <v>2</v>
      </c>
      <c r="C44" s="278" t="s">
        <v>16</v>
      </c>
      <c r="E44" s="103">
        <f>IF($C44="",0,
IF(AND($E$2="Monthly",$A44&gt;12),0,
IF($E$2="Monthly",VLOOKUP($C44,'Employee information'!$B:$AM,COLUMNS('Employee information'!$B:S),0),
IF($E$2="Fortnightly",VLOOKUP($C44,'Employee information'!$B:$AM,COLUMNS('Employee information'!$B:R),0),
0))))</f>
        <v>75</v>
      </c>
      <c r="F44" s="106"/>
      <c r="G44" s="106"/>
      <c r="H44" s="106"/>
      <c r="I44" s="106"/>
      <c r="J44" s="103">
        <f t="shared" si="39"/>
        <v>75</v>
      </c>
      <c r="L44" s="113">
        <f>IF(AND($E$2="Monthly",$A44&gt;12),"",
IFERROR($J44*VLOOKUP($C44,'Employee information'!$B:$AI,COLUMNS('Employee information'!$B:$P),0),0))</f>
        <v>4125</v>
      </c>
      <c r="M44" s="114">
        <f t="shared" si="40"/>
        <v>8250</v>
      </c>
      <c r="O44" s="103">
        <f t="shared" si="41"/>
        <v>75</v>
      </c>
      <c r="P44" s="113">
        <f>IFERROR(
IF(AND($E$2="Monthly",$A44&gt;12),0,
$O44*VLOOKUP($C44,'Employee information'!$B:$AI,COLUMNS('Employee information'!$B:$P),0)),
0)</f>
        <v>4125</v>
      </c>
      <c r="R44" s="114">
        <f t="shared" si="27"/>
        <v>8250</v>
      </c>
      <c r="T44" s="103"/>
      <c r="U44" s="103"/>
      <c r="V44" s="282">
        <f>IF($C44="","",
IF(AND($E$2="Monthly",$A44&gt;12),"",
$T44*VLOOKUP($C44,'Employee information'!$B:$P,COLUMNS('Employee information'!$B:$P),0)))</f>
        <v>0</v>
      </c>
      <c r="W44" s="282">
        <f>IF($C44="","",
IF(AND($E$2="Monthly",$A44&gt;12),"",
$U44*VLOOKUP($C44,'Employee information'!$B:$P,COLUMNS('Employee information'!$B:$P),0)))</f>
        <v>0</v>
      </c>
      <c r="X44" s="114">
        <f t="shared" si="28"/>
        <v>0</v>
      </c>
      <c r="Y44" s="114">
        <f t="shared" si="29"/>
        <v>0</v>
      </c>
      <c r="AA44" s="118">
        <f>IFERROR(
IF(OR('Basic payroll data'!$D$12="",'Basic payroll data'!$D$12="No"),0,
$T44*VLOOKUP($C44,'Employee information'!$B:$P,COLUMNS('Employee information'!$B:$P),0)*AL_loading_perc),
0)</f>
        <v>0</v>
      </c>
      <c r="AC44" s="118"/>
      <c r="AD44" s="118"/>
      <c r="AE44" s="283" t="str">
        <f t="shared" si="42"/>
        <v/>
      </c>
      <c r="AF44" s="283" t="str">
        <f t="shared" si="43"/>
        <v/>
      </c>
      <c r="AG44" s="118"/>
      <c r="AH44" s="118"/>
      <c r="AI44" s="283" t="str">
        <f t="shared" si="44"/>
        <v/>
      </c>
      <c r="AJ44" s="118"/>
      <c r="AK44" s="118"/>
      <c r="AM44" s="118">
        <f t="shared" si="45"/>
        <v>4125</v>
      </c>
      <c r="AN44" s="118">
        <f t="shared" si="30"/>
        <v>4125</v>
      </c>
      <c r="AO44" s="118" t="str">
        <f>IFERROR(
IF(VLOOKUP($C44,'Employee information'!$B:$M,COLUMNS('Employee information'!$B:$M),0)=1,
IF($E$2="Fortnightly",
ROUND(
ROUND((((TRUNC($AN44/2,0)+0.99))*VLOOKUP((TRUNC($AN44/2,0)+0.99),'Tax scales - NAT 1004'!$A$12:$C$18,2,1)-VLOOKUP((TRUNC($AN44/2,0)+0.99),'Tax scales - NAT 1004'!$A$12:$C$18,3,1)),0)
*2,
0),
IF(AND($E$2="Monthly",ROUND($AN44-TRUNC($AN44),2)=0.33),
ROUND(
ROUND(((TRUNC(($AN44+0.01)*3/13,0)+0.99)*VLOOKUP((TRUNC(($AN44+0.01)*3/13,0)+0.99),'Tax scales - NAT 1004'!$A$12:$C$18,2,1)-VLOOKUP((TRUNC(($AN44+0.01)*3/13,0)+0.99),'Tax scales - NAT 1004'!$A$12:$C$18,3,1)),0)
*13/3,
0),
IF($E$2="Monthly",
ROUND(
ROUND(((TRUNC($AN44*3/13,0)+0.99)*VLOOKUP((TRUNC($AN44*3/13,0)+0.99),'Tax scales - NAT 1004'!$A$12:$C$18,2,1)-VLOOKUP((TRUNC($AN44*3/13,0)+0.99),'Tax scales - NAT 1004'!$A$12:$C$18,3,1)),0)
*13/3,
0),
""))),
""),
"")</f>
        <v/>
      </c>
      <c r="AP44" s="118" t="str">
        <f>IFERROR(
IF(VLOOKUP($C44,'Employee information'!$B:$M,COLUMNS('Employee information'!$B:$M),0)=2,
IF($E$2="Fortnightly",
ROUND(
ROUND((((TRUNC($AN44/2,0)+0.99))*VLOOKUP((TRUNC($AN44/2,0)+0.99),'Tax scales - NAT 1004'!$A$25:$C$33,2,1)-VLOOKUP((TRUNC($AN44/2,0)+0.99),'Tax scales - NAT 1004'!$A$25:$C$33,3,1)),0)
*2,
0),
IF(AND($E$2="Monthly",ROUND($AN44-TRUNC($AN44),2)=0.33),
ROUND(
ROUND(((TRUNC(($AN44+0.01)*3/13,0)+0.99)*VLOOKUP((TRUNC(($AN44+0.01)*3/13,0)+0.99),'Tax scales - NAT 1004'!$A$25:$C$33,2,1)-VLOOKUP((TRUNC(($AN44+0.01)*3/13,0)+0.99),'Tax scales - NAT 1004'!$A$25:$C$33,3,1)),0)
*13/3,
0),
IF($E$2="Monthly",
ROUND(
ROUND(((TRUNC($AN44*3/13,0)+0.99)*VLOOKUP((TRUNC($AN44*3/13,0)+0.99),'Tax scales - NAT 1004'!$A$25:$C$33,2,1)-VLOOKUP((TRUNC($AN44*3/13,0)+0.99),'Tax scales - NAT 1004'!$A$25:$C$33,3,1)),0)
*13/3,
0),
""))),
""),
"")</f>
        <v/>
      </c>
      <c r="AQ44" s="118" t="str">
        <f>IFERROR(
IF(VLOOKUP($C44,'Employee information'!$B:$M,COLUMNS('Employee information'!$B:$M),0)=3,
IF($E$2="Fortnightly",
ROUND(
ROUND((((TRUNC($AN44/2,0)+0.99))*VLOOKUP((TRUNC($AN44/2,0)+0.99),'Tax scales - NAT 1004'!$A$39:$C$41,2,1)-VLOOKUP((TRUNC($AN44/2,0)+0.99),'Tax scales - NAT 1004'!$A$39:$C$41,3,1)),0)
*2,
0),
IF(AND($E$2="Monthly",ROUND($AN44-TRUNC($AN44),2)=0.33),
ROUND(
ROUND(((TRUNC(($AN44+0.01)*3/13,0)+0.99)*VLOOKUP((TRUNC(($AN44+0.01)*3/13,0)+0.99),'Tax scales - NAT 1004'!$A$39:$C$41,2,1)-VLOOKUP((TRUNC(($AN44+0.01)*3/13,0)+0.99),'Tax scales - NAT 1004'!$A$39:$C$41,3,1)),0)
*13/3,
0),
IF($E$2="Monthly",
ROUND(
ROUND(((TRUNC($AN44*3/13,0)+0.99)*VLOOKUP((TRUNC($AN44*3/13,0)+0.99),'Tax scales - NAT 1004'!$A$39:$C$41,2,1)-VLOOKUP((TRUNC($AN44*3/13,0)+0.99),'Tax scales - NAT 1004'!$A$39:$C$41,3,1)),0)
*13/3,
0),
""))),
""),
"")</f>
        <v/>
      </c>
      <c r="AR44" s="118" t="str">
        <f>IFERROR(
IF(AND(VLOOKUP($C44,'Employee information'!$B:$M,COLUMNS('Employee information'!$B:$M),0)=4,
VLOOKUP($C44,'Employee information'!$B:$J,COLUMNS('Employee information'!$B:$J),0)="Resident"),
TRUNC(TRUNC($AN44)*'Tax scales - NAT 1004'!$B$47),
IF(AND(VLOOKUP($C44,'Employee information'!$B:$M,COLUMNS('Employee information'!$B:$M),0)=4,
VLOOKUP($C44,'Employee information'!$B:$J,COLUMNS('Employee information'!$B:$J),0)="Foreign resident"),
TRUNC(TRUNC($AN44)*'Tax scales - NAT 1004'!$B$48),
"")),
"")</f>
        <v/>
      </c>
      <c r="AS44" s="118" t="str">
        <f>IFERROR(
IF(VLOOKUP($C44,'Employee information'!$B:$M,COLUMNS('Employee information'!$B:$M),0)=5,
IF($E$2="Fortnightly",
ROUND(
ROUND((((TRUNC($AN44/2,0)+0.99))*VLOOKUP((TRUNC($AN44/2,0)+0.99),'Tax scales - NAT 1004'!$A$53:$C$59,2,1)-VLOOKUP((TRUNC($AN44/2,0)+0.99),'Tax scales - NAT 1004'!$A$53:$C$59,3,1)),0)
*2,
0),
IF(AND($E$2="Monthly",ROUND($AN44-TRUNC($AN44),2)=0.33),
ROUND(
ROUND(((TRUNC(($AN44+0.01)*3/13,0)+0.99)*VLOOKUP((TRUNC(($AN44+0.01)*3/13,0)+0.99),'Tax scales - NAT 1004'!$A$53:$C$59,2,1)-VLOOKUP((TRUNC(($AN44+0.01)*3/13,0)+0.99),'Tax scales - NAT 1004'!$A$53:$C$59,3,1)),0)
*13/3,
0),
IF($E$2="Monthly",
ROUND(
ROUND(((TRUNC($AN44*3/13,0)+0.99)*VLOOKUP((TRUNC($AN44*3/13,0)+0.99),'Tax scales - NAT 1004'!$A$53:$C$59,2,1)-VLOOKUP((TRUNC($AN44*3/13,0)+0.99),'Tax scales - NAT 1004'!$A$53:$C$59,3,1)),0)
*13/3,
0),
""))),
""),
"")</f>
        <v/>
      </c>
      <c r="AT44" s="118" t="str">
        <f>IFERROR(
IF(VLOOKUP($C44,'Employee information'!$B:$M,COLUMNS('Employee information'!$B:$M),0)=6,
IF($E$2="Fortnightly",
ROUND(
ROUND((((TRUNC($AN44/2,0)+0.99))*VLOOKUP((TRUNC($AN44/2,0)+0.99),'Tax scales - NAT 1004'!$A$65:$C$73,2,1)-VLOOKUP((TRUNC($AN44/2,0)+0.99),'Tax scales - NAT 1004'!$A$65:$C$73,3,1)),0)
*2,
0),
IF(AND($E$2="Monthly",ROUND($AN44-TRUNC($AN44),2)=0.33),
ROUND(
ROUND(((TRUNC(($AN44+0.01)*3/13,0)+0.99)*VLOOKUP((TRUNC(($AN44+0.01)*3/13,0)+0.99),'Tax scales - NAT 1004'!$A$65:$C$73,2,1)-VLOOKUP((TRUNC(($AN44+0.01)*3/13,0)+0.99),'Tax scales - NAT 1004'!$A$65:$C$73,3,1)),0)
*13/3,
0),
IF($E$2="Monthly",
ROUND(
ROUND(((TRUNC($AN44*3/13,0)+0.99)*VLOOKUP((TRUNC($AN44*3/13,0)+0.99),'Tax scales - NAT 1004'!$A$65:$C$73,2,1)-VLOOKUP((TRUNC($AN44*3/13,0)+0.99),'Tax scales - NAT 1004'!$A$65:$C$73,3,1)),0)
*13/3,
0),
""))),
""),
"")</f>
        <v/>
      </c>
      <c r="AU44" s="118">
        <f>IFERROR(
IF(VLOOKUP($C44,'Employee information'!$B:$M,COLUMNS('Employee information'!$B:$M),0)=11,
IF($E$2="Fortnightly",
ROUND(
ROUND((((TRUNC($AN44/2,0)+0.99))*VLOOKUP((TRUNC($AN44/2,0)+0.99),'Tax scales - NAT 3539'!$A$14:$C$38,2,1)-VLOOKUP((TRUNC($AN44/2,0)+0.99),'Tax scales - NAT 3539'!$A$14:$C$38,3,1)),0)
*2,
0),
IF(AND($E$2="Monthly",ROUND($AN44-TRUNC($AN44),2)=0.33),
ROUND(
ROUND(((TRUNC(($AN44+0.01)*3/13,0)+0.99)*VLOOKUP((TRUNC(($AN44+0.01)*3/13,0)+0.99),'Tax scales - NAT 3539'!$A$14:$C$38,2,1)-VLOOKUP((TRUNC(($AN44+0.01)*3/13,0)+0.99),'Tax scales - NAT 3539'!$A$14:$C$38,3,1)),0)
*13/3,
0),
IF($E$2="Monthly",
ROUND(
ROUND(((TRUNC($AN44*3/13,0)+0.99)*VLOOKUP((TRUNC($AN44*3/13,0)+0.99),'Tax scales - NAT 3539'!$A$14:$C$38,2,1)-VLOOKUP((TRUNC($AN44*3/13,0)+0.99),'Tax scales - NAT 3539'!$A$14:$C$38,3,1)),0)
*13/3,
0),
""))),
""),
"")</f>
        <v>1680</v>
      </c>
      <c r="AV44" s="118" t="str">
        <f>IFERROR(
IF(VLOOKUP($C44,'Employee information'!$B:$M,COLUMNS('Employee information'!$B:$M),0)=22,
IF($E$2="Fortnightly",
ROUND(
ROUND((((TRUNC($AN44/2,0)+0.99))*VLOOKUP((TRUNC($AN44/2,0)+0.99),'Tax scales - NAT 3539'!$A$43:$C$69,2,1)-VLOOKUP((TRUNC($AN44/2,0)+0.99),'Tax scales - NAT 3539'!$A$43:$C$69,3,1)),0)
*2,
0),
IF(AND($E$2="Monthly",ROUND($AN44-TRUNC($AN44),2)=0.33),
ROUND(
ROUND(((TRUNC(($AN44+0.01)*3/13,0)+0.99)*VLOOKUP((TRUNC(($AN44+0.01)*3/13,0)+0.99),'Tax scales - NAT 3539'!$A$43:$C$69,2,1)-VLOOKUP((TRUNC(($AN44+0.01)*3/13,0)+0.99),'Tax scales - NAT 3539'!$A$43:$C$69,3,1)),0)
*13/3,
0),
IF($E$2="Monthly",
ROUND(
ROUND(((TRUNC($AN44*3/13,0)+0.99)*VLOOKUP((TRUNC($AN44*3/13,0)+0.99),'Tax scales - NAT 3539'!$A$43:$C$69,2,1)-VLOOKUP((TRUNC($AN44*3/13,0)+0.99),'Tax scales - NAT 3539'!$A$43:$C$69,3,1)),0)
*13/3,
0),
""))),
""),
"")</f>
        <v/>
      </c>
      <c r="AW44" s="118" t="str">
        <f>IFERROR(
IF(VLOOKUP($C44,'Employee information'!$B:$M,COLUMNS('Employee information'!$B:$M),0)=33,
IF($E$2="Fortnightly",
ROUND(
ROUND((((TRUNC($AN44/2,0)+0.99))*VLOOKUP((TRUNC($AN44/2,0)+0.99),'Tax scales - NAT 3539'!$A$74:$C$94,2,1)-VLOOKUP((TRUNC($AN44/2,0)+0.99),'Tax scales - NAT 3539'!$A$74:$C$94,3,1)),0)
*2,
0),
IF(AND($E$2="Monthly",ROUND($AN44-TRUNC($AN44),2)=0.33),
ROUND(
ROUND(((TRUNC(($AN44+0.01)*3/13,0)+0.99)*VLOOKUP((TRUNC(($AN44+0.01)*3/13,0)+0.99),'Tax scales - NAT 3539'!$A$74:$C$94,2,1)-VLOOKUP((TRUNC(($AN44+0.01)*3/13,0)+0.99),'Tax scales - NAT 3539'!$A$74:$C$94,3,1)),0)
*13/3,
0),
IF($E$2="Monthly",
ROUND(
ROUND(((TRUNC($AN44*3/13,0)+0.99)*VLOOKUP((TRUNC($AN44*3/13,0)+0.99),'Tax scales - NAT 3539'!$A$74:$C$94,2,1)-VLOOKUP((TRUNC($AN44*3/13,0)+0.99),'Tax scales - NAT 3539'!$A$74:$C$94,3,1)),0)
*13/3,
0),
""))),
""),
"")</f>
        <v/>
      </c>
      <c r="AX44" s="118" t="str">
        <f>IFERROR(
IF(VLOOKUP($C44,'Employee information'!$B:$M,COLUMNS('Employee information'!$B:$M),0)=55,
IF($E$2="Fortnightly",
ROUND(
ROUND((((TRUNC($AN44/2,0)+0.99))*VLOOKUP((TRUNC($AN44/2,0)+0.99),'Tax scales - NAT 3539'!$A$99:$C$123,2,1)-VLOOKUP((TRUNC($AN44/2,0)+0.99),'Tax scales - NAT 3539'!$A$99:$C$123,3,1)),0)
*2,
0),
IF(AND($E$2="Monthly",ROUND($AN44-TRUNC($AN44),2)=0.33),
ROUND(
ROUND(((TRUNC(($AN44+0.01)*3/13,0)+0.99)*VLOOKUP((TRUNC(($AN44+0.01)*3/13,0)+0.99),'Tax scales - NAT 3539'!$A$99:$C$123,2,1)-VLOOKUP((TRUNC(($AN44+0.01)*3/13,0)+0.99),'Tax scales - NAT 3539'!$A$99:$C$123,3,1)),0)
*13/3,
0),
IF($E$2="Monthly",
ROUND(
ROUND(((TRUNC($AN44*3/13,0)+0.99)*VLOOKUP((TRUNC($AN44*3/13,0)+0.99),'Tax scales - NAT 3539'!$A$99:$C$123,2,1)-VLOOKUP((TRUNC($AN44*3/13,0)+0.99),'Tax scales - NAT 3539'!$A$99:$C$123,3,1)),0)
*13/3,
0),
""))),
""),
"")</f>
        <v/>
      </c>
      <c r="AY44" s="118" t="str">
        <f>IFERROR(
IF(VLOOKUP($C44,'Employee information'!$B:$M,COLUMNS('Employee information'!$B:$M),0)=66,
IF($E$2="Fortnightly",
ROUND(
ROUND((((TRUNC($AN44/2,0)+0.99))*VLOOKUP((TRUNC($AN44/2,0)+0.99),'Tax scales - NAT 3539'!$A$127:$C$154,2,1)-VLOOKUP((TRUNC($AN44/2,0)+0.99),'Tax scales - NAT 3539'!$A$127:$C$154,3,1)),0)
*2,
0),
IF(AND($E$2="Monthly",ROUND($AN44-TRUNC($AN44),2)=0.33),
ROUND(
ROUND(((TRUNC(($AN44+0.01)*3/13,0)+0.99)*VLOOKUP((TRUNC(($AN44+0.01)*3/13,0)+0.99),'Tax scales - NAT 3539'!$A$127:$C$154,2,1)-VLOOKUP((TRUNC(($AN44+0.01)*3/13,0)+0.99),'Tax scales - NAT 3539'!$A$127:$C$154,3,1)),0)
*13/3,
0),
IF($E$2="Monthly",
ROUND(
ROUND(((TRUNC($AN44*3/13,0)+0.99)*VLOOKUP((TRUNC($AN44*3/13,0)+0.99),'Tax scales - NAT 3539'!$A$127:$C$154,2,1)-VLOOKUP((TRUNC($AN44*3/13,0)+0.99),'Tax scales - NAT 3539'!$A$127:$C$154,3,1)),0)
*13/3,
0),
""))),
""),
"")</f>
        <v/>
      </c>
      <c r="AZ44" s="118">
        <f>IFERROR(
HLOOKUP(VLOOKUP($C44,'Employee information'!$B:$M,COLUMNS('Employee information'!$B:$M),0),'PAYG worksheet'!$AO$39:$AY$58,COUNTA($C$40:$C44)+1,0),
0)</f>
        <v>1680</v>
      </c>
      <c r="BA44" s="118"/>
      <c r="BB44" s="118">
        <f t="shared" si="46"/>
        <v>2445</v>
      </c>
      <c r="BC44" s="119">
        <f>IFERROR(
IF(OR($AE44=1,$AE44=""),SUM($P44,$AA44,$AC44,$AK44)*VLOOKUP($C44,'Employee information'!$B:$Q,COLUMNS('Employee information'!$B:$H),0),
IF($AE44=0,SUM($P44,$AA44,$AK44)*VLOOKUP($C44,'Employee information'!$B:$Q,COLUMNS('Employee information'!$B:$H),0),
0)),
0)</f>
        <v>391.875</v>
      </c>
      <c r="BE44" s="114">
        <f t="shared" si="31"/>
        <v>8350</v>
      </c>
      <c r="BF44" s="114">
        <f t="shared" si="32"/>
        <v>8350</v>
      </c>
      <c r="BG44" s="114">
        <f t="shared" si="33"/>
        <v>0</v>
      </c>
      <c r="BH44" s="114">
        <f t="shared" si="34"/>
        <v>0</v>
      </c>
      <c r="BI44" s="114">
        <f t="shared" si="35"/>
        <v>3408</v>
      </c>
      <c r="BJ44" s="114">
        <f t="shared" si="36"/>
        <v>0</v>
      </c>
      <c r="BK44" s="114">
        <f t="shared" si="37"/>
        <v>0</v>
      </c>
      <c r="BL44" s="114">
        <f t="shared" si="47"/>
        <v>100</v>
      </c>
      <c r="BM44" s="114">
        <f t="shared" si="38"/>
        <v>793.25</v>
      </c>
    </row>
    <row r="45" spans="1:65" x14ac:dyDescent="0.25">
      <c r="A45" s="228">
        <f t="shared" si="26"/>
        <v>2</v>
      </c>
      <c r="C45" s="278" t="s">
        <v>17</v>
      </c>
      <c r="E45" s="103">
        <f>IF($C45="",0,
IF(AND($E$2="Monthly",$A45&gt;12),0,
IF($E$2="Monthly",VLOOKUP($C45,'Employee information'!$B:$AM,COLUMNS('Employee information'!$B:S),0),
IF($E$2="Fortnightly",VLOOKUP($C45,'Employee information'!$B:$AM,COLUMNS('Employee information'!$B:R),0),
0))))</f>
        <v>75</v>
      </c>
      <c r="F45" s="106"/>
      <c r="G45" s="106"/>
      <c r="H45" s="106"/>
      <c r="I45" s="106"/>
      <c r="J45" s="103">
        <f t="shared" si="39"/>
        <v>75</v>
      </c>
      <c r="L45" s="113">
        <f>IF(AND($E$2="Monthly",$A45&gt;12),"",
IFERROR($J45*VLOOKUP($C45,'Employee information'!$B:$AI,COLUMNS('Employee information'!$B:$P),0),0))</f>
        <v>2500</v>
      </c>
      <c r="M45" s="114">
        <f t="shared" si="40"/>
        <v>5000</v>
      </c>
      <c r="O45" s="103">
        <f t="shared" si="41"/>
        <v>75</v>
      </c>
      <c r="P45" s="113">
        <f>IFERROR(
IF(AND($E$2="Monthly",$A45&gt;12),0,
$O45*VLOOKUP($C45,'Employee information'!$B:$AI,COLUMNS('Employee information'!$B:$P),0)),
0)</f>
        <v>2500</v>
      </c>
      <c r="R45" s="114">
        <f t="shared" si="27"/>
        <v>5000</v>
      </c>
      <c r="T45" s="103"/>
      <c r="U45" s="103"/>
      <c r="V45" s="282">
        <f>IF($C45="","",
IF(AND($E$2="Monthly",$A45&gt;12),"",
$T45*VLOOKUP($C45,'Employee information'!$B:$P,COLUMNS('Employee information'!$B:$P),0)))</f>
        <v>0</v>
      </c>
      <c r="W45" s="282">
        <f>IF($C45="","",
IF(AND($E$2="Monthly",$A45&gt;12),"",
$U45*VLOOKUP($C45,'Employee information'!$B:$P,COLUMNS('Employee information'!$B:$P),0)))</f>
        <v>0</v>
      </c>
      <c r="X45" s="114">
        <f t="shared" si="28"/>
        <v>0</v>
      </c>
      <c r="Y45" s="114">
        <f t="shared" si="29"/>
        <v>0</v>
      </c>
      <c r="AA45" s="118">
        <f>IFERROR(
IF(OR('Basic payroll data'!$D$12="",'Basic payroll data'!$D$12="No"),0,
$T45*VLOOKUP($C45,'Employee information'!$B:$P,COLUMNS('Employee information'!$B:$P),0)*AL_loading_perc),
0)</f>
        <v>0</v>
      </c>
      <c r="AC45" s="118"/>
      <c r="AD45" s="118"/>
      <c r="AE45" s="283" t="str">
        <f t="shared" si="42"/>
        <v/>
      </c>
      <c r="AF45" s="283" t="str">
        <f t="shared" si="43"/>
        <v/>
      </c>
      <c r="AG45" s="118"/>
      <c r="AH45" s="118"/>
      <c r="AI45" s="283" t="str">
        <f t="shared" si="44"/>
        <v/>
      </c>
      <c r="AJ45" s="118"/>
      <c r="AK45" s="118"/>
      <c r="AM45" s="118">
        <f t="shared" si="45"/>
        <v>2500</v>
      </c>
      <c r="AN45" s="118">
        <f t="shared" si="30"/>
        <v>2500</v>
      </c>
      <c r="AO45" s="118" t="str">
        <f>IFERROR(
IF(VLOOKUP($C45,'Employee information'!$B:$M,COLUMNS('Employee information'!$B:$M),0)=1,
IF($E$2="Fortnightly",
ROUND(
ROUND((((TRUNC($AN45/2,0)+0.99))*VLOOKUP((TRUNC($AN45/2,0)+0.99),'Tax scales - NAT 1004'!$A$12:$C$18,2,1)-VLOOKUP((TRUNC($AN45/2,0)+0.99),'Tax scales - NAT 1004'!$A$12:$C$18,3,1)),0)
*2,
0),
IF(AND($E$2="Monthly",ROUND($AN45-TRUNC($AN45),2)=0.33),
ROUND(
ROUND(((TRUNC(($AN45+0.01)*3/13,0)+0.99)*VLOOKUP((TRUNC(($AN45+0.01)*3/13,0)+0.99),'Tax scales - NAT 1004'!$A$12:$C$18,2,1)-VLOOKUP((TRUNC(($AN45+0.01)*3/13,0)+0.99),'Tax scales - NAT 1004'!$A$12:$C$18,3,1)),0)
*13/3,
0),
IF($E$2="Monthly",
ROUND(
ROUND(((TRUNC($AN45*3/13,0)+0.99)*VLOOKUP((TRUNC($AN45*3/13,0)+0.99),'Tax scales - NAT 1004'!$A$12:$C$18,2,1)-VLOOKUP((TRUNC($AN45*3/13,0)+0.99),'Tax scales - NAT 1004'!$A$12:$C$18,3,1)),0)
*13/3,
0),
""))),
""),
"")</f>
        <v/>
      </c>
      <c r="AP45" s="118" t="str">
        <f>IFERROR(
IF(VLOOKUP($C45,'Employee information'!$B:$M,COLUMNS('Employee information'!$B:$M),0)=2,
IF($E$2="Fortnightly",
ROUND(
ROUND((((TRUNC($AN45/2,0)+0.99))*VLOOKUP((TRUNC($AN45/2,0)+0.99),'Tax scales - NAT 1004'!$A$25:$C$33,2,1)-VLOOKUP((TRUNC($AN45/2,0)+0.99),'Tax scales - NAT 1004'!$A$25:$C$33,3,1)),0)
*2,
0),
IF(AND($E$2="Monthly",ROUND($AN45-TRUNC($AN45),2)=0.33),
ROUND(
ROUND(((TRUNC(($AN45+0.01)*3/13,0)+0.99)*VLOOKUP((TRUNC(($AN45+0.01)*3/13,0)+0.99),'Tax scales - NAT 1004'!$A$25:$C$33,2,1)-VLOOKUP((TRUNC(($AN45+0.01)*3/13,0)+0.99),'Tax scales - NAT 1004'!$A$25:$C$33,3,1)),0)
*13/3,
0),
IF($E$2="Monthly",
ROUND(
ROUND(((TRUNC($AN45*3/13,0)+0.99)*VLOOKUP((TRUNC($AN45*3/13,0)+0.99),'Tax scales - NAT 1004'!$A$25:$C$33,2,1)-VLOOKUP((TRUNC($AN45*3/13,0)+0.99),'Tax scales - NAT 1004'!$A$25:$C$33,3,1)),0)
*13/3,
0),
""))),
""),
"")</f>
        <v/>
      </c>
      <c r="AQ45" s="118" t="str">
        <f>IFERROR(
IF(VLOOKUP($C45,'Employee information'!$B:$M,COLUMNS('Employee information'!$B:$M),0)=3,
IF($E$2="Fortnightly",
ROUND(
ROUND((((TRUNC($AN45/2,0)+0.99))*VLOOKUP((TRUNC($AN45/2,0)+0.99),'Tax scales - NAT 1004'!$A$39:$C$41,2,1)-VLOOKUP((TRUNC($AN45/2,0)+0.99),'Tax scales - NAT 1004'!$A$39:$C$41,3,1)),0)
*2,
0),
IF(AND($E$2="Monthly",ROUND($AN45-TRUNC($AN45),2)=0.33),
ROUND(
ROUND(((TRUNC(($AN45+0.01)*3/13,0)+0.99)*VLOOKUP((TRUNC(($AN45+0.01)*3/13,0)+0.99),'Tax scales - NAT 1004'!$A$39:$C$41,2,1)-VLOOKUP((TRUNC(($AN45+0.01)*3/13,0)+0.99),'Tax scales - NAT 1004'!$A$39:$C$41,3,1)),0)
*13/3,
0),
IF($E$2="Monthly",
ROUND(
ROUND(((TRUNC($AN45*3/13,0)+0.99)*VLOOKUP((TRUNC($AN45*3/13,0)+0.99),'Tax scales - NAT 1004'!$A$39:$C$41,2,1)-VLOOKUP((TRUNC($AN45*3/13,0)+0.99),'Tax scales - NAT 1004'!$A$39:$C$41,3,1)),0)
*13/3,
0),
""))),
""),
"")</f>
        <v/>
      </c>
      <c r="AR45" s="118">
        <f>IFERROR(
IF(AND(VLOOKUP($C45,'Employee information'!$B:$M,COLUMNS('Employee information'!$B:$M),0)=4,
VLOOKUP($C45,'Employee information'!$B:$J,COLUMNS('Employee information'!$B:$J),0)="Resident"),
TRUNC(TRUNC($AN45)*'Tax scales - NAT 1004'!$B$47),
IF(AND(VLOOKUP($C45,'Employee information'!$B:$M,COLUMNS('Employee information'!$B:$M),0)=4,
VLOOKUP($C45,'Employee information'!$B:$J,COLUMNS('Employee information'!$B:$J),0)="Foreign resident"),
TRUNC(TRUNC($AN45)*'Tax scales - NAT 1004'!$B$48),
"")),
"")</f>
        <v>1175</v>
      </c>
      <c r="AS45" s="118" t="str">
        <f>IFERROR(
IF(VLOOKUP($C45,'Employee information'!$B:$M,COLUMNS('Employee information'!$B:$M),0)=5,
IF($E$2="Fortnightly",
ROUND(
ROUND((((TRUNC($AN45/2,0)+0.99))*VLOOKUP((TRUNC($AN45/2,0)+0.99),'Tax scales - NAT 1004'!$A$53:$C$59,2,1)-VLOOKUP((TRUNC($AN45/2,0)+0.99),'Tax scales - NAT 1004'!$A$53:$C$59,3,1)),0)
*2,
0),
IF(AND($E$2="Monthly",ROUND($AN45-TRUNC($AN45),2)=0.33),
ROUND(
ROUND(((TRUNC(($AN45+0.01)*3/13,0)+0.99)*VLOOKUP((TRUNC(($AN45+0.01)*3/13,0)+0.99),'Tax scales - NAT 1004'!$A$53:$C$59,2,1)-VLOOKUP((TRUNC(($AN45+0.01)*3/13,0)+0.99),'Tax scales - NAT 1004'!$A$53:$C$59,3,1)),0)
*13/3,
0),
IF($E$2="Monthly",
ROUND(
ROUND(((TRUNC($AN45*3/13,0)+0.99)*VLOOKUP((TRUNC($AN45*3/13,0)+0.99),'Tax scales - NAT 1004'!$A$53:$C$59,2,1)-VLOOKUP((TRUNC($AN45*3/13,0)+0.99),'Tax scales - NAT 1004'!$A$53:$C$59,3,1)),0)
*13/3,
0),
""))),
""),
"")</f>
        <v/>
      </c>
      <c r="AT45" s="118" t="str">
        <f>IFERROR(
IF(VLOOKUP($C45,'Employee information'!$B:$M,COLUMNS('Employee information'!$B:$M),0)=6,
IF($E$2="Fortnightly",
ROUND(
ROUND((((TRUNC($AN45/2,0)+0.99))*VLOOKUP((TRUNC($AN45/2,0)+0.99),'Tax scales - NAT 1004'!$A$65:$C$73,2,1)-VLOOKUP((TRUNC($AN45/2,0)+0.99),'Tax scales - NAT 1004'!$A$65:$C$73,3,1)),0)
*2,
0),
IF(AND($E$2="Monthly",ROUND($AN45-TRUNC($AN45),2)=0.33),
ROUND(
ROUND(((TRUNC(($AN45+0.01)*3/13,0)+0.99)*VLOOKUP((TRUNC(($AN45+0.01)*3/13,0)+0.99),'Tax scales - NAT 1004'!$A$65:$C$73,2,1)-VLOOKUP((TRUNC(($AN45+0.01)*3/13,0)+0.99),'Tax scales - NAT 1004'!$A$65:$C$73,3,1)),0)
*13/3,
0),
IF($E$2="Monthly",
ROUND(
ROUND(((TRUNC($AN45*3/13,0)+0.99)*VLOOKUP((TRUNC($AN45*3/13,0)+0.99),'Tax scales - NAT 1004'!$A$65:$C$73,2,1)-VLOOKUP((TRUNC($AN45*3/13,0)+0.99),'Tax scales - NAT 1004'!$A$65:$C$73,3,1)),0)
*13/3,
0),
""))),
""),
"")</f>
        <v/>
      </c>
      <c r="AU45" s="118" t="str">
        <f>IFERROR(
IF(VLOOKUP($C45,'Employee information'!$B:$M,COLUMNS('Employee information'!$B:$M),0)=11,
IF($E$2="Fortnightly",
ROUND(
ROUND((((TRUNC($AN45/2,0)+0.99))*VLOOKUP((TRUNC($AN45/2,0)+0.99),'Tax scales - NAT 3539'!$A$14:$C$38,2,1)-VLOOKUP((TRUNC($AN45/2,0)+0.99),'Tax scales - NAT 3539'!$A$14:$C$38,3,1)),0)
*2,
0),
IF(AND($E$2="Monthly",ROUND($AN45-TRUNC($AN45),2)=0.33),
ROUND(
ROUND(((TRUNC(($AN45+0.01)*3/13,0)+0.99)*VLOOKUP((TRUNC(($AN45+0.01)*3/13,0)+0.99),'Tax scales - NAT 3539'!$A$14:$C$38,2,1)-VLOOKUP((TRUNC(($AN45+0.01)*3/13,0)+0.99),'Tax scales - NAT 3539'!$A$14:$C$38,3,1)),0)
*13/3,
0),
IF($E$2="Monthly",
ROUND(
ROUND(((TRUNC($AN45*3/13,0)+0.99)*VLOOKUP((TRUNC($AN45*3/13,0)+0.99),'Tax scales - NAT 3539'!$A$14:$C$38,2,1)-VLOOKUP((TRUNC($AN45*3/13,0)+0.99),'Tax scales - NAT 3539'!$A$14:$C$38,3,1)),0)
*13/3,
0),
""))),
""),
"")</f>
        <v/>
      </c>
      <c r="AV45" s="118" t="str">
        <f>IFERROR(
IF(VLOOKUP($C45,'Employee information'!$B:$M,COLUMNS('Employee information'!$B:$M),0)=22,
IF($E$2="Fortnightly",
ROUND(
ROUND((((TRUNC($AN45/2,0)+0.99))*VLOOKUP((TRUNC($AN45/2,0)+0.99),'Tax scales - NAT 3539'!$A$43:$C$69,2,1)-VLOOKUP((TRUNC($AN45/2,0)+0.99),'Tax scales - NAT 3539'!$A$43:$C$69,3,1)),0)
*2,
0),
IF(AND($E$2="Monthly",ROUND($AN45-TRUNC($AN45),2)=0.33),
ROUND(
ROUND(((TRUNC(($AN45+0.01)*3/13,0)+0.99)*VLOOKUP((TRUNC(($AN45+0.01)*3/13,0)+0.99),'Tax scales - NAT 3539'!$A$43:$C$69,2,1)-VLOOKUP((TRUNC(($AN45+0.01)*3/13,0)+0.99),'Tax scales - NAT 3539'!$A$43:$C$69,3,1)),0)
*13/3,
0),
IF($E$2="Monthly",
ROUND(
ROUND(((TRUNC($AN45*3/13,0)+0.99)*VLOOKUP((TRUNC($AN45*3/13,0)+0.99),'Tax scales - NAT 3539'!$A$43:$C$69,2,1)-VLOOKUP((TRUNC($AN45*3/13,0)+0.99),'Tax scales - NAT 3539'!$A$43:$C$69,3,1)),0)
*13/3,
0),
""))),
""),
"")</f>
        <v/>
      </c>
      <c r="AW45" s="118" t="str">
        <f>IFERROR(
IF(VLOOKUP($C45,'Employee information'!$B:$M,COLUMNS('Employee information'!$B:$M),0)=33,
IF($E$2="Fortnightly",
ROUND(
ROUND((((TRUNC($AN45/2,0)+0.99))*VLOOKUP((TRUNC($AN45/2,0)+0.99),'Tax scales - NAT 3539'!$A$74:$C$94,2,1)-VLOOKUP((TRUNC($AN45/2,0)+0.99),'Tax scales - NAT 3539'!$A$74:$C$94,3,1)),0)
*2,
0),
IF(AND($E$2="Monthly",ROUND($AN45-TRUNC($AN45),2)=0.33),
ROUND(
ROUND(((TRUNC(($AN45+0.01)*3/13,0)+0.99)*VLOOKUP((TRUNC(($AN45+0.01)*3/13,0)+0.99),'Tax scales - NAT 3539'!$A$74:$C$94,2,1)-VLOOKUP((TRUNC(($AN45+0.01)*3/13,0)+0.99),'Tax scales - NAT 3539'!$A$74:$C$94,3,1)),0)
*13/3,
0),
IF($E$2="Monthly",
ROUND(
ROUND(((TRUNC($AN45*3/13,0)+0.99)*VLOOKUP((TRUNC($AN45*3/13,0)+0.99),'Tax scales - NAT 3539'!$A$74:$C$94,2,1)-VLOOKUP((TRUNC($AN45*3/13,0)+0.99),'Tax scales - NAT 3539'!$A$74:$C$94,3,1)),0)
*13/3,
0),
""))),
""),
"")</f>
        <v/>
      </c>
      <c r="AX45" s="118" t="str">
        <f>IFERROR(
IF(VLOOKUP($C45,'Employee information'!$B:$M,COLUMNS('Employee information'!$B:$M),0)=55,
IF($E$2="Fortnightly",
ROUND(
ROUND((((TRUNC($AN45/2,0)+0.99))*VLOOKUP((TRUNC($AN45/2,0)+0.99),'Tax scales - NAT 3539'!$A$99:$C$123,2,1)-VLOOKUP((TRUNC($AN45/2,0)+0.99),'Tax scales - NAT 3539'!$A$99:$C$123,3,1)),0)
*2,
0),
IF(AND($E$2="Monthly",ROUND($AN45-TRUNC($AN45),2)=0.33),
ROUND(
ROUND(((TRUNC(($AN45+0.01)*3/13,0)+0.99)*VLOOKUP((TRUNC(($AN45+0.01)*3/13,0)+0.99),'Tax scales - NAT 3539'!$A$99:$C$123,2,1)-VLOOKUP((TRUNC(($AN45+0.01)*3/13,0)+0.99),'Tax scales - NAT 3539'!$A$99:$C$123,3,1)),0)
*13/3,
0),
IF($E$2="Monthly",
ROUND(
ROUND(((TRUNC($AN45*3/13,0)+0.99)*VLOOKUP((TRUNC($AN45*3/13,0)+0.99),'Tax scales - NAT 3539'!$A$99:$C$123,2,1)-VLOOKUP((TRUNC($AN45*3/13,0)+0.99),'Tax scales - NAT 3539'!$A$99:$C$123,3,1)),0)
*13/3,
0),
""))),
""),
"")</f>
        <v/>
      </c>
      <c r="AY45" s="118" t="str">
        <f>IFERROR(
IF(VLOOKUP($C45,'Employee information'!$B:$M,COLUMNS('Employee information'!$B:$M),0)=66,
IF($E$2="Fortnightly",
ROUND(
ROUND((((TRUNC($AN45/2,0)+0.99))*VLOOKUP((TRUNC($AN45/2,0)+0.99),'Tax scales - NAT 3539'!$A$127:$C$154,2,1)-VLOOKUP((TRUNC($AN45/2,0)+0.99),'Tax scales - NAT 3539'!$A$127:$C$154,3,1)),0)
*2,
0),
IF(AND($E$2="Monthly",ROUND($AN45-TRUNC($AN45),2)=0.33),
ROUND(
ROUND(((TRUNC(($AN45+0.01)*3/13,0)+0.99)*VLOOKUP((TRUNC(($AN45+0.01)*3/13,0)+0.99),'Tax scales - NAT 3539'!$A$127:$C$154,2,1)-VLOOKUP((TRUNC(($AN45+0.01)*3/13,0)+0.99),'Tax scales - NAT 3539'!$A$127:$C$154,3,1)),0)
*13/3,
0),
IF($E$2="Monthly",
ROUND(
ROUND(((TRUNC($AN45*3/13,0)+0.99)*VLOOKUP((TRUNC($AN45*3/13,0)+0.99),'Tax scales - NAT 3539'!$A$127:$C$154,2,1)-VLOOKUP((TRUNC($AN45*3/13,0)+0.99),'Tax scales - NAT 3539'!$A$127:$C$154,3,1)),0)
*13/3,
0),
""))),
""),
"")</f>
        <v/>
      </c>
      <c r="AZ45" s="118">
        <f>IFERROR(
HLOOKUP(VLOOKUP($C45,'Employee information'!$B:$M,COLUMNS('Employee information'!$B:$M),0),'PAYG worksheet'!$AO$39:$AY$58,COUNTA($C$40:$C45)+1,0),
0)</f>
        <v>1175</v>
      </c>
      <c r="BA45" s="118"/>
      <c r="BB45" s="118">
        <f t="shared" si="46"/>
        <v>1325</v>
      </c>
      <c r="BC45" s="119">
        <f>IFERROR(
IF(OR($AE45=1,$AE45=""),SUM($P45,$AA45,$AC45,$AK45)*VLOOKUP($C45,'Employee information'!$B:$Q,COLUMNS('Employee information'!$B:$H),0),
IF($AE45=0,SUM($P45,$AA45,$AK45)*VLOOKUP($C45,'Employee information'!$B:$Q,COLUMNS('Employee information'!$B:$H),0),
0)),
0)</f>
        <v>237.5</v>
      </c>
      <c r="BE45" s="114">
        <f t="shared" si="31"/>
        <v>5000</v>
      </c>
      <c r="BF45" s="114">
        <f t="shared" si="32"/>
        <v>5000</v>
      </c>
      <c r="BG45" s="114">
        <f t="shared" si="33"/>
        <v>0</v>
      </c>
      <c r="BH45" s="114">
        <f t="shared" si="34"/>
        <v>0</v>
      </c>
      <c r="BI45" s="114">
        <f t="shared" si="35"/>
        <v>2350</v>
      </c>
      <c r="BJ45" s="114">
        <f t="shared" si="36"/>
        <v>0</v>
      </c>
      <c r="BK45" s="114">
        <f t="shared" si="37"/>
        <v>0</v>
      </c>
      <c r="BL45" s="114">
        <f t="shared" si="47"/>
        <v>0</v>
      </c>
      <c r="BM45" s="114">
        <f t="shared" si="38"/>
        <v>475</v>
      </c>
    </row>
    <row r="46" spans="1:65" x14ac:dyDescent="0.25">
      <c r="A46" s="228">
        <f t="shared" si="26"/>
        <v>2</v>
      </c>
      <c r="C46" s="278" t="s">
        <v>95</v>
      </c>
      <c r="E46" s="103">
        <f>IF($C46="",0,
IF(AND($E$2="Monthly",$A46&gt;12),0,
IF($E$2="Monthly",VLOOKUP($C46,'Employee information'!$B:$AM,COLUMNS('Employee information'!$B:S),0),
IF($E$2="Fortnightly",VLOOKUP($C46,'Employee information'!$B:$AM,COLUMNS('Employee information'!$B:R),0),
0))))</f>
        <v>45</v>
      </c>
      <c r="F46" s="106"/>
      <c r="G46" s="106"/>
      <c r="H46" s="106"/>
      <c r="I46" s="106"/>
      <c r="J46" s="103">
        <f t="shared" si="39"/>
        <v>45</v>
      </c>
      <c r="L46" s="113">
        <f>IF(AND($E$2="Monthly",$A46&gt;12),"",
IFERROR($J46*VLOOKUP($C46,'Employee information'!$B:$AI,COLUMNS('Employee information'!$B:$P),0),0))</f>
        <v>1107.6923076923078</v>
      </c>
      <c r="M46" s="114">
        <f t="shared" si="40"/>
        <v>2215.3846153846157</v>
      </c>
      <c r="O46" s="103">
        <f t="shared" si="41"/>
        <v>45</v>
      </c>
      <c r="P46" s="113">
        <f>IFERROR(
IF(AND($E$2="Monthly",$A46&gt;12),0,
$O46*VLOOKUP($C46,'Employee information'!$B:$AI,COLUMNS('Employee information'!$B:$P),0)),
0)</f>
        <v>1107.6923076923078</v>
      </c>
      <c r="R46" s="114">
        <f t="shared" si="27"/>
        <v>2215.3846153846157</v>
      </c>
      <c r="T46" s="103"/>
      <c r="U46" s="103"/>
      <c r="V46" s="282">
        <f>IF($C46="","",
IF(AND($E$2="Monthly",$A46&gt;12),"",
$T46*VLOOKUP($C46,'Employee information'!$B:$P,COLUMNS('Employee information'!$B:$P),0)))</f>
        <v>0</v>
      </c>
      <c r="W46" s="282">
        <f>IF($C46="","",
IF(AND($E$2="Monthly",$A46&gt;12),"",
$U46*VLOOKUP($C46,'Employee information'!$B:$P,COLUMNS('Employee information'!$B:$P),0)))</f>
        <v>0</v>
      </c>
      <c r="X46" s="114">
        <f t="shared" si="28"/>
        <v>0</v>
      </c>
      <c r="Y46" s="114">
        <f t="shared" si="29"/>
        <v>0</v>
      </c>
      <c r="AA46" s="118">
        <f>IFERROR(
IF(OR('Basic payroll data'!$D$12="",'Basic payroll data'!$D$12="No"),0,
$T46*VLOOKUP($C46,'Employee information'!$B:$P,COLUMNS('Employee information'!$B:$P),0)*AL_loading_perc),
0)</f>
        <v>0</v>
      </c>
      <c r="AC46" s="118"/>
      <c r="AD46" s="118"/>
      <c r="AE46" s="283" t="str">
        <f t="shared" si="42"/>
        <v/>
      </c>
      <c r="AF46" s="283" t="str">
        <f t="shared" si="43"/>
        <v/>
      </c>
      <c r="AG46" s="118"/>
      <c r="AH46" s="118"/>
      <c r="AI46" s="283" t="str">
        <f t="shared" si="44"/>
        <v/>
      </c>
      <c r="AJ46" s="118"/>
      <c r="AK46" s="118"/>
      <c r="AM46" s="118">
        <f t="shared" si="45"/>
        <v>1107.6923076923078</v>
      </c>
      <c r="AN46" s="118">
        <f t="shared" si="30"/>
        <v>1107.6923076923078</v>
      </c>
      <c r="AO46" s="118" t="str">
        <f>IFERROR(
IF(VLOOKUP($C46,'Employee information'!$B:$M,COLUMNS('Employee information'!$B:$M),0)=1,
IF($E$2="Fortnightly",
ROUND(
ROUND((((TRUNC($AN46/2,0)+0.99))*VLOOKUP((TRUNC($AN46/2,0)+0.99),'Tax scales - NAT 1004'!$A$12:$C$18,2,1)-VLOOKUP((TRUNC($AN46/2,0)+0.99),'Tax scales - NAT 1004'!$A$12:$C$18,3,1)),0)
*2,
0),
IF(AND($E$2="Monthly",ROUND($AN46-TRUNC($AN46),2)=0.33),
ROUND(
ROUND(((TRUNC(($AN46+0.01)*3/13,0)+0.99)*VLOOKUP((TRUNC(($AN46+0.01)*3/13,0)+0.99),'Tax scales - NAT 1004'!$A$12:$C$18,2,1)-VLOOKUP((TRUNC(($AN46+0.01)*3/13,0)+0.99),'Tax scales - NAT 1004'!$A$12:$C$18,3,1)),0)
*13/3,
0),
IF($E$2="Monthly",
ROUND(
ROUND(((TRUNC($AN46*3/13,0)+0.99)*VLOOKUP((TRUNC($AN46*3/13,0)+0.99),'Tax scales - NAT 1004'!$A$12:$C$18,2,1)-VLOOKUP((TRUNC($AN46*3/13,0)+0.99),'Tax scales - NAT 1004'!$A$12:$C$18,3,1)),0)
*13/3,
0),
""))),
""),
"")</f>
        <v/>
      </c>
      <c r="AP46" s="118" t="str">
        <f>IFERROR(
IF(VLOOKUP($C46,'Employee information'!$B:$M,COLUMNS('Employee information'!$B:$M),0)=2,
IF($E$2="Fortnightly",
ROUND(
ROUND((((TRUNC($AN46/2,0)+0.99))*VLOOKUP((TRUNC($AN46/2,0)+0.99),'Tax scales - NAT 1004'!$A$25:$C$33,2,1)-VLOOKUP((TRUNC($AN46/2,0)+0.99),'Tax scales - NAT 1004'!$A$25:$C$33,3,1)),0)
*2,
0),
IF(AND($E$2="Monthly",ROUND($AN46-TRUNC($AN46),2)=0.33),
ROUND(
ROUND(((TRUNC(($AN46+0.01)*3/13,0)+0.99)*VLOOKUP((TRUNC(($AN46+0.01)*3/13,0)+0.99),'Tax scales - NAT 1004'!$A$25:$C$33,2,1)-VLOOKUP((TRUNC(($AN46+0.01)*3/13,0)+0.99),'Tax scales - NAT 1004'!$A$25:$C$33,3,1)),0)
*13/3,
0),
IF($E$2="Monthly",
ROUND(
ROUND(((TRUNC($AN46*3/13,0)+0.99)*VLOOKUP((TRUNC($AN46*3/13,0)+0.99),'Tax scales - NAT 1004'!$A$25:$C$33,2,1)-VLOOKUP((TRUNC($AN46*3/13,0)+0.99),'Tax scales - NAT 1004'!$A$25:$C$33,3,1)),0)
*13/3,
0),
""))),
""),
"")</f>
        <v/>
      </c>
      <c r="AQ46" s="118" t="str">
        <f>IFERROR(
IF(VLOOKUP($C46,'Employee information'!$B:$M,COLUMNS('Employee information'!$B:$M),0)=3,
IF($E$2="Fortnightly",
ROUND(
ROUND((((TRUNC($AN46/2,0)+0.99))*VLOOKUP((TRUNC($AN46/2,0)+0.99),'Tax scales - NAT 1004'!$A$39:$C$41,2,1)-VLOOKUP((TRUNC($AN46/2,0)+0.99),'Tax scales - NAT 1004'!$A$39:$C$41,3,1)),0)
*2,
0),
IF(AND($E$2="Monthly",ROUND($AN46-TRUNC($AN46),2)=0.33),
ROUND(
ROUND(((TRUNC(($AN46+0.01)*3/13,0)+0.99)*VLOOKUP((TRUNC(($AN46+0.01)*3/13,0)+0.99),'Tax scales - NAT 1004'!$A$39:$C$41,2,1)-VLOOKUP((TRUNC(($AN46+0.01)*3/13,0)+0.99),'Tax scales - NAT 1004'!$A$39:$C$41,3,1)),0)
*13/3,
0),
IF($E$2="Monthly",
ROUND(
ROUND(((TRUNC($AN46*3/13,0)+0.99)*VLOOKUP((TRUNC($AN46*3/13,0)+0.99),'Tax scales - NAT 1004'!$A$39:$C$41,2,1)-VLOOKUP((TRUNC($AN46*3/13,0)+0.99),'Tax scales - NAT 1004'!$A$39:$C$41,3,1)),0)
*13/3,
0),
""))),
""),
"")</f>
        <v/>
      </c>
      <c r="AR46" s="118" t="str">
        <f>IFERROR(
IF(AND(VLOOKUP($C46,'Employee information'!$B:$M,COLUMNS('Employee information'!$B:$M),0)=4,
VLOOKUP($C46,'Employee information'!$B:$J,COLUMNS('Employee information'!$B:$J),0)="Resident"),
TRUNC(TRUNC($AN46)*'Tax scales - NAT 1004'!$B$47),
IF(AND(VLOOKUP($C46,'Employee information'!$B:$M,COLUMNS('Employee information'!$B:$M),0)=4,
VLOOKUP($C46,'Employee information'!$B:$J,COLUMNS('Employee information'!$B:$J),0)="Foreign resident"),
TRUNC(TRUNC($AN46)*'Tax scales - NAT 1004'!$B$48),
"")),
"")</f>
        <v/>
      </c>
      <c r="AS46" s="118" t="str">
        <f>IFERROR(
IF(VLOOKUP($C46,'Employee information'!$B:$M,COLUMNS('Employee information'!$B:$M),0)=5,
IF($E$2="Fortnightly",
ROUND(
ROUND((((TRUNC($AN46/2,0)+0.99))*VLOOKUP((TRUNC($AN46/2,0)+0.99),'Tax scales - NAT 1004'!$A$53:$C$59,2,1)-VLOOKUP((TRUNC($AN46/2,0)+0.99),'Tax scales - NAT 1004'!$A$53:$C$59,3,1)),0)
*2,
0),
IF(AND($E$2="Monthly",ROUND($AN46-TRUNC($AN46),2)=0.33),
ROUND(
ROUND(((TRUNC(($AN46+0.01)*3/13,0)+0.99)*VLOOKUP((TRUNC(($AN46+0.01)*3/13,0)+0.99),'Tax scales - NAT 1004'!$A$53:$C$59,2,1)-VLOOKUP((TRUNC(($AN46+0.01)*3/13,0)+0.99),'Tax scales - NAT 1004'!$A$53:$C$59,3,1)),0)
*13/3,
0),
IF($E$2="Monthly",
ROUND(
ROUND(((TRUNC($AN46*3/13,0)+0.99)*VLOOKUP((TRUNC($AN46*3/13,0)+0.99),'Tax scales - NAT 1004'!$A$53:$C$59,2,1)-VLOOKUP((TRUNC($AN46*3/13,0)+0.99),'Tax scales - NAT 1004'!$A$53:$C$59,3,1)),0)
*13/3,
0),
""))),
""),
"")</f>
        <v/>
      </c>
      <c r="AT46" s="118" t="str">
        <f>IFERROR(
IF(VLOOKUP($C46,'Employee information'!$B:$M,COLUMNS('Employee information'!$B:$M),0)=6,
IF($E$2="Fortnightly",
ROUND(
ROUND((((TRUNC($AN46/2,0)+0.99))*VLOOKUP((TRUNC($AN46/2,0)+0.99),'Tax scales - NAT 1004'!$A$65:$C$73,2,1)-VLOOKUP((TRUNC($AN46/2,0)+0.99),'Tax scales - NAT 1004'!$A$65:$C$73,3,1)),0)
*2,
0),
IF(AND($E$2="Monthly",ROUND($AN46-TRUNC($AN46),2)=0.33),
ROUND(
ROUND(((TRUNC(($AN46+0.01)*3/13,0)+0.99)*VLOOKUP((TRUNC(($AN46+0.01)*3/13,0)+0.99),'Tax scales - NAT 1004'!$A$65:$C$73,2,1)-VLOOKUP((TRUNC(($AN46+0.01)*3/13,0)+0.99),'Tax scales - NAT 1004'!$A$65:$C$73,3,1)),0)
*13/3,
0),
IF($E$2="Monthly",
ROUND(
ROUND(((TRUNC($AN46*3/13,0)+0.99)*VLOOKUP((TRUNC($AN46*3/13,0)+0.99),'Tax scales - NAT 1004'!$A$65:$C$73,2,1)-VLOOKUP((TRUNC($AN46*3/13,0)+0.99),'Tax scales - NAT 1004'!$A$65:$C$73,3,1)),0)
*13/3,
0),
""))),
""),
"")</f>
        <v/>
      </c>
      <c r="AU46" s="118" t="str">
        <f>IFERROR(
IF(VLOOKUP($C46,'Employee information'!$B:$M,COLUMNS('Employee information'!$B:$M),0)=11,
IF($E$2="Fortnightly",
ROUND(
ROUND((((TRUNC($AN46/2,0)+0.99))*VLOOKUP((TRUNC($AN46/2,0)+0.99),'Tax scales - NAT 3539'!$A$14:$C$38,2,1)-VLOOKUP((TRUNC($AN46/2,0)+0.99),'Tax scales - NAT 3539'!$A$14:$C$38,3,1)),0)
*2,
0),
IF(AND($E$2="Monthly",ROUND($AN46-TRUNC($AN46),2)=0.33),
ROUND(
ROUND(((TRUNC(($AN46+0.01)*3/13,0)+0.99)*VLOOKUP((TRUNC(($AN46+0.01)*3/13,0)+0.99),'Tax scales - NAT 3539'!$A$14:$C$38,2,1)-VLOOKUP((TRUNC(($AN46+0.01)*3/13,0)+0.99),'Tax scales - NAT 3539'!$A$14:$C$38,3,1)),0)
*13/3,
0),
IF($E$2="Monthly",
ROUND(
ROUND(((TRUNC($AN46*3/13,0)+0.99)*VLOOKUP((TRUNC($AN46*3/13,0)+0.99),'Tax scales - NAT 3539'!$A$14:$C$38,2,1)-VLOOKUP((TRUNC($AN46*3/13,0)+0.99),'Tax scales - NAT 3539'!$A$14:$C$38,3,1)),0)
*13/3,
0),
""))),
""),
"")</f>
        <v/>
      </c>
      <c r="AV46" s="118" t="str">
        <f>IFERROR(
IF(VLOOKUP($C46,'Employee information'!$B:$M,COLUMNS('Employee information'!$B:$M),0)=22,
IF($E$2="Fortnightly",
ROUND(
ROUND((((TRUNC($AN46/2,0)+0.99))*VLOOKUP((TRUNC($AN46/2,0)+0.99),'Tax scales - NAT 3539'!$A$43:$C$69,2,1)-VLOOKUP((TRUNC($AN46/2,0)+0.99),'Tax scales - NAT 3539'!$A$43:$C$69,3,1)),0)
*2,
0),
IF(AND($E$2="Monthly",ROUND($AN46-TRUNC($AN46),2)=0.33),
ROUND(
ROUND(((TRUNC(($AN46+0.01)*3/13,0)+0.99)*VLOOKUP((TRUNC(($AN46+0.01)*3/13,0)+0.99),'Tax scales - NAT 3539'!$A$43:$C$69,2,1)-VLOOKUP((TRUNC(($AN46+0.01)*3/13,0)+0.99),'Tax scales - NAT 3539'!$A$43:$C$69,3,1)),0)
*13/3,
0),
IF($E$2="Monthly",
ROUND(
ROUND(((TRUNC($AN46*3/13,0)+0.99)*VLOOKUP((TRUNC($AN46*3/13,0)+0.99),'Tax scales - NAT 3539'!$A$43:$C$69,2,1)-VLOOKUP((TRUNC($AN46*3/13,0)+0.99),'Tax scales - NAT 3539'!$A$43:$C$69,3,1)),0)
*13/3,
0),
""))),
""),
"")</f>
        <v/>
      </c>
      <c r="AW46" s="118" t="str">
        <f>IFERROR(
IF(VLOOKUP($C46,'Employee information'!$B:$M,COLUMNS('Employee information'!$B:$M),0)=33,
IF($E$2="Fortnightly",
ROUND(
ROUND((((TRUNC($AN46/2,0)+0.99))*VLOOKUP((TRUNC($AN46/2,0)+0.99),'Tax scales - NAT 3539'!$A$74:$C$94,2,1)-VLOOKUP((TRUNC($AN46/2,0)+0.99),'Tax scales - NAT 3539'!$A$74:$C$94,3,1)),0)
*2,
0),
IF(AND($E$2="Monthly",ROUND($AN46-TRUNC($AN46),2)=0.33),
ROUND(
ROUND(((TRUNC(($AN46+0.01)*3/13,0)+0.99)*VLOOKUP((TRUNC(($AN46+0.01)*3/13,0)+0.99),'Tax scales - NAT 3539'!$A$74:$C$94,2,1)-VLOOKUP((TRUNC(($AN46+0.01)*3/13,0)+0.99),'Tax scales - NAT 3539'!$A$74:$C$94,3,1)),0)
*13/3,
0),
IF($E$2="Monthly",
ROUND(
ROUND(((TRUNC($AN46*3/13,0)+0.99)*VLOOKUP((TRUNC($AN46*3/13,0)+0.99),'Tax scales - NAT 3539'!$A$74:$C$94,2,1)-VLOOKUP((TRUNC($AN46*3/13,0)+0.99),'Tax scales - NAT 3539'!$A$74:$C$94,3,1)),0)
*13/3,
0),
""))),
""),
"")</f>
        <v/>
      </c>
      <c r="AX46" s="118" t="str">
        <f>IFERROR(
IF(VLOOKUP($C46,'Employee information'!$B:$M,COLUMNS('Employee information'!$B:$M),0)=55,
IF($E$2="Fortnightly",
ROUND(
ROUND((((TRUNC($AN46/2,0)+0.99))*VLOOKUP((TRUNC($AN46/2,0)+0.99),'Tax scales - NAT 3539'!$A$99:$C$123,2,1)-VLOOKUP((TRUNC($AN46/2,0)+0.99),'Tax scales - NAT 3539'!$A$99:$C$123,3,1)),0)
*2,
0),
IF(AND($E$2="Monthly",ROUND($AN46-TRUNC($AN46),2)=0.33),
ROUND(
ROUND(((TRUNC(($AN46+0.01)*3/13,0)+0.99)*VLOOKUP((TRUNC(($AN46+0.01)*3/13,0)+0.99),'Tax scales - NAT 3539'!$A$99:$C$123,2,1)-VLOOKUP((TRUNC(($AN46+0.01)*3/13,0)+0.99),'Tax scales - NAT 3539'!$A$99:$C$123,3,1)),0)
*13/3,
0),
IF($E$2="Monthly",
ROUND(
ROUND(((TRUNC($AN46*3/13,0)+0.99)*VLOOKUP((TRUNC($AN46*3/13,0)+0.99),'Tax scales - NAT 3539'!$A$99:$C$123,2,1)-VLOOKUP((TRUNC($AN46*3/13,0)+0.99),'Tax scales - NAT 3539'!$A$99:$C$123,3,1)),0)
*13/3,
0),
""))),
""),
"")</f>
        <v/>
      </c>
      <c r="AY46" s="118">
        <f>IFERROR(
IF(VLOOKUP($C46,'Employee information'!$B:$M,COLUMNS('Employee information'!$B:$M),0)=66,
IF($E$2="Fortnightly",
ROUND(
ROUND((((TRUNC($AN46/2,0)+0.99))*VLOOKUP((TRUNC($AN46/2,0)+0.99),'Tax scales - NAT 3539'!$A$127:$C$154,2,1)-VLOOKUP((TRUNC($AN46/2,0)+0.99),'Tax scales - NAT 3539'!$A$127:$C$154,3,1)),0)
*2,
0),
IF(AND($E$2="Monthly",ROUND($AN46-TRUNC($AN46),2)=0.33),
ROUND(
ROUND(((TRUNC(($AN46+0.01)*3/13,0)+0.99)*VLOOKUP((TRUNC(($AN46+0.01)*3/13,0)+0.99),'Tax scales - NAT 3539'!$A$127:$C$154,2,1)-VLOOKUP((TRUNC(($AN46+0.01)*3/13,0)+0.99),'Tax scales - NAT 3539'!$A$127:$C$154,3,1)),0)
*13/3,
0),
IF($E$2="Monthly",
ROUND(
ROUND(((TRUNC($AN46*3/13,0)+0.99)*VLOOKUP((TRUNC($AN46*3/13,0)+0.99),'Tax scales - NAT 3539'!$A$127:$C$154,2,1)-VLOOKUP((TRUNC($AN46*3/13,0)+0.99),'Tax scales - NAT 3539'!$A$127:$C$154,3,1)),0)
*13/3,
0),
""))),
""),
"")</f>
        <v>74</v>
      </c>
      <c r="AZ46" s="118">
        <f>IFERROR(
HLOOKUP(VLOOKUP($C46,'Employee information'!$B:$M,COLUMNS('Employee information'!$B:$M),0),'PAYG worksheet'!$AO$39:$AY$58,COUNTA($C$40:$C46)+1,0),
0)</f>
        <v>74</v>
      </c>
      <c r="BA46" s="118"/>
      <c r="BB46" s="118">
        <f t="shared" si="46"/>
        <v>1033.6923076923078</v>
      </c>
      <c r="BC46" s="119">
        <f>IFERROR(
IF(OR($AE46=1,$AE46=""),SUM($P46,$AA46,$AC46,$AK46)*VLOOKUP($C46,'Employee information'!$B:$Q,COLUMNS('Employee information'!$B:$H),0),
IF($AE46=0,SUM($P46,$AA46,$AK46)*VLOOKUP($C46,'Employee information'!$B:$Q,COLUMNS('Employee information'!$B:$H),0),
0)),
0)</f>
        <v>105.23076923076924</v>
      </c>
      <c r="BE46" s="114">
        <f t="shared" si="31"/>
        <v>2215.3846153846157</v>
      </c>
      <c r="BF46" s="114">
        <f t="shared" si="32"/>
        <v>2215.3846153846157</v>
      </c>
      <c r="BG46" s="114">
        <f t="shared" si="33"/>
        <v>0</v>
      </c>
      <c r="BH46" s="114">
        <f t="shared" si="34"/>
        <v>0</v>
      </c>
      <c r="BI46" s="114">
        <f t="shared" si="35"/>
        <v>148</v>
      </c>
      <c r="BJ46" s="114">
        <f t="shared" si="36"/>
        <v>0</v>
      </c>
      <c r="BK46" s="114">
        <f t="shared" si="37"/>
        <v>0</v>
      </c>
      <c r="BL46" s="114">
        <f t="shared" si="47"/>
        <v>0</v>
      </c>
      <c r="BM46" s="114">
        <f t="shared" si="38"/>
        <v>210.46153846153848</v>
      </c>
    </row>
    <row r="47" spans="1:65" x14ac:dyDescent="0.25">
      <c r="A47" s="228">
        <f t="shared" si="26"/>
        <v>2</v>
      </c>
      <c r="C47" s="278"/>
      <c r="E47" s="103">
        <f>IF($C47="",0,
IF(AND($E$2="Monthly",$A47&gt;12),0,
IF($E$2="Monthly",VLOOKUP($C47,'Employee information'!$B:$AM,COLUMNS('Employee information'!$B:S),0),
IF($E$2="Fortnightly",VLOOKUP($C47,'Employee information'!$B:$AM,COLUMNS('Employee information'!$B:R),0),
0))))</f>
        <v>0</v>
      </c>
      <c r="F47" s="106"/>
      <c r="G47" s="106"/>
      <c r="H47" s="106"/>
      <c r="I47" s="106"/>
      <c r="J47" s="103">
        <f>IF($E$2="Monthly",
IF(AND($E$2="Monthly",$H47&lt;&gt;""),$H47,
IF(AND($E$2="Monthly",$E47=0),SUM($F47:$G47),
$E47)),
IF($E$2="Fortnightly",
IF(AND($E$2="Fortnightly",$H47&lt;&gt;""),$H47,
IF(AND($E$2="Fortnightly",$F47&lt;&gt;"",$E47&lt;&gt;0),$F47,
IF(AND($E$2="Fortnightly",$E47=0),SUM($F47:$G47),
$E47)))))</f>
        <v>0</v>
      </c>
      <c r="L47" s="113">
        <f>IF(AND($E$2="Monthly",$A47&gt;12),"",
IFERROR($J47*VLOOKUP($C47,'Employee information'!$B:$AI,COLUMNS('Employee information'!$B:$P),0),0))</f>
        <v>0</v>
      </c>
      <c r="M47" s="114">
        <f t="shared" si="40"/>
        <v>0</v>
      </c>
      <c r="O47" s="103">
        <f t="shared" si="41"/>
        <v>0</v>
      </c>
      <c r="P47" s="113">
        <f>IFERROR(
IF(AND($E$2="Monthly",$A47&gt;12),0,
$O47*VLOOKUP($C47,'Employee information'!$B:$AI,COLUMNS('Employee information'!$B:$P),0)),
0)</f>
        <v>0</v>
      </c>
      <c r="R47" s="114">
        <f t="shared" si="27"/>
        <v>0</v>
      </c>
      <c r="T47" s="103"/>
      <c r="U47" s="103"/>
      <c r="V47" s="282" t="str">
        <f>IF($C47="","",
IF(AND($E$2="Monthly",$A47&gt;12),"",
$T47*VLOOKUP($C47,'Employee information'!$B:$P,COLUMNS('Employee information'!$B:$P),0)))</f>
        <v/>
      </c>
      <c r="W47" s="282" t="str">
        <f>IF($C47="","",
IF(AND($E$2="Monthly",$A47&gt;12),"",
$U47*VLOOKUP($C47,'Employee information'!$B:$P,COLUMNS('Employee information'!$B:$P),0)))</f>
        <v/>
      </c>
      <c r="X47" s="114">
        <f t="shared" si="28"/>
        <v>0</v>
      </c>
      <c r="Y47" s="114">
        <f t="shared" si="29"/>
        <v>0</v>
      </c>
      <c r="AA47" s="118">
        <f>IFERROR(
IF(OR('Basic payroll data'!$D$12="",'Basic payroll data'!$D$12="No"),0,
$T47*VLOOKUP($C47,'Employee information'!$B:$P,COLUMNS('Employee information'!$B:$P),0)*AL_loading_perc),
0)</f>
        <v>0</v>
      </c>
      <c r="AC47" s="118"/>
      <c r="AD47" s="118"/>
      <c r="AE47" s="283" t="str">
        <f t="shared" si="42"/>
        <v/>
      </c>
      <c r="AF47" s="283" t="str">
        <f t="shared" si="43"/>
        <v/>
      </c>
      <c r="AG47" s="118"/>
      <c r="AH47" s="118"/>
      <c r="AI47" s="283" t="str">
        <f t="shared" si="44"/>
        <v/>
      </c>
      <c r="AJ47" s="118"/>
      <c r="AK47" s="118"/>
      <c r="AM47" s="118">
        <f t="shared" si="45"/>
        <v>0</v>
      </c>
      <c r="AN47" s="118">
        <f t="shared" si="30"/>
        <v>0</v>
      </c>
      <c r="AO47" s="118" t="str">
        <f>IFERROR(
IF(VLOOKUP($C47,'Employee information'!$B:$M,COLUMNS('Employee information'!$B:$M),0)=1,
IF($E$2="Fortnightly",
ROUND(
ROUND((((TRUNC($AN47/2,0)+0.99))*VLOOKUP((TRUNC($AN47/2,0)+0.99),'Tax scales - NAT 1004'!$A$12:$C$18,2,1)-VLOOKUP((TRUNC($AN47/2,0)+0.99),'Tax scales - NAT 1004'!$A$12:$C$18,3,1)),0)
*2,
0),
IF(AND($E$2="Monthly",ROUND($AN47-TRUNC($AN47),2)=0.33),
ROUND(
ROUND(((TRUNC(($AN47+0.01)*3/13,0)+0.99)*VLOOKUP((TRUNC(($AN47+0.01)*3/13,0)+0.99),'Tax scales - NAT 1004'!$A$12:$C$18,2,1)-VLOOKUP((TRUNC(($AN47+0.01)*3/13,0)+0.99),'Tax scales - NAT 1004'!$A$12:$C$18,3,1)),0)
*13/3,
0),
IF($E$2="Monthly",
ROUND(
ROUND(((TRUNC($AN47*3/13,0)+0.99)*VLOOKUP((TRUNC($AN47*3/13,0)+0.99),'Tax scales - NAT 1004'!$A$12:$C$18,2,1)-VLOOKUP((TRUNC($AN47*3/13,0)+0.99),'Tax scales - NAT 1004'!$A$12:$C$18,3,1)),0)
*13/3,
0),
""))),
""),
"")</f>
        <v/>
      </c>
      <c r="AP47" s="118" t="str">
        <f>IFERROR(
IF(VLOOKUP($C47,'Employee information'!$B:$M,COLUMNS('Employee information'!$B:$M),0)=2,
IF($E$2="Fortnightly",
ROUND(
ROUND((((TRUNC($AN47/2,0)+0.99))*VLOOKUP((TRUNC($AN47/2,0)+0.99),'Tax scales - NAT 1004'!$A$25:$C$33,2,1)-VLOOKUP((TRUNC($AN47/2,0)+0.99),'Tax scales - NAT 1004'!$A$25:$C$33,3,1)),0)
*2,
0),
IF(AND($E$2="Monthly",ROUND($AN47-TRUNC($AN47),2)=0.33),
ROUND(
ROUND(((TRUNC(($AN47+0.01)*3/13,0)+0.99)*VLOOKUP((TRUNC(($AN47+0.01)*3/13,0)+0.99),'Tax scales - NAT 1004'!$A$25:$C$33,2,1)-VLOOKUP((TRUNC(($AN47+0.01)*3/13,0)+0.99),'Tax scales - NAT 1004'!$A$25:$C$33,3,1)),0)
*13/3,
0),
IF($E$2="Monthly",
ROUND(
ROUND(((TRUNC($AN47*3/13,0)+0.99)*VLOOKUP((TRUNC($AN47*3/13,0)+0.99),'Tax scales - NAT 1004'!$A$25:$C$33,2,1)-VLOOKUP((TRUNC($AN47*3/13,0)+0.99),'Tax scales - NAT 1004'!$A$25:$C$33,3,1)),0)
*13/3,
0),
""))),
""),
"")</f>
        <v/>
      </c>
      <c r="AQ47" s="118" t="str">
        <f>IFERROR(
IF(VLOOKUP($C47,'Employee information'!$B:$M,COLUMNS('Employee information'!$B:$M),0)=3,
IF($E$2="Fortnightly",
ROUND(
ROUND((((TRUNC($AN47/2,0)+0.99))*VLOOKUP((TRUNC($AN47/2,0)+0.99),'Tax scales - NAT 1004'!$A$39:$C$41,2,1)-VLOOKUP((TRUNC($AN47/2,0)+0.99),'Tax scales - NAT 1004'!$A$39:$C$41,3,1)),0)
*2,
0),
IF(AND($E$2="Monthly",ROUND($AN47-TRUNC($AN47),2)=0.33),
ROUND(
ROUND(((TRUNC(($AN47+0.01)*3/13,0)+0.99)*VLOOKUP((TRUNC(($AN47+0.01)*3/13,0)+0.99),'Tax scales - NAT 1004'!$A$39:$C$41,2,1)-VLOOKUP((TRUNC(($AN47+0.01)*3/13,0)+0.99),'Tax scales - NAT 1004'!$A$39:$C$41,3,1)),0)
*13/3,
0),
IF($E$2="Monthly",
ROUND(
ROUND(((TRUNC($AN47*3/13,0)+0.99)*VLOOKUP((TRUNC($AN47*3/13,0)+0.99),'Tax scales - NAT 1004'!$A$39:$C$41,2,1)-VLOOKUP((TRUNC($AN47*3/13,0)+0.99),'Tax scales - NAT 1004'!$A$39:$C$41,3,1)),0)
*13/3,
0),
""))),
""),
"")</f>
        <v/>
      </c>
      <c r="AR47" s="118" t="str">
        <f>IFERROR(
IF(AND(VLOOKUP($C47,'Employee information'!$B:$M,COLUMNS('Employee information'!$B:$M),0)=4,
VLOOKUP($C47,'Employee information'!$B:$J,COLUMNS('Employee information'!$B:$J),0)="Resident"),
TRUNC(TRUNC($AN47)*'Tax scales - NAT 1004'!$B$47),
IF(AND(VLOOKUP($C47,'Employee information'!$B:$M,COLUMNS('Employee information'!$B:$M),0)=4,
VLOOKUP($C47,'Employee information'!$B:$J,COLUMNS('Employee information'!$B:$J),0)="Foreign resident"),
TRUNC(TRUNC($AN47)*'Tax scales - NAT 1004'!$B$48),
"")),
"")</f>
        <v/>
      </c>
      <c r="AS47" s="118" t="str">
        <f>IFERROR(
IF(VLOOKUP($C47,'Employee information'!$B:$M,COLUMNS('Employee information'!$B:$M),0)=5,
IF($E$2="Fortnightly",
ROUND(
ROUND((((TRUNC($AN47/2,0)+0.99))*VLOOKUP((TRUNC($AN47/2,0)+0.99),'Tax scales - NAT 1004'!$A$53:$C$59,2,1)-VLOOKUP((TRUNC($AN47/2,0)+0.99),'Tax scales - NAT 1004'!$A$53:$C$59,3,1)),0)
*2,
0),
IF(AND($E$2="Monthly",ROUND($AN47-TRUNC($AN47),2)=0.33),
ROUND(
ROUND(((TRUNC(($AN47+0.01)*3/13,0)+0.99)*VLOOKUP((TRUNC(($AN47+0.01)*3/13,0)+0.99),'Tax scales - NAT 1004'!$A$53:$C$59,2,1)-VLOOKUP((TRUNC(($AN47+0.01)*3/13,0)+0.99),'Tax scales - NAT 1004'!$A$53:$C$59,3,1)),0)
*13/3,
0),
IF($E$2="Monthly",
ROUND(
ROUND(((TRUNC($AN47*3/13,0)+0.99)*VLOOKUP((TRUNC($AN47*3/13,0)+0.99),'Tax scales - NAT 1004'!$A$53:$C$59,2,1)-VLOOKUP((TRUNC($AN47*3/13,0)+0.99),'Tax scales - NAT 1004'!$A$53:$C$59,3,1)),0)
*13/3,
0),
""))),
""),
"")</f>
        <v/>
      </c>
      <c r="AT47" s="118" t="str">
        <f>IFERROR(
IF(VLOOKUP($C47,'Employee information'!$B:$M,COLUMNS('Employee information'!$B:$M),0)=6,
IF($E$2="Fortnightly",
ROUND(
ROUND((((TRUNC($AN47/2,0)+0.99))*VLOOKUP((TRUNC($AN47/2,0)+0.99),'Tax scales - NAT 1004'!$A$65:$C$73,2,1)-VLOOKUP((TRUNC($AN47/2,0)+0.99),'Tax scales - NAT 1004'!$A$65:$C$73,3,1)),0)
*2,
0),
IF(AND($E$2="Monthly",ROUND($AN47-TRUNC($AN47),2)=0.33),
ROUND(
ROUND(((TRUNC(($AN47+0.01)*3/13,0)+0.99)*VLOOKUP((TRUNC(($AN47+0.01)*3/13,0)+0.99),'Tax scales - NAT 1004'!$A$65:$C$73,2,1)-VLOOKUP((TRUNC(($AN47+0.01)*3/13,0)+0.99),'Tax scales - NAT 1004'!$A$65:$C$73,3,1)),0)
*13/3,
0),
IF($E$2="Monthly",
ROUND(
ROUND(((TRUNC($AN47*3/13,0)+0.99)*VLOOKUP((TRUNC($AN47*3/13,0)+0.99),'Tax scales - NAT 1004'!$A$65:$C$73,2,1)-VLOOKUP((TRUNC($AN47*3/13,0)+0.99),'Tax scales - NAT 1004'!$A$65:$C$73,3,1)),0)
*13/3,
0),
""))),
""),
"")</f>
        <v/>
      </c>
      <c r="AU47" s="118" t="str">
        <f>IFERROR(
IF(VLOOKUP($C47,'Employee information'!$B:$M,COLUMNS('Employee information'!$B:$M),0)=11,
IF($E$2="Fortnightly",
ROUND(
ROUND((((TRUNC($AN47/2,0)+0.99))*VLOOKUP((TRUNC($AN47/2,0)+0.99),'Tax scales - NAT 3539'!$A$14:$C$38,2,1)-VLOOKUP((TRUNC($AN47/2,0)+0.99),'Tax scales - NAT 3539'!$A$14:$C$38,3,1)),0)
*2,
0),
IF(AND($E$2="Monthly",ROUND($AN47-TRUNC($AN47),2)=0.33),
ROUND(
ROUND(((TRUNC(($AN47+0.01)*3/13,0)+0.99)*VLOOKUP((TRUNC(($AN47+0.01)*3/13,0)+0.99),'Tax scales - NAT 3539'!$A$14:$C$38,2,1)-VLOOKUP((TRUNC(($AN47+0.01)*3/13,0)+0.99),'Tax scales - NAT 3539'!$A$14:$C$38,3,1)),0)
*13/3,
0),
IF($E$2="Monthly",
ROUND(
ROUND(((TRUNC($AN47*3/13,0)+0.99)*VLOOKUP((TRUNC($AN47*3/13,0)+0.99),'Tax scales - NAT 3539'!$A$14:$C$38,2,1)-VLOOKUP((TRUNC($AN47*3/13,0)+0.99),'Tax scales - NAT 3539'!$A$14:$C$38,3,1)),0)
*13/3,
0),
""))),
""),
"")</f>
        <v/>
      </c>
      <c r="AV47" s="118" t="str">
        <f>IFERROR(
IF(VLOOKUP($C47,'Employee information'!$B:$M,COLUMNS('Employee information'!$B:$M),0)=22,
IF($E$2="Fortnightly",
ROUND(
ROUND((((TRUNC($AN47/2,0)+0.99))*VLOOKUP((TRUNC($AN47/2,0)+0.99),'Tax scales - NAT 3539'!$A$43:$C$69,2,1)-VLOOKUP((TRUNC($AN47/2,0)+0.99),'Tax scales - NAT 3539'!$A$43:$C$69,3,1)),0)
*2,
0),
IF(AND($E$2="Monthly",ROUND($AN47-TRUNC($AN47),2)=0.33),
ROUND(
ROUND(((TRUNC(($AN47+0.01)*3/13,0)+0.99)*VLOOKUP((TRUNC(($AN47+0.01)*3/13,0)+0.99),'Tax scales - NAT 3539'!$A$43:$C$69,2,1)-VLOOKUP((TRUNC(($AN47+0.01)*3/13,0)+0.99),'Tax scales - NAT 3539'!$A$43:$C$69,3,1)),0)
*13/3,
0),
IF($E$2="Monthly",
ROUND(
ROUND(((TRUNC($AN47*3/13,0)+0.99)*VLOOKUP((TRUNC($AN47*3/13,0)+0.99),'Tax scales - NAT 3539'!$A$43:$C$69,2,1)-VLOOKUP((TRUNC($AN47*3/13,0)+0.99),'Tax scales - NAT 3539'!$A$43:$C$69,3,1)),0)
*13/3,
0),
""))),
""),
"")</f>
        <v/>
      </c>
      <c r="AW47" s="118" t="str">
        <f>IFERROR(
IF(VLOOKUP($C47,'Employee information'!$B:$M,COLUMNS('Employee information'!$B:$M),0)=33,
IF($E$2="Fortnightly",
ROUND(
ROUND((((TRUNC($AN47/2,0)+0.99))*VLOOKUP((TRUNC($AN47/2,0)+0.99),'Tax scales - NAT 3539'!$A$74:$C$94,2,1)-VLOOKUP((TRUNC($AN47/2,0)+0.99),'Tax scales - NAT 3539'!$A$74:$C$94,3,1)),0)
*2,
0),
IF(AND($E$2="Monthly",ROUND($AN47-TRUNC($AN47),2)=0.33),
ROUND(
ROUND(((TRUNC(($AN47+0.01)*3/13,0)+0.99)*VLOOKUP((TRUNC(($AN47+0.01)*3/13,0)+0.99),'Tax scales - NAT 3539'!$A$74:$C$94,2,1)-VLOOKUP((TRUNC(($AN47+0.01)*3/13,0)+0.99),'Tax scales - NAT 3539'!$A$74:$C$94,3,1)),0)
*13/3,
0),
IF($E$2="Monthly",
ROUND(
ROUND(((TRUNC($AN47*3/13,0)+0.99)*VLOOKUP((TRUNC($AN47*3/13,0)+0.99),'Tax scales - NAT 3539'!$A$74:$C$94,2,1)-VLOOKUP((TRUNC($AN47*3/13,0)+0.99),'Tax scales - NAT 3539'!$A$74:$C$94,3,1)),0)
*13/3,
0),
""))),
""),
"")</f>
        <v/>
      </c>
      <c r="AX47" s="118" t="str">
        <f>IFERROR(
IF(VLOOKUP($C47,'Employee information'!$B:$M,COLUMNS('Employee information'!$B:$M),0)=55,
IF($E$2="Fortnightly",
ROUND(
ROUND((((TRUNC($AN47/2,0)+0.99))*VLOOKUP((TRUNC($AN47/2,0)+0.99),'Tax scales - NAT 3539'!$A$99:$C$123,2,1)-VLOOKUP((TRUNC($AN47/2,0)+0.99),'Tax scales - NAT 3539'!$A$99:$C$123,3,1)),0)
*2,
0),
IF(AND($E$2="Monthly",ROUND($AN47-TRUNC($AN47),2)=0.33),
ROUND(
ROUND(((TRUNC(($AN47+0.01)*3/13,0)+0.99)*VLOOKUP((TRUNC(($AN47+0.01)*3/13,0)+0.99),'Tax scales - NAT 3539'!$A$99:$C$123,2,1)-VLOOKUP((TRUNC(($AN47+0.01)*3/13,0)+0.99),'Tax scales - NAT 3539'!$A$99:$C$123,3,1)),0)
*13/3,
0),
IF($E$2="Monthly",
ROUND(
ROUND(((TRUNC($AN47*3/13,0)+0.99)*VLOOKUP((TRUNC($AN47*3/13,0)+0.99),'Tax scales - NAT 3539'!$A$99:$C$123,2,1)-VLOOKUP((TRUNC($AN47*3/13,0)+0.99),'Tax scales - NAT 3539'!$A$99:$C$123,3,1)),0)
*13/3,
0),
""))),
""),
"")</f>
        <v/>
      </c>
      <c r="AY47" s="118" t="str">
        <f>IFERROR(
IF(VLOOKUP($C47,'Employee information'!$B:$M,COLUMNS('Employee information'!$B:$M),0)=66,
IF($E$2="Fortnightly",
ROUND(
ROUND((((TRUNC($AN47/2,0)+0.99))*VLOOKUP((TRUNC($AN47/2,0)+0.99),'Tax scales - NAT 3539'!$A$127:$C$154,2,1)-VLOOKUP((TRUNC($AN47/2,0)+0.99),'Tax scales - NAT 3539'!$A$127:$C$154,3,1)),0)
*2,
0),
IF(AND($E$2="Monthly",ROUND($AN47-TRUNC($AN47),2)=0.33),
ROUND(
ROUND(((TRUNC(($AN47+0.01)*3/13,0)+0.99)*VLOOKUP((TRUNC(($AN47+0.01)*3/13,0)+0.99),'Tax scales - NAT 3539'!$A$127:$C$154,2,1)-VLOOKUP((TRUNC(($AN47+0.01)*3/13,0)+0.99),'Tax scales - NAT 3539'!$A$127:$C$154,3,1)),0)
*13/3,
0),
IF($E$2="Monthly",
ROUND(
ROUND(((TRUNC($AN47*3/13,0)+0.99)*VLOOKUP((TRUNC($AN47*3/13,0)+0.99),'Tax scales - NAT 3539'!$A$127:$C$154,2,1)-VLOOKUP((TRUNC($AN47*3/13,0)+0.99),'Tax scales - NAT 3539'!$A$127:$C$154,3,1)),0)
*13/3,
0),
""))),
""),
"")</f>
        <v/>
      </c>
      <c r="AZ47" s="118">
        <f>IFERROR(
HLOOKUP(VLOOKUP($C47,'Employee information'!$B:$M,COLUMNS('Employee information'!$B:$M),0),'PAYG worksheet'!$AO$39:$AY$58,COUNTA($C$40:$C47)+1,0),
0)</f>
        <v>0</v>
      </c>
      <c r="BA47" s="118"/>
      <c r="BB47" s="118">
        <f t="shared" si="46"/>
        <v>0</v>
      </c>
      <c r="BC47" s="119">
        <f>IFERROR(
IF(OR($AE47=1,$AE47=""),SUM($P47,$AA47,$AC47,$AK47)*VLOOKUP($C47,'Employee information'!$B:$Q,COLUMNS('Employee information'!$B:$H),0),
IF($AE47=0,SUM($P47,$AA47,$AK47)*VLOOKUP($C47,'Employee information'!$B:$Q,COLUMNS('Employee information'!$B:$H),0),
0)),
0)</f>
        <v>0</v>
      </c>
      <c r="BE47" s="114">
        <f t="shared" si="31"/>
        <v>0</v>
      </c>
      <c r="BF47" s="114">
        <f t="shared" si="32"/>
        <v>0</v>
      </c>
      <c r="BG47" s="114">
        <f t="shared" si="33"/>
        <v>0</v>
      </c>
      <c r="BH47" s="114">
        <f t="shared" si="34"/>
        <v>0</v>
      </c>
      <c r="BI47" s="114">
        <f t="shared" si="35"/>
        <v>0</v>
      </c>
      <c r="BJ47" s="114">
        <f t="shared" si="36"/>
        <v>0</v>
      </c>
      <c r="BK47" s="114">
        <f t="shared" si="37"/>
        <v>0</v>
      </c>
      <c r="BL47" s="114">
        <f t="shared" si="47"/>
        <v>0</v>
      </c>
      <c r="BM47" s="114">
        <f t="shared" si="38"/>
        <v>0</v>
      </c>
    </row>
    <row r="48" spans="1:65" x14ac:dyDescent="0.25">
      <c r="A48" s="228">
        <f t="shared" si="26"/>
        <v>2</v>
      </c>
      <c r="C48" s="278"/>
      <c r="E48" s="103">
        <f>IF($C48="",0,
IF(AND($E$2="Monthly",$A48&gt;12),0,
IF($E$2="Monthly",VLOOKUP($C48,'Employee information'!$B:$AM,COLUMNS('Employee information'!$B:S),0),
IF($E$2="Fortnightly",VLOOKUP($C48,'Employee information'!$B:$AM,COLUMNS('Employee information'!$B:R),0),
0))))</f>
        <v>0</v>
      </c>
      <c r="F48" s="106"/>
      <c r="G48" s="106"/>
      <c r="H48" s="106"/>
      <c r="I48" s="106"/>
      <c r="J48" s="103">
        <f t="shared" si="39"/>
        <v>0</v>
      </c>
      <c r="L48" s="113">
        <f>IF(AND($E$2="Monthly",$A48&gt;12),"",
IFERROR($J48*VLOOKUP($C48,'Employee information'!$B:$AI,COLUMNS('Employee information'!$B:$P),0),0))</f>
        <v>0</v>
      </c>
      <c r="M48" s="114">
        <f t="shared" si="40"/>
        <v>0</v>
      </c>
      <c r="O48" s="103">
        <f t="shared" si="41"/>
        <v>0</v>
      </c>
      <c r="P48" s="113">
        <f>IFERROR(
IF(AND($E$2="Monthly",$A48&gt;12),0,
$O48*VLOOKUP($C48,'Employee information'!$B:$AI,COLUMNS('Employee information'!$B:$P),0)),
0)</f>
        <v>0</v>
      </c>
      <c r="R48" s="114">
        <f t="shared" si="27"/>
        <v>0</v>
      </c>
      <c r="T48" s="103"/>
      <c r="U48" s="103"/>
      <c r="V48" s="282" t="str">
        <f>IF($C48="","",
IF(AND($E$2="Monthly",$A48&gt;12),"",
$T48*VLOOKUP($C48,'Employee information'!$B:$P,COLUMNS('Employee information'!$B:$P),0)))</f>
        <v/>
      </c>
      <c r="W48" s="282" t="str">
        <f>IF($C48="","",
IF(AND($E$2="Monthly",$A48&gt;12),"",
$U48*VLOOKUP($C48,'Employee information'!$B:$P,COLUMNS('Employee information'!$B:$P),0)))</f>
        <v/>
      </c>
      <c r="X48" s="114">
        <f t="shared" si="28"/>
        <v>0</v>
      </c>
      <c r="Y48" s="114">
        <f t="shared" si="29"/>
        <v>0</v>
      </c>
      <c r="AA48" s="118">
        <f>IFERROR(
IF(OR('Basic payroll data'!$D$12="",'Basic payroll data'!$D$12="No"),0,
$T48*VLOOKUP($C48,'Employee information'!$B:$P,COLUMNS('Employee information'!$B:$P),0)*AL_loading_perc),
0)</f>
        <v>0</v>
      </c>
      <c r="AC48" s="118"/>
      <c r="AD48" s="118"/>
      <c r="AE48" s="283" t="str">
        <f t="shared" si="42"/>
        <v/>
      </c>
      <c r="AF48" s="283" t="str">
        <f t="shared" si="43"/>
        <v/>
      </c>
      <c r="AG48" s="118"/>
      <c r="AH48" s="118"/>
      <c r="AI48" s="283" t="str">
        <f t="shared" si="44"/>
        <v/>
      </c>
      <c r="AJ48" s="118"/>
      <c r="AK48" s="118"/>
      <c r="AM48" s="118">
        <f t="shared" si="45"/>
        <v>0</v>
      </c>
      <c r="AN48" s="118">
        <f t="shared" si="30"/>
        <v>0</v>
      </c>
      <c r="AO48" s="118" t="str">
        <f>IFERROR(
IF(VLOOKUP($C48,'Employee information'!$B:$M,COLUMNS('Employee information'!$B:$M),0)=1,
IF($E$2="Fortnightly",
ROUND(
ROUND((((TRUNC($AN48/2,0)+0.99))*VLOOKUP((TRUNC($AN48/2,0)+0.99),'Tax scales - NAT 1004'!$A$12:$C$18,2,1)-VLOOKUP((TRUNC($AN48/2,0)+0.99),'Tax scales - NAT 1004'!$A$12:$C$18,3,1)),0)
*2,
0),
IF(AND($E$2="Monthly",ROUND($AN48-TRUNC($AN48),2)=0.33),
ROUND(
ROUND(((TRUNC(($AN48+0.01)*3/13,0)+0.99)*VLOOKUP((TRUNC(($AN48+0.01)*3/13,0)+0.99),'Tax scales - NAT 1004'!$A$12:$C$18,2,1)-VLOOKUP((TRUNC(($AN48+0.01)*3/13,0)+0.99),'Tax scales - NAT 1004'!$A$12:$C$18,3,1)),0)
*13/3,
0),
IF($E$2="Monthly",
ROUND(
ROUND(((TRUNC($AN48*3/13,0)+0.99)*VLOOKUP((TRUNC($AN48*3/13,0)+0.99),'Tax scales - NAT 1004'!$A$12:$C$18,2,1)-VLOOKUP((TRUNC($AN48*3/13,0)+0.99),'Tax scales - NAT 1004'!$A$12:$C$18,3,1)),0)
*13/3,
0),
""))),
""),
"")</f>
        <v/>
      </c>
      <c r="AP48" s="118" t="str">
        <f>IFERROR(
IF(VLOOKUP($C48,'Employee information'!$B:$M,COLUMNS('Employee information'!$B:$M),0)=2,
IF($E$2="Fortnightly",
ROUND(
ROUND((((TRUNC($AN48/2,0)+0.99))*VLOOKUP((TRUNC($AN48/2,0)+0.99),'Tax scales - NAT 1004'!$A$25:$C$33,2,1)-VLOOKUP((TRUNC($AN48/2,0)+0.99),'Tax scales - NAT 1004'!$A$25:$C$33,3,1)),0)
*2,
0),
IF(AND($E$2="Monthly",ROUND($AN48-TRUNC($AN48),2)=0.33),
ROUND(
ROUND(((TRUNC(($AN48+0.01)*3/13,0)+0.99)*VLOOKUP((TRUNC(($AN48+0.01)*3/13,0)+0.99),'Tax scales - NAT 1004'!$A$25:$C$33,2,1)-VLOOKUP((TRUNC(($AN48+0.01)*3/13,0)+0.99),'Tax scales - NAT 1004'!$A$25:$C$33,3,1)),0)
*13/3,
0),
IF($E$2="Monthly",
ROUND(
ROUND(((TRUNC($AN48*3/13,0)+0.99)*VLOOKUP((TRUNC($AN48*3/13,0)+0.99),'Tax scales - NAT 1004'!$A$25:$C$33,2,1)-VLOOKUP((TRUNC($AN48*3/13,0)+0.99),'Tax scales - NAT 1004'!$A$25:$C$33,3,1)),0)
*13/3,
0),
""))),
""),
"")</f>
        <v/>
      </c>
      <c r="AQ48" s="118" t="str">
        <f>IFERROR(
IF(VLOOKUP($C48,'Employee information'!$B:$M,COLUMNS('Employee information'!$B:$M),0)=3,
IF($E$2="Fortnightly",
ROUND(
ROUND((((TRUNC($AN48/2,0)+0.99))*VLOOKUP((TRUNC($AN48/2,0)+0.99),'Tax scales - NAT 1004'!$A$39:$C$41,2,1)-VLOOKUP((TRUNC($AN48/2,0)+0.99),'Tax scales - NAT 1004'!$A$39:$C$41,3,1)),0)
*2,
0),
IF(AND($E$2="Monthly",ROUND($AN48-TRUNC($AN48),2)=0.33),
ROUND(
ROUND(((TRUNC(($AN48+0.01)*3/13,0)+0.99)*VLOOKUP((TRUNC(($AN48+0.01)*3/13,0)+0.99),'Tax scales - NAT 1004'!$A$39:$C$41,2,1)-VLOOKUP((TRUNC(($AN48+0.01)*3/13,0)+0.99),'Tax scales - NAT 1004'!$A$39:$C$41,3,1)),0)
*13/3,
0),
IF($E$2="Monthly",
ROUND(
ROUND(((TRUNC($AN48*3/13,0)+0.99)*VLOOKUP((TRUNC($AN48*3/13,0)+0.99),'Tax scales - NAT 1004'!$A$39:$C$41,2,1)-VLOOKUP((TRUNC($AN48*3/13,0)+0.99),'Tax scales - NAT 1004'!$A$39:$C$41,3,1)),0)
*13/3,
0),
""))),
""),
"")</f>
        <v/>
      </c>
      <c r="AR48" s="118" t="str">
        <f>IFERROR(
IF(AND(VLOOKUP($C48,'Employee information'!$B:$M,COLUMNS('Employee information'!$B:$M),0)=4,
VLOOKUP($C48,'Employee information'!$B:$J,COLUMNS('Employee information'!$B:$J),0)="Resident"),
TRUNC(TRUNC($AN48)*'Tax scales - NAT 1004'!$B$47),
IF(AND(VLOOKUP($C48,'Employee information'!$B:$M,COLUMNS('Employee information'!$B:$M),0)=4,
VLOOKUP($C48,'Employee information'!$B:$J,COLUMNS('Employee information'!$B:$J),0)="Foreign resident"),
TRUNC(TRUNC($AN48)*'Tax scales - NAT 1004'!$B$48),
"")),
"")</f>
        <v/>
      </c>
      <c r="AS48" s="118" t="str">
        <f>IFERROR(
IF(VLOOKUP($C48,'Employee information'!$B:$M,COLUMNS('Employee information'!$B:$M),0)=5,
IF($E$2="Fortnightly",
ROUND(
ROUND((((TRUNC($AN48/2,0)+0.99))*VLOOKUP((TRUNC($AN48/2,0)+0.99),'Tax scales - NAT 1004'!$A$53:$C$59,2,1)-VLOOKUP((TRUNC($AN48/2,0)+0.99),'Tax scales - NAT 1004'!$A$53:$C$59,3,1)),0)
*2,
0),
IF(AND($E$2="Monthly",ROUND($AN48-TRUNC($AN48),2)=0.33),
ROUND(
ROUND(((TRUNC(($AN48+0.01)*3/13,0)+0.99)*VLOOKUP((TRUNC(($AN48+0.01)*3/13,0)+0.99),'Tax scales - NAT 1004'!$A$53:$C$59,2,1)-VLOOKUP((TRUNC(($AN48+0.01)*3/13,0)+0.99),'Tax scales - NAT 1004'!$A$53:$C$59,3,1)),0)
*13/3,
0),
IF($E$2="Monthly",
ROUND(
ROUND(((TRUNC($AN48*3/13,0)+0.99)*VLOOKUP((TRUNC($AN48*3/13,0)+0.99),'Tax scales - NAT 1004'!$A$53:$C$59,2,1)-VLOOKUP((TRUNC($AN48*3/13,0)+0.99),'Tax scales - NAT 1004'!$A$53:$C$59,3,1)),0)
*13/3,
0),
""))),
""),
"")</f>
        <v/>
      </c>
      <c r="AT48" s="118" t="str">
        <f>IFERROR(
IF(VLOOKUP($C48,'Employee information'!$B:$M,COLUMNS('Employee information'!$B:$M),0)=6,
IF($E$2="Fortnightly",
ROUND(
ROUND((((TRUNC($AN48/2,0)+0.99))*VLOOKUP((TRUNC($AN48/2,0)+0.99),'Tax scales - NAT 1004'!$A$65:$C$73,2,1)-VLOOKUP((TRUNC($AN48/2,0)+0.99),'Tax scales - NAT 1004'!$A$65:$C$73,3,1)),0)
*2,
0),
IF(AND($E$2="Monthly",ROUND($AN48-TRUNC($AN48),2)=0.33),
ROUND(
ROUND(((TRUNC(($AN48+0.01)*3/13,0)+0.99)*VLOOKUP((TRUNC(($AN48+0.01)*3/13,0)+0.99),'Tax scales - NAT 1004'!$A$65:$C$73,2,1)-VLOOKUP((TRUNC(($AN48+0.01)*3/13,0)+0.99),'Tax scales - NAT 1004'!$A$65:$C$73,3,1)),0)
*13/3,
0),
IF($E$2="Monthly",
ROUND(
ROUND(((TRUNC($AN48*3/13,0)+0.99)*VLOOKUP((TRUNC($AN48*3/13,0)+0.99),'Tax scales - NAT 1004'!$A$65:$C$73,2,1)-VLOOKUP((TRUNC($AN48*3/13,0)+0.99),'Tax scales - NAT 1004'!$A$65:$C$73,3,1)),0)
*13/3,
0),
""))),
""),
"")</f>
        <v/>
      </c>
      <c r="AU48" s="118" t="str">
        <f>IFERROR(
IF(VLOOKUP($C48,'Employee information'!$B:$M,COLUMNS('Employee information'!$B:$M),0)=11,
IF($E$2="Fortnightly",
ROUND(
ROUND((((TRUNC($AN48/2,0)+0.99))*VLOOKUP((TRUNC($AN48/2,0)+0.99),'Tax scales - NAT 3539'!$A$14:$C$38,2,1)-VLOOKUP((TRUNC($AN48/2,0)+0.99),'Tax scales - NAT 3539'!$A$14:$C$38,3,1)),0)
*2,
0),
IF(AND($E$2="Monthly",ROUND($AN48-TRUNC($AN48),2)=0.33),
ROUND(
ROUND(((TRUNC(($AN48+0.01)*3/13,0)+0.99)*VLOOKUP((TRUNC(($AN48+0.01)*3/13,0)+0.99),'Tax scales - NAT 3539'!$A$14:$C$38,2,1)-VLOOKUP((TRUNC(($AN48+0.01)*3/13,0)+0.99),'Tax scales - NAT 3539'!$A$14:$C$38,3,1)),0)
*13/3,
0),
IF($E$2="Monthly",
ROUND(
ROUND(((TRUNC($AN48*3/13,0)+0.99)*VLOOKUP((TRUNC($AN48*3/13,0)+0.99),'Tax scales - NAT 3539'!$A$14:$C$38,2,1)-VLOOKUP((TRUNC($AN48*3/13,0)+0.99),'Tax scales - NAT 3539'!$A$14:$C$38,3,1)),0)
*13/3,
0),
""))),
""),
"")</f>
        <v/>
      </c>
      <c r="AV48" s="118" t="str">
        <f>IFERROR(
IF(VLOOKUP($C48,'Employee information'!$B:$M,COLUMNS('Employee information'!$B:$M),0)=22,
IF($E$2="Fortnightly",
ROUND(
ROUND((((TRUNC($AN48/2,0)+0.99))*VLOOKUP((TRUNC($AN48/2,0)+0.99),'Tax scales - NAT 3539'!$A$43:$C$69,2,1)-VLOOKUP((TRUNC($AN48/2,0)+0.99),'Tax scales - NAT 3539'!$A$43:$C$69,3,1)),0)
*2,
0),
IF(AND($E$2="Monthly",ROUND($AN48-TRUNC($AN48),2)=0.33),
ROUND(
ROUND(((TRUNC(($AN48+0.01)*3/13,0)+0.99)*VLOOKUP((TRUNC(($AN48+0.01)*3/13,0)+0.99),'Tax scales - NAT 3539'!$A$43:$C$69,2,1)-VLOOKUP((TRUNC(($AN48+0.01)*3/13,0)+0.99),'Tax scales - NAT 3539'!$A$43:$C$69,3,1)),0)
*13/3,
0),
IF($E$2="Monthly",
ROUND(
ROUND(((TRUNC($AN48*3/13,0)+0.99)*VLOOKUP((TRUNC($AN48*3/13,0)+0.99),'Tax scales - NAT 3539'!$A$43:$C$69,2,1)-VLOOKUP((TRUNC($AN48*3/13,0)+0.99),'Tax scales - NAT 3539'!$A$43:$C$69,3,1)),0)
*13/3,
0),
""))),
""),
"")</f>
        <v/>
      </c>
      <c r="AW48" s="118" t="str">
        <f>IFERROR(
IF(VLOOKUP($C48,'Employee information'!$B:$M,COLUMNS('Employee information'!$B:$M),0)=33,
IF($E$2="Fortnightly",
ROUND(
ROUND((((TRUNC($AN48/2,0)+0.99))*VLOOKUP((TRUNC($AN48/2,0)+0.99),'Tax scales - NAT 3539'!$A$74:$C$94,2,1)-VLOOKUP((TRUNC($AN48/2,0)+0.99),'Tax scales - NAT 3539'!$A$74:$C$94,3,1)),0)
*2,
0),
IF(AND($E$2="Monthly",ROUND($AN48-TRUNC($AN48),2)=0.33),
ROUND(
ROUND(((TRUNC(($AN48+0.01)*3/13,0)+0.99)*VLOOKUP((TRUNC(($AN48+0.01)*3/13,0)+0.99),'Tax scales - NAT 3539'!$A$74:$C$94,2,1)-VLOOKUP((TRUNC(($AN48+0.01)*3/13,0)+0.99),'Tax scales - NAT 3539'!$A$74:$C$94,3,1)),0)
*13/3,
0),
IF($E$2="Monthly",
ROUND(
ROUND(((TRUNC($AN48*3/13,0)+0.99)*VLOOKUP((TRUNC($AN48*3/13,0)+0.99),'Tax scales - NAT 3539'!$A$74:$C$94,2,1)-VLOOKUP((TRUNC($AN48*3/13,0)+0.99),'Tax scales - NAT 3539'!$A$74:$C$94,3,1)),0)
*13/3,
0),
""))),
""),
"")</f>
        <v/>
      </c>
      <c r="AX48" s="118" t="str">
        <f>IFERROR(
IF(VLOOKUP($C48,'Employee information'!$B:$M,COLUMNS('Employee information'!$B:$M),0)=55,
IF($E$2="Fortnightly",
ROUND(
ROUND((((TRUNC($AN48/2,0)+0.99))*VLOOKUP((TRUNC($AN48/2,0)+0.99),'Tax scales - NAT 3539'!$A$99:$C$123,2,1)-VLOOKUP((TRUNC($AN48/2,0)+0.99),'Tax scales - NAT 3539'!$A$99:$C$123,3,1)),0)
*2,
0),
IF(AND($E$2="Monthly",ROUND($AN48-TRUNC($AN48),2)=0.33),
ROUND(
ROUND(((TRUNC(($AN48+0.01)*3/13,0)+0.99)*VLOOKUP((TRUNC(($AN48+0.01)*3/13,0)+0.99),'Tax scales - NAT 3539'!$A$99:$C$123,2,1)-VLOOKUP((TRUNC(($AN48+0.01)*3/13,0)+0.99),'Tax scales - NAT 3539'!$A$99:$C$123,3,1)),0)
*13/3,
0),
IF($E$2="Monthly",
ROUND(
ROUND(((TRUNC($AN48*3/13,0)+0.99)*VLOOKUP((TRUNC($AN48*3/13,0)+0.99),'Tax scales - NAT 3539'!$A$99:$C$123,2,1)-VLOOKUP((TRUNC($AN48*3/13,0)+0.99),'Tax scales - NAT 3539'!$A$99:$C$123,3,1)),0)
*13/3,
0),
""))),
""),
"")</f>
        <v/>
      </c>
      <c r="AY48" s="118" t="str">
        <f>IFERROR(
IF(VLOOKUP($C48,'Employee information'!$B:$M,COLUMNS('Employee information'!$B:$M),0)=66,
IF($E$2="Fortnightly",
ROUND(
ROUND((((TRUNC($AN48/2,0)+0.99))*VLOOKUP((TRUNC($AN48/2,0)+0.99),'Tax scales - NAT 3539'!$A$127:$C$154,2,1)-VLOOKUP((TRUNC($AN48/2,0)+0.99),'Tax scales - NAT 3539'!$A$127:$C$154,3,1)),0)
*2,
0),
IF(AND($E$2="Monthly",ROUND($AN48-TRUNC($AN48),2)=0.33),
ROUND(
ROUND(((TRUNC(($AN48+0.01)*3/13,0)+0.99)*VLOOKUP((TRUNC(($AN48+0.01)*3/13,0)+0.99),'Tax scales - NAT 3539'!$A$127:$C$154,2,1)-VLOOKUP((TRUNC(($AN48+0.01)*3/13,0)+0.99),'Tax scales - NAT 3539'!$A$127:$C$154,3,1)),0)
*13/3,
0),
IF($E$2="Monthly",
ROUND(
ROUND(((TRUNC($AN48*3/13,0)+0.99)*VLOOKUP((TRUNC($AN48*3/13,0)+0.99),'Tax scales - NAT 3539'!$A$127:$C$154,2,1)-VLOOKUP((TRUNC($AN48*3/13,0)+0.99),'Tax scales - NAT 3539'!$A$127:$C$154,3,1)),0)
*13/3,
0),
""))),
""),
"")</f>
        <v/>
      </c>
      <c r="AZ48" s="118">
        <f>IFERROR(
HLOOKUP(VLOOKUP($C48,'Employee information'!$B:$M,COLUMNS('Employee information'!$B:$M),0),'PAYG worksheet'!$AO$39:$AY$58,COUNTA($C$40:$C48)+1,0),
0)</f>
        <v>0</v>
      </c>
      <c r="BA48" s="118"/>
      <c r="BB48" s="118">
        <f t="shared" si="46"/>
        <v>0</v>
      </c>
      <c r="BC48" s="119">
        <f>IFERROR(
IF(OR($AE48=1,$AE48=""),SUM($P48,$AA48,$AC48,$AK48)*VLOOKUP($C48,'Employee information'!$B:$Q,COLUMNS('Employee information'!$B:$H),0),
IF($AE48=0,SUM($P48,$AA48,$AK48)*VLOOKUP($C48,'Employee information'!$B:$Q,COLUMNS('Employee information'!$B:$H),0),
0)),
0)</f>
        <v>0</v>
      </c>
      <c r="BE48" s="114">
        <f t="shared" si="31"/>
        <v>0</v>
      </c>
      <c r="BF48" s="114">
        <f t="shared" si="32"/>
        <v>0</v>
      </c>
      <c r="BG48" s="114">
        <f t="shared" si="33"/>
        <v>0</v>
      </c>
      <c r="BH48" s="114">
        <f t="shared" si="34"/>
        <v>0</v>
      </c>
      <c r="BI48" s="114">
        <f t="shared" si="35"/>
        <v>0</v>
      </c>
      <c r="BJ48" s="114">
        <f t="shared" si="36"/>
        <v>0</v>
      </c>
      <c r="BK48" s="114">
        <f t="shared" si="37"/>
        <v>0</v>
      </c>
      <c r="BL48" s="114">
        <f t="shared" si="47"/>
        <v>0</v>
      </c>
      <c r="BM48" s="114">
        <f t="shared" si="38"/>
        <v>0</v>
      </c>
    </row>
    <row r="49" spans="1:65" x14ac:dyDescent="0.25">
      <c r="A49" s="228">
        <f t="shared" si="26"/>
        <v>2</v>
      </c>
      <c r="C49" s="278"/>
      <c r="E49" s="103">
        <f>IF($C49="",0,
IF(AND($E$2="Monthly",$A49&gt;12),0,
IF($E$2="Monthly",VLOOKUP($C49,'Employee information'!$B:$AM,COLUMNS('Employee information'!$B:S),0),
IF($E$2="Fortnightly",VLOOKUP($C49,'Employee information'!$B:$AM,COLUMNS('Employee information'!$B:R),0),
0))))</f>
        <v>0</v>
      </c>
      <c r="F49" s="106"/>
      <c r="G49" s="106"/>
      <c r="H49" s="106"/>
      <c r="I49" s="106"/>
      <c r="J49" s="103">
        <f t="shared" si="39"/>
        <v>0</v>
      </c>
      <c r="L49" s="113">
        <f>IF(AND($E$2="Monthly",$A49&gt;12),"",
IFERROR($J49*VLOOKUP($C49,'Employee information'!$B:$AI,COLUMNS('Employee information'!$B:$P),0),0))</f>
        <v>0</v>
      </c>
      <c r="M49" s="114">
        <f t="shared" si="40"/>
        <v>0</v>
      </c>
      <c r="O49" s="103">
        <f>IF($E$2="Monthly",
IF(AND($E$2="Monthly",$H49&lt;&gt;""),$H49,
IF(AND($E$2="Monthly",$E49=0),$F49,
$E49)),
IF($E$2="Fortnightly",
IF(AND($E$2="Fortnightly",$H49&lt;&gt;""),$H49,
IF(AND($E$2="Fortnightly",$F49&lt;&gt;"",$E49&lt;&gt;0),$F49,
IF(AND($E$2="Fortnightly",$E49=0),$F49,
$E49)))))</f>
        <v>0</v>
      </c>
      <c r="P49" s="113">
        <f>IFERROR(
IF(AND($E$2="Monthly",$A49&gt;12),0,
$O49*VLOOKUP($C49,'Employee information'!$B:$AI,COLUMNS('Employee information'!$B:$P),0)),
0)</f>
        <v>0</v>
      </c>
      <c r="R49" s="114">
        <f t="shared" si="27"/>
        <v>0</v>
      </c>
      <c r="T49" s="103"/>
      <c r="U49" s="103"/>
      <c r="V49" s="282" t="str">
        <f>IF($C49="","",
IF(AND($E$2="Monthly",$A49&gt;12),"",
$T49*VLOOKUP($C49,'Employee information'!$B:$P,COLUMNS('Employee information'!$B:$P),0)))</f>
        <v/>
      </c>
      <c r="W49" s="282" t="str">
        <f>IF($C49="","",
IF(AND($E$2="Monthly",$A49&gt;12),"",
$U49*VLOOKUP($C49,'Employee information'!$B:$P,COLUMNS('Employee information'!$B:$P),0)))</f>
        <v/>
      </c>
      <c r="X49" s="114">
        <f t="shared" si="28"/>
        <v>0</v>
      </c>
      <c r="Y49" s="114">
        <f t="shared" si="29"/>
        <v>0</v>
      </c>
      <c r="AA49" s="118">
        <f>IFERROR(
IF(OR('Basic payroll data'!$D$12="",'Basic payroll data'!$D$12="No"),0,
$T49*VLOOKUP($C49,'Employee information'!$B:$P,COLUMNS('Employee information'!$B:$P),0)*AL_loading_perc),
0)</f>
        <v>0</v>
      </c>
      <c r="AC49" s="118"/>
      <c r="AD49" s="118"/>
      <c r="AE49" s="283" t="str">
        <f t="shared" si="42"/>
        <v/>
      </c>
      <c r="AF49" s="283" t="str">
        <f t="shared" si="43"/>
        <v/>
      </c>
      <c r="AG49" s="118"/>
      <c r="AH49" s="118"/>
      <c r="AI49" s="283" t="str">
        <f t="shared" si="44"/>
        <v/>
      </c>
      <c r="AJ49" s="118"/>
      <c r="AK49" s="118"/>
      <c r="AM49" s="118">
        <f t="shared" si="45"/>
        <v>0</v>
      </c>
      <c r="AN49" s="118">
        <f t="shared" si="30"/>
        <v>0</v>
      </c>
      <c r="AO49" s="118" t="str">
        <f>IFERROR(
IF(VLOOKUP($C49,'Employee information'!$B:$M,COLUMNS('Employee information'!$B:$M),0)=1,
IF($E$2="Fortnightly",
ROUND(
ROUND((((TRUNC($AN49/2,0)+0.99))*VLOOKUP((TRUNC($AN49/2,0)+0.99),'Tax scales - NAT 1004'!$A$12:$C$18,2,1)-VLOOKUP((TRUNC($AN49/2,0)+0.99),'Tax scales - NAT 1004'!$A$12:$C$18,3,1)),0)
*2,
0),
IF(AND($E$2="Monthly",ROUND($AN49-TRUNC($AN49),2)=0.33),
ROUND(
ROUND(((TRUNC(($AN49+0.01)*3/13,0)+0.99)*VLOOKUP((TRUNC(($AN49+0.01)*3/13,0)+0.99),'Tax scales - NAT 1004'!$A$12:$C$18,2,1)-VLOOKUP((TRUNC(($AN49+0.01)*3/13,0)+0.99),'Tax scales - NAT 1004'!$A$12:$C$18,3,1)),0)
*13/3,
0),
IF($E$2="Monthly",
ROUND(
ROUND(((TRUNC($AN49*3/13,0)+0.99)*VLOOKUP((TRUNC($AN49*3/13,0)+0.99),'Tax scales - NAT 1004'!$A$12:$C$18,2,1)-VLOOKUP((TRUNC($AN49*3/13,0)+0.99),'Tax scales - NAT 1004'!$A$12:$C$18,3,1)),0)
*13/3,
0),
""))),
""),
"")</f>
        <v/>
      </c>
      <c r="AP49" s="118" t="str">
        <f>IFERROR(
IF(VLOOKUP($C49,'Employee information'!$B:$M,COLUMNS('Employee information'!$B:$M),0)=2,
IF($E$2="Fortnightly",
ROUND(
ROUND((((TRUNC($AN49/2,0)+0.99))*VLOOKUP((TRUNC($AN49/2,0)+0.99),'Tax scales - NAT 1004'!$A$25:$C$33,2,1)-VLOOKUP((TRUNC($AN49/2,0)+0.99),'Tax scales - NAT 1004'!$A$25:$C$33,3,1)),0)
*2,
0),
IF(AND($E$2="Monthly",ROUND($AN49-TRUNC($AN49),2)=0.33),
ROUND(
ROUND(((TRUNC(($AN49+0.01)*3/13,0)+0.99)*VLOOKUP((TRUNC(($AN49+0.01)*3/13,0)+0.99),'Tax scales - NAT 1004'!$A$25:$C$33,2,1)-VLOOKUP((TRUNC(($AN49+0.01)*3/13,0)+0.99),'Tax scales - NAT 1004'!$A$25:$C$33,3,1)),0)
*13/3,
0),
IF($E$2="Monthly",
ROUND(
ROUND(((TRUNC($AN49*3/13,0)+0.99)*VLOOKUP((TRUNC($AN49*3/13,0)+0.99),'Tax scales - NAT 1004'!$A$25:$C$33,2,1)-VLOOKUP((TRUNC($AN49*3/13,0)+0.99),'Tax scales - NAT 1004'!$A$25:$C$33,3,1)),0)
*13/3,
0),
""))),
""),
"")</f>
        <v/>
      </c>
      <c r="AQ49" s="118" t="str">
        <f>IFERROR(
IF(VLOOKUP($C49,'Employee information'!$B:$M,COLUMNS('Employee information'!$B:$M),0)=3,
IF($E$2="Fortnightly",
ROUND(
ROUND((((TRUNC($AN49/2,0)+0.99))*VLOOKUP((TRUNC($AN49/2,0)+0.99),'Tax scales - NAT 1004'!$A$39:$C$41,2,1)-VLOOKUP((TRUNC($AN49/2,0)+0.99),'Tax scales - NAT 1004'!$A$39:$C$41,3,1)),0)
*2,
0),
IF(AND($E$2="Monthly",ROUND($AN49-TRUNC($AN49),2)=0.33),
ROUND(
ROUND(((TRUNC(($AN49+0.01)*3/13,0)+0.99)*VLOOKUP((TRUNC(($AN49+0.01)*3/13,0)+0.99),'Tax scales - NAT 1004'!$A$39:$C$41,2,1)-VLOOKUP((TRUNC(($AN49+0.01)*3/13,0)+0.99),'Tax scales - NAT 1004'!$A$39:$C$41,3,1)),0)
*13/3,
0),
IF($E$2="Monthly",
ROUND(
ROUND(((TRUNC($AN49*3/13,0)+0.99)*VLOOKUP((TRUNC($AN49*3/13,0)+0.99),'Tax scales - NAT 1004'!$A$39:$C$41,2,1)-VLOOKUP((TRUNC($AN49*3/13,0)+0.99),'Tax scales - NAT 1004'!$A$39:$C$41,3,1)),0)
*13/3,
0),
""))),
""),
"")</f>
        <v/>
      </c>
      <c r="AR49" s="118" t="str">
        <f>IFERROR(
IF(AND(VLOOKUP($C49,'Employee information'!$B:$M,COLUMNS('Employee information'!$B:$M),0)=4,
VLOOKUP($C49,'Employee information'!$B:$J,COLUMNS('Employee information'!$B:$J),0)="Resident"),
TRUNC(TRUNC($AN49)*'Tax scales - NAT 1004'!$B$47),
IF(AND(VLOOKUP($C49,'Employee information'!$B:$M,COLUMNS('Employee information'!$B:$M),0)=4,
VLOOKUP($C49,'Employee information'!$B:$J,COLUMNS('Employee information'!$B:$J),0)="Foreign resident"),
TRUNC(TRUNC($AN49)*'Tax scales - NAT 1004'!$B$48),
"")),
"")</f>
        <v/>
      </c>
      <c r="AS49" s="118" t="str">
        <f>IFERROR(
IF(VLOOKUP($C49,'Employee information'!$B:$M,COLUMNS('Employee information'!$B:$M),0)=5,
IF($E$2="Fortnightly",
ROUND(
ROUND((((TRUNC($AN49/2,0)+0.99))*VLOOKUP((TRUNC($AN49/2,0)+0.99),'Tax scales - NAT 1004'!$A$53:$C$59,2,1)-VLOOKUP((TRUNC($AN49/2,0)+0.99),'Tax scales - NAT 1004'!$A$53:$C$59,3,1)),0)
*2,
0),
IF(AND($E$2="Monthly",ROUND($AN49-TRUNC($AN49),2)=0.33),
ROUND(
ROUND(((TRUNC(($AN49+0.01)*3/13,0)+0.99)*VLOOKUP((TRUNC(($AN49+0.01)*3/13,0)+0.99),'Tax scales - NAT 1004'!$A$53:$C$59,2,1)-VLOOKUP((TRUNC(($AN49+0.01)*3/13,0)+0.99),'Tax scales - NAT 1004'!$A$53:$C$59,3,1)),0)
*13/3,
0),
IF($E$2="Monthly",
ROUND(
ROUND(((TRUNC($AN49*3/13,0)+0.99)*VLOOKUP((TRUNC($AN49*3/13,0)+0.99),'Tax scales - NAT 1004'!$A$53:$C$59,2,1)-VLOOKUP((TRUNC($AN49*3/13,0)+0.99),'Tax scales - NAT 1004'!$A$53:$C$59,3,1)),0)
*13/3,
0),
""))),
""),
"")</f>
        <v/>
      </c>
      <c r="AT49" s="118" t="str">
        <f>IFERROR(
IF(VLOOKUP($C49,'Employee information'!$B:$M,COLUMNS('Employee information'!$B:$M),0)=6,
IF($E$2="Fortnightly",
ROUND(
ROUND((((TRUNC($AN49/2,0)+0.99))*VLOOKUP((TRUNC($AN49/2,0)+0.99),'Tax scales - NAT 1004'!$A$65:$C$73,2,1)-VLOOKUP((TRUNC($AN49/2,0)+0.99),'Tax scales - NAT 1004'!$A$65:$C$73,3,1)),0)
*2,
0),
IF(AND($E$2="Monthly",ROUND($AN49-TRUNC($AN49),2)=0.33),
ROUND(
ROUND(((TRUNC(($AN49+0.01)*3/13,0)+0.99)*VLOOKUP((TRUNC(($AN49+0.01)*3/13,0)+0.99),'Tax scales - NAT 1004'!$A$65:$C$73,2,1)-VLOOKUP((TRUNC(($AN49+0.01)*3/13,0)+0.99),'Tax scales - NAT 1004'!$A$65:$C$73,3,1)),0)
*13/3,
0),
IF($E$2="Monthly",
ROUND(
ROUND(((TRUNC($AN49*3/13,0)+0.99)*VLOOKUP((TRUNC($AN49*3/13,0)+0.99),'Tax scales - NAT 1004'!$A$65:$C$73,2,1)-VLOOKUP((TRUNC($AN49*3/13,0)+0.99),'Tax scales - NAT 1004'!$A$65:$C$73,3,1)),0)
*13/3,
0),
""))),
""),
"")</f>
        <v/>
      </c>
      <c r="AU49" s="118" t="str">
        <f>IFERROR(
IF(VLOOKUP($C49,'Employee information'!$B:$M,COLUMNS('Employee information'!$B:$M),0)=11,
IF($E$2="Fortnightly",
ROUND(
ROUND((((TRUNC($AN49/2,0)+0.99))*VLOOKUP((TRUNC($AN49/2,0)+0.99),'Tax scales - NAT 3539'!$A$14:$C$38,2,1)-VLOOKUP((TRUNC($AN49/2,0)+0.99),'Tax scales - NAT 3539'!$A$14:$C$38,3,1)),0)
*2,
0),
IF(AND($E$2="Monthly",ROUND($AN49-TRUNC($AN49),2)=0.33),
ROUND(
ROUND(((TRUNC(($AN49+0.01)*3/13,0)+0.99)*VLOOKUP((TRUNC(($AN49+0.01)*3/13,0)+0.99),'Tax scales - NAT 3539'!$A$14:$C$38,2,1)-VLOOKUP((TRUNC(($AN49+0.01)*3/13,0)+0.99),'Tax scales - NAT 3539'!$A$14:$C$38,3,1)),0)
*13/3,
0),
IF($E$2="Monthly",
ROUND(
ROUND(((TRUNC($AN49*3/13,0)+0.99)*VLOOKUP((TRUNC($AN49*3/13,0)+0.99),'Tax scales - NAT 3539'!$A$14:$C$38,2,1)-VLOOKUP((TRUNC($AN49*3/13,0)+0.99),'Tax scales - NAT 3539'!$A$14:$C$38,3,1)),0)
*13/3,
0),
""))),
""),
"")</f>
        <v/>
      </c>
      <c r="AV49" s="118" t="str">
        <f>IFERROR(
IF(VLOOKUP($C49,'Employee information'!$B:$M,COLUMNS('Employee information'!$B:$M),0)=22,
IF($E$2="Fortnightly",
ROUND(
ROUND((((TRUNC($AN49/2,0)+0.99))*VLOOKUP((TRUNC($AN49/2,0)+0.99),'Tax scales - NAT 3539'!$A$43:$C$69,2,1)-VLOOKUP((TRUNC($AN49/2,0)+0.99),'Tax scales - NAT 3539'!$A$43:$C$69,3,1)),0)
*2,
0),
IF(AND($E$2="Monthly",ROUND($AN49-TRUNC($AN49),2)=0.33),
ROUND(
ROUND(((TRUNC(($AN49+0.01)*3/13,0)+0.99)*VLOOKUP((TRUNC(($AN49+0.01)*3/13,0)+0.99),'Tax scales - NAT 3539'!$A$43:$C$69,2,1)-VLOOKUP((TRUNC(($AN49+0.01)*3/13,0)+0.99),'Tax scales - NAT 3539'!$A$43:$C$69,3,1)),0)
*13/3,
0),
IF($E$2="Monthly",
ROUND(
ROUND(((TRUNC($AN49*3/13,0)+0.99)*VLOOKUP((TRUNC($AN49*3/13,0)+0.99),'Tax scales - NAT 3539'!$A$43:$C$69,2,1)-VLOOKUP((TRUNC($AN49*3/13,0)+0.99),'Tax scales - NAT 3539'!$A$43:$C$69,3,1)),0)
*13/3,
0),
""))),
""),
"")</f>
        <v/>
      </c>
      <c r="AW49" s="118" t="str">
        <f>IFERROR(
IF(VLOOKUP($C49,'Employee information'!$B:$M,COLUMNS('Employee information'!$B:$M),0)=33,
IF($E$2="Fortnightly",
ROUND(
ROUND((((TRUNC($AN49/2,0)+0.99))*VLOOKUP((TRUNC($AN49/2,0)+0.99),'Tax scales - NAT 3539'!$A$74:$C$94,2,1)-VLOOKUP((TRUNC($AN49/2,0)+0.99),'Tax scales - NAT 3539'!$A$74:$C$94,3,1)),0)
*2,
0),
IF(AND($E$2="Monthly",ROUND($AN49-TRUNC($AN49),2)=0.33),
ROUND(
ROUND(((TRUNC(($AN49+0.01)*3/13,0)+0.99)*VLOOKUP((TRUNC(($AN49+0.01)*3/13,0)+0.99),'Tax scales - NAT 3539'!$A$74:$C$94,2,1)-VLOOKUP((TRUNC(($AN49+0.01)*3/13,0)+0.99),'Tax scales - NAT 3539'!$A$74:$C$94,3,1)),0)
*13/3,
0),
IF($E$2="Monthly",
ROUND(
ROUND(((TRUNC($AN49*3/13,0)+0.99)*VLOOKUP((TRUNC($AN49*3/13,0)+0.99),'Tax scales - NAT 3539'!$A$74:$C$94,2,1)-VLOOKUP((TRUNC($AN49*3/13,0)+0.99),'Tax scales - NAT 3539'!$A$74:$C$94,3,1)),0)
*13/3,
0),
""))),
""),
"")</f>
        <v/>
      </c>
      <c r="AX49" s="118" t="str">
        <f>IFERROR(
IF(VLOOKUP($C49,'Employee information'!$B:$M,COLUMNS('Employee information'!$B:$M),0)=55,
IF($E$2="Fortnightly",
ROUND(
ROUND((((TRUNC($AN49/2,0)+0.99))*VLOOKUP((TRUNC($AN49/2,0)+0.99),'Tax scales - NAT 3539'!$A$99:$C$123,2,1)-VLOOKUP((TRUNC($AN49/2,0)+0.99),'Tax scales - NAT 3539'!$A$99:$C$123,3,1)),0)
*2,
0),
IF(AND($E$2="Monthly",ROUND($AN49-TRUNC($AN49),2)=0.33),
ROUND(
ROUND(((TRUNC(($AN49+0.01)*3/13,0)+0.99)*VLOOKUP((TRUNC(($AN49+0.01)*3/13,0)+0.99),'Tax scales - NAT 3539'!$A$99:$C$123,2,1)-VLOOKUP((TRUNC(($AN49+0.01)*3/13,0)+0.99),'Tax scales - NAT 3539'!$A$99:$C$123,3,1)),0)
*13/3,
0),
IF($E$2="Monthly",
ROUND(
ROUND(((TRUNC($AN49*3/13,0)+0.99)*VLOOKUP((TRUNC($AN49*3/13,0)+0.99),'Tax scales - NAT 3539'!$A$99:$C$123,2,1)-VLOOKUP((TRUNC($AN49*3/13,0)+0.99),'Tax scales - NAT 3539'!$A$99:$C$123,3,1)),0)
*13/3,
0),
""))),
""),
"")</f>
        <v/>
      </c>
      <c r="AY49" s="118" t="str">
        <f>IFERROR(
IF(VLOOKUP($C49,'Employee information'!$B:$M,COLUMNS('Employee information'!$B:$M),0)=66,
IF($E$2="Fortnightly",
ROUND(
ROUND((((TRUNC($AN49/2,0)+0.99))*VLOOKUP((TRUNC($AN49/2,0)+0.99),'Tax scales - NAT 3539'!$A$127:$C$154,2,1)-VLOOKUP((TRUNC($AN49/2,0)+0.99),'Tax scales - NAT 3539'!$A$127:$C$154,3,1)),0)
*2,
0),
IF(AND($E$2="Monthly",ROUND($AN49-TRUNC($AN49),2)=0.33),
ROUND(
ROUND(((TRUNC(($AN49+0.01)*3/13,0)+0.99)*VLOOKUP((TRUNC(($AN49+0.01)*3/13,0)+0.99),'Tax scales - NAT 3539'!$A$127:$C$154,2,1)-VLOOKUP((TRUNC(($AN49+0.01)*3/13,0)+0.99),'Tax scales - NAT 3539'!$A$127:$C$154,3,1)),0)
*13/3,
0),
IF($E$2="Monthly",
ROUND(
ROUND(((TRUNC($AN49*3/13,0)+0.99)*VLOOKUP((TRUNC($AN49*3/13,0)+0.99),'Tax scales - NAT 3539'!$A$127:$C$154,2,1)-VLOOKUP((TRUNC($AN49*3/13,0)+0.99),'Tax scales - NAT 3539'!$A$127:$C$154,3,1)),0)
*13/3,
0),
""))),
""),
"")</f>
        <v/>
      </c>
      <c r="AZ49" s="118">
        <f>IFERROR(
HLOOKUP(VLOOKUP($C49,'Employee information'!$B:$M,COLUMNS('Employee information'!$B:$M),0),'PAYG worksheet'!$AO$39:$AY$58,COUNTA($C$40:$C49)+1,0),
0)</f>
        <v>0</v>
      </c>
      <c r="BA49" s="118"/>
      <c r="BB49" s="118">
        <f t="shared" si="46"/>
        <v>0</v>
      </c>
      <c r="BC49" s="119">
        <f>IFERROR(
IF(OR($AE49=1,$AE49=""),SUM($P49,$AA49,$AC49,$AK49)*VLOOKUP($C49,'Employee information'!$B:$Q,COLUMNS('Employee information'!$B:$H),0),
IF($AE49=0,SUM($P49,$AA49,$AK49)*VLOOKUP($C49,'Employee information'!$B:$Q,COLUMNS('Employee information'!$B:$H),0),
0)),
0)</f>
        <v>0</v>
      </c>
      <c r="BE49" s="114">
        <f t="shared" si="31"/>
        <v>0</v>
      </c>
      <c r="BF49" s="114">
        <f t="shared" si="32"/>
        <v>0</v>
      </c>
      <c r="BG49" s="114">
        <f t="shared" si="33"/>
        <v>0</v>
      </c>
      <c r="BH49" s="114">
        <f t="shared" si="34"/>
        <v>0</v>
      </c>
      <c r="BI49" s="114">
        <f t="shared" si="35"/>
        <v>0</v>
      </c>
      <c r="BJ49" s="114">
        <f t="shared" si="36"/>
        <v>0</v>
      </c>
      <c r="BK49" s="114">
        <f t="shared" si="37"/>
        <v>0</v>
      </c>
      <c r="BL49" s="114">
        <f t="shared" si="47"/>
        <v>0</v>
      </c>
      <c r="BM49" s="114">
        <f t="shared" si="38"/>
        <v>0</v>
      </c>
    </row>
    <row r="50" spans="1:65" x14ac:dyDescent="0.25">
      <c r="A50" s="228">
        <f t="shared" si="26"/>
        <v>2</v>
      </c>
      <c r="C50" s="278"/>
      <c r="E50" s="103">
        <f>IF($C50="",0,
IF(AND($E$2="Monthly",$A50&gt;12),0,
IF($E$2="Monthly",VLOOKUP($C50,'Employee information'!$B:$AM,COLUMNS('Employee information'!$B:S),0),
IF($E$2="Fortnightly",VLOOKUP($C50,'Employee information'!$B:$AM,COLUMNS('Employee information'!$B:R),0),
0))))</f>
        <v>0</v>
      </c>
      <c r="F50" s="106"/>
      <c r="G50" s="106"/>
      <c r="H50" s="106"/>
      <c r="I50" s="106"/>
      <c r="J50" s="103">
        <f t="shared" si="39"/>
        <v>0</v>
      </c>
      <c r="L50" s="113">
        <f>IF(AND($E$2="Monthly",$A50&gt;12),"",
IFERROR($J50*VLOOKUP($C50,'Employee information'!$B:$AI,COLUMNS('Employee information'!$B:$P),0),0))</f>
        <v>0</v>
      </c>
      <c r="M50" s="114">
        <f t="shared" si="40"/>
        <v>0</v>
      </c>
      <c r="O50" s="103">
        <f t="shared" si="41"/>
        <v>0</v>
      </c>
      <c r="P50" s="113">
        <f>IFERROR(
IF(AND($E$2="Monthly",$A50&gt;12),0,
$O50*VLOOKUP($C50,'Employee information'!$B:$AI,COLUMNS('Employee information'!$B:$P),0)),
0)</f>
        <v>0</v>
      </c>
      <c r="R50" s="114">
        <f t="shared" si="27"/>
        <v>0</v>
      </c>
      <c r="T50" s="103"/>
      <c r="U50" s="103"/>
      <c r="V50" s="282" t="str">
        <f>IF($C50="","",
IF(AND($E$2="Monthly",$A50&gt;12),"",
$T50*VLOOKUP($C50,'Employee information'!$B:$P,COLUMNS('Employee information'!$B:$P),0)))</f>
        <v/>
      </c>
      <c r="W50" s="282" t="str">
        <f>IF($C50="","",
IF(AND($E$2="Monthly",$A50&gt;12),"",
$U50*VLOOKUP($C50,'Employee information'!$B:$P,COLUMNS('Employee information'!$B:$P),0)))</f>
        <v/>
      </c>
      <c r="X50" s="114">
        <f t="shared" si="28"/>
        <v>0</v>
      </c>
      <c r="Y50" s="114">
        <f t="shared" si="29"/>
        <v>0</v>
      </c>
      <c r="AA50" s="118">
        <f>IFERROR(
IF(OR('Basic payroll data'!$D$12="",'Basic payroll data'!$D$12="No"),0,
$T50*VLOOKUP($C50,'Employee information'!$B:$P,COLUMNS('Employee information'!$B:$P),0)*AL_loading_perc),
0)</f>
        <v>0</v>
      </c>
      <c r="AC50" s="118"/>
      <c r="AD50" s="118"/>
      <c r="AE50" s="283" t="str">
        <f t="shared" si="42"/>
        <v/>
      </c>
      <c r="AF50" s="283" t="str">
        <f t="shared" si="43"/>
        <v/>
      </c>
      <c r="AG50" s="118"/>
      <c r="AH50" s="118"/>
      <c r="AI50" s="283" t="str">
        <f t="shared" si="44"/>
        <v/>
      </c>
      <c r="AJ50" s="118"/>
      <c r="AK50" s="118"/>
      <c r="AM50" s="118">
        <f t="shared" si="45"/>
        <v>0</v>
      </c>
      <c r="AN50" s="118">
        <f t="shared" si="30"/>
        <v>0</v>
      </c>
      <c r="AO50" s="118" t="str">
        <f>IFERROR(
IF(VLOOKUP($C50,'Employee information'!$B:$M,COLUMNS('Employee information'!$B:$M),0)=1,
IF($E$2="Fortnightly",
ROUND(
ROUND((((TRUNC($AN50/2,0)+0.99))*VLOOKUP((TRUNC($AN50/2,0)+0.99),'Tax scales - NAT 1004'!$A$12:$C$18,2,1)-VLOOKUP((TRUNC($AN50/2,0)+0.99),'Tax scales - NAT 1004'!$A$12:$C$18,3,1)),0)
*2,
0),
IF(AND($E$2="Monthly",ROUND($AN50-TRUNC($AN50),2)=0.33),
ROUND(
ROUND(((TRUNC(($AN50+0.01)*3/13,0)+0.99)*VLOOKUP((TRUNC(($AN50+0.01)*3/13,0)+0.99),'Tax scales - NAT 1004'!$A$12:$C$18,2,1)-VLOOKUP((TRUNC(($AN50+0.01)*3/13,0)+0.99),'Tax scales - NAT 1004'!$A$12:$C$18,3,1)),0)
*13/3,
0),
IF($E$2="Monthly",
ROUND(
ROUND(((TRUNC($AN50*3/13,0)+0.99)*VLOOKUP((TRUNC($AN50*3/13,0)+0.99),'Tax scales - NAT 1004'!$A$12:$C$18,2,1)-VLOOKUP((TRUNC($AN50*3/13,0)+0.99),'Tax scales - NAT 1004'!$A$12:$C$18,3,1)),0)
*13/3,
0),
""))),
""),
"")</f>
        <v/>
      </c>
      <c r="AP50" s="118" t="str">
        <f>IFERROR(
IF(VLOOKUP($C50,'Employee information'!$B:$M,COLUMNS('Employee information'!$B:$M),0)=2,
IF($E$2="Fortnightly",
ROUND(
ROUND((((TRUNC($AN50/2,0)+0.99))*VLOOKUP((TRUNC($AN50/2,0)+0.99),'Tax scales - NAT 1004'!$A$25:$C$33,2,1)-VLOOKUP((TRUNC($AN50/2,0)+0.99),'Tax scales - NAT 1004'!$A$25:$C$33,3,1)),0)
*2,
0),
IF(AND($E$2="Monthly",ROUND($AN50-TRUNC($AN50),2)=0.33),
ROUND(
ROUND(((TRUNC(($AN50+0.01)*3/13,0)+0.99)*VLOOKUP((TRUNC(($AN50+0.01)*3/13,0)+0.99),'Tax scales - NAT 1004'!$A$25:$C$33,2,1)-VLOOKUP((TRUNC(($AN50+0.01)*3/13,0)+0.99),'Tax scales - NAT 1004'!$A$25:$C$33,3,1)),0)
*13/3,
0),
IF($E$2="Monthly",
ROUND(
ROUND(((TRUNC($AN50*3/13,0)+0.99)*VLOOKUP((TRUNC($AN50*3/13,0)+0.99),'Tax scales - NAT 1004'!$A$25:$C$33,2,1)-VLOOKUP((TRUNC($AN50*3/13,0)+0.99),'Tax scales - NAT 1004'!$A$25:$C$33,3,1)),0)
*13/3,
0),
""))),
""),
"")</f>
        <v/>
      </c>
      <c r="AQ50" s="118" t="str">
        <f>IFERROR(
IF(VLOOKUP($C50,'Employee information'!$B:$M,COLUMNS('Employee information'!$B:$M),0)=3,
IF($E$2="Fortnightly",
ROUND(
ROUND((((TRUNC($AN50/2,0)+0.99))*VLOOKUP((TRUNC($AN50/2,0)+0.99),'Tax scales - NAT 1004'!$A$39:$C$41,2,1)-VLOOKUP((TRUNC($AN50/2,0)+0.99),'Tax scales - NAT 1004'!$A$39:$C$41,3,1)),0)
*2,
0),
IF(AND($E$2="Monthly",ROUND($AN50-TRUNC($AN50),2)=0.33),
ROUND(
ROUND(((TRUNC(($AN50+0.01)*3/13,0)+0.99)*VLOOKUP((TRUNC(($AN50+0.01)*3/13,0)+0.99),'Tax scales - NAT 1004'!$A$39:$C$41,2,1)-VLOOKUP((TRUNC(($AN50+0.01)*3/13,0)+0.99),'Tax scales - NAT 1004'!$A$39:$C$41,3,1)),0)
*13/3,
0),
IF($E$2="Monthly",
ROUND(
ROUND(((TRUNC($AN50*3/13,0)+0.99)*VLOOKUP((TRUNC($AN50*3/13,0)+0.99),'Tax scales - NAT 1004'!$A$39:$C$41,2,1)-VLOOKUP((TRUNC($AN50*3/13,0)+0.99),'Tax scales - NAT 1004'!$A$39:$C$41,3,1)),0)
*13/3,
0),
""))),
""),
"")</f>
        <v/>
      </c>
      <c r="AR50" s="118" t="str">
        <f>IFERROR(
IF(AND(VLOOKUP($C50,'Employee information'!$B:$M,COLUMNS('Employee information'!$B:$M),0)=4,
VLOOKUP($C50,'Employee information'!$B:$J,COLUMNS('Employee information'!$B:$J),0)="Resident"),
TRUNC(TRUNC($AN50)*'Tax scales - NAT 1004'!$B$47),
IF(AND(VLOOKUP($C50,'Employee information'!$B:$M,COLUMNS('Employee information'!$B:$M),0)=4,
VLOOKUP($C50,'Employee information'!$B:$J,COLUMNS('Employee information'!$B:$J),0)="Foreign resident"),
TRUNC(TRUNC($AN50)*'Tax scales - NAT 1004'!$B$48),
"")),
"")</f>
        <v/>
      </c>
      <c r="AS50" s="118" t="str">
        <f>IFERROR(
IF(VLOOKUP($C50,'Employee information'!$B:$M,COLUMNS('Employee information'!$B:$M),0)=5,
IF($E$2="Fortnightly",
ROUND(
ROUND((((TRUNC($AN50/2,0)+0.99))*VLOOKUP((TRUNC($AN50/2,0)+0.99),'Tax scales - NAT 1004'!$A$53:$C$59,2,1)-VLOOKUP((TRUNC($AN50/2,0)+0.99),'Tax scales - NAT 1004'!$A$53:$C$59,3,1)),0)
*2,
0),
IF(AND($E$2="Monthly",ROUND($AN50-TRUNC($AN50),2)=0.33),
ROUND(
ROUND(((TRUNC(($AN50+0.01)*3/13,0)+0.99)*VLOOKUP((TRUNC(($AN50+0.01)*3/13,0)+0.99),'Tax scales - NAT 1004'!$A$53:$C$59,2,1)-VLOOKUP((TRUNC(($AN50+0.01)*3/13,0)+0.99),'Tax scales - NAT 1004'!$A$53:$C$59,3,1)),0)
*13/3,
0),
IF($E$2="Monthly",
ROUND(
ROUND(((TRUNC($AN50*3/13,0)+0.99)*VLOOKUP((TRUNC($AN50*3/13,0)+0.99),'Tax scales - NAT 1004'!$A$53:$C$59,2,1)-VLOOKUP((TRUNC($AN50*3/13,0)+0.99),'Tax scales - NAT 1004'!$A$53:$C$59,3,1)),0)
*13/3,
0),
""))),
""),
"")</f>
        <v/>
      </c>
      <c r="AT50" s="118" t="str">
        <f>IFERROR(
IF(VLOOKUP($C50,'Employee information'!$B:$M,COLUMNS('Employee information'!$B:$M),0)=6,
IF($E$2="Fortnightly",
ROUND(
ROUND((((TRUNC($AN50/2,0)+0.99))*VLOOKUP((TRUNC($AN50/2,0)+0.99),'Tax scales - NAT 1004'!$A$65:$C$73,2,1)-VLOOKUP((TRUNC($AN50/2,0)+0.99),'Tax scales - NAT 1004'!$A$65:$C$73,3,1)),0)
*2,
0),
IF(AND($E$2="Monthly",ROUND($AN50-TRUNC($AN50),2)=0.33),
ROUND(
ROUND(((TRUNC(($AN50+0.01)*3/13,0)+0.99)*VLOOKUP((TRUNC(($AN50+0.01)*3/13,0)+0.99),'Tax scales - NAT 1004'!$A$65:$C$73,2,1)-VLOOKUP((TRUNC(($AN50+0.01)*3/13,0)+0.99),'Tax scales - NAT 1004'!$A$65:$C$73,3,1)),0)
*13/3,
0),
IF($E$2="Monthly",
ROUND(
ROUND(((TRUNC($AN50*3/13,0)+0.99)*VLOOKUP((TRUNC($AN50*3/13,0)+0.99),'Tax scales - NAT 1004'!$A$65:$C$73,2,1)-VLOOKUP((TRUNC($AN50*3/13,0)+0.99),'Tax scales - NAT 1004'!$A$65:$C$73,3,1)),0)
*13/3,
0),
""))),
""),
"")</f>
        <v/>
      </c>
      <c r="AU50" s="118" t="str">
        <f>IFERROR(
IF(VLOOKUP($C50,'Employee information'!$B:$M,COLUMNS('Employee information'!$B:$M),0)=11,
IF($E$2="Fortnightly",
ROUND(
ROUND((((TRUNC($AN50/2,0)+0.99))*VLOOKUP((TRUNC($AN50/2,0)+0.99),'Tax scales - NAT 3539'!$A$14:$C$38,2,1)-VLOOKUP((TRUNC($AN50/2,0)+0.99),'Tax scales - NAT 3539'!$A$14:$C$38,3,1)),0)
*2,
0),
IF(AND($E$2="Monthly",ROUND($AN50-TRUNC($AN50),2)=0.33),
ROUND(
ROUND(((TRUNC(($AN50+0.01)*3/13,0)+0.99)*VLOOKUP((TRUNC(($AN50+0.01)*3/13,0)+0.99),'Tax scales - NAT 3539'!$A$14:$C$38,2,1)-VLOOKUP((TRUNC(($AN50+0.01)*3/13,0)+0.99),'Tax scales - NAT 3539'!$A$14:$C$38,3,1)),0)
*13/3,
0),
IF($E$2="Monthly",
ROUND(
ROUND(((TRUNC($AN50*3/13,0)+0.99)*VLOOKUP((TRUNC($AN50*3/13,0)+0.99),'Tax scales - NAT 3539'!$A$14:$C$38,2,1)-VLOOKUP((TRUNC($AN50*3/13,0)+0.99),'Tax scales - NAT 3539'!$A$14:$C$38,3,1)),0)
*13/3,
0),
""))),
""),
"")</f>
        <v/>
      </c>
      <c r="AV50" s="118" t="str">
        <f>IFERROR(
IF(VLOOKUP($C50,'Employee information'!$B:$M,COLUMNS('Employee information'!$B:$M),0)=22,
IF($E$2="Fortnightly",
ROUND(
ROUND((((TRUNC($AN50/2,0)+0.99))*VLOOKUP((TRUNC($AN50/2,0)+0.99),'Tax scales - NAT 3539'!$A$43:$C$69,2,1)-VLOOKUP((TRUNC($AN50/2,0)+0.99),'Tax scales - NAT 3539'!$A$43:$C$69,3,1)),0)
*2,
0),
IF(AND($E$2="Monthly",ROUND($AN50-TRUNC($AN50),2)=0.33),
ROUND(
ROUND(((TRUNC(($AN50+0.01)*3/13,0)+0.99)*VLOOKUP((TRUNC(($AN50+0.01)*3/13,0)+0.99),'Tax scales - NAT 3539'!$A$43:$C$69,2,1)-VLOOKUP((TRUNC(($AN50+0.01)*3/13,0)+0.99),'Tax scales - NAT 3539'!$A$43:$C$69,3,1)),0)
*13/3,
0),
IF($E$2="Monthly",
ROUND(
ROUND(((TRUNC($AN50*3/13,0)+0.99)*VLOOKUP((TRUNC($AN50*3/13,0)+0.99),'Tax scales - NAT 3539'!$A$43:$C$69,2,1)-VLOOKUP((TRUNC($AN50*3/13,0)+0.99),'Tax scales - NAT 3539'!$A$43:$C$69,3,1)),0)
*13/3,
0),
""))),
""),
"")</f>
        <v/>
      </c>
      <c r="AW50" s="118" t="str">
        <f>IFERROR(
IF(VLOOKUP($C50,'Employee information'!$B:$M,COLUMNS('Employee information'!$B:$M),0)=33,
IF($E$2="Fortnightly",
ROUND(
ROUND((((TRUNC($AN50/2,0)+0.99))*VLOOKUP((TRUNC($AN50/2,0)+0.99),'Tax scales - NAT 3539'!$A$74:$C$94,2,1)-VLOOKUP((TRUNC($AN50/2,0)+0.99),'Tax scales - NAT 3539'!$A$74:$C$94,3,1)),0)
*2,
0),
IF(AND($E$2="Monthly",ROUND($AN50-TRUNC($AN50),2)=0.33),
ROUND(
ROUND(((TRUNC(($AN50+0.01)*3/13,0)+0.99)*VLOOKUP((TRUNC(($AN50+0.01)*3/13,0)+0.99),'Tax scales - NAT 3539'!$A$74:$C$94,2,1)-VLOOKUP((TRUNC(($AN50+0.01)*3/13,0)+0.99),'Tax scales - NAT 3539'!$A$74:$C$94,3,1)),0)
*13/3,
0),
IF($E$2="Monthly",
ROUND(
ROUND(((TRUNC($AN50*3/13,0)+0.99)*VLOOKUP((TRUNC($AN50*3/13,0)+0.99),'Tax scales - NAT 3539'!$A$74:$C$94,2,1)-VLOOKUP((TRUNC($AN50*3/13,0)+0.99),'Tax scales - NAT 3539'!$A$74:$C$94,3,1)),0)
*13/3,
0),
""))),
""),
"")</f>
        <v/>
      </c>
      <c r="AX50" s="118" t="str">
        <f>IFERROR(
IF(VLOOKUP($C50,'Employee information'!$B:$M,COLUMNS('Employee information'!$B:$M),0)=55,
IF($E$2="Fortnightly",
ROUND(
ROUND((((TRUNC($AN50/2,0)+0.99))*VLOOKUP((TRUNC($AN50/2,0)+0.99),'Tax scales - NAT 3539'!$A$99:$C$123,2,1)-VLOOKUP((TRUNC($AN50/2,0)+0.99),'Tax scales - NAT 3539'!$A$99:$C$123,3,1)),0)
*2,
0),
IF(AND($E$2="Monthly",ROUND($AN50-TRUNC($AN50),2)=0.33),
ROUND(
ROUND(((TRUNC(($AN50+0.01)*3/13,0)+0.99)*VLOOKUP((TRUNC(($AN50+0.01)*3/13,0)+0.99),'Tax scales - NAT 3539'!$A$99:$C$123,2,1)-VLOOKUP((TRUNC(($AN50+0.01)*3/13,0)+0.99),'Tax scales - NAT 3539'!$A$99:$C$123,3,1)),0)
*13/3,
0),
IF($E$2="Monthly",
ROUND(
ROUND(((TRUNC($AN50*3/13,0)+0.99)*VLOOKUP((TRUNC($AN50*3/13,0)+0.99),'Tax scales - NAT 3539'!$A$99:$C$123,2,1)-VLOOKUP((TRUNC($AN50*3/13,0)+0.99),'Tax scales - NAT 3539'!$A$99:$C$123,3,1)),0)
*13/3,
0),
""))),
""),
"")</f>
        <v/>
      </c>
      <c r="AY50" s="118" t="str">
        <f>IFERROR(
IF(VLOOKUP($C50,'Employee information'!$B:$M,COLUMNS('Employee information'!$B:$M),0)=66,
IF($E$2="Fortnightly",
ROUND(
ROUND((((TRUNC($AN50/2,0)+0.99))*VLOOKUP((TRUNC($AN50/2,0)+0.99),'Tax scales - NAT 3539'!$A$127:$C$154,2,1)-VLOOKUP((TRUNC($AN50/2,0)+0.99),'Tax scales - NAT 3539'!$A$127:$C$154,3,1)),0)
*2,
0),
IF(AND($E$2="Monthly",ROUND($AN50-TRUNC($AN50),2)=0.33),
ROUND(
ROUND(((TRUNC(($AN50+0.01)*3/13,0)+0.99)*VLOOKUP((TRUNC(($AN50+0.01)*3/13,0)+0.99),'Tax scales - NAT 3539'!$A$127:$C$154,2,1)-VLOOKUP((TRUNC(($AN50+0.01)*3/13,0)+0.99),'Tax scales - NAT 3539'!$A$127:$C$154,3,1)),0)
*13/3,
0),
IF($E$2="Monthly",
ROUND(
ROUND(((TRUNC($AN50*3/13,0)+0.99)*VLOOKUP((TRUNC($AN50*3/13,0)+0.99),'Tax scales - NAT 3539'!$A$127:$C$154,2,1)-VLOOKUP((TRUNC($AN50*3/13,0)+0.99),'Tax scales - NAT 3539'!$A$127:$C$154,3,1)),0)
*13/3,
0),
""))),
""),
"")</f>
        <v/>
      </c>
      <c r="AZ50" s="118">
        <f>IFERROR(
HLOOKUP(VLOOKUP($C50,'Employee information'!$B:$M,COLUMNS('Employee information'!$B:$M),0),'PAYG worksheet'!$AO$39:$AY$58,COUNTA($C$40:$C50)+1,0),
0)</f>
        <v>0</v>
      </c>
      <c r="BA50" s="118"/>
      <c r="BB50" s="118">
        <f t="shared" si="46"/>
        <v>0</v>
      </c>
      <c r="BC50" s="119">
        <f>IFERROR(
IF(OR($AE50=1,$AE50=""),SUM($P50,$AA50,$AC50,$AK50)*VLOOKUP($C50,'Employee information'!$B:$Q,COLUMNS('Employee information'!$B:$H),0),
IF($AE50=0,SUM($P50,$AA50,$AK50)*VLOOKUP($C50,'Employee information'!$B:$Q,COLUMNS('Employee information'!$B:$H),0),
0)),
0)</f>
        <v>0</v>
      </c>
      <c r="BE50" s="114">
        <f t="shared" si="31"/>
        <v>0</v>
      </c>
      <c r="BF50" s="114">
        <f t="shared" si="32"/>
        <v>0</v>
      </c>
      <c r="BG50" s="114">
        <f t="shared" si="33"/>
        <v>0</v>
      </c>
      <c r="BH50" s="114">
        <f t="shared" si="34"/>
        <v>0</v>
      </c>
      <c r="BI50" s="114">
        <f t="shared" si="35"/>
        <v>0</v>
      </c>
      <c r="BJ50" s="114">
        <f t="shared" si="36"/>
        <v>0</v>
      </c>
      <c r="BK50" s="114">
        <f t="shared" si="37"/>
        <v>0</v>
      </c>
      <c r="BL50" s="114">
        <f t="shared" si="47"/>
        <v>0</v>
      </c>
      <c r="BM50" s="114">
        <f t="shared" si="38"/>
        <v>0</v>
      </c>
    </row>
    <row r="51" spans="1:65" x14ac:dyDescent="0.25">
      <c r="A51" s="228">
        <f t="shared" si="26"/>
        <v>2</v>
      </c>
      <c r="C51" s="278"/>
      <c r="E51" s="103">
        <f>IF($C51="",0,
IF(AND($E$2="Monthly",$A51&gt;12),0,
IF($E$2="Monthly",VLOOKUP($C51,'Employee information'!$B:$AM,COLUMNS('Employee information'!$B:S),0),
IF($E$2="Fortnightly",VLOOKUP($C51,'Employee information'!$B:$AM,COLUMNS('Employee information'!$B:R),0),
0))))</f>
        <v>0</v>
      </c>
      <c r="F51" s="106"/>
      <c r="G51" s="106"/>
      <c r="H51" s="106"/>
      <c r="I51" s="106"/>
      <c r="J51" s="103">
        <f t="shared" si="39"/>
        <v>0</v>
      </c>
      <c r="L51" s="113">
        <f>IF(AND($E$2="Monthly",$A51&gt;12),"",
IFERROR($J51*VLOOKUP($C51,'Employee information'!$B:$AI,COLUMNS('Employee information'!$B:$P),0),0))</f>
        <v>0</v>
      </c>
      <c r="M51" s="114">
        <f t="shared" si="40"/>
        <v>0</v>
      </c>
      <c r="O51" s="103">
        <f t="shared" si="41"/>
        <v>0</v>
      </c>
      <c r="P51" s="113">
        <f>IFERROR(
IF(AND($E$2="Monthly",$A51&gt;12),0,
$O51*VLOOKUP($C51,'Employee information'!$B:$AI,COLUMNS('Employee information'!$B:$P),0)),
0)</f>
        <v>0</v>
      </c>
      <c r="R51" s="114">
        <f t="shared" si="27"/>
        <v>0</v>
      </c>
      <c r="T51" s="103"/>
      <c r="U51" s="103"/>
      <c r="V51" s="282" t="str">
        <f>IF($C51="","",
IF(AND($E$2="Monthly",$A51&gt;12),"",
$T51*VLOOKUP($C51,'Employee information'!$B:$P,COLUMNS('Employee information'!$B:$P),0)))</f>
        <v/>
      </c>
      <c r="W51" s="282" t="str">
        <f>IF($C51="","",
IF(AND($E$2="Monthly",$A51&gt;12),"",
$U51*VLOOKUP($C51,'Employee information'!$B:$P,COLUMNS('Employee information'!$B:$P),0)))</f>
        <v/>
      </c>
      <c r="X51" s="114">
        <f t="shared" si="28"/>
        <v>0</v>
      </c>
      <c r="Y51" s="114">
        <f t="shared" si="29"/>
        <v>0</v>
      </c>
      <c r="AA51" s="118">
        <f>IFERROR(
IF(OR('Basic payroll data'!$D$12="",'Basic payroll data'!$D$12="No"),0,
$T51*VLOOKUP($C51,'Employee information'!$B:$P,COLUMNS('Employee information'!$B:$P),0)*AL_loading_perc),
0)</f>
        <v>0</v>
      </c>
      <c r="AC51" s="118"/>
      <c r="AD51" s="118"/>
      <c r="AE51" s="283" t="str">
        <f t="shared" si="42"/>
        <v/>
      </c>
      <c r="AF51" s="283" t="str">
        <f t="shared" si="43"/>
        <v/>
      </c>
      <c r="AG51" s="118"/>
      <c r="AH51" s="118"/>
      <c r="AI51" s="283" t="str">
        <f t="shared" si="44"/>
        <v/>
      </c>
      <c r="AJ51" s="118"/>
      <c r="AK51" s="118"/>
      <c r="AM51" s="118">
        <f t="shared" si="45"/>
        <v>0</v>
      </c>
      <c r="AN51" s="118">
        <f t="shared" si="30"/>
        <v>0</v>
      </c>
      <c r="AO51" s="118" t="str">
        <f>IFERROR(
IF(VLOOKUP($C51,'Employee information'!$B:$M,COLUMNS('Employee information'!$B:$M),0)=1,
IF($E$2="Fortnightly",
ROUND(
ROUND((((TRUNC($AN51/2,0)+0.99))*VLOOKUP((TRUNC($AN51/2,0)+0.99),'Tax scales - NAT 1004'!$A$12:$C$18,2,1)-VLOOKUP((TRUNC($AN51/2,0)+0.99),'Tax scales - NAT 1004'!$A$12:$C$18,3,1)),0)
*2,
0),
IF(AND($E$2="Monthly",ROUND($AN51-TRUNC($AN51),2)=0.33),
ROUND(
ROUND(((TRUNC(($AN51+0.01)*3/13,0)+0.99)*VLOOKUP((TRUNC(($AN51+0.01)*3/13,0)+0.99),'Tax scales - NAT 1004'!$A$12:$C$18,2,1)-VLOOKUP((TRUNC(($AN51+0.01)*3/13,0)+0.99),'Tax scales - NAT 1004'!$A$12:$C$18,3,1)),0)
*13/3,
0),
IF($E$2="Monthly",
ROUND(
ROUND(((TRUNC($AN51*3/13,0)+0.99)*VLOOKUP((TRUNC($AN51*3/13,0)+0.99),'Tax scales - NAT 1004'!$A$12:$C$18,2,1)-VLOOKUP((TRUNC($AN51*3/13,0)+0.99),'Tax scales - NAT 1004'!$A$12:$C$18,3,1)),0)
*13/3,
0),
""))),
""),
"")</f>
        <v/>
      </c>
      <c r="AP51" s="118" t="str">
        <f>IFERROR(
IF(VLOOKUP($C51,'Employee information'!$B:$M,COLUMNS('Employee information'!$B:$M),0)=2,
IF($E$2="Fortnightly",
ROUND(
ROUND((((TRUNC($AN51/2,0)+0.99))*VLOOKUP((TRUNC($AN51/2,0)+0.99),'Tax scales - NAT 1004'!$A$25:$C$33,2,1)-VLOOKUP((TRUNC($AN51/2,0)+0.99),'Tax scales - NAT 1004'!$A$25:$C$33,3,1)),0)
*2,
0),
IF(AND($E$2="Monthly",ROUND($AN51-TRUNC($AN51),2)=0.33),
ROUND(
ROUND(((TRUNC(($AN51+0.01)*3/13,0)+0.99)*VLOOKUP((TRUNC(($AN51+0.01)*3/13,0)+0.99),'Tax scales - NAT 1004'!$A$25:$C$33,2,1)-VLOOKUP((TRUNC(($AN51+0.01)*3/13,0)+0.99),'Tax scales - NAT 1004'!$A$25:$C$33,3,1)),0)
*13/3,
0),
IF($E$2="Monthly",
ROUND(
ROUND(((TRUNC($AN51*3/13,0)+0.99)*VLOOKUP((TRUNC($AN51*3/13,0)+0.99),'Tax scales - NAT 1004'!$A$25:$C$33,2,1)-VLOOKUP((TRUNC($AN51*3/13,0)+0.99),'Tax scales - NAT 1004'!$A$25:$C$33,3,1)),0)
*13/3,
0),
""))),
""),
"")</f>
        <v/>
      </c>
      <c r="AQ51" s="118" t="str">
        <f>IFERROR(
IF(VLOOKUP($C51,'Employee information'!$B:$M,COLUMNS('Employee information'!$B:$M),0)=3,
IF($E$2="Fortnightly",
ROUND(
ROUND((((TRUNC($AN51/2,0)+0.99))*VLOOKUP((TRUNC($AN51/2,0)+0.99),'Tax scales - NAT 1004'!$A$39:$C$41,2,1)-VLOOKUP((TRUNC($AN51/2,0)+0.99),'Tax scales - NAT 1004'!$A$39:$C$41,3,1)),0)
*2,
0),
IF(AND($E$2="Monthly",ROUND($AN51-TRUNC($AN51),2)=0.33),
ROUND(
ROUND(((TRUNC(($AN51+0.01)*3/13,0)+0.99)*VLOOKUP((TRUNC(($AN51+0.01)*3/13,0)+0.99),'Tax scales - NAT 1004'!$A$39:$C$41,2,1)-VLOOKUP((TRUNC(($AN51+0.01)*3/13,0)+0.99),'Tax scales - NAT 1004'!$A$39:$C$41,3,1)),0)
*13/3,
0),
IF($E$2="Monthly",
ROUND(
ROUND(((TRUNC($AN51*3/13,0)+0.99)*VLOOKUP((TRUNC($AN51*3/13,0)+0.99),'Tax scales - NAT 1004'!$A$39:$C$41,2,1)-VLOOKUP((TRUNC($AN51*3/13,0)+0.99),'Tax scales - NAT 1004'!$A$39:$C$41,3,1)),0)
*13/3,
0),
""))),
""),
"")</f>
        <v/>
      </c>
      <c r="AR51" s="118" t="str">
        <f>IFERROR(
IF(AND(VLOOKUP($C51,'Employee information'!$B:$M,COLUMNS('Employee information'!$B:$M),0)=4,
VLOOKUP($C51,'Employee information'!$B:$J,COLUMNS('Employee information'!$B:$J),0)="Resident"),
TRUNC(TRUNC($AN51)*'Tax scales - NAT 1004'!$B$47),
IF(AND(VLOOKUP($C51,'Employee information'!$B:$M,COLUMNS('Employee information'!$B:$M),0)=4,
VLOOKUP($C51,'Employee information'!$B:$J,COLUMNS('Employee information'!$B:$J),0)="Foreign resident"),
TRUNC(TRUNC($AN51)*'Tax scales - NAT 1004'!$B$48),
"")),
"")</f>
        <v/>
      </c>
      <c r="AS51" s="118" t="str">
        <f>IFERROR(
IF(VLOOKUP($C51,'Employee information'!$B:$M,COLUMNS('Employee information'!$B:$M),0)=5,
IF($E$2="Fortnightly",
ROUND(
ROUND((((TRUNC($AN51/2,0)+0.99))*VLOOKUP((TRUNC($AN51/2,0)+0.99),'Tax scales - NAT 1004'!$A$53:$C$59,2,1)-VLOOKUP((TRUNC($AN51/2,0)+0.99),'Tax scales - NAT 1004'!$A$53:$C$59,3,1)),0)
*2,
0),
IF(AND($E$2="Monthly",ROUND($AN51-TRUNC($AN51),2)=0.33),
ROUND(
ROUND(((TRUNC(($AN51+0.01)*3/13,0)+0.99)*VLOOKUP((TRUNC(($AN51+0.01)*3/13,0)+0.99),'Tax scales - NAT 1004'!$A$53:$C$59,2,1)-VLOOKUP((TRUNC(($AN51+0.01)*3/13,0)+0.99),'Tax scales - NAT 1004'!$A$53:$C$59,3,1)),0)
*13/3,
0),
IF($E$2="Monthly",
ROUND(
ROUND(((TRUNC($AN51*3/13,0)+0.99)*VLOOKUP((TRUNC($AN51*3/13,0)+0.99),'Tax scales - NAT 1004'!$A$53:$C$59,2,1)-VLOOKUP((TRUNC($AN51*3/13,0)+0.99),'Tax scales - NAT 1004'!$A$53:$C$59,3,1)),0)
*13/3,
0),
""))),
""),
"")</f>
        <v/>
      </c>
      <c r="AT51" s="118" t="str">
        <f>IFERROR(
IF(VLOOKUP($C51,'Employee information'!$B:$M,COLUMNS('Employee information'!$B:$M),0)=6,
IF($E$2="Fortnightly",
ROUND(
ROUND((((TRUNC($AN51/2,0)+0.99))*VLOOKUP((TRUNC($AN51/2,0)+0.99),'Tax scales - NAT 1004'!$A$65:$C$73,2,1)-VLOOKUP((TRUNC($AN51/2,0)+0.99),'Tax scales - NAT 1004'!$A$65:$C$73,3,1)),0)
*2,
0),
IF(AND($E$2="Monthly",ROUND($AN51-TRUNC($AN51),2)=0.33),
ROUND(
ROUND(((TRUNC(($AN51+0.01)*3/13,0)+0.99)*VLOOKUP((TRUNC(($AN51+0.01)*3/13,0)+0.99),'Tax scales - NAT 1004'!$A$65:$C$73,2,1)-VLOOKUP((TRUNC(($AN51+0.01)*3/13,0)+0.99),'Tax scales - NAT 1004'!$A$65:$C$73,3,1)),0)
*13/3,
0),
IF($E$2="Monthly",
ROUND(
ROUND(((TRUNC($AN51*3/13,0)+0.99)*VLOOKUP((TRUNC($AN51*3/13,0)+0.99),'Tax scales - NAT 1004'!$A$65:$C$73,2,1)-VLOOKUP((TRUNC($AN51*3/13,0)+0.99),'Tax scales - NAT 1004'!$A$65:$C$73,3,1)),0)
*13/3,
0),
""))),
""),
"")</f>
        <v/>
      </c>
      <c r="AU51" s="118" t="str">
        <f>IFERROR(
IF(VLOOKUP($C51,'Employee information'!$B:$M,COLUMNS('Employee information'!$B:$M),0)=11,
IF($E$2="Fortnightly",
ROUND(
ROUND((((TRUNC($AN51/2,0)+0.99))*VLOOKUP((TRUNC($AN51/2,0)+0.99),'Tax scales - NAT 3539'!$A$14:$C$38,2,1)-VLOOKUP((TRUNC($AN51/2,0)+0.99),'Tax scales - NAT 3539'!$A$14:$C$38,3,1)),0)
*2,
0),
IF(AND($E$2="Monthly",ROUND($AN51-TRUNC($AN51),2)=0.33),
ROUND(
ROUND(((TRUNC(($AN51+0.01)*3/13,0)+0.99)*VLOOKUP((TRUNC(($AN51+0.01)*3/13,0)+0.99),'Tax scales - NAT 3539'!$A$14:$C$38,2,1)-VLOOKUP((TRUNC(($AN51+0.01)*3/13,0)+0.99),'Tax scales - NAT 3539'!$A$14:$C$38,3,1)),0)
*13/3,
0),
IF($E$2="Monthly",
ROUND(
ROUND(((TRUNC($AN51*3/13,0)+0.99)*VLOOKUP((TRUNC($AN51*3/13,0)+0.99),'Tax scales - NAT 3539'!$A$14:$C$38,2,1)-VLOOKUP((TRUNC($AN51*3/13,0)+0.99),'Tax scales - NAT 3539'!$A$14:$C$38,3,1)),0)
*13/3,
0),
""))),
""),
"")</f>
        <v/>
      </c>
      <c r="AV51" s="118" t="str">
        <f>IFERROR(
IF(VLOOKUP($C51,'Employee information'!$B:$M,COLUMNS('Employee information'!$B:$M),0)=22,
IF($E$2="Fortnightly",
ROUND(
ROUND((((TRUNC($AN51/2,0)+0.99))*VLOOKUP((TRUNC($AN51/2,0)+0.99),'Tax scales - NAT 3539'!$A$43:$C$69,2,1)-VLOOKUP((TRUNC($AN51/2,0)+0.99),'Tax scales - NAT 3539'!$A$43:$C$69,3,1)),0)
*2,
0),
IF(AND($E$2="Monthly",ROUND($AN51-TRUNC($AN51),2)=0.33),
ROUND(
ROUND(((TRUNC(($AN51+0.01)*3/13,0)+0.99)*VLOOKUP((TRUNC(($AN51+0.01)*3/13,0)+0.99),'Tax scales - NAT 3539'!$A$43:$C$69,2,1)-VLOOKUP((TRUNC(($AN51+0.01)*3/13,0)+0.99),'Tax scales - NAT 3539'!$A$43:$C$69,3,1)),0)
*13/3,
0),
IF($E$2="Monthly",
ROUND(
ROUND(((TRUNC($AN51*3/13,0)+0.99)*VLOOKUP((TRUNC($AN51*3/13,0)+0.99),'Tax scales - NAT 3539'!$A$43:$C$69,2,1)-VLOOKUP((TRUNC($AN51*3/13,0)+0.99),'Tax scales - NAT 3539'!$A$43:$C$69,3,1)),0)
*13/3,
0),
""))),
""),
"")</f>
        <v/>
      </c>
      <c r="AW51" s="118" t="str">
        <f>IFERROR(
IF(VLOOKUP($C51,'Employee information'!$B:$M,COLUMNS('Employee information'!$B:$M),0)=33,
IF($E$2="Fortnightly",
ROUND(
ROUND((((TRUNC($AN51/2,0)+0.99))*VLOOKUP((TRUNC($AN51/2,0)+0.99),'Tax scales - NAT 3539'!$A$74:$C$94,2,1)-VLOOKUP((TRUNC($AN51/2,0)+0.99),'Tax scales - NAT 3539'!$A$74:$C$94,3,1)),0)
*2,
0),
IF(AND($E$2="Monthly",ROUND($AN51-TRUNC($AN51),2)=0.33),
ROUND(
ROUND(((TRUNC(($AN51+0.01)*3/13,0)+0.99)*VLOOKUP((TRUNC(($AN51+0.01)*3/13,0)+0.99),'Tax scales - NAT 3539'!$A$74:$C$94,2,1)-VLOOKUP((TRUNC(($AN51+0.01)*3/13,0)+0.99),'Tax scales - NAT 3539'!$A$74:$C$94,3,1)),0)
*13/3,
0),
IF($E$2="Monthly",
ROUND(
ROUND(((TRUNC($AN51*3/13,0)+0.99)*VLOOKUP((TRUNC($AN51*3/13,0)+0.99),'Tax scales - NAT 3539'!$A$74:$C$94,2,1)-VLOOKUP((TRUNC($AN51*3/13,0)+0.99),'Tax scales - NAT 3539'!$A$74:$C$94,3,1)),0)
*13/3,
0),
""))),
""),
"")</f>
        <v/>
      </c>
      <c r="AX51" s="118" t="str">
        <f>IFERROR(
IF(VLOOKUP($C51,'Employee information'!$B:$M,COLUMNS('Employee information'!$B:$M),0)=55,
IF($E$2="Fortnightly",
ROUND(
ROUND((((TRUNC($AN51/2,0)+0.99))*VLOOKUP((TRUNC($AN51/2,0)+0.99),'Tax scales - NAT 3539'!$A$99:$C$123,2,1)-VLOOKUP((TRUNC($AN51/2,0)+0.99),'Tax scales - NAT 3539'!$A$99:$C$123,3,1)),0)
*2,
0),
IF(AND($E$2="Monthly",ROUND($AN51-TRUNC($AN51),2)=0.33),
ROUND(
ROUND(((TRUNC(($AN51+0.01)*3/13,0)+0.99)*VLOOKUP((TRUNC(($AN51+0.01)*3/13,0)+0.99),'Tax scales - NAT 3539'!$A$99:$C$123,2,1)-VLOOKUP((TRUNC(($AN51+0.01)*3/13,0)+0.99),'Tax scales - NAT 3539'!$A$99:$C$123,3,1)),0)
*13/3,
0),
IF($E$2="Monthly",
ROUND(
ROUND(((TRUNC($AN51*3/13,0)+0.99)*VLOOKUP((TRUNC($AN51*3/13,0)+0.99),'Tax scales - NAT 3539'!$A$99:$C$123,2,1)-VLOOKUP((TRUNC($AN51*3/13,0)+0.99),'Tax scales - NAT 3539'!$A$99:$C$123,3,1)),0)
*13/3,
0),
""))),
""),
"")</f>
        <v/>
      </c>
      <c r="AY51" s="118" t="str">
        <f>IFERROR(
IF(VLOOKUP($C51,'Employee information'!$B:$M,COLUMNS('Employee information'!$B:$M),0)=66,
IF($E$2="Fortnightly",
ROUND(
ROUND((((TRUNC($AN51/2,0)+0.99))*VLOOKUP((TRUNC($AN51/2,0)+0.99),'Tax scales - NAT 3539'!$A$127:$C$154,2,1)-VLOOKUP((TRUNC($AN51/2,0)+0.99),'Tax scales - NAT 3539'!$A$127:$C$154,3,1)),0)
*2,
0),
IF(AND($E$2="Monthly",ROUND($AN51-TRUNC($AN51),2)=0.33),
ROUND(
ROUND(((TRUNC(($AN51+0.01)*3/13,0)+0.99)*VLOOKUP((TRUNC(($AN51+0.01)*3/13,0)+0.99),'Tax scales - NAT 3539'!$A$127:$C$154,2,1)-VLOOKUP((TRUNC(($AN51+0.01)*3/13,0)+0.99),'Tax scales - NAT 3539'!$A$127:$C$154,3,1)),0)
*13/3,
0),
IF($E$2="Monthly",
ROUND(
ROUND(((TRUNC($AN51*3/13,0)+0.99)*VLOOKUP((TRUNC($AN51*3/13,0)+0.99),'Tax scales - NAT 3539'!$A$127:$C$154,2,1)-VLOOKUP((TRUNC($AN51*3/13,0)+0.99),'Tax scales - NAT 3539'!$A$127:$C$154,3,1)),0)
*13/3,
0),
""))),
""),
"")</f>
        <v/>
      </c>
      <c r="AZ51" s="118">
        <f>IFERROR(
HLOOKUP(VLOOKUP($C51,'Employee information'!$B:$M,COLUMNS('Employee information'!$B:$M),0),'PAYG worksheet'!$AO$39:$AY$58,COUNTA($C$40:$C51)+1,0),
0)</f>
        <v>0</v>
      </c>
      <c r="BA51" s="118"/>
      <c r="BB51" s="118">
        <f t="shared" si="46"/>
        <v>0</v>
      </c>
      <c r="BC51" s="119">
        <f>IFERROR(
IF(OR($AE51=1,$AE51=""),SUM($P51,$AA51,$AC51,$AK51)*VLOOKUP($C51,'Employee information'!$B:$Q,COLUMNS('Employee information'!$B:$H),0),
IF($AE51=0,SUM($P51,$AA51,$AK51)*VLOOKUP($C51,'Employee information'!$B:$Q,COLUMNS('Employee information'!$B:$H),0),
0)),
0)</f>
        <v>0</v>
      </c>
      <c r="BE51" s="114">
        <f t="shared" si="31"/>
        <v>0</v>
      </c>
      <c r="BF51" s="114">
        <f t="shared" si="32"/>
        <v>0</v>
      </c>
      <c r="BG51" s="114">
        <f t="shared" si="33"/>
        <v>0</v>
      </c>
      <c r="BH51" s="114">
        <f t="shared" si="34"/>
        <v>0</v>
      </c>
      <c r="BI51" s="114">
        <f t="shared" si="35"/>
        <v>0</v>
      </c>
      <c r="BJ51" s="114">
        <f t="shared" si="36"/>
        <v>0</v>
      </c>
      <c r="BK51" s="114">
        <f t="shared" si="37"/>
        <v>0</v>
      </c>
      <c r="BL51" s="114">
        <f t="shared" si="47"/>
        <v>0</v>
      </c>
      <c r="BM51" s="114">
        <f t="shared" si="38"/>
        <v>0</v>
      </c>
    </row>
    <row r="52" spans="1:65" x14ac:dyDescent="0.25">
      <c r="A52" s="228">
        <f t="shared" si="26"/>
        <v>2</v>
      </c>
      <c r="C52" s="278"/>
      <c r="E52" s="103">
        <f>IF($C52="",0,
IF(AND($E$2="Monthly",$A52&gt;12),0,
IF($E$2="Monthly",VLOOKUP($C52,'Employee information'!$B:$AM,COLUMNS('Employee information'!$B:S),0),
IF($E$2="Fortnightly",VLOOKUP($C52,'Employee information'!$B:$AM,COLUMNS('Employee information'!$B:R),0),
0))))</f>
        <v>0</v>
      </c>
      <c r="F52" s="106"/>
      <c r="G52" s="106"/>
      <c r="H52" s="106"/>
      <c r="I52" s="106"/>
      <c r="J52" s="103">
        <f t="shared" si="39"/>
        <v>0</v>
      </c>
      <c r="L52" s="113">
        <f>IF(AND($E$2="Monthly",$A52&gt;12),"",
IFERROR($J52*VLOOKUP($C52,'Employee information'!$B:$AI,COLUMNS('Employee information'!$B:$P),0),0))</f>
        <v>0</v>
      </c>
      <c r="M52" s="114">
        <f t="shared" si="40"/>
        <v>0</v>
      </c>
      <c r="O52" s="103">
        <f t="shared" si="41"/>
        <v>0</v>
      </c>
      <c r="P52" s="113">
        <f>IFERROR(
IF(AND($E$2="Monthly",$A52&gt;12),0,
$O52*VLOOKUP($C52,'Employee information'!$B:$AI,COLUMNS('Employee information'!$B:$P),0)),
0)</f>
        <v>0</v>
      </c>
      <c r="R52" s="114">
        <f t="shared" si="27"/>
        <v>0</v>
      </c>
      <c r="T52" s="103"/>
      <c r="U52" s="103"/>
      <c r="V52" s="282" t="str">
        <f>IF($C52="","",
IF(AND($E$2="Monthly",$A52&gt;12),"",
$T52*VLOOKUP($C52,'Employee information'!$B:$P,COLUMNS('Employee information'!$B:$P),0)))</f>
        <v/>
      </c>
      <c r="W52" s="282" t="str">
        <f>IF($C52="","",
IF(AND($E$2="Monthly",$A52&gt;12),"",
$U52*VLOOKUP($C52,'Employee information'!$B:$P,COLUMNS('Employee information'!$B:$P),0)))</f>
        <v/>
      </c>
      <c r="X52" s="114">
        <f t="shared" si="28"/>
        <v>0</v>
      </c>
      <c r="Y52" s="114">
        <f t="shared" si="29"/>
        <v>0</v>
      </c>
      <c r="AA52" s="118">
        <f>IFERROR(
IF(OR('Basic payroll data'!$D$12="",'Basic payroll data'!$D$12="No"),0,
$T52*VLOOKUP($C52,'Employee information'!$B:$P,COLUMNS('Employee information'!$B:$P),0)*AL_loading_perc),
0)</f>
        <v>0</v>
      </c>
      <c r="AC52" s="118"/>
      <c r="AD52" s="118"/>
      <c r="AE52" s="283" t="str">
        <f t="shared" si="42"/>
        <v/>
      </c>
      <c r="AF52" s="283" t="str">
        <f t="shared" si="43"/>
        <v/>
      </c>
      <c r="AG52" s="118"/>
      <c r="AH52" s="118"/>
      <c r="AI52" s="283" t="str">
        <f t="shared" si="44"/>
        <v/>
      </c>
      <c r="AJ52" s="118"/>
      <c r="AK52" s="118"/>
      <c r="AM52" s="118">
        <f t="shared" si="45"/>
        <v>0</v>
      </c>
      <c r="AN52" s="118">
        <f t="shared" si="30"/>
        <v>0</v>
      </c>
      <c r="AO52" s="118" t="str">
        <f>IFERROR(
IF(VLOOKUP($C52,'Employee information'!$B:$M,COLUMNS('Employee information'!$B:$M),0)=1,
IF($E$2="Fortnightly",
ROUND(
ROUND((((TRUNC($AN52/2,0)+0.99))*VLOOKUP((TRUNC($AN52/2,0)+0.99),'Tax scales - NAT 1004'!$A$12:$C$18,2,1)-VLOOKUP((TRUNC($AN52/2,0)+0.99),'Tax scales - NAT 1004'!$A$12:$C$18,3,1)),0)
*2,
0),
IF(AND($E$2="Monthly",ROUND($AN52-TRUNC($AN52),2)=0.33),
ROUND(
ROUND(((TRUNC(($AN52+0.01)*3/13,0)+0.99)*VLOOKUP((TRUNC(($AN52+0.01)*3/13,0)+0.99),'Tax scales - NAT 1004'!$A$12:$C$18,2,1)-VLOOKUP((TRUNC(($AN52+0.01)*3/13,0)+0.99),'Tax scales - NAT 1004'!$A$12:$C$18,3,1)),0)
*13/3,
0),
IF($E$2="Monthly",
ROUND(
ROUND(((TRUNC($AN52*3/13,0)+0.99)*VLOOKUP((TRUNC($AN52*3/13,0)+0.99),'Tax scales - NAT 1004'!$A$12:$C$18,2,1)-VLOOKUP((TRUNC($AN52*3/13,0)+0.99),'Tax scales - NAT 1004'!$A$12:$C$18,3,1)),0)
*13/3,
0),
""))),
""),
"")</f>
        <v/>
      </c>
      <c r="AP52" s="118" t="str">
        <f>IFERROR(
IF(VLOOKUP($C52,'Employee information'!$B:$M,COLUMNS('Employee information'!$B:$M),0)=2,
IF($E$2="Fortnightly",
ROUND(
ROUND((((TRUNC($AN52/2,0)+0.99))*VLOOKUP((TRUNC($AN52/2,0)+0.99),'Tax scales - NAT 1004'!$A$25:$C$33,2,1)-VLOOKUP((TRUNC($AN52/2,0)+0.99),'Tax scales - NAT 1004'!$A$25:$C$33,3,1)),0)
*2,
0),
IF(AND($E$2="Monthly",ROUND($AN52-TRUNC($AN52),2)=0.33),
ROUND(
ROUND(((TRUNC(($AN52+0.01)*3/13,0)+0.99)*VLOOKUP((TRUNC(($AN52+0.01)*3/13,0)+0.99),'Tax scales - NAT 1004'!$A$25:$C$33,2,1)-VLOOKUP((TRUNC(($AN52+0.01)*3/13,0)+0.99),'Tax scales - NAT 1004'!$A$25:$C$33,3,1)),0)
*13/3,
0),
IF($E$2="Monthly",
ROUND(
ROUND(((TRUNC($AN52*3/13,0)+0.99)*VLOOKUP((TRUNC($AN52*3/13,0)+0.99),'Tax scales - NAT 1004'!$A$25:$C$33,2,1)-VLOOKUP((TRUNC($AN52*3/13,0)+0.99),'Tax scales - NAT 1004'!$A$25:$C$33,3,1)),0)
*13/3,
0),
""))),
""),
"")</f>
        <v/>
      </c>
      <c r="AQ52" s="118" t="str">
        <f>IFERROR(
IF(VLOOKUP($C52,'Employee information'!$B:$M,COLUMNS('Employee information'!$B:$M),0)=3,
IF($E$2="Fortnightly",
ROUND(
ROUND((((TRUNC($AN52/2,0)+0.99))*VLOOKUP((TRUNC($AN52/2,0)+0.99),'Tax scales - NAT 1004'!$A$39:$C$41,2,1)-VLOOKUP((TRUNC($AN52/2,0)+0.99),'Tax scales - NAT 1004'!$A$39:$C$41,3,1)),0)
*2,
0),
IF(AND($E$2="Monthly",ROUND($AN52-TRUNC($AN52),2)=0.33),
ROUND(
ROUND(((TRUNC(($AN52+0.01)*3/13,0)+0.99)*VLOOKUP((TRUNC(($AN52+0.01)*3/13,0)+0.99),'Tax scales - NAT 1004'!$A$39:$C$41,2,1)-VLOOKUP((TRUNC(($AN52+0.01)*3/13,0)+0.99),'Tax scales - NAT 1004'!$A$39:$C$41,3,1)),0)
*13/3,
0),
IF($E$2="Monthly",
ROUND(
ROUND(((TRUNC($AN52*3/13,0)+0.99)*VLOOKUP((TRUNC($AN52*3/13,0)+0.99),'Tax scales - NAT 1004'!$A$39:$C$41,2,1)-VLOOKUP((TRUNC($AN52*3/13,0)+0.99),'Tax scales - NAT 1004'!$A$39:$C$41,3,1)),0)
*13/3,
0),
""))),
""),
"")</f>
        <v/>
      </c>
      <c r="AR52" s="118" t="str">
        <f>IFERROR(
IF(AND(VLOOKUP($C52,'Employee information'!$B:$M,COLUMNS('Employee information'!$B:$M),0)=4,
VLOOKUP($C52,'Employee information'!$B:$J,COLUMNS('Employee information'!$B:$J),0)="Resident"),
TRUNC(TRUNC($AN52)*'Tax scales - NAT 1004'!$B$47),
IF(AND(VLOOKUP($C52,'Employee information'!$B:$M,COLUMNS('Employee information'!$B:$M),0)=4,
VLOOKUP($C52,'Employee information'!$B:$J,COLUMNS('Employee information'!$B:$J),0)="Foreign resident"),
TRUNC(TRUNC($AN52)*'Tax scales - NAT 1004'!$B$48),
"")),
"")</f>
        <v/>
      </c>
      <c r="AS52" s="118" t="str">
        <f>IFERROR(
IF(VLOOKUP($C52,'Employee information'!$B:$M,COLUMNS('Employee information'!$B:$M),0)=5,
IF($E$2="Fortnightly",
ROUND(
ROUND((((TRUNC($AN52/2,0)+0.99))*VLOOKUP((TRUNC($AN52/2,0)+0.99),'Tax scales - NAT 1004'!$A$53:$C$59,2,1)-VLOOKUP((TRUNC($AN52/2,0)+0.99),'Tax scales - NAT 1004'!$A$53:$C$59,3,1)),0)
*2,
0),
IF(AND($E$2="Monthly",ROUND($AN52-TRUNC($AN52),2)=0.33),
ROUND(
ROUND(((TRUNC(($AN52+0.01)*3/13,0)+0.99)*VLOOKUP((TRUNC(($AN52+0.01)*3/13,0)+0.99),'Tax scales - NAT 1004'!$A$53:$C$59,2,1)-VLOOKUP((TRUNC(($AN52+0.01)*3/13,0)+0.99),'Tax scales - NAT 1004'!$A$53:$C$59,3,1)),0)
*13/3,
0),
IF($E$2="Monthly",
ROUND(
ROUND(((TRUNC($AN52*3/13,0)+0.99)*VLOOKUP((TRUNC($AN52*3/13,0)+0.99),'Tax scales - NAT 1004'!$A$53:$C$59,2,1)-VLOOKUP((TRUNC($AN52*3/13,0)+0.99),'Tax scales - NAT 1004'!$A$53:$C$59,3,1)),0)
*13/3,
0),
""))),
""),
"")</f>
        <v/>
      </c>
      <c r="AT52" s="118" t="str">
        <f>IFERROR(
IF(VLOOKUP($C52,'Employee information'!$B:$M,COLUMNS('Employee information'!$B:$M),0)=6,
IF($E$2="Fortnightly",
ROUND(
ROUND((((TRUNC($AN52/2,0)+0.99))*VLOOKUP((TRUNC($AN52/2,0)+0.99),'Tax scales - NAT 1004'!$A$65:$C$73,2,1)-VLOOKUP((TRUNC($AN52/2,0)+0.99),'Tax scales - NAT 1004'!$A$65:$C$73,3,1)),0)
*2,
0),
IF(AND($E$2="Monthly",ROUND($AN52-TRUNC($AN52),2)=0.33),
ROUND(
ROUND(((TRUNC(($AN52+0.01)*3/13,0)+0.99)*VLOOKUP((TRUNC(($AN52+0.01)*3/13,0)+0.99),'Tax scales - NAT 1004'!$A$65:$C$73,2,1)-VLOOKUP((TRUNC(($AN52+0.01)*3/13,0)+0.99),'Tax scales - NAT 1004'!$A$65:$C$73,3,1)),0)
*13/3,
0),
IF($E$2="Monthly",
ROUND(
ROUND(((TRUNC($AN52*3/13,0)+0.99)*VLOOKUP((TRUNC($AN52*3/13,0)+0.99),'Tax scales - NAT 1004'!$A$65:$C$73,2,1)-VLOOKUP((TRUNC($AN52*3/13,0)+0.99),'Tax scales - NAT 1004'!$A$65:$C$73,3,1)),0)
*13/3,
0),
""))),
""),
"")</f>
        <v/>
      </c>
      <c r="AU52" s="118" t="str">
        <f>IFERROR(
IF(VLOOKUP($C52,'Employee information'!$B:$M,COLUMNS('Employee information'!$B:$M),0)=11,
IF($E$2="Fortnightly",
ROUND(
ROUND((((TRUNC($AN52/2,0)+0.99))*VLOOKUP((TRUNC($AN52/2,0)+0.99),'Tax scales - NAT 3539'!$A$14:$C$38,2,1)-VLOOKUP((TRUNC($AN52/2,0)+0.99),'Tax scales - NAT 3539'!$A$14:$C$38,3,1)),0)
*2,
0),
IF(AND($E$2="Monthly",ROUND($AN52-TRUNC($AN52),2)=0.33),
ROUND(
ROUND(((TRUNC(($AN52+0.01)*3/13,0)+0.99)*VLOOKUP((TRUNC(($AN52+0.01)*3/13,0)+0.99),'Tax scales - NAT 3539'!$A$14:$C$38,2,1)-VLOOKUP((TRUNC(($AN52+0.01)*3/13,0)+0.99),'Tax scales - NAT 3539'!$A$14:$C$38,3,1)),0)
*13/3,
0),
IF($E$2="Monthly",
ROUND(
ROUND(((TRUNC($AN52*3/13,0)+0.99)*VLOOKUP((TRUNC($AN52*3/13,0)+0.99),'Tax scales - NAT 3539'!$A$14:$C$38,2,1)-VLOOKUP((TRUNC($AN52*3/13,0)+0.99),'Tax scales - NAT 3539'!$A$14:$C$38,3,1)),0)
*13/3,
0),
""))),
""),
"")</f>
        <v/>
      </c>
      <c r="AV52" s="118" t="str">
        <f>IFERROR(
IF(VLOOKUP($C52,'Employee information'!$B:$M,COLUMNS('Employee information'!$B:$M),0)=22,
IF($E$2="Fortnightly",
ROUND(
ROUND((((TRUNC($AN52/2,0)+0.99))*VLOOKUP((TRUNC($AN52/2,0)+0.99),'Tax scales - NAT 3539'!$A$43:$C$69,2,1)-VLOOKUP((TRUNC($AN52/2,0)+0.99),'Tax scales - NAT 3539'!$A$43:$C$69,3,1)),0)
*2,
0),
IF(AND($E$2="Monthly",ROUND($AN52-TRUNC($AN52),2)=0.33),
ROUND(
ROUND(((TRUNC(($AN52+0.01)*3/13,0)+0.99)*VLOOKUP((TRUNC(($AN52+0.01)*3/13,0)+0.99),'Tax scales - NAT 3539'!$A$43:$C$69,2,1)-VLOOKUP((TRUNC(($AN52+0.01)*3/13,0)+0.99),'Tax scales - NAT 3539'!$A$43:$C$69,3,1)),0)
*13/3,
0),
IF($E$2="Monthly",
ROUND(
ROUND(((TRUNC($AN52*3/13,0)+0.99)*VLOOKUP((TRUNC($AN52*3/13,0)+0.99),'Tax scales - NAT 3539'!$A$43:$C$69,2,1)-VLOOKUP((TRUNC($AN52*3/13,0)+0.99),'Tax scales - NAT 3539'!$A$43:$C$69,3,1)),0)
*13/3,
0),
""))),
""),
"")</f>
        <v/>
      </c>
      <c r="AW52" s="118" t="str">
        <f>IFERROR(
IF(VLOOKUP($C52,'Employee information'!$B:$M,COLUMNS('Employee information'!$B:$M),0)=33,
IF($E$2="Fortnightly",
ROUND(
ROUND((((TRUNC($AN52/2,0)+0.99))*VLOOKUP((TRUNC($AN52/2,0)+0.99),'Tax scales - NAT 3539'!$A$74:$C$94,2,1)-VLOOKUP((TRUNC($AN52/2,0)+0.99),'Tax scales - NAT 3539'!$A$74:$C$94,3,1)),0)
*2,
0),
IF(AND($E$2="Monthly",ROUND($AN52-TRUNC($AN52),2)=0.33),
ROUND(
ROUND(((TRUNC(($AN52+0.01)*3/13,0)+0.99)*VLOOKUP((TRUNC(($AN52+0.01)*3/13,0)+0.99),'Tax scales - NAT 3539'!$A$74:$C$94,2,1)-VLOOKUP((TRUNC(($AN52+0.01)*3/13,0)+0.99),'Tax scales - NAT 3539'!$A$74:$C$94,3,1)),0)
*13/3,
0),
IF($E$2="Monthly",
ROUND(
ROUND(((TRUNC($AN52*3/13,0)+0.99)*VLOOKUP((TRUNC($AN52*3/13,0)+0.99),'Tax scales - NAT 3539'!$A$74:$C$94,2,1)-VLOOKUP((TRUNC($AN52*3/13,0)+0.99),'Tax scales - NAT 3539'!$A$74:$C$94,3,1)),0)
*13/3,
0),
""))),
""),
"")</f>
        <v/>
      </c>
      <c r="AX52" s="118" t="str">
        <f>IFERROR(
IF(VLOOKUP($C52,'Employee information'!$B:$M,COLUMNS('Employee information'!$B:$M),0)=55,
IF($E$2="Fortnightly",
ROUND(
ROUND((((TRUNC($AN52/2,0)+0.99))*VLOOKUP((TRUNC($AN52/2,0)+0.99),'Tax scales - NAT 3539'!$A$99:$C$123,2,1)-VLOOKUP((TRUNC($AN52/2,0)+0.99),'Tax scales - NAT 3539'!$A$99:$C$123,3,1)),0)
*2,
0),
IF(AND($E$2="Monthly",ROUND($AN52-TRUNC($AN52),2)=0.33),
ROUND(
ROUND(((TRUNC(($AN52+0.01)*3/13,0)+0.99)*VLOOKUP((TRUNC(($AN52+0.01)*3/13,0)+0.99),'Tax scales - NAT 3539'!$A$99:$C$123,2,1)-VLOOKUP((TRUNC(($AN52+0.01)*3/13,0)+0.99),'Tax scales - NAT 3539'!$A$99:$C$123,3,1)),0)
*13/3,
0),
IF($E$2="Monthly",
ROUND(
ROUND(((TRUNC($AN52*3/13,0)+0.99)*VLOOKUP((TRUNC($AN52*3/13,0)+0.99),'Tax scales - NAT 3539'!$A$99:$C$123,2,1)-VLOOKUP((TRUNC($AN52*3/13,0)+0.99),'Tax scales - NAT 3539'!$A$99:$C$123,3,1)),0)
*13/3,
0),
""))),
""),
"")</f>
        <v/>
      </c>
      <c r="AY52" s="118" t="str">
        <f>IFERROR(
IF(VLOOKUP($C52,'Employee information'!$B:$M,COLUMNS('Employee information'!$B:$M),0)=66,
IF($E$2="Fortnightly",
ROUND(
ROUND((((TRUNC($AN52/2,0)+0.99))*VLOOKUP((TRUNC($AN52/2,0)+0.99),'Tax scales - NAT 3539'!$A$127:$C$154,2,1)-VLOOKUP((TRUNC($AN52/2,0)+0.99),'Tax scales - NAT 3539'!$A$127:$C$154,3,1)),0)
*2,
0),
IF(AND($E$2="Monthly",ROUND($AN52-TRUNC($AN52),2)=0.33),
ROUND(
ROUND(((TRUNC(($AN52+0.01)*3/13,0)+0.99)*VLOOKUP((TRUNC(($AN52+0.01)*3/13,0)+0.99),'Tax scales - NAT 3539'!$A$127:$C$154,2,1)-VLOOKUP((TRUNC(($AN52+0.01)*3/13,0)+0.99),'Tax scales - NAT 3539'!$A$127:$C$154,3,1)),0)
*13/3,
0),
IF($E$2="Monthly",
ROUND(
ROUND(((TRUNC($AN52*3/13,0)+0.99)*VLOOKUP((TRUNC($AN52*3/13,0)+0.99),'Tax scales - NAT 3539'!$A$127:$C$154,2,1)-VLOOKUP((TRUNC($AN52*3/13,0)+0.99),'Tax scales - NAT 3539'!$A$127:$C$154,3,1)),0)
*13/3,
0),
""))),
""),
"")</f>
        <v/>
      </c>
      <c r="AZ52" s="118">
        <f>IFERROR(
HLOOKUP(VLOOKUP($C52,'Employee information'!$B:$M,COLUMNS('Employee information'!$B:$M),0),'PAYG worksheet'!$AO$39:$AY$58,COUNTA($C$40:$C52)+1,0),
0)</f>
        <v>0</v>
      </c>
      <c r="BA52" s="118"/>
      <c r="BB52" s="118">
        <f t="shared" si="46"/>
        <v>0</v>
      </c>
      <c r="BC52" s="119">
        <f>IFERROR(
IF(OR($AE52=1,$AE52=""),SUM($P52,$AA52,$AC52,$AK52)*VLOOKUP($C52,'Employee information'!$B:$Q,COLUMNS('Employee information'!$B:$H),0),
IF($AE52=0,SUM($P52,$AA52,$AK52)*VLOOKUP($C52,'Employee information'!$B:$Q,COLUMNS('Employee information'!$B:$H),0),
0)),
0)</f>
        <v>0</v>
      </c>
      <c r="BE52" s="114">
        <f t="shared" si="31"/>
        <v>0</v>
      </c>
      <c r="BF52" s="114">
        <f t="shared" si="32"/>
        <v>0</v>
      </c>
      <c r="BG52" s="114">
        <f t="shared" si="33"/>
        <v>0</v>
      </c>
      <c r="BH52" s="114">
        <f t="shared" si="34"/>
        <v>0</v>
      </c>
      <c r="BI52" s="114">
        <f t="shared" si="35"/>
        <v>0</v>
      </c>
      <c r="BJ52" s="114">
        <f t="shared" si="36"/>
        <v>0</v>
      </c>
      <c r="BK52" s="114">
        <f t="shared" si="37"/>
        <v>0</v>
      </c>
      <c r="BL52" s="114">
        <f t="shared" si="47"/>
        <v>0</v>
      </c>
      <c r="BM52" s="114">
        <f t="shared" si="38"/>
        <v>0</v>
      </c>
    </row>
    <row r="53" spans="1:65" x14ac:dyDescent="0.25">
      <c r="A53" s="228">
        <f t="shared" si="26"/>
        <v>2</v>
      </c>
      <c r="C53" s="278"/>
      <c r="E53" s="103">
        <f>IF($C53="",0,
IF(AND($E$2="Monthly",$A53&gt;12),0,
IF($E$2="Monthly",VLOOKUP($C53,'Employee information'!$B:$AM,COLUMNS('Employee information'!$B:S),0),
IF($E$2="Fortnightly",VLOOKUP($C53,'Employee information'!$B:$AM,COLUMNS('Employee information'!$B:R),0),
0))))</f>
        <v>0</v>
      </c>
      <c r="F53" s="106"/>
      <c r="G53" s="106"/>
      <c r="H53" s="106"/>
      <c r="I53" s="106"/>
      <c r="J53" s="103">
        <f t="shared" si="39"/>
        <v>0</v>
      </c>
      <c r="L53" s="113">
        <f>IF(AND($E$2="Monthly",$A53&gt;12),"",
IFERROR($J53*VLOOKUP($C53,'Employee information'!$B:$AI,COLUMNS('Employee information'!$B:$P),0),0))</f>
        <v>0</v>
      </c>
      <c r="M53" s="114">
        <f t="shared" si="40"/>
        <v>0</v>
      </c>
      <c r="O53" s="103">
        <f t="shared" si="41"/>
        <v>0</v>
      </c>
      <c r="P53" s="113">
        <f>IFERROR(
IF(AND($E$2="Monthly",$A53&gt;12),0,
$O53*VLOOKUP($C53,'Employee information'!$B:$AI,COLUMNS('Employee information'!$B:$P),0)),
0)</f>
        <v>0</v>
      </c>
      <c r="R53" s="114">
        <f t="shared" si="27"/>
        <v>0</v>
      </c>
      <c r="T53" s="103"/>
      <c r="U53" s="103"/>
      <c r="V53" s="282" t="str">
        <f>IF($C53="","",
IF(AND($E$2="Monthly",$A53&gt;12),"",
$T53*VLOOKUP($C53,'Employee information'!$B:$P,COLUMNS('Employee information'!$B:$P),0)))</f>
        <v/>
      </c>
      <c r="W53" s="282" t="str">
        <f>IF($C53="","",
IF(AND($E$2="Monthly",$A53&gt;12),"",
$U53*VLOOKUP($C53,'Employee information'!$B:$P,COLUMNS('Employee information'!$B:$P),0)))</f>
        <v/>
      </c>
      <c r="X53" s="114">
        <f t="shared" si="28"/>
        <v>0</v>
      </c>
      <c r="Y53" s="114">
        <f t="shared" si="29"/>
        <v>0</v>
      </c>
      <c r="AA53" s="118">
        <f>IFERROR(
IF(OR('Basic payroll data'!$D$12="",'Basic payroll data'!$D$12="No"),0,
$T53*VLOOKUP($C53,'Employee information'!$B:$P,COLUMNS('Employee information'!$B:$P),0)*AL_loading_perc),
0)</f>
        <v>0</v>
      </c>
      <c r="AC53" s="118"/>
      <c r="AD53" s="118"/>
      <c r="AE53" s="283" t="str">
        <f t="shared" si="42"/>
        <v/>
      </c>
      <c r="AF53" s="283" t="str">
        <f t="shared" si="43"/>
        <v/>
      </c>
      <c r="AG53" s="118"/>
      <c r="AH53" s="118"/>
      <c r="AI53" s="283" t="str">
        <f t="shared" si="44"/>
        <v/>
      </c>
      <c r="AJ53" s="118"/>
      <c r="AK53" s="118"/>
      <c r="AM53" s="118">
        <f t="shared" si="45"/>
        <v>0</v>
      </c>
      <c r="AN53" s="118">
        <f t="shared" si="30"/>
        <v>0</v>
      </c>
      <c r="AO53" s="118" t="str">
        <f>IFERROR(
IF(VLOOKUP($C53,'Employee information'!$B:$M,COLUMNS('Employee information'!$B:$M),0)=1,
IF($E$2="Fortnightly",
ROUND(
ROUND((((TRUNC($AN53/2,0)+0.99))*VLOOKUP((TRUNC($AN53/2,0)+0.99),'Tax scales - NAT 1004'!$A$12:$C$18,2,1)-VLOOKUP((TRUNC($AN53/2,0)+0.99),'Tax scales - NAT 1004'!$A$12:$C$18,3,1)),0)
*2,
0),
IF(AND($E$2="Monthly",ROUND($AN53-TRUNC($AN53),2)=0.33),
ROUND(
ROUND(((TRUNC(($AN53+0.01)*3/13,0)+0.99)*VLOOKUP((TRUNC(($AN53+0.01)*3/13,0)+0.99),'Tax scales - NAT 1004'!$A$12:$C$18,2,1)-VLOOKUP((TRUNC(($AN53+0.01)*3/13,0)+0.99),'Tax scales - NAT 1004'!$A$12:$C$18,3,1)),0)
*13/3,
0),
IF($E$2="Monthly",
ROUND(
ROUND(((TRUNC($AN53*3/13,0)+0.99)*VLOOKUP((TRUNC($AN53*3/13,0)+0.99),'Tax scales - NAT 1004'!$A$12:$C$18,2,1)-VLOOKUP((TRUNC($AN53*3/13,0)+0.99),'Tax scales - NAT 1004'!$A$12:$C$18,3,1)),0)
*13/3,
0),
""))),
""),
"")</f>
        <v/>
      </c>
      <c r="AP53" s="118" t="str">
        <f>IFERROR(
IF(VLOOKUP($C53,'Employee information'!$B:$M,COLUMNS('Employee information'!$B:$M),0)=2,
IF($E$2="Fortnightly",
ROUND(
ROUND((((TRUNC($AN53/2,0)+0.99))*VLOOKUP((TRUNC($AN53/2,0)+0.99),'Tax scales - NAT 1004'!$A$25:$C$33,2,1)-VLOOKUP((TRUNC($AN53/2,0)+0.99),'Tax scales - NAT 1004'!$A$25:$C$33,3,1)),0)
*2,
0),
IF(AND($E$2="Monthly",ROUND($AN53-TRUNC($AN53),2)=0.33),
ROUND(
ROUND(((TRUNC(($AN53+0.01)*3/13,0)+0.99)*VLOOKUP((TRUNC(($AN53+0.01)*3/13,0)+0.99),'Tax scales - NAT 1004'!$A$25:$C$33,2,1)-VLOOKUP((TRUNC(($AN53+0.01)*3/13,0)+0.99),'Tax scales - NAT 1004'!$A$25:$C$33,3,1)),0)
*13/3,
0),
IF($E$2="Monthly",
ROUND(
ROUND(((TRUNC($AN53*3/13,0)+0.99)*VLOOKUP((TRUNC($AN53*3/13,0)+0.99),'Tax scales - NAT 1004'!$A$25:$C$33,2,1)-VLOOKUP((TRUNC($AN53*3/13,0)+0.99),'Tax scales - NAT 1004'!$A$25:$C$33,3,1)),0)
*13/3,
0),
""))),
""),
"")</f>
        <v/>
      </c>
      <c r="AQ53" s="118" t="str">
        <f>IFERROR(
IF(VLOOKUP($C53,'Employee information'!$B:$M,COLUMNS('Employee information'!$B:$M),0)=3,
IF($E$2="Fortnightly",
ROUND(
ROUND((((TRUNC($AN53/2,0)+0.99))*VLOOKUP((TRUNC($AN53/2,0)+0.99),'Tax scales - NAT 1004'!$A$39:$C$41,2,1)-VLOOKUP((TRUNC($AN53/2,0)+0.99),'Tax scales - NAT 1004'!$A$39:$C$41,3,1)),0)
*2,
0),
IF(AND($E$2="Monthly",ROUND($AN53-TRUNC($AN53),2)=0.33),
ROUND(
ROUND(((TRUNC(($AN53+0.01)*3/13,0)+0.99)*VLOOKUP((TRUNC(($AN53+0.01)*3/13,0)+0.99),'Tax scales - NAT 1004'!$A$39:$C$41,2,1)-VLOOKUP((TRUNC(($AN53+0.01)*3/13,0)+0.99),'Tax scales - NAT 1004'!$A$39:$C$41,3,1)),0)
*13/3,
0),
IF($E$2="Monthly",
ROUND(
ROUND(((TRUNC($AN53*3/13,0)+0.99)*VLOOKUP((TRUNC($AN53*3/13,0)+0.99),'Tax scales - NAT 1004'!$A$39:$C$41,2,1)-VLOOKUP((TRUNC($AN53*3/13,0)+0.99),'Tax scales - NAT 1004'!$A$39:$C$41,3,1)),0)
*13/3,
0),
""))),
""),
"")</f>
        <v/>
      </c>
      <c r="AR53" s="118" t="str">
        <f>IFERROR(
IF(AND(VLOOKUP($C53,'Employee information'!$B:$M,COLUMNS('Employee information'!$B:$M),0)=4,
VLOOKUP($C53,'Employee information'!$B:$J,COLUMNS('Employee information'!$B:$J),0)="Resident"),
TRUNC(TRUNC($AN53)*'Tax scales - NAT 1004'!$B$47),
IF(AND(VLOOKUP($C53,'Employee information'!$B:$M,COLUMNS('Employee information'!$B:$M),0)=4,
VLOOKUP($C53,'Employee information'!$B:$J,COLUMNS('Employee information'!$B:$J),0)="Foreign resident"),
TRUNC(TRUNC($AN53)*'Tax scales - NAT 1004'!$B$48),
"")),
"")</f>
        <v/>
      </c>
      <c r="AS53" s="118" t="str">
        <f>IFERROR(
IF(VLOOKUP($C53,'Employee information'!$B:$M,COLUMNS('Employee information'!$B:$M),0)=5,
IF($E$2="Fortnightly",
ROUND(
ROUND((((TRUNC($AN53/2,0)+0.99))*VLOOKUP((TRUNC($AN53/2,0)+0.99),'Tax scales - NAT 1004'!$A$53:$C$59,2,1)-VLOOKUP((TRUNC($AN53/2,0)+0.99),'Tax scales - NAT 1004'!$A$53:$C$59,3,1)),0)
*2,
0),
IF(AND($E$2="Monthly",ROUND($AN53-TRUNC($AN53),2)=0.33),
ROUND(
ROUND(((TRUNC(($AN53+0.01)*3/13,0)+0.99)*VLOOKUP((TRUNC(($AN53+0.01)*3/13,0)+0.99),'Tax scales - NAT 1004'!$A$53:$C$59,2,1)-VLOOKUP((TRUNC(($AN53+0.01)*3/13,0)+0.99),'Tax scales - NAT 1004'!$A$53:$C$59,3,1)),0)
*13/3,
0),
IF($E$2="Monthly",
ROUND(
ROUND(((TRUNC($AN53*3/13,0)+0.99)*VLOOKUP((TRUNC($AN53*3/13,0)+0.99),'Tax scales - NAT 1004'!$A$53:$C$59,2,1)-VLOOKUP((TRUNC($AN53*3/13,0)+0.99),'Tax scales - NAT 1004'!$A$53:$C$59,3,1)),0)
*13/3,
0),
""))),
""),
"")</f>
        <v/>
      </c>
      <c r="AT53" s="118" t="str">
        <f>IFERROR(
IF(VLOOKUP($C53,'Employee information'!$B:$M,COLUMNS('Employee information'!$B:$M),0)=6,
IF($E$2="Fortnightly",
ROUND(
ROUND((((TRUNC($AN53/2,0)+0.99))*VLOOKUP((TRUNC($AN53/2,0)+0.99),'Tax scales - NAT 1004'!$A$65:$C$73,2,1)-VLOOKUP((TRUNC($AN53/2,0)+0.99),'Tax scales - NAT 1004'!$A$65:$C$73,3,1)),0)
*2,
0),
IF(AND($E$2="Monthly",ROUND($AN53-TRUNC($AN53),2)=0.33),
ROUND(
ROUND(((TRUNC(($AN53+0.01)*3/13,0)+0.99)*VLOOKUP((TRUNC(($AN53+0.01)*3/13,0)+0.99),'Tax scales - NAT 1004'!$A$65:$C$73,2,1)-VLOOKUP((TRUNC(($AN53+0.01)*3/13,0)+0.99),'Tax scales - NAT 1004'!$A$65:$C$73,3,1)),0)
*13/3,
0),
IF($E$2="Monthly",
ROUND(
ROUND(((TRUNC($AN53*3/13,0)+0.99)*VLOOKUP((TRUNC($AN53*3/13,0)+0.99),'Tax scales - NAT 1004'!$A$65:$C$73,2,1)-VLOOKUP((TRUNC($AN53*3/13,0)+0.99),'Tax scales - NAT 1004'!$A$65:$C$73,3,1)),0)
*13/3,
0),
""))),
""),
"")</f>
        <v/>
      </c>
      <c r="AU53" s="118" t="str">
        <f>IFERROR(
IF(VLOOKUP($C53,'Employee information'!$B:$M,COLUMNS('Employee information'!$B:$M),0)=11,
IF($E$2="Fortnightly",
ROUND(
ROUND((((TRUNC($AN53/2,0)+0.99))*VLOOKUP((TRUNC($AN53/2,0)+0.99),'Tax scales - NAT 3539'!$A$14:$C$38,2,1)-VLOOKUP((TRUNC($AN53/2,0)+0.99),'Tax scales - NAT 3539'!$A$14:$C$38,3,1)),0)
*2,
0),
IF(AND($E$2="Monthly",ROUND($AN53-TRUNC($AN53),2)=0.33),
ROUND(
ROUND(((TRUNC(($AN53+0.01)*3/13,0)+0.99)*VLOOKUP((TRUNC(($AN53+0.01)*3/13,0)+0.99),'Tax scales - NAT 3539'!$A$14:$C$38,2,1)-VLOOKUP((TRUNC(($AN53+0.01)*3/13,0)+0.99),'Tax scales - NAT 3539'!$A$14:$C$38,3,1)),0)
*13/3,
0),
IF($E$2="Monthly",
ROUND(
ROUND(((TRUNC($AN53*3/13,0)+0.99)*VLOOKUP((TRUNC($AN53*3/13,0)+0.99),'Tax scales - NAT 3539'!$A$14:$C$38,2,1)-VLOOKUP((TRUNC($AN53*3/13,0)+0.99),'Tax scales - NAT 3539'!$A$14:$C$38,3,1)),0)
*13/3,
0),
""))),
""),
"")</f>
        <v/>
      </c>
      <c r="AV53" s="118" t="str">
        <f>IFERROR(
IF(VLOOKUP($C53,'Employee information'!$B:$M,COLUMNS('Employee information'!$B:$M),0)=22,
IF($E$2="Fortnightly",
ROUND(
ROUND((((TRUNC($AN53/2,0)+0.99))*VLOOKUP((TRUNC($AN53/2,0)+0.99),'Tax scales - NAT 3539'!$A$43:$C$69,2,1)-VLOOKUP((TRUNC($AN53/2,0)+0.99),'Tax scales - NAT 3539'!$A$43:$C$69,3,1)),0)
*2,
0),
IF(AND($E$2="Monthly",ROUND($AN53-TRUNC($AN53),2)=0.33),
ROUND(
ROUND(((TRUNC(($AN53+0.01)*3/13,0)+0.99)*VLOOKUP((TRUNC(($AN53+0.01)*3/13,0)+0.99),'Tax scales - NAT 3539'!$A$43:$C$69,2,1)-VLOOKUP((TRUNC(($AN53+0.01)*3/13,0)+0.99),'Tax scales - NAT 3539'!$A$43:$C$69,3,1)),0)
*13/3,
0),
IF($E$2="Monthly",
ROUND(
ROUND(((TRUNC($AN53*3/13,0)+0.99)*VLOOKUP((TRUNC($AN53*3/13,0)+0.99),'Tax scales - NAT 3539'!$A$43:$C$69,2,1)-VLOOKUP((TRUNC($AN53*3/13,0)+0.99),'Tax scales - NAT 3539'!$A$43:$C$69,3,1)),0)
*13/3,
0),
""))),
""),
"")</f>
        <v/>
      </c>
      <c r="AW53" s="118" t="str">
        <f>IFERROR(
IF(VLOOKUP($C53,'Employee information'!$B:$M,COLUMNS('Employee information'!$B:$M),0)=33,
IF($E$2="Fortnightly",
ROUND(
ROUND((((TRUNC($AN53/2,0)+0.99))*VLOOKUP((TRUNC($AN53/2,0)+0.99),'Tax scales - NAT 3539'!$A$74:$C$94,2,1)-VLOOKUP((TRUNC($AN53/2,0)+0.99),'Tax scales - NAT 3539'!$A$74:$C$94,3,1)),0)
*2,
0),
IF(AND($E$2="Monthly",ROUND($AN53-TRUNC($AN53),2)=0.33),
ROUND(
ROUND(((TRUNC(($AN53+0.01)*3/13,0)+0.99)*VLOOKUP((TRUNC(($AN53+0.01)*3/13,0)+0.99),'Tax scales - NAT 3539'!$A$74:$C$94,2,1)-VLOOKUP((TRUNC(($AN53+0.01)*3/13,0)+0.99),'Tax scales - NAT 3539'!$A$74:$C$94,3,1)),0)
*13/3,
0),
IF($E$2="Monthly",
ROUND(
ROUND(((TRUNC($AN53*3/13,0)+0.99)*VLOOKUP((TRUNC($AN53*3/13,0)+0.99),'Tax scales - NAT 3539'!$A$74:$C$94,2,1)-VLOOKUP((TRUNC($AN53*3/13,0)+0.99),'Tax scales - NAT 3539'!$A$74:$C$94,3,1)),0)
*13/3,
0),
""))),
""),
"")</f>
        <v/>
      </c>
      <c r="AX53" s="118" t="str">
        <f>IFERROR(
IF(VLOOKUP($C53,'Employee information'!$B:$M,COLUMNS('Employee information'!$B:$M),0)=55,
IF($E$2="Fortnightly",
ROUND(
ROUND((((TRUNC($AN53/2,0)+0.99))*VLOOKUP((TRUNC($AN53/2,0)+0.99),'Tax scales - NAT 3539'!$A$99:$C$123,2,1)-VLOOKUP((TRUNC($AN53/2,0)+0.99),'Tax scales - NAT 3539'!$A$99:$C$123,3,1)),0)
*2,
0),
IF(AND($E$2="Monthly",ROUND($AN53-TRUNC($AN53),2)=0.33),
ROUND(
ROUND(((TRUNC(($AN53+0.01)*3/13,0)+0.99)*VLOOKUP((TRUNC(($AN53+0.01)*3/13,0)+0.99),'Tax scales - NAT 3539'!$A$99:$C$123,2,1)-VLOOKUP((TRUNC(($AN53+0.01)*3/13,0)+0.99),'Tax scales - NAT 3539'!$A$99:$C$123,3,1)),0)
*13/3,
0),
IF($E$2="Monthly",
ROUND(
ROUND(((TRUNC($AN53*3/13,0)+0.99)*VLOOKUP((TRUNC($AN53*3/13,0)+0.99),'Tax scales - NAT 3539'!$A$99:$C$123,2,1)-VLOOKUP((TRUNC($AN53*3/13,0)+0.99),'Tax scales - NAT 3539'!$A$99:$C$123,3,1)),0)
*13/3,
0),
""))),
""),
"")</f>
        <v/>
      </c>
      <c r="AY53" s="118" t="str">
        <f>IFERROR(
IF(VLOOKUP($C53,'Employee information'!$B:$M,COLUMNS('Employee information'!$B:$M),0)=66,
IF($E$2="Fortnightly",
ROUND(
ROUND((((TRUNC($AN53/2,0)+0.99))*VLOOKUP((TRUNC($AN53/2,0)+0.99),'Tax scales - NAT 3539'!$A$127:$C$154,2,1)-VLOOKUP((TRUNC($AN53/2,0)+0.99),'Tax scales - NAT 3539'!$A$127:$C$154,3,1)),0)
*2,
0),
IF(AND($E$2="Monthly",ROUND($AN53-TRUNC($AN53),2)=0.33),
ROUND(
ROUND(((TRUNC(($AN53+0.01)*3/13,0)+0.99)*VLOOKUP((TRUNC(($AN53+0.01)*3/13,0)+0.99),'Tax scales - NAT 3539'!$A$127:$C$154,2,1)-VLOOKUP((TRUNC(($AN53+0.01)*3/13,0)+0.99),'Tax scales - NAT 3539'!$A$127:$C$154,3,1)),0)
*13/3,
0),
IF($E$2="Monthly",
ROUND(
ROUND(((TRUNC($AN53*3/13,0)+0.99)*VLOOKUP((TRUNC($AN53*3/13,0)+0.99),'Tax scales - NAT 3539'!$A$127:$C$154,2,1)-VLOOKUP((TRUNC($AN53*3/13,0)+0.99),'Tax scales - NAT 3539'!$A$127:$C$154,3,1)),0)
*13/3,
0),
""))),
""),
"")</f>
        <v/>
      </c>
      <c r="AZ53" s="118">
        <f>IFERROR(
HLOOKUP(VLOOKUP($C53,'Employee information'!$B:$M,COLUMNS('Employee information'!$B:$M),0),'PAYG worksheet'!$AO$39:$AY$58,COUNTA($C$40:$C53)+1,0),
0)</f>
        <v>0</v>
      </c>
      <c r="BA53" s="118"/>
      <c r="BB53" s="118">
        <f t="shared" si="46"/>
        <v>0</v>
      </c>
      <c r="BC53" s="119">
        <f>IFERROR(
IF(OR($AE53=1,$AE53=""),SUM($P53,$AA53,$AC53,$AK53)*VLOOKUP($C53,'Employee information'!$B:$Q,COLUMNS('Employee information'!$B:$H),0),
IF($AE53=0,SUM($P53,$AA53,$AK53)*VLOOKUP($C53,'Employee information'!$B:$Q,COLUMNS('Employee information'!$B:$H),0),
0)),
0)</f>
        <v>0</v>
      </c>
      <c r="BE53" s="114">
        <f t="shared" si="31"/>
        <v>0</v>
      </c>
      <c r="BF53" s="114">
        <f t="shared" si="32"/>
        <v>0</v>
      </c>
      <c r="BG53" s="114">
        <f t="shared" si="33"/>
        <v>0</v>
      </c>
      <c r="BH53" s="114">
        <f t="shared" si="34"/>
        <v>0</v>
      </c>
      <c r="BI53" s="114">
        <f t="shared" si="35"/>
        <v>0</v>
      </c>
      <c r="BJ53" s="114">
        <f t="shared" si="36"/>
        <v>0</v>
      </c>
      <c r="BK53" s="114">
        <f t="shared" si="37"/>
        <v>0</v>
      </c>
      <c r="BL53" s="114">
        <f t="shared" si="47"/>
        <v>0</v>
      </c>
      <c r="BM53" s="114">
        <f t="shared" si="38"/>
        <v>0</v>
      </c>
    </row>
    <row r="54" spans="1:65" x14ac:dyDescent="0.25">
      <c r="A54" s="228">
        <f t="shared" si="26"/>
        <v>2</v>
      </c>
      <c r="C54" s="278"/>
      <c r="E54" s="103">
        <f>IF($C54="",0,
IF(AND($E$2="Monthly",$A54&gt;12),0,
IF($E$2="Monthly",VLOOKUP($C54,'Employee information'!$B:$AM,COLUMNS('Employee information'!$B:S),0),
IF($E$2="Fortnightly",VLOOKUP($C54,'Employee information'!$B:$AM,COLUMNS('Employee information'!$B:R),0),
0))))</f>
        <v>0</v>
      </c>
      <c r="F54" s="106"/>
      <c r="G54" s="106"/>
      <c r="H54" s="106"/>
      <c r="I54" s="106"/>
      <c r="J54" s="103">
        <f t="shared" si="39"/>
        <v>0</v>
      </c>
      <c r="L54" s="113">
        <f>IF(AND($E$2="Monthly",$A54&gt;12),"",
IFERROR($J54*VLOOKUP($C54,'Employee information'!$B:$AI,COLUMNS('Employee information'!$B:$P),0),0))</f>
        <v>0</v>
      </c>
      <c r="M54" s="114">
        <f t="shared" si="40"/>
        <v>0</v>
      </c>
      <c r="O54" s="103">
        <f t="shared" si="41"/>
        <v>0</v>
      </c>
      <c r="P54" s="113">
        <f>IFERROR(
IF(AND($E$2="Monthly",$A54&gt;12),0,
$O54*VLOOKUP($C54,'Employee information'!$B:$AI,COLUMNS('Employee information'!$B:$P),0)),
0)</f>
        <v>0</v>
      </c>
      <c r="R54" s="114">
        <f t="shared" si="27"/>
        <v>0</v>
      </c>
      <c r="T54" s="103"/>
      <c r="U54" s="103"/>
      <c r="V54" s="282" t="str">
        <f>IF($C54="","",
IF(AND($E$2="Monthly",$A54&gt;12),"",
$T54*VLOOKUP($C54,'Employee information'!$B:$P,COLUMNS('Employee information'!$B:$P),0)))</f>
        <v/>
      </c>
      <c r="W54" s="282" t="str">
        <f>IF($C54="","",
IF(AND($E$2="Monthly",$A54&gt;12),"",
$U54*VLOOKUP($C54,'Employee information'!$B:$P,COLUMNS('Employee information'!$B:$P),0)))</f>
        <v/>
      </c>
      <c r="X54" s="114">
        <f t="shared" si="28"/>
        <v>0</v>
      </c>
      <c r="Y54" s="114">
        <f t="shared" si="29"/>
        <v>0</v>
      </c>
      <c r="AA54" s="118">
        <f>IFERROR(
IF(OR('Basic payroll data'!$D$12="",'Basic payroll data'!$D$12="No"),0,
$T54*VLOOKUP($C54,'Employee information'!$B:$P,COLUMNS('Employee information'!$B:$P),0)*AL_loading_perc),
0)</f>
        <v>0</v>
      </c>
      <c r="AC54" s="118"/>
      <c r="AD54" s="118"/>
      <c r="AE54" s="283" t="str">
        <f t="shared" si="42"/>
        <v/>
      </c>
      <c r="AF54" s="283" t="str">
        <f t="shared" si="43"/>
        <v/>
      </c>
      <c r="AG54" s="118"/>
      <c r="AH54" s="118"/>
      <c r="AI54" s="283" t="str">
        <f t="shared" si="44"/>
        <v/>
      </c>
      <c r="AJ54" s="118"/>
      <c r="AK54" s="118"/>
      <c r="AM54" s="118">
        <f t="shared" si="45"/>
        <v>0</v>
      </c>
      <c r="AN54" s="118">
        <f t="shared" si="30"/>
        <v>0</v>
      </c>
      <c r="AO54" s="118" t="str">
        <f>IFERROR(
IF(VLOOKUP($C54,'Employee information'!$B:$M,COLUMNS('Employee information'!$B:$M),0)=1,
IF($E$2="Fortnightly",
ROUND(
ROUND((((TRUNC($AN54/2,0)+0.99))*VLOOKUP((TRUNC($AN54/2,0)+0.99),'Tax scales - NAT 1004'!$A$12:$C$18,2,1)-VLOOKUP((TRUNC($AN54/2,0)+0.99),'Tax scales - NAT 1004'!$A$12:$C$18,3,1)),0)
*2,
0),
IF(AND($E$2="Monthly",ROUND($AN54-TRUNC($AN54),2)=0.33),
ROUND(
ROUND(((TRUNC(($AN54+0.01)*3/13,0)+0.99)*VLOOKUP((TRUNC(($AN54+0.01)*3/13,0)+0.99),'Tax scales - NAT 1004'!$A$12:$C$18,2,1)-VLOOKUP((TRUNC(($AN54+0.01)*3/13,0)+0.99),'Tax scales - NAT 1004'!$A$12:$C$18,3,1)),0)
*13/3,
0),
IF($E$2="Monthly",
ROUND(
ROUND(((TRUNC($AN54*3/13,0)+0.99)*VLOOKUP((TRUNC($AN54*3/13,0)+0.99),'Tax scales - NAT 1004'!$A$12:$C$18,2,1)-VLOOKUP((TRUNC($AN54*3/13,0)+0.99),'Tax scales - NAT 1004'!$A$12:$C$18,3,1)),0)
*13/3,
0),
""))),
""),
"")</f>
        <v/>
      </c>
      <c r="AP54" s="118" t="str">
        <f>IFERROR(
IF(VLOOKUP($C54,'Employee information'!$B:$M,COLUMNS('Employee information'!$B:$M),0)=2,
IF($E$2="Fortnightly",
ROUND(
ROUND((((TRUNC($AN54/2,0)+0.99))*VLOOKUP((TRUNC($AN54/2,0)+0.99),'Tax scales - NAT 1004'!$A$25:$C$33,2,1)-VLOOKUP((TRUNC($AN54/2,0)+0.99),'Tax scales - NAT 1004'!$A$25:$C$33,3,1)),0)
*2,
0),
IF(AND($E$2="Monthly",ROUND($AN54-TRUNC($AN54),2)=0.33),
ROUND(
ROUND(((TRUNC(($AN54+0.01)*3/13,0)+0.99)*VLOOKUP((TRUNC(($AN54+0.01)*3/13,0)+0.99),'Tax scales - NAT 1004'!$A$25:$C$33,2,1)-VLOOKUP((TRUNC(($AN54+0.01)*3/13,0)+0.99),'Tax scales - NAT 1004'!$A$25:$C$33,3,1)),0)
*13/3,
0),
IF($E$2="Monthly",
ROUND(
ROUND(((TRUNC($AN54*3/13,0)+0.99)*VLOOKUP((TRUNC($AN54*3/13,0)+0.99),'Tax scales - NAT 1004'!$A$25:$C$33,2,1)-VLOOKUP((TRUNC($AN54*3/13,0)+0.99),'Tax scales - NAT 1004'!$A$25:$C$33,3,1)),0)
*13/3,
0),
""))),
""),
"")</f>
        <v/>
      </c>
      <c r="AQ54" s="118" t="str">
        <f>IFERROR(
IF(VLOOKUP($C54,'Employee information'!$B:$M,COLUMNS('Employee information'!$B:$M),0)=3,
IF($E$2="Fortnightly",
ROUND(
ROUND((((TRUNC($AN54/2,0)+0.99))*VLOOKUP((TRUNC($AN54/2,0)+0.99),'Tax scales - NAT 1004'!$A$39:$C$41,2,1)-VLOOKUP((TRUNC($AN54/2,0)+0.99),'Tax scales - NAT 1004'!$A$39:$C$41,3,1)),0)
*2,
0),
IF(AND($E$2="Monthly",ROUND($AN54-TRUNC($AN54),2)=0.33),
ROUND(
ROUND(((TRUNC(($AN54+0.01)*3/13,0)+0.99)*VLOOKUP((TRUNC(($AN54+0.01)*3/13,0)+0.99),'Tax scales - NAT 1004'!$A$39:$C$41,2,1)-VLOOKUP((TRUNC(($AN54+0.01)*3/13,0)+0.99),'Tax scales - NAT 1004'!$A$39:$C$41,3,1)),0)
*13/3,
0),
IF($E$2="Monthly",
ROUND(
ROUND(((TRUNC($AN54*3/13,0)+0.99)*VLOOKUP((TRUNC($AN54*3/13,0)+0.99),'Tax scales - NAT 1004'!$A$39:$C$41,2,1)-VLOOKUP((TRUNC($AN54*3/13,0)+0.99),'Tax scales - NAT 1004'!$A$39:$C$41,3,1)),0)
*13/3,
0),
""))),
""),
"")</f>
        <v/>
      </c>
      <c r="AR54" s="118" t="str">
        <f>IFERROR(
IF(AND(VLOOKUP($C54,'Employee information'!$B:$M,COLUMNS('Employee information'!$B:$M),0)=4,
VLOOKUP($C54,'Employee information'!$B:$J,COLUMNS('Employee information'!$B:$J),0)="Resident"),
TRUNC(TRUNC($AN54)*'Tax scales - NAT 1004'!$B$47),
IF(AND(VLOOKUP($C54,'Employee information'!$B:$M,COLUMNS('Employee information'!$B:$M),0)=4,
VLOOKUP($C54,'Employee information'!$B:$J,COLUMNS('Employee information'!$B:$J),0)="Foreign resident"),
TRUNC(TRUNC($AN54)*'Tax scales - NAT 1004'!$B$48),
"")),
"")</f>
        <v/>
      </c>
      <c r="AS54" s="118" t="str">
        <f>IFERROR(
IF(VLOOKUP($C54,'Employee information'!$B:$M,COLUMNS('Employee information'!$B:$M),0)=5,
IF($E$2="Fortnightly",
ROUND(
ROUND((((TRUNC($AN54/2,0)+0.99))*VLOOKUP((TRUNC($AN54/2,0)+0.99),'Tax scales - NAT 1004'!$A$53:$C$59,2,1)-VLOOKUP((TRUNC($AN54/2,0)+0.99),'Tax scales - NAT 1004'!$A$53:$C$59,3,1)),0)
*2,
0),
IF(AND($E$2="Monthly",ROUND($AN54-TRUNC($AN54),2)=0.33),
ROUND(
ROUND(((TRUNC(($AN54+0.01)*3/13,0)+0.99)*VLOOKUP((TRUNC(($AN54+0.01)*3/13,0)+0.99),'Tax scales - NAT 1004'!$A$53:$C$59,2,1)-VLOOKUP((TRUNC(($AN54+0.01)*3/13,0)+0.99),'Tax scales - NAT 1004'!$A$53:$C$59,3,1)),0)
*13/3,
0),
IF($E$2="Monthly",
ROUND(
ROUND(((TRUNC($AN54*3/13,0)+0.99)*VLOOKUP((TRUNC($AN54*3/13,0)+0.99),'Tax scales - NAT 1004'!$A$53:$C$59,2,1)-VLOOKUP((TRUNC($AN54*3/13,0)+0.99),'Tax scales - NAT 1004'!$A$53:$C$59,3,1)),0)
*13/3,
0),
""))),
""),
"")</f>
        <v/>
      </c>
      <c r="AT54" s="118" t="str">
        <f>IFERROR(
IF(VLOOKUP($C54,'Employee information'!$B:$M,COLUMNS('Employee information'!$B:$M),0)=6,
IF($E$2="Fortnightly",
ROUND(
ROUND((((TRUNC($AN54/2,0)+0.99))*VLOOKUP((TRUNC($AN54/2,0)+0.99),'Tax scales - NAT 1004'!$A$65:$C$73,2,1)-VLOOKUP((TRUNC($AN54/2,0)+0.99),'Tax scales - NAT 1004'!$A$65:$C$73,3,1)),0)
*2,
0),
IF(AND($E$2="Monthly",ROUND($AN54-TRUNC($AN54),2)=0.33),
ROUND(
ROUND(((TRUNC(($AN54+0.01)*3/13,0)+0.99)*VLOOKUP((TRUNC(($AN54+0.01)*3/13,0)+0.99),'Tax scales - NAT 1004'!$A$65:$C$73,2,1)-VLOOKUP((TRUNC(($AN54+0.01)*3/13,0)+0.99),'Tax scales - NAT 1004'!$A$65:$C$73,3,1)),0)
*13/3,
0),
IF($E$2="Monthly",
ROUND(
ROUND(((TRUNC($AN54*3/13,0)+0.99)*VLOOKUP((TRUNC($AN54*3/13,0)+0.99),'Tax scales - NAT 1004'!$A$65:$C$73,2,1)-VLOOKUP((TRUNC($AN54*3/13,0)+0.99),'Tax scales - NAT 1004'!$A$65:$C$73,3,1)),0)
*13/3,
0),
""))),
""),
"")</f>
        <v/>
      </c>
      <c r="AU54" s="118" t="str">
        <f>IFERROR(
IF(VLOOKUP($C54,'Employee information'!$B:$M,COLUMNS('Employee information'!$B:$M),0)=11,
IF($E$2="Fortnightly",
ROUND(
ROUND((((TRUNC($AN54/2,0)+0.99))*VLOOKUP((TRUNC($AN54/2,0)+0.99),'Tax scales - NAT 3539'!$A$14:$C$38,2,1)-VLOOKUP((TRUNC($AN54/2,0)+0.99),'Tax scales - NAT 3539'!$A$14:$C$38,3,1)),0)
*2,
0),
IF(AND($E$2="Monthly",ROUND($AN54-TRUNC($AN54),2)=0.33),
ROUND(
ROUND(((TRUNC(($AN54+0.01)*3/13,0)+0.99)*VLOOKUP((TRUNC(($AN54+0.01)*3/13,0)+0.99),'Tax scales - NAT 3539'!$A$14:$C$38,2,1)-VLOOKUP((TRUNC(($AN54+0.01)*3/13,0)+0.99),'Tax scales - NAT 3539'!$A$14:$C$38,3,1)),0)
*13/3,
0),
IF($E$2="Monthly",
ROUND(
ROUND(((TRUNC($AN54*3/13,0)+0.99)*VLOOKUP((TRUNC($AN54*3/13,0)+0.99),'Tax scales - NAT 3539'!$A$14:$C$38,2,1)-VLOOKUP((TRUNC($AN54*3/13,0)+0.99),'Tax scales - NAT 3539'!$A$14:$C$38,3,1)),0)
*13/3,
0),
""))),
""),
"")</f>
        <v/>
      </c>
      <c r="AV54" s="118" t="str">
        <f>IFERROR(
IF(VLOOKUP($C54,'Employee information'!$B:$M,COLUMNS('Employee information'!$B:$M),0)=22,
IF($E$2="Fortnightly",
ROUND(
ROUND((((TRUNC($AN54/2,0)+0.99))*VLOOKUP((TRUNC($AN54/2,0)+0.99),'Tax scales - NAT 3539'!$A$43:$C$69,2,1)-VLOOKUP((TRUNC($AN54/2,0)+0.99),'Tax scales - NAT 3539'!$A$43:$C$69,3,1)),0)
*2,
0),
IF(AND($E$2="Monthly",ROUND($AN54-TRUNC($AN54),2)=0.33),
ROUND(
ROUND(((TRUNC(($AN54+0.01)*3/13,0)+0.99)*VLOOKUP((TRUNC(($AN54+0.01)*3/13,0)+0.99),'Tax scales - NAT 3539'!$A$43:$C$69,2,1)-VLOOKUP((TRUNC(($AN54+0.01)*3/13,0)+0.99),'Tax scales - NAT 3539'!$A$43:$C$69,3,1)),0)
*13/3,
0),
IF($E$2="Monthly",
ROUND(
ROUND(((TRUNC($AN54*3/13,0)+0.99)*VLOOKUP((TRUNC($AN54*3/13,0)+0.99),'Tax scales - NAT 3539'!$A$43:$C$69,2,1)-VLOOKUP((TRUNC($AN54*3/13,0)+0.99),'Tax scales - NAT 3539'!$A$43:$C$69,3,1)),0)
*13/3,
0),
""))),
""),
"")</f>
        <v/>
      </c>
      <c r="AW54" s="118" t="str">
        <f>IFERROR(
IF(VLOOKUP($C54,'Employee information'!$B:$M,COLUMNS('Employee information'!$B:$M),0)=33,
IF($E$2="Fortnightly",
ROUND(
ROUND((((TRUNC($AN54/2,0)+0.99))*VLOOKUP((TRUNC($AN54/2,0)+0.99),'Tax scales - NAT 3539'!$A$74:$C$94,2,1)-VLOOKUP((TRUNC($AN54/2,0)+0.99),'Tax scales - NAT 3539'!$A$74:$C$94,3,1)),0)
*2,
0),
IF(AND($E$2="Monthly",ROUND($AN54-TRUNC($AN54),2)=0.33),
ROUND(
ROUND(((TRUNC(($AN54+0.01)*3/13,0)+0.99)*VLOOKUP((TRUNC(($AN54+0.01)*3/13,0)+0.99),'Tax scales - NAT 3539'!$A$74:$C$94,2,1)-VLOOKUP((TRUNC(($AN54+0.01)*3/13,0)+0.99),'Tax scales - NAT 3539'!$A$74:$C$94,3,1)),0)
*13/3,
0),
IF($E$2="Monthly",
ROUND(
ROUND(((TRUNC($AN54*3/13,0)+0.99)*VLOOKUP((TRUNC($AN54*3/13,0)+0.99),'Tax scales - NAT 3539'!$A$74:$C$94,2,1)-VLOOKUP((TRUNC($AN54*3/13,0)+0.99),'Tax scales - NAT 3539'!$A$74:$C$94,3,1)),0)
*13/3,
0),
""))),
""),
"")</f>
        <v/>
      </c>
      <c r="AX54" s="118" t="str">
        <f>IFERROR(
IF(VLOOKUP($C54,'Employee information'!$B:$M,COLUMNS('Employee information'!$B:$M),0)=55,
IF($E$2="Fortnightly",
ROUND(
ROUND((((TRUNC($AN54/2,0)+0.99))*VLOOKUP((TRUNC($AN54/2,0)+0.99),'Tax scales - NAT 3539'!$A$99:$C$123,2,1)-VLOOKUP((TRUNC($AN54/2,0)+0.99),'Tax scales - NAT 3539'!$A$99:$C$123,3,1)),0)
*2,
0),
IF(AND($E$2="Monthly",ROUND($AN54-TRUNC($AN54),2)=0.33),
ROUND(
ROUND(((TRUNC(($AN54+0.01)*3/13,0)+0.99)*VLOOKUP((TRUNC(($AN54+0.01)*3/13,0)+0.99),'Tax scales - NAT 3539'!$A$99:$C$123,2,1)-VLOOKUP((TRUNC(($AN54+0.01)*3/13,0)+0.99),'Tax scales - NAT 3539'!$A$99:$C$123,3,1)),0)
*13/3,
0),
IF($E$2="Monthly",
ROUND(
ROUND(((TRUNC($AN54*3/13,0)+0.99)*VLOOKUP((TRUNC($AN54*3/13,0)+0.99),'Tax scales - NAT 3539'!$A$99:$C$123,2,1)-VLOOKUP((TRUNC($AN54*3/13,0)+0.99),'Tax scales - NAT 3539'!$A$99:$C$123,3,1)),0)
*13/3,
0),
""))),
""),
"")</f>
        <v/>
      </c>
      <c r="AY54" s="118" t="str">
        <f>IFERROR(
IF(VLOOKUP($C54,'Employee information'!$B:$M,COLUMNS('Employee information'!$B:$M),0)=66,
IF($E$2="Fortnightly",
ROUND(
ROUND((((TRUNC($AN54/2,0)+0.99))*VLOOKUP((TRUNC($AN54/2,0)+0.99),'Tax scales - NAT 3539'!$A$127:$C$154,2,1)-VLOOKUP((TRUNC($AN54/2,0)+0.99),'Tax scales - NAT 3539'!$A$127:$C$154,3,1)),0)
*2,
0),
IF(AND($E$2="Monthly",ROUND($AN54-TRUNC($AN54),2)=0.33),
ROUND(
ROUND(((TRUNC(($AN54+0.01)*3/13,0)+0.99)*VLOOKUP((TRUNC(($AN54+0.01)*3/13,0)+0.99),'Tax scales - NAT 3539'!$A$127:$C$154,2,1)-VLOOKUP((TRUNC(($AN54+0.01)*3/13,0)+0.99),'Tax scales - NAT 3539'!$A$127:$C$154,3,1)),0)
*13/3,
0),
IF($E$2="Monthly",
ROUND(
ROUND(((TRUNC($AN54*3/13,0)+0.99)*VLOOKUP((TRUNC($AN54*3/13,0)+0.99),'Tax scales - NAT 3539'!$A$127:$C$154,2,1)-VLOOKUP((TRUNC($AN54*3/13,0)+0.99),'Tax scales - NAT 3539'!$A$127:$C$154,3,1)),0)
*13/3,
0),
""))),
""),
"")</f>
        <v/>
      </c>
      <c r="AZ54" s="118">
        <f>IFERROR(
HLOOKUP(VLOOKUP($C54,'Employee information'!$B:$M,COLUMNS('Employee information'!$B:$M),0),'PAYG worksheet'!$AO$39:$AY$58,COUNTA($C$40:$C54)+1,0),
0)</f>
        <v>0</v>
      </c>
      <c r="BA54" s="118"/>
      <c r="BB54" s="118">
        <f t="shared" si="46"/>
        <v>0</v>
      </c>
      <c r="BC54" s="119">
        <f>IFERROR(
IF(OR($AE54=1,$AE54=""),SUM($P54,$AA54,$AC54,$AK54)*VLOOKUP($C54,'Employee information'!$B:$Q,COLUMNS('Employee information'!$B:$H),0),
IF($AE54=0,SUM($P54,$AA54,$AK54)*VLOOKUP($C54,'Employee information'!$B:$Q,COLUMNS('Employee information'!$B:$H),0),
0)),
0)</f>
        <v>0</v>
      </c>
      <c r="BE54" s="114">
        <f t="shared" si="31"/>
        <v>0</v>
      </c>
      <c r="BF54" s="114">
        <f t="shared" si="32"/>
        <v>0</v>
      </c>
      <c r="BG54" s="114">
        <f t="shared" si="33"/>
        <v>0</v>
      </c>
      <c r="BH54" s="114">
        <f t="shared" si="34"/>
        <v>0</v>
      </c>
      <c r="BI54" s="114">
        <f t="shared" si="35"/>
        <v>0</v>
      </c>
      <c r="BJ54" s="114">
        <f t="shared" si="36"/>
        <v>0</v>
      </c>
      <c r="BK54" s="114">
        <f t="shared" si="37"/>
        <v>0</v>
      </c>
      <c r="BL54" s="114">
        <f t="shared" si="47"/>
        <v>0</v>
      </c>
      <c r="BM54" s="114">
        <f t="shared" si="38"/>
        <v>0</v>
      </c>
    </row>
    <row r="55" spans="1:65" x14ac:dyDescent="0.25">
      <c r="A55" s="228">
        <f t="shared" si="26"/>
        <v>2</v>
      </c>
      <c r="C55" s="278"/>
      <c r="E55" s="103">
        <f>IF($C55="",0,
IF(AND($E$2="Monthly",$A55&gt;12),0,
IF($E$2="Monthly",VLOOKUP($C55,'Employee information'!$B:$AM,COLUMNS('Employee information'!$B:S),0),
IF($E$2="Fortnightly",VLOOKUP($C55,'Employee information'!$B:$AM,COLUMNS('Employee information'!$B:R),0),
0))))</f>
        <v>0</v>
      </c>
      <c r="F55" s="106"/>
      <c r="G55" s="106"/>
      <c r="H55" s="106"/>
      <c r="I55" s="106"/>
      <c r="J55" s="103">
        <f t="shared" si="39"/>
        <v>0</v>
      </c>
      <c r="L55" s="113">
        <f>IF(AND($E$2="Monthly",$A55&gt;12),"",
IFERROR($J55*VLOOKUP($C55,'Employee information'!$B:$AI,COLUMNS('Employee information'!$B:$P),0),0))</f>
        <v>0</v>
      </c>
      <c r="M55" s="114">
        <f t="shared" si="40"/>
        <v>0</v>
      </c>
      <c r="O55" s="103">
        <f t="shared" si="41"/>
        <v>0</v>
      </c>
      <c r="P55" s="113">
        <f>IFERROR(
IF(AND($E$2="Monthly",$A55&gt;12),0,
$O55*VLOOKUP($C55,'Employee information'!$B:$AI,COLUMNS('Employee information'!$B:$P),0)),
0)</f>
        <v>0</v>
      </c>
      <c r="R55" s="114">
        <f t="shared" si="27"/>
        <v>0</v>
      </c>
      <c r="T55" s="103"/>
      <c r="U55" s="103"/>
      <c r="V55" s="282" t="str">
        <f>IF($C55="","",
IF(AND($E$2="Monthly",$A55&gt;12),"",
$T55*VLOOKUP($C55,'Employee information'!$B:$P,COLUMNS('Employee information'!$B:$P),0)))</f>
        <v/>
      </c>
      <c r="W55" s="282" t="str">
        <f>IF($C55="","",
IF(AND($E$2="Monthly",$A55&gt;12),"",
$U55*VLOOKUP($C55,'Employee information'!$B:$P,COLUMNS('Employee information'!$B:$P),0)))</f>
        <v/>
      </c>
      <c r="X55" s="114">
        <f t="shared" si="28"/>
        <v>0</v>
      </c>
      <c r="Y55" s="114">
        <f t="shared" si="29"/>
        <v>0</v>
      </c>
      <c r="AA55" s="118">
        <f>IFERROR(
IF(OR('Basic payroll data'!$D$12="",'Basic payroll data'!$D$12="No"),0,
$T55*VLOOKUP($C55,'Employee information'!$B:$P,COLUMNS('Employee information'!$B:$P),0)*AL_loading_perc),
0)</f>
        <v>0</v>
      </c>
      <c r="AC55" s="118"/>
      <c r="AD55" s="118"/>
      <c r="AE55" s="283" t="str">
        <f t="shared" si="42"/>
        <v/>
      </c>
      <c r="AF55" s="283" t="str">
        <f t="shared" si="43"/>
        <v/>
      </c>
      <c r="AG55" s="118"/>
      <c r="AH55" s="118"/>
      <c r="AI55" s="283" t="str">
        <f t="shared" si="44"/>
        <v/>
      </c>
      <c r="AJ55" s="118"/>
      <c r="AK55" s="118"/>
      <c r="AM55" s="118">
        <f t="shared" si="45"/>
        <v>0</v>
      </c>
      <c r="AN55" s="118">
        <f t="shared" si="30"/>
        <v>0</v>
      </c>
      <c r="AO55" s="118" t="str">
        <f>IFERROR(
IF(VLOOKUP($C55,'Employee information'!$B:$M,COLUMNS('Employee information'!$B:$M),0)=1,
IF($E$2="Fortnightly",
ROUND(
ROUND((((TRUNC($AN55/2,0)+0.99))*VLOOKUP((TRUNC($AN55/2,0)+0.99),'Tax scales - NAT 1004'!$A$12:$C$18,2,1)-VLOOKUP((TRUNC($AN55/2,0)+0.99),'Tax scales - NAT 1004'!$A$12:$C$18,3,1)),0)
*2,
0),
IF(AND($E$2="Monthly",ROUND($AN55-TRUNC($AN55),2)=0.33),
ROUND(
ROUND(((TRUNC(($AN55+0.01)*3/13,0)+0.99)*VLOOKUP((TRUNC(($AN55+0.01)*3/13,0)+0.99),'Tax scales - NAT 1004'!$A$12:$C$18,2,1)-VLOOKUP((TRUNC(($AN55+0.01)*3/13,0)+0.99),'Tax scales - NAT 1004'!$A$12:$C$18,3,1)),0)
*13/3,
0),
IF($E$2="Monthly",
ROUND(
ROUND(((TRUNC($AN55*3/13,0)+0.99)*VLOOKUP((TRUNC($AN55*3/13,0)+0.99),'Tax scales - NAT 1004'!$A$12:$C$18,2,1)-VLOOKUP((TRUNC($AN55*3/13,0)+0.99),'Tax scales - NAT 1004'!$A$12:$C$18,3,1)),0)
*13/3,
0),
""))),
""),
"")</f>
        <v/>
      </c>
      <c r="AP55" s="118" t="str">
        <f>IFERROR(
IF(VLOOKUP($C55,'Employee information'!$B:$M,COLUMNS('Employee information'!$B:$M),0)=2,
IF($E$2="Fortnightly",
ROUND(
ROUND((((TRUNC($AN55/2,0)+0.99))*VLOOKUP((TRUNC($AN55/2,0)+0.99),'Tax scales - NAT 1004'!$A$25:$C$33,2,1)-VLOOKUP((TRUNC($AN55/2,0)+0.99),'Tax scales - NAT 1004'!$A$25:$C$33,3,1)),0)
*2,
0),
IF(AND($E$2="Monthly",ROUND($AN55-TRUNC($AN55),2)=0.33),
ROUND(
ROUND(((TRUNC(($AN55+0.01)*3/13,0)+0.99)*VLOOKUP((TRUNC(($AN55+0.01)*3/13,0)+0.99),'Tax scales - NAT 1004'!$A$25:$C$33,2,1)-VLOOKUP((TRUNC(($AN55+0.01)*3/13,0)+0.99),'Tax scales - NAT 1004'!$A$25:$C$33,3,1)),0)
*13/3,
0),
IF($E$2="Monthly",
ROUND(
ROUND(((TRUNC($AN55*3/13,0)+0.99)*VLOOKUP((TRUNC($AN55*3/13,0)+0.99),'Tax scales - NAT 1004'!$A$25:$C$33,2,1)-VLOOKUP((TRUNC($AN55*3/13,0)+0.99),'Tax scales - NAT 1004'!$A$25:$C$33,3,1)),0)
*13/3,
0),
""))),
""),
"")</f>
        <v/>
      </c>
      <c r="AQ55" s="118" t="str">
        <f>IFERROR(
IF(VLOOKUP($C55,'Employee information'!$B:$M,COLUMNS('Employee information'!$B:$M),0)=3,
IF($E$2="Fortnightly",
ROUND(
ROUND((((TRUNC($AN55/2,0)+0.99))*VLOOKUP((TRUNC($AN55/2,0)+0.99),'Tax scales - NAT 1004'!$A$39:$C$41,2,1)-VLOOKUP((TRUNC($AN55/2,0)+0.99),'Tax scales - NAT 1004'!$A$39:$C$41,3,1)),0)
*2,
0),
IF(AND($E$2="Monthly",ROUND($AN55-TRUNC($AN55),2)=0.33),
ROUND(
ROUND(((TRUNC(($AN55+0.01)*3/13,0)+0.99)*VLOOKUP((TRUNC(($AN55+0.01)*3/13,0)+0.99),'Tax scales - NAT 1004'!$A$39:$C$41,2,1)-VLOOKUP((TRUNC(($AN55+0.01)*3/13,0)+0.99),'Tax scales - NAT 1004'!$A$39:$C$41,3,1)),0)
*13/3,
0),
IF($E$2="Monthly",
ROUND(
ROUND(((TRUNC($AN55*3/13,0)+0.99)*VLOOKUP((TRUNC($AN55*3/13,0)+0.99),'Tax scales - NAT 1004'!$A$39:$C$41,2,1)-VLOOKUP((TRUNC($AN55*3/13,0)+0.99),'Tax scales - NAT 1004'!$A$39:$C$41,3,1)),0)
*13/3,
0),
""))),
""),
"")</f>
        <v/>
      </c>
      <c r="AR55" s="118" t="str">
        <f>IFERROR(
IF(AND(VLOOKUP($C55,'Employee information'!$B:$M,COLUMNS('Employee information'!$B:$M),0)=4,
VLOOKUP($C55,'Employee information'!$B:$J,COLUMNS('Employee information'!$B:$J),0)="Resident"),
TRUNC(TRUNC($AN55)*'Tax scales - NAT 1004'!$B$47),
IF(AND(VLOOKUP($C55,'Employee information'!$B:$M,COLUMNS('Employee information'!$B:$M),0)=4,
VLOOKUP($C55,'Employee information'!$B:$J,COLUMNS('Employee information'!$B:$J),0)="Foreign resident"),
TRUNC(TRUNC($AN55)*'Tax scales - NAT 1004'!$B$48),
"")),
"")</f>
        <v/>
      </c>
      <c r="AS55" s="118" t="str">
        <f>IFERROR(
IF(VLOOKUP($C55,'Employee information'!$B:$M,COLUMNS('Employee information'!$B:$M),0)=5,
IF($E$2="Fortnightly",
ROUND(
ROUND((((TRUNC($AN55/2,0)+0.99))*VLOOKUP((TRUNC($AN55/2,0)+0.99),'Tax scales - NAT 1004'!$A$53:$C$59,2,1)-VLOOKUP((TRUNC($AN55/2,0)+0.99),'Tax scales - NAT 1004'!$A$53:$C$59,3,1)),0)
*2,
0),
IF(AND($E$2="Monthly",ROUND($AN55-TRUNC($AN55),2)=0.33),
ROUND(
ROUND(((TRUNC(($AN55+0.01)*3/13,0)+0.99)*VLOOKUP((TRUNC(($AN55+0.01)*3/13,0)+0.99),'Tax scales - NAT 1004'!$A$53:$C$59,2,1)-VLOOKUP((TRUNC(($AN55+0.01)*3/13,0)+0.99),'Tax scales - NAT 1004'!$A$53:$C$59,3,1)),0)
*13/3,
0),
IF($E$2="Monthly",
ROUND(
ROUND(((TRUNC($AN55*3/13,0)+0.99)*VLOOKUP((TRUNC($AN55*3/13,0)+0.99),'Tax scales - NAT 1004'!$A$53:$C$59,2,1)-VLOOKUP((TRUNC($AN55*3/13,0)+0.99),'Tax scales - NAT 1004'!$A$53:$C$59,3,1)),0)
*13/3,
0),
""))),
""),
"")</f>
        <v/>
      </c>
      <c r="AT55" s="118" t="str">
        <f>IFERROR(
IF(VLOOKUP($C55,'Employee information'!$B:$M,COLUMNS('Employee information'!$B:$M),0)=6,
IF($E$2="Fortnightly",
ROUND(
ROUND((((TRUNC($AN55/2,0)+0.99))*VLOOKUP((TRUNC($AN55/2,0)+0.99),'Tax scales - NAT 1004'!$A$65:$C$73,2,1)-VLOOKUP((TRUNC($AN55/2,0)+0.99),'Tax scales - NAT 1004'!$A$65:$C$73,3,1)),0)
*2,
0),
IF(AND($E$2="Monthly",ROUND($AN55-TRUNC($AN55),2)=0.33),
ROUND(
ROUND(((TRUNC(($AN55+0.01)*3/13,0)+0.99)*VLOOKUP((TRUNC(($AN55+0.01)*3/13,0)+0.99),'Tax scales - NAT 1004'!$A$65:$C$73,2,1)-VLOOKUP((TRUNC(($AN55+0.01)*3/13,0)+0.99),'Tax scales - NAT 1004'!$A$65:$C$73,3,1)),0)
*13/3,
0),
IF($E$2="Monthly",
ROUND(
ROUND(((TRUNC($AN55*3/13,0)+0.99)*VLOOKUP((TRUNC($AN55*3/13,0)+0.99),'Tax scales - NAT 1004'!$A$65:$C$73,2,1)-VLOOKUP((TRUNC($AN55*3/13,0)+0.99),'Tax scales - NAT 1004'!$A$65:$C$73,3,1)),0)
*13/3,
0),
""))),
""),
"")</f>
        <v/>
      </c>
      <c r="AU55" s="118" t="str">
        <f>IFERROR(
IF(VLOOKUP($C55,'Employee information'!$B:$M,COLUMNS('Employee information'!$B:$M),0)=11,
IF($E$2="Fortnightly",
ROUND(
ROUND((((TRUNC($AN55/2,0)+0.99))*VLOOKUP((TRUNC($AN55/2,0)+0.99),'Tax scales - NAT 3539'!$A$14:$C$38,2,1)-VLOOKUP((TRUNC($AN55/2,0)+0.99),'Tax scales - NAT 3539'!$A$14:$C$38,3,1)),0)
*2,
0),
IF(AND($E$2="Monthly",ROUND($AN55-TRUNC($AN55),2)=0.33),
ROUND(
ROUND(((TRUNC(($AN55+0.01)*3/13,0)+0.99)*VLOOKUP((TRUNC(($AN55+0.01)*3/13,0)+0.99),'Tax scales - NAT 3539'!$A$14:$C$38,2,1)-VLOOKUP((TRUNC(($AN55+0.01)*3/13,0)+0.99),'Tax scales - NAT 3539'!$A$14:$C$38,3,1)),0)
*13/3,
0),
IF($E$2="Monthly",
ROUND(
ROUND(((TRUNC($AN55*3/13,0)+0.99)*VLOOKUP((TRUNC($AN55*3/13,0)+0.99),'Tax scales - NAT 3539'!$A$14:$C$38,2,1)-VLOOKUP((TRUNC($AN55*3/13,0)+0.99),'Tax scales - NAT 3539'!$A$14:$C$38,3,1)),0)
*13/3,
0),
""))),
""),
"")</f>
        <v/>
      </c>
      <c r="AV55" s="118" t="str">
        <f>IFERROR(
IF(VLOOKUP($C55,'Employee information'!$B:$M,COLUMNS('Employee information'!$B:$M),0)=22,
IF($E$2="Fortnightly",
ROUND(
ROUND((((TRUNC($AN55/2,0)+0.99))*VLOOKUP((TRUNC($AN55/2,0)+0.99),'Tax scales - NAT 3539'!$A$43:$C$69,2,1)-VLOOKUP((TRUNC($AN55/2,0)+0.99),'Tax scales - NAT 3539'!$A$43:$C$69,3,1)),0)
*2,
0),
IF(AND($E$2="Monthly",ROUND($AN55-TRUNC($AN55),2)=0.33),
ROUND(
ROUND(((TRUNC(($AN55+0.01)*3/13,0)+0.99)*VLOOKUP((TRUNC(($AN55+0.01)*3/13,0)+0.99),'Tax scales - NAT 3539'!$A$43:$C$69,2,1)-VLOOKUP((TRUNC(($AN55+0.01)*3/13,0)+0.99),'Tax scales - NAT 3539'!$A$43:$C$69,3,1)),0)
*13/3,
0),
IF($E$2="Monthly",
ROUND(
ROUND(((TRUNC($AN55*3/13,0)+0.99)*VLOOKUP((TRUNC($AN55*3/13,0)+0.99),'Tax scales - NAT 3539'!$A$43:$C$69,2,1)-VLOOKUP((TRUNC($AN55*3/13,0)+0.99),'Tax scales - NAT 3539'!$A$43:$C$69,3,1)),0)
*13/3,
0),
""))),
""),
"")</f>
        <v/>
      </c>
      <c r="AW55" s="118" t="str">
        <f>IFERROR(
IF(VLOOKUP($C55,'Employee information'!$B:$M,COLUMNS('Employee information'!$B:$M),0)=33,
IF($E$2="Fortnightly",
ROUND(
ROUND((((TRUNC($AN55/2,0)+0.99))*VLOOKUP((TRUNC($AN55/2,0)+0.99),'Tax scales - NAT 3539'!$A$74:$C$94,2,1)-VLOOKUP((TRUNC($AN55/2,0)+0.99),'Tax scales - NAT 3539'!$A$74:$C$94,3,1)),0)
*2,
0),
IF(AND($E$2="Monthly",ROUND($AN55-TRUNC($AN55),2)=0.33),
ROUND(
ROUND(((TRUNC(($AN55+0.01)*3/13,0)+0.99)*VLOOKUP((TRUNC(($AN55+0.01)*3/13,0)+0.99),'Tax scales - NAT 3539'!$A$74:$C$94,2,1)-VLOOKUP((TRUNC(($AN55+0.01)*3/13,0)+0.99),'Tax scales - NAT 3539'!$A$74:$C$94,3,1)),0)
*13/3,
0),
IF($E$2="Monthly",
ROUND(
ROUND(((TRUNC($AN55*3/13,0)+0.99)*VLOOKUP((TRUNC($AN55*3/13,0)+0.99),'Tax scales - NAT 3539'!$A$74:$C$94,2,1)-VLOOKUP((TRUNC($AN55*3/13,0)+0.99),'Tax scales - NAT 3539'!$A$74:$C$94,3,1)),0)
*13/3,
0),
""))),
""),
"")</f>
        <v/>
      </c>
      <c r="AX55" s="118" t="str">
        <f>IFERROR(
IF(VLOOKUP($C55,'Employee information'!$B:$M,COLUMNS('Employee information'!$B:$M),0)=55,
IF($E$2="Fortnightly",
ROUND(
ROUND((((TRUNC($AN55/2,0)+0.99))*VLOOKUP((TRUNC($AN55/2,0)+0.99),'Tax scales - NAT 3539'!$A$99:$C$123,2,1)-VLOOKUP((TRUNC($AN55/2,0)+0.99),'Tax scales - NAT 3539'!$A$99:$C$123,3,1)),0)
*2,
0),
IF(AND($E$2="Monthly",ROUND($AN55-TRUNC($AN55),2)=0.33),
ROUND(
ROUND(((TRUNC(($AN55+0.01)*3/13,0)+0.99)*VLOOKUP((TRUNC(($AN55+0.01)*3/13,0)+0.99),'Tax scales - NAT 3539'!$A$99:$C$123,2,1)-VLOOKUP((TRUNC(($AN55+0.01)*3/13,0)+0.99),'Tax scales - NAT 3539'!$A$99:$C$123,3,1)),0)
*13/3,
0),
IF($E$2="Monthly",
ROUND(
ROUND(((TRUNC($AN55*3/13,0)+0.99)*VLOOKUP((TRUNC($AN55*3/13,0)+0.99),'Tax scales - NAT 3539'!$A$99:$C$123,2,1)-VLOOKUP((TRUNC($AN55*3/13,0)+0.99),'Tax scales - NAT 3539'!$A$99:$C$123,3,1)),0)
*13/3,
0),
""))),
""),
"")</f>
        <v/>
      </c>
      <c r="AY55" s="118" t="str">
        <f>IFERROR(
IF(VLOOKUP($C55,'Employee information'!$B:$M,COLUMNS('Employee information'!$B:$M),0)=66,
IF($E$2="Fortnightly",
ROUND(
ROUND((((TRUNC($AN55/2,0)+0.99))*VLOOKUP((TRUNC($AN55/2,0)+0.99),'Tax scales - NAT 3539'!$A$127:$C$154,2,1)-VLOOKUP((TRUNC($AN55/2,0)+0.99),'Tax scales - NAT 3539'!$A$127:$C$154,3,1)),0)
*2,
0),
IF(AND($E$2="Monthly",ROUND($AN55-TRUNC($AN55),2)=0.33),
ROUND(
ROUND(((TRUNC(($AN55+0.01)*3/13,0)+0.99)*VLOOKUP((TRUNC(($AN55+0.01)*3/13,0)+0.99),'Tax scales - NAT 3539'!$A$127:$C$154,2,1)-VLOOKUP((TRUNC(($AN55+0.01)*3/13,0)+0.99),'Tax scales - NAT 3539'!$A$127:$C$154,3,1)),0)
*13/3,
0),
IF($E$2="Monthly",
ROUND(
ROUND(((TRUNC($AN55*3/13,0)+0.99)*VLOOKUP((TRUNC($AN55*3/13,0)+0.99),'Tax scales - NAT 3539'!$A$127:$C$154,2,1)-VLOOKUP((TRUNC($AN55*3/13,0)+0.99),'Tax scales - NAT 3539'!$A$127:$C$154,3,1)),0)
*13/3,
0),
""))),
""),
"")</f>
        <v/>
      </c>
      <c r="AZ55" s="118">
        <f>IFERROR(
HLOOKUP(VLOOKUP($C55,'Employee information'!$B:$M,COLUMNS('Employee information'!$B:$M),0),'PAYG worksheet'!$AO$39:$AY$58,COUNTA($C$40:$C55)+1,0),
0)</f>
        <v>0</v>
      </c>
      <c r="BA55" s="118"/>
      <c r="BB55" s="118">
        <f t="shared" si="46"/>
        <v>0</v>
      </c>
      <c r="BC55" s="119">
        <f>IFERROR(
IF(OR($AE55=1,$AE55=""),SUM($P55,$AA55,$AC55,$AK55)*VLOOKUP($C55,'Employee information'!$B:$Q,COLUMNS('Employee information'!$B:$H),0),
IF($AE55=0,SUM($P55,$AA55,$AK55)*VLOOKUP($C55,'Employee information'!$B:$Q,COLUMNS('Employee information'!$B:$H),0),
0)),
0)</f>
        <v>0</v>
      </c>
      <c r="BE55" s="114">
        <f t="shared" si="31"/>
        <v>0</v>
      </c>
      <c r="BF55" s="114">
        <f t="shared" si="32"/>
        <v>0</v>
      </c>
      <c r="BG55" s="114">
        <f t="shared" si="33"/>
        <v>0</v>
      </c>
      <c r="BH55" s="114">
        <f t="shared" si="34"/>
        <v>0</v>
      </c>
      <c r="BI55" s="114">
        <f t="shared" si="35"/>
        <v>0</v>
      </c>
      <c r="BJ55" s="114">
        <f t="shared" si="36"/>
        <v>0</v>
      </c>
      <c r="BK55" s="114">
        <f t="shared" si="37"/>
        <v>0</v>
      </c>
      <c r="BL55" s="114">
        <f t="shared" si="47"/>
        <v>0</v>
      </c>
      <c r="BM55" s="114">
        <f t="shared" si="38"/>
        <v>0</v>
      </c>
    </row>
    <row r="56" spans="1:65" x14ac:dyDescent="0.25">
      <c r="A56" s="228">
        <f t="shared" si="26"/>
        <v>2</v>
      </c>
      <c r="C56" s="278"/>
      <c r="E56" s="103">
        <f>IF($C56="",0,
IF(AND($E$2="Monthly",$A56&gt;12),0,
IF($E$2="Monthly",VLOOKUP($C56,'Employee information'!$B:$AM,COLUMNS('Employee information'!$B:S),0),
IF($E$2="Fortnightly",VLOOKUP($C56,'Employee information'!$B:$AM,COLUMNS('Employee information'!$B:R),0),
0))))</f>
        <v>0</v>
      </c>
      <c r="F56" s="106"/>
      <c r="G56" s="106"/>
      <c r="H56" s="106"/>
      <c r="I56" s="106"/>
      <c r="J56" s="103">
        <f t="shared" si="39"/>
        <v>0</v>
      </c>
      <c r="L56" s="113">
        <f>IF(AND($E$2="Monthly",$A56&gt;12),"",
IFERROR($J56*VLOOKUP($C56,'Employee information'!$B:$AI,COLUMNS('Employee information'!$B:$P),0),0))</f>
        <v>0</v>
      </c>
      <c r="M56" s="114">
        <f t="shared" si="40"/>
        <v>0</v>
      </c>
      <c r="O56" s="103">
        <f t="shared" si="41"/>
        <v>0</v>
      </c>
      <c r="P56" s="113">
        <f>IFERROR(
IF(AND($E$2="Monthly",$A56&gt;12),0,
$O56*VLOOKUP($C56,'Employee information'!$B:$AI,COLUMNS('Employee information'!$B:$P),0)),
0)</f>
        <v>0</v>
      </c>
      <c r="R56" s="114">
        <f t="shared" si="27"/>
        <v>0</v>
      </c>
      <c r="T56" s="103"/>
      <c r="U56" s="103"/>
      <c r="V56" s="282" t="str">
        <f>IF($C56="","",
IF(AND($E$2="Monthly",$A56&gt;12),"",
$T56*VLOOKUP($C56,'Employee information'!$B:$P,COLUMNS('Employee information'!$B:$P),0)))</f>
        <v/>
      </c>
      <c r="W56" s="282" t="str">
        <f>IF($C56="","",
IF(AND($E$2="Monthly",$A56&gt;12),"",
$U56*VLOOKUP($C56,'Employee information'!$B:$P,COLUMNS('Employee information'!$B:$P),0)))</f>
        <v/>
      </c>
      <c r="X56" s="114">
        <f t="shared" si="28"/>
        <v>0</v>
      </c>
      <c r="Y56" s="114">
        <f t="shared" si="29"/>
        <v>0</v>
      </c>
      <c r="AA56" s="118">
        <f>IFERROR(
IF(OR('Basic payroll data'!$D$12="",'Basic payroll data'!$D$12="No"),0,
$T56*VLOOKUP($C56,'Employee information'!$B:$P,COLUMNS('Employee information'!$B:$P),0)*AL_loading_perc),
0)</f>
        <v>0</v>
      </c>
      <c r="AC56" s="118"/>
      <c r="AD56" s="118"/>
      <c r="AE56" s="283" t="str">
        <f t="shared" si="42"/>
        <v/>
      </c>
      <c r="AF56" s="283" t="str">
        <f t="shared" si="43"/>
        <v/>
      </c>
      <c r="AG56" s="118"/>
      <c r="AH56" s="118"/>
      <c r="AI56" s="283" t="str">
        <f t="shared" si="44"/>
        <v/>
      </c>
      <c r="AJ56" s="118"/>
      <c r="AK56" s="118"/>
      <c r="AM56" s="118">
        <f t="shared" si="45"/>
        <v>0</v>
      </c>
      <c r="AN56" s="118">
        <f t="shared" si="30"/>
        <v>0</v>
      </c>
      <c r="AO56" s="118" t="str">
        <f>IFERROR(
IF(VLOOKUP($C56,'Employee information'!$B:$M,COLUMNS('Employee information'!$B:$M),0)=1,
IF($E$2="Fortnightly",
ROUND(
ROUND((((TRUNC($AN56/2,0)+0.99))*VLOOKUP((TRUNC($AN56/2,0)+0.99),'Tax scales - NAT 1004'!$A$12:$C$18,2,1)-VLOOKUP((TRUNC($AN56/2,0)+0.99),'Tax scales - NAT 1004'!$A$12:$C$18,3,1)),0)
*2,
0),
IF(AND($E$2="Monthly",ROUND($AN56-TRUNC($AN56),2)=0.33),
ROUND(
ROUND(((TRUNC(($AN56+0.01)*3/13,0)+0.99)*VLOOKUP((TRUNC(($AN56+0.01)*3/13,0)+0.99),'Tax scales - NAT 1004'!$A$12:$C$18,2,1)-VLOOKUP((TRUNC(($AN56+0.01)*3/13,0)+0.99),'Tax scales - NAT 1004'!$A$12:$C$18,3,1)),0)
*13/3,
0),
IF($E$2="Monthly",
ROUND(
ROUND(((TRUNC($AN56*3/13,0)+0.99)*VLOOKUP((TRUNC($AN56*3/13,0)+0.99),'Tax scales - NAT 1004'!$A$12:$C$18,2,1)-VLOOKUP((TRUNC($AN56*3/13,0)+0.99),'Tax scales - NAT 1004'!$A$12:$C$18,3,1)),0)
*13/3,
0),
""))),
""),
"")</f>
        <v/>
      </c>
      <c r="AP56" s="118" t="str">
        <f>IFERROR(
IF(VLOOKUP($C56,'Employee information'!$B:$M,COLUMNS('Employee information'!$B:$M),0)=2,
IF($E$2="Fortnightly",
ROUND(
ROUND((((TRUNC($AN56/2,0)+0.99))*VLOOKUP((TRUNC($AN56/2,0)+0.99),'Tax scales - NAT 1004'!$A$25:$C$33,2,1)-VLOOKUP((TRUNC($AN56/2,0)+0.99),'Tax scales - NAT 1004'!$A$25:$C$33,3,1)),0)
*2,
0),
IF(AND($E$2="Monthly",ROUND($AN56-TRUNC($AN56),2)=0.33),
ROUND(
ROUND(((TRUNC(($AN56+0.01)*3/13,0)+0.99)*VLOOKUP((TRUNC(($AN56+0.01)*3/13,0)+0.99),'Tax scales - NAT 1004'!$A$25:$C$33,2,1)-VLOOKUP((TRUNC(($AN56+0.01)*3/13,0)+0.99),'Tax scales - NAT 1004'!$A$25:$C$33,3,1)),0)
*13/3,
0),
IF($E$2="Monthly",
ROUND(
ROUND(((TRUNC($AN56*3/13,0)+0.99)*VLOOKUP((TRUNC($AN56*3/13,0)+0.99),'Tax scales - NAT 1004'!$A$25:$C$33,2,1)-VLOOKUP((TRUNC($AN56*3/13,0)+0.99),'Tax scales - NAT 1004'!$A$25:$C$33,3,1)),0)
*13/3,
0),
""))),
""),
"")</f>
        <v/>
      </c>
      <c r="AQ56" s="118" t="str">
        <f>IFERROR(
IF(VLOOKUP($C56,'Employee information'!$B:$M,COLUMNS('Employee information'!$B:$M),0)=3,
IF($E$2="Fortnightly",
ROUND(
ROUND((((TRUNC($AN56/2,0)+0.99))*VLOOKUP((TRUNC($AN56/2,0)+0.99),'Tax scales - NAT 1004'!$A$39:$C$41,2,1)-VLOOKUP((TRUNC($AN56/2,0)+0.99),'Tax scales - NAT 1004'!$A$39:$C$41,3,1)),0)
*2,
0),
IF(AND($E$2="Monthly",ROUND($AN56-TRUNC($AN56),2)=0.33),
ROUND(
ROUND(((TRUNC(($AN56+0.01)*3/13,0)+0.99)*VLOOKUP((TRUNC(($AN56+0.01)*3/13,0)+0.99),'Tax scales - NAT 1004'!$A$39:$C$41,2,1)-VLOOKUP((TRUNC(($AN56+0.01)*3/13,0)+0.99),'Tax scales - NAT 1004'!$A$39:$C$41,3,1)),0)
*13/3,
0),
IF($E$2="Monthly",
ROUND(
ROUND(((TRUNC($AN56*3/13,0)+0.99)*VLOOKUP((TRUNC($AN56*3/13,0)+0.99),'Tax scales - NAT 1004'!$A$39:$C$41,2,1)-VLOOKUP((TRUNC($AN56*3/13,0)+0.99),'Tax scales - NAT 1004'!$A$39:$C$41,3,1)),0)
*13/3,
0),
""))),
""),
"")</f>
        <v/>
      </c>
      <c r="AR56" s="118" t="str">
        <f>IFERROR(
IF(AND(VLOOKUP($C56,'Employee information'!$B:$M,COLUMNS('Employee information'!$B:$M),0)=4,
VLOOKUP($C56,'Employee information'!$B:$J,COLUMNS('Employee information'!$B:$J),0)="Resident"),
TRUNC(TRUNC($AN56)*'Tax scales - NAT 1004'!$B$47),
IF(AND(VLOOKUP($C56,'Employee information'!$B:$M,COLUMNS('Employee information'!$B:$M),0)=4,
VLOOKUP($C56,'Employee information'!$B:$J,COLUMNS('Employee information'!$B:$J),0)="Foreign resident"),
TRUNC(TRUNC($AN56)*'Tax scales - NAT 1004'!$B$48),
"")),
"")</f>
        <v/>
      </c>
      <c r="AS56" s="118" t="str">
        <f>IFERROR(
IF(VLOOKUP($C56,'Employee information'!$B:$M,COLUMNS('Employee information'!$B:$M),0)=5,
IF($E$2="Fortnightly",
ROUND(
ROUND((((TRUNC($AN56/2,0)+0.99))*VLOOKUP((TRUNC($AN56/2,0)+0.99),'Tax scales - NAT 1004'!$A$53:$C$59,2,1)-VLOOKUP((TRUNC($AN56/2,0)+0.99),'Tax scales - NAT 1004'!$A$53:$C$59,3,1)),0)
*2,
0),
IF(AND($E$2="Monthly",ROUND($AN56-TRUNC($AN56),2)=0.33),
ROUND(
ROUND(((TRUNC(($AN56+0.01)*3/13,0)+0.99)*VLOOKUP((TRUNC(($AN56+0.01)*3/13,0)+0.99),'Tax scales - NAT 1004'!$A$53:$C$59,2,1)-VLOOKUP((TRUNC(($AN56+0.01)*3/13,0)+0.99),'Tax scales - NAT 1004'!$A$53:$C$59,3,1)),0)
*13/3,
0),
IF($E$2="Monthly",
ROUND(
ROUND(((TRUNC($AN56*3/13,0)+0.99)*VLOOKUP((TRUNC($AN56*3/13,0)+0.99),'Tax scales - NAT 1004'!$A$53:$C$59,2,1)-VLOOKUP((TRUNC($AN56*3/13,0)+0.99),'Tax scales - NAT 1004'!$A$53:$C$59,3,1)),0)
*13/3,
0),
""))),
""),
"")</f>
        <v/>
      </c>
      <c r="AT56" s="118" t="str">
        <f>IFERROR(
IF(VLOOKUP($C56,'Employee information'!$B:$M,COLUMNS('Employee information'!$B:$M),0)=6,
IF($E$2="Fortnightly",
ROUND(
ROUND((((TRUNC($AN56/2,0)+0.99))*VLOOKUP((TRUNC($AN56/2,0)+0.99),'Tax scales - NAT 1004'!$A$65:$C$73,2,1)-VLOOKUP((TRUNC($AN56/2,0)+0.99),'Tax scales - NAT 1004'!$A$65:$C$73,3,1)),0)
*2,
0),
IF(AND($E$2="Monthly",ROUND($AN56-TRUNC($AN56),2)=0.33),
ROUND(
ROUND(((TRUNC(($AN56+0.01)*3/13,0)+0.99)*VLOOKUP((TRUNC(($AN56+0.01)*3/13,0)+0.99),'Tax scales - NAT 1004'!$A$65:$C$73,2,1)-VLOOKUP((TRUNC(($AN56+0.01)*3/13,0)+0.99),'Tax scales - NAT 1004'!$A$65:$C$73,3,1)),0)
*13/3,
0),
IF($E$2="Monthly",
ROUND(
ROUND(((TRUNC($AN56*3/13,0)+0.99)*VLOOKUP((TRUNC($AN56*3/13,0)+0.99),'Tax scales - NAT 1004'!$A$65:$C$73,2,1)-VLOOKUP((TRUNC($AN56*3/13,0)+0.99),'Tax scales - NAT 1004'!$A$65:$C$73,3,1)),0)
*13/3,
0),
""))),
""),
"")</f>
        <v/>
      </c>
      <c r="AU56" s="118" t="str">
        <f>IFERROR(
IF(VLOOKUP($C56,'Employee information'!$B:$M,COLUMNS('Employee information'!$B:$M),0)=11,
IF($E$2="Fortnightly",
ROUND(
ROUND((((TRUNC($AN56/2,0)+0.99))*VLOOKUP((TRUNC($AN56/2,0)+0.99),'Tax scales - NAT 3539'!$A$14:$C$38,2,1)-VLOOKUP((TRUNC($AN56/2,0)+0.99),'Tax scales - NAT 3539'!$A$14:$C$38,3,1)),0)
*2,
0),
IF(AND($E$2="Monthly",ROUND($AN56-TRUNC($AN56),2)=0.33),
ROUND(
ROUND(((TRUNC(($AN56+0.01)*3/13,0)+0.99)*VLOOKUP((TRUNC(($AN56+0.01)*3/13,0)+0.99),'Tax scales - NAT 3539'!$A$14:$C$38,2,1)-VLOOKUP((TRUNC(($AN56+0.01)*3/13,0)+0.99),'Tax scales - NAT 3539'!$A$14:$C$38,3,1)),0)
*13/3,
0),
IF($E$2="Monthly",
ROUND(
ROUND(((TRUNC($AN56*3/13,0)+0.99)*VLOOKUP((TRUNC($AN56*3/13,0)+0.99),'Tax scales - NAT 3539'!$A$14:$C$38,2,1)-VLOOKUP((TRUNC($AN56*3/13,0)+0.99),'Tax scales - NAT 3539'!$A$14:$C$38,3,1)),0)
*13/3,
0),
""))),
""),
"")</f>
        <v/>
      </c>
      <c r="AV56" s="118" t="str">
        <f>IFERROR(
IF(VLOOKUP($C56,'Employee information'!$B:$M,COLUMNS('Employee information'!$B:$M),0)=22,
IF($E$2="Fortnightly",
ROUND(
ROUND((((TRUNC($AN56/2,0)+0.99))*VLOOKUP((TRUNC($AN56/2,0)+0.99),'Tax scales - NAT 3539'!$A$43:$C$69,2,1)-VLOOKUP((TRUNC($AN56/2,0)+0.99),'Tax scales - NAT 3539'!$A$43:$C$69,3,1)),0)
*2,
0),
IF(AND($E$2="Monthly",ROUND($AN56-TRUNC($AN56),2)=0.33),
ROUND(
ROUND(((TRUNC(($AN56+0.01)*3/13,0)+0.99)*VLOOKUP((TRUNC(($AN56+0.01)*3/13,0)+0.99),'Tax scales - NAT 3539'!$A$43:$C$69,2,1)-VLOOKUP((TRUNC(($AN56+0.01)*3/13,0)+0.99),'Tax scales - NAT 3539'!$A$43:$C$69,3,1)),0)
*13/3,
0),
IF($E$2="Monthly",
ROUND(
ROUND(((TRUNC($AN56*3/13,0)+0.99)*VLOOKUP((TRUNC($AN56*3/13,0)+0.99),'Tax scales - NAT 3539'!$A$43:$C$69,2,1)-VLOOKUP((TRUNC($AN56*3/13,0)+0.99),'Tax scales - NAT 3539'!$A$43:$C$69,3,1)),0)
*13/3,
0),
""))),
""),
"")</f>
        <v/>
      </c>
      <c r="AW56" s="118" t="str">
        <f>IFERROR(
IF(VLOOKUP($C56,'Employee information'!$B:$M,COLUMNS('Employee information'!$B:$M),0)=33,
IF($E$2="Fortnightly",
ROUND(
ROUND((((TRUNC($AN56/2,0)+0.99))*VLOOKUP((TRUNC($AN56/2,0)+0.99),'Tax scales - NAT 3539'!$A$74:$C$94,2,1)-VLOOKUP((TRUNC($AN56/2,0)+0.99),'Tax scales - NAT 3539'!$A$74:$C$94,3,1)),0)
*2,
0),
IF(AND($E$2="Monthly",ROUND($AN56-TRUNC($AN56),2)=0.33),
ROUND(
ROUND(((TRUNC(($AN56+0.01)*3/13,0)+0.99)*VLOOKUP((TRUNC(($AN56+0.01)*3/13,0)+0.99),'Tax scales - NAT 3539'!$A$74:$C$94,2,1)-VLOOKUP((TRUNC(($AN56+0.01)*3/13,0)+0.99),'Tax scales - NAT 3539'!$A$74:$C$94,3,1)),0)
*13/3,
0),
IF($E$2="Monthly",
ROUND(
ROUND(((TRUNC($AN56*3/13,0)+0.99)*VLOOKUP((TRUNC($AN56*3/13,0)+0.99),'Tax scales - NAT 3539'!$A$74:$C$94,2,1)-VLOOKUP((TRUNC($AN56*3/13,0)+0.99),'Tax scales - NAT 3539'!$A$74:$C$94,3,1)),0)
*13/3,
0),
""))),
""),
"")</f>
        <v/>
      </c>
      <c r="AX56" s="118" t="str">
        <f>IFERROR(
IF(VLOOKUP($C56,'Employee information'!$B:$M,COLUMNS('Employee information'!$B:$M),0)=55,
IF($E$2="Fortnightly",
ROUND(
ROUND((((TRUNC($AN56/2,0)+0.99))*VLOOKUP((TRUNC($AN56/2,0)+0.99),'Tax scales - NAT 3539'!$A$99:$C$123,2,1)-VLOOKUP((TRUNC($AN56/2,0)+0.99),'Tax scales - NAT 3539'!$A$99:$C$123,3,1)),0)
*2,
0),
IF(AND($E$2="Monthly",ROUND($AN56-TRUNC($AN56),2)=0.33),
ROUND(
ROUND(((TRUNC(($AN56+0.01)*3/13,0)+0.99)*VLOOKUP((TRUNC(($AN56+0.01)*3/13,0)+0.99),'Tax scales - NAT 3539'!$A$99:$C$123,2,1)-VLOOKUP((TRUNC(($AN56+0.01)*3/13,0)+0.99),'Tax scales - NAT 3539'!$A$99:$C$123,3,1)),0)
*13/3,
0),
IF($E$2="Monthly",
ROUND(
ROUND(((TRUNC($AN56*3/13,0)+0.99)*VLOOKUP((TRUNC($AN56*3/13,0)+0.99),'Tax scales - NAT 3539'!$A$99:$C$123,2,1)-VLOOKUP((TRUNC($AN56*3/13,0)+0.99),'Tax scales - NAT 3539'!$A$99:$C$123,3,1)),0)
*13/3,
0),
""))),
""),
"")</f>
        <v/>
      </c>
      <c r="AY56" s="118" t="str">
        <f>IFERROR(
IF(VLOOKUP($C56,'Employee information'!$B:$M,COLUMNS('Employee information'!$B:$M),0)=66,
IF($E$2="Fortnightly",
ROUND(
ROUND((((TRUNC($AN56/2,0)+0.99))*VLOOKUP((TRUNC($AN56/2,0)+0.99),'Tax scales - NAT 3539'!$A$127:$C$154,2,1)-VLOOKUP((TRUNC($AN56/2,0)+0.99),'Tax scales - NAT 3539'!$A$127:$C$154,3,1)),0)
*2,
0),
IF(AND($E$2="Monthly",ROUND($AN56-TRUNC($AN56),2)=0.33),
ROUND(
ROUND(((TRUNC(($AN56+0.01)*3/13,0)+0.99)*VLOOKUP((TRUNC(($AN56+0.01)*3/13,0)+0.99),'Tax scales - NAT 3539'!$A$127:$C$154,2,1)-VLOOKUP((TRUNC(($AN56+0.01)*3/13,0)+0.99),'Tax scales - NAT 3539'!$A$127:$C$154,3,1)),0)
*13/3,
0),
IF($E$2="Monthly",
ROUND(
ROUND(((TRUNC($AN56*3/13,0)+0.99)*VLOOKUP((TRUNC($AN56*3/13,0)+0.99),'Tax scales - NAT 3539'!$A$127:$C$154,2,1)-VLOOKUP((TRUNC($AN56*3/13,0)+0.99),'Tax scales - NAT 3539'!$A$127:$C$154,3,1)),0)
*13/3,
0),
""))),
""),
"")</f>
        <v/>
      </c>
      <c r="AZ56" s="118">
        <f>IFERROR(
HLOOKUP(VLOOKUP($C56,'Employee information'!$B:$M,COLUMNS('Employee information'!$B:$M),0),'PAYG worksheet'!$AO$39:$AY$58,COUNTA($C$40:$C56)+1,0),
0)</f>
        <v>0</v>
      </c>
      <c r="BA56" s="118"/>
      <c r="BB56" s="118">
        <f t="shared" si="46"/>
        <v>0</v>
      </c>
      <c r="BC56" s="119">
        <f>IFERROR(
IF(OR($AE56=1,$AE56=""),SUM($P56,$AA56,$AC56,$AK56)*VLOOKUP($C56,'Employee information'!$B:$Q,COLUMNS('Employee information'!$B:$H),0),
IF($AE56=0,SUM($P56,$AA56,$AK56)*VLOOKUP($C56,'Employee information'!$B:$Q,COLUMNS('Employee information'!$B:$H),0),
0)),
0)</f>
        <v>0</v>
      </c>
      <c r="BE56" s="114">
        <f t="shared" si="31"/>
        <v>0</v>
      </c>
      <c r="BF56" s="114">
        <f t="shared" si="32"/>
        <v>0</v>
      </c>
      <c r="BG56" s="114">
        <f t="shared" si="33"/>
        <v>0</v>
      </c>
      <c r="BH56" s="114">
        <f t="shared" si="34"/>
        <v>0</v>
      </c>
      <c r="BI56" s="114">
        <f t="shared" si="35"/>
        <v>0</v>
      </c>
      <c r="BJ56" s="114">
        <f t="shared" si="36"/>
        <v>0</v>
      </c>
      <c r="BK56" s="114">
        <f t="shared" si="37"/>
        <v>0</v>
      </c>
      <c r="BL56" s="114">
        <f t="shared" si="47"/>
        <v>0</v>
      </c>
      <c r="BM56" s="114">
        <f t="shared" si="38"/>
        <v>0</v>
      </c>
    </row>
    <row r="57" spans="1:65" x14ac:dyDescent="0.25">
      <c r="A57" s="228">
        <f t="shared" si="26"/>
        <v>2</v>
      </c>
      <c r="C57" s="278"/>
      <c r="E57" s="103">
        <f>IF($C57="",0,
IF(AND($E$2="Monthly",$A57&gt;12),0,
IF($E$2="Monthly",VLOOKUP($C57,'Employee information'!$B:$AM,COLUMNS('Employee information'!$B:S),0),
IF($E$2="Fortnightly",VLOOKUP($C57,'Employee information'!$B:$AM,COLUMNS('Employee information'!$B:R),0),
0))))</f>
        <v>0</v>
      </c>
      <c r="F57" s="106"/>
      <c r="G57" s="106"/>
      <c r="H57" s="106"/>
      <c r="I57" s="106"/>
      <c r="J57" s="103">
        <f t="shared" si="39"/>
        <v>0</v>
      </c>
      <c r="L57" s="113">
        <f>IF(AND($E$2="Monthly",$A57&gt;12),"",
IFERROR($J57*VLOOKUP($C57,'Employee information'!$B:$AI,COLUMNS('Employee information'!$B:$P),0),0))</f>
        <v>0</v>
      </c>
      <c r="M57" s="114">
        <f t="shared" si="40"/>
        <v>0</v>
      </c>
      <c r="O57" s="103">
        <f t="shared" si="41"/>
        <v>0</v>
      </c>
      <c r="P57" s="113">
        <f>IFERROR(
IF(AND($E$2="Monthly",$A57&gt;12),0,
$O57*VLOOKUP($C57,'Employee information'!$B:$AI,COLUMNS('Employee information'!$B:$P),0)),
0)</f>
        <v>0</v>
      </c>
      <c r="R57" s="114">
        <f t="shared" si="27"/>
        <v>0</v>
      </c>
      <c r="T57" s="103"/>
      <c r="U57" s="103"/>
      <c r="V57" s="282" t="str">
        <f>IF($C57="","",
IF(AND($E$2="Monthly",$A57&gt;12),"",
$T57*VLOOKUP($C57,'Employee information'!$B:$P,COLUMNS('Employee information'!$B:$P),0)))</f>
        <v/>
      </c>
      <c r="W57" s="282" t="str">
        <f>IF($C57="","",
IF(AND($E$2="Monthly",$A57&gt;12),"",
$U57*VLOOKUP($C57,'Employee information'!$B:$P,COLUMNS('Employee information'!$B:$P),0)))</f>
        <v/>
      </c>
      <c r="X57" s="114">
        <f t="shared" si="28"/>
        <v>0</v>
      </c>
      <c r="Y57" s="114">
        <f t="shared" si="29"/>
        <v>0</v>
      </c>
      <c r="AA57" s="118">
        <f>IFERROR(
IF(OR('Basic payroll data'!$D$12="",'Basic payroll data'!$D$12="No"),0,
$T57*VLOOKUP($C57,'Employee information'!$B:$P,COLUMNS('Employee information'!$B:$P),0)*AL_loading_perc),
0)</f>
        <v>0</v>
      </c>
      <c r="AC57" s="118"/>
      <c r="AD57" s="118"/>
      <c r="AE57" s="283" t="str">
        <f t="shared" si="42"/>
        <v/>
      </c>
      <c r="AF57" s="283" t="str">
        <f t="shared" si="43"/>
        <v/>
      </c>
      <c r="AG57" s="118"/>
      <c r="AH57" s="118"/>
      <c r="AI57" s="283" t="str">
        <f t="shared" si="44"/>
        <v/>
      </c>
      <c r="AJ57" s="118"/>
      <c r="AK57" s="118"/>
      <c r="AM57" s="118">
        <f t="shared" si="45"/>
        <v>0</v>
      </c>
      <c r="AN57" s="118">
        <f t="shared" si="30"/>
        <v>0</v>
      </c>
      <c r="AO57" s="118" t="str">
        <f>IFERROR(
IF(VLOOKUP($C57,'Employee information'!$B:$M,COLUMNS('Employee information'!$B:$M),0)=1,
IF($E$2="Fortnightly",
ROUND(
ROUND((((TRUNC($AN57/2,0)+0.99))*VLOOKUP((TRUNC($AN57/2,0)+0.99),'Tax scales - NAT 1004'!$A$12:$C$18,2,1)-VLOOKUP((TRUNC($AN57/2,0)+0.99),'Tax scales - NAT 1004'!$A$12:$C$18,3,1)),0)
*2,
0),
IF(AND($E$2="Monthly",ROUND($AN57-TRUNC($AN57),2)=0.33),
ROUND(
ROUND(((TRUNC(($AN57+0.01)*3/13,0)+0.99)*VLOOKUP((TRUNC(($AN57+0.01)*3/13,0)+0.99),'Tax scales - NAT 1004'!$A$12:$C$18,2,1)-VLOOKUP((TRUNC(($AN57+0.01)*3/13,0)+0.99),'Tax scales - NAT 1004'!$A$12:$C$18,3,1)),0)
*13/3,
0),
IF($E$2="Monthly",
ROUND(
ROUND(((TRUNC($AN57*3/13,0)+0.99)*VLOOKUP((TRUNC($AN57*3/13,0)+0.99),'Tax scales - NAT 1004'!$A$12:$C$18,2,1)-VLOOKUP((TRUNC($AN57*3/13,0)+0.99),'Tax scales - NAT 1004'!$A$12:$C$18,3,1)),0)
*13/3,
0),
""))),
""),
"")</f>
        <v/>
      </c>
      <c r="AP57" s="118" t="str">
        <f>IFERROR(
IF(VLOOKUP($C57,'Employee information'!$B:$M,COLUMNS('Employee information'!$B:$M),0)=2,
IF($E$2="Fortnightly",
ROUND(
ROUND((((TRUNC($AN57/2,0)+0.99))*VLOOKUP((TRUNC($AN57/2,0)+0.99),'Tax scales - NAT 1004'!$A$25:$C$33,2,1)-VLOOKUP((TRUNC($AN57/2,0)+0.99),'Tax scales - NAT 1004'!$A$25:$C$33,3,1)),0)
*2,
0),
IF(AND($E$2="Monthly",ROUND($AN57-TRUNC($AN57),2)=0.33),
ROUND(
ROUND(((TRUNC(($AN57+0.01)*3/13,0)+0.99)*VLOOKUP((TRUNC(($AN57+0.01)*3/13,0)+0.99),'Tax scales - NAT 1004'!$A$25:$C$33,2,1)-VLOOKUP((TRUNC(($AN57+0.01)*3/13,0)+0.99),'Tax scales - NAT 1004'!$A$25:$C$33,3,1)),0)
*13/3,
0),
IF($E$2="Monthly",
ROUND(
ROUND(((TRUNC($AN57*3/13,0)+0.99)*VLOOKUP((TRUNC($AN57*3/13,0)+0.99),'Tax scales - NAT 1004'!$A$25:$C$33,2,1)-VLOOKUP((TRUNC($AN57*3/13,0)+0.99),'Tax scales - NAT 1004'!$A$25:$C$33,3,1)),0)
*13/3,
0),
""))),
""),
"")</f>
        <v/>
      </c>
      <c r="AQ57" s="118" t="str">
        <f>IFERROR(
IF(VLOOKUP($C57,'Employee information'!$B:$M,COLUMNS('Employee information'!$B:$M),0)=3,
IF($E$2="Fortnightly",
ROUND(
ROUND((((TRUNC($AN57/2,0)+0.99))*VLOOKUP((TRUNC($AN57/2,0)+0.99),'Tax scales - NAT 1004'!$A$39:$C$41,2,1)-VLOOKUP((TRUNC($AN57/2,0)+0.99),'Tax scales - NAT 1004'!$A$39:$C$41,3,1)),0)
*2,
0),
IF(AND($E$2="Monthly",ROUND($AN57-TRUNC($AN57),2)=0.33),
ROUND(
ROUND(((TRUNC(($AN57+0.01)*3/13,0)+0.99)*VLOOKUP((TRUNC(($AN57+0.01)*3/13,0)+0.99),'Tax scales - NAT 1004'!$A$39:$C$41,2,1)-VLOOKUP((TRUNC(($AN57+0.01)*3/13,0)+0.99),'Tax scales - NAT 1004'!$A$39:$C$41,3,1)),0)
*13/3,
0),
IF($E$2="Monthly",
ROUND(
ROUND(((TRUNC($AN57*3/13,0)+0.99)*VLOOKUP((TRUNC($AN57*3/13,0)+0.99),'Tax scales - NAT 1004'!$A$39:$C$41,2,1)-VLOOKUP((TRUNC($AN57*3/13,0)+0.99),'Tax scales - NAT 1004'!$A$39:$C$41,3,1)),0)
*13/3,
0),
""))),
""),
"")</f>
        <v/>
      </c>
      <c r="AR57" s="118" t="str">
        <f>IFERROR(
IF(AND(VLOOKUP($C57,'Employee information'!$B:$M,COLUMNS('Employee information'!$B:$M),0)=4,
VLOOKUP($C57,'Employee information'!$B:$J,COLUMNS('Employee information'!$B:$J),0)="Resident"),
TRUNC(TRUNC($AN57)*'Tax scales - NAT 1004'!$B$47),
IF(AND(VLOOKUP($C57,'Employee information'!$B:$M,COLUMNS('Employee information'!$B:$M),0)=4,
VLOOKUP($C57,'Employee information'!$B:$J,COLUMNS('Employee information'!$B:$J),0)="Foreign resident"),
TRUNC(TRUNC($AN57)*'Tax scales - NAT 1004'!$B$48),
"")),
"")</f>
        <v/>
      </c>
      <c r="AS57" s="118" t="str">
        <f>IFERROR(
IF(VLOOKUP($C57,'Employee information'!$B:$M,COLUMNS('Employee information'!$B:$M),0)=5,
IF($E$2="Fortnightly",
ROUND(
ROUND((((TRUNC($AN57/2,0)+0.99))*VLOOKUP((TRUNC($AN57/2,0)+0.99),'Tax scales - NAT 1004'!$A$53:$C$59,2,1)-VLOOKUP((TRUNC($AN57/2,0)+0.99),'Tax scales - NAT 1004'!$A$53:$C$59,3,1)),0)
*2,
0),
IF(AND($E$2="Monthly",ROUND($AN57-TRUNC($AN57),2)=0.33),
ROUND(
ROUND(((TRUNC(($AN57+0.01)*3/13,0)+0.99)*VLOOKUP((TRUNC(($AN57+0.01)*3/13,0)+0.99),'Tax scales - NAT 1004'!$A$53:$C$59,2,1)-VLOOKUP((TRUNC(($AN57+0.01)*3/13,0)+0.99),'Tax scales - NAT 1004'!$A$53:$C$59,3,1)),0)
*13/3,
0),
IF($E$2="Monthly",
ROUND(
ROUND(((TRUNC($AN57*3/13,0)+0.99)*VLOOKUP((TRUNC($AN57*3/13,0)+0.99),'Tax scales - NAT 1004'!$A$53:$C$59,2,1)-VLOOKUP((TRUNC($AN57*3/13,0)+0.99),'Tax scales - NAT 1004'!$A$53:$C$59,3,1)),0)
*13/3,
0),
""))),
""),
"")</f>
        <v/>
      </c>
      <c r="AT57" s="118" t="str">
        <f>IFERROR(
IF(VLOOKUP($C57,'Employee information'!$B:$M,COLUMNS('Employee information'!$B:$M),0)=6,
IF($E$2="Fortnightly",
ROUND(
ROUND((((TRUNC($AN57/2,0)+0.99))*VLOOKUP((TRUNC($AN57/2,0)+0.99),'Tax scales - NAT 1004'!$A$65:$C$73,2,1)-VLOOKUP((TRUNC($AN57/2,0)+0.99),'Tax scales - NAT 1004'!$A$65:$C$73,3,1)),0)
*2,
0),
IF(AND($E$2="Monthly",ROUND($AN57-TRUNC($AN57),2)=0.33),
ROUND(
ROUND(((TRUNC(($AN57+0.01)*3/13,0)+0.99)*VLOOKUP((TRUNC(($AN57+0.01)*3/13,0)+0.99),'Tax scales - NAT 1004'!$A$65:$C$73,2,1)-VLOOKUP((TRUNC(($AN57+0.01)*3/13,0)+0.99),'Tax scales - NAT 1004'!$A$65:$C$73,3,1)),0)
*13/3,
0),
IF($E$2="Monthly",
ROUND(
ROUND(((TRUNC($AN57*3/13,0)+0.99)*VLOOKUP((TRUNC($AN57*3/13,0)+0.99),'Tax scales - NAT 1004'!$A$65:$C$73,2,1)-VLOOKUP((TRUNC($AN57*3/13,0)+0.99),'Tax scales - NAT 1004'!$A$65:$C$73,3,1)),0)
*13/3,
0),
""))),
""),
"")</f>
        <v/>
      </c>
      <c r="AU57" s="118" t="str">
        <f>IFERROR(
IF(VLOOKUP($C57,'Employee information'!$B:$M,COLUMNS('Employee information'!$B:$M),0)=11,
IF($E$2="Fortnightly",
ROUND(
ROUND((((TRUNC($AN57/2,0)+0.99))*VLOOKUP((TRUNC($AN57/2,0)+0.99),'Tax scales - NAT 3539'!$A$14:$C$38,2,1)-VLOOKUP((TRUNC($AN57/2,0)+0.99),'Tax scales - NAT 3539'!$A$14:$C$38,3,1)),0)
*2,
0),
IF(AND($E$2="Monthly",ROUND($AN57-TRUNC($AN57),2)=0.33),
ROUND(
ROUND(((TRUNC(($AN57+0.01)*3/13,0)+0.99)*VLOOKUP((TRUNC(($AN57+0.01)*3/13,0)+0.99),'Tax scales - NAT 3539'!$A$14:$C$38,2,1)-VLOOKUP((TRUNC(($AN57+0.01)*3/13,0)+0.99),'Tax scales - NAT 3539'!$A$14:$C$38,3,1)),0)
*13/3,
0),
IF($E$2="Monthly",
ROUND(
ROUND(((TRUNC($AN57*3/13,0)+0.99)*VLOOKUP((TRUNC($AN57*3/13,0)+0.99),'Tax scales - NAT 3539'!$A$14:$C$38,2,1)-VLOOKUP((TRUNC($AN57*3/13,0)+0.99),'Tax scales - NAT 3539'!$A$14:$C$38,3,1)),0)
*13/3,
0),
""))),
""),
"")</f>
        <v/>
      </c>
      <c r="AV57" s="118" t="str">
        <f>IFERROR(
IF(VLOOKUP($C57,'Employee information'!$B:$M,COLUMNS('Employee information'!$B:$M),0)=22,
IF($E$2="Fortnightly",
ROUND(
ROUND((((TRUNC($AN57/2,0)+0.99))*VLOOKUP((TRUNC($AN57/2,0)+0.99),'Tax scales - NAT 3539'!$A$43:$C$69,2,1)-VLOOKUP((TRUNC($AN57/2,0)+0.99),'Tax scales - NAT 3539'!$A$43:$C$69,3,1)),0)
*2,
0),
IF(AND($E$2="Monthly",ROUND($AN57-TRUNC($AN57),2)=0.33),
ROUND(
ROUND(((TRUNC(($AN57+0.01)*3/13,0)+0.99)*VLOOKUP((TRUNC(($AN57+0.01)*3/13,0)+0.99),'Tax scales - NAT 3539'!$A$43:$C$69,2,1)-VLOOKUP((TRUNC(($AN57+0.01)*3/13,0)+0.99),'Tax scales - NAT 3539'!$A$43:$C$69,3,1)),0)
*13/3,
0),
IF($E$2="Monthly",
ROUND(
ROUND(((TRUNC($AN57*3/13,0)+0.99)*VLOOKUP((TRUNC($AN57*3/13,0)+0.99),'Tax scales - NAT 3539'!$A$43:$C$69,2,1)-VLOOKUP((TRUNC($AN57*3/13,0)+0.99),'Tax scales - NAT 3539'!$A$43:$C$69,3,1)),0)
*13/3,
0),
""))),
""),
"")</f>
        <v/>
      </c>
      <c r="AW57" s="118" t="str">
        <f>IFERROR(
IF(VLOOKUP($C57,'Employee information'!$B:$M,COLUMNS('Employee information'!$B:$M),0)=33,
IF($E$2="Fortnightly",
ROUND(
ROUND((((TRUNC($AN57/2,0)+0.99))*VLOOKUP((TRUNC($AN57/2,0)+0.99),'Tax scales - NAT 3539'!$A$74:$C$94,2,1)-VLOOKUP((TRUNC($AN57/2,0)+0.99),'Tax scales - NAT 3539'!$A$74:$C$94,3,1)),0)
*2,
0),
IF(AND($E$2="Monthly",ROUND($AN57-TRUNC($AN57),2)=0.33),
ROUND(
ROUND(((TRUNC(($AN57+0.01)*3/13,0)+0.99)*VLOOKUP((TRUNC(($AN57+0.01)*3/13,0)+0.99),'Tax scales - NAT 3539'!$A$74:$C$94,2,1)-VLOOKUP((TRUNC(($AN57+0.01)*3/13,0)+0.99),'Tax scales - NAT 3539'!$A$74:$C$94,3,1)),0)
*13/3,
0),
IF($E$2="Monthly",
ROUND(
ROUND(((TRUNC($AN57*3/13,0)+0.99)*VLOOKUP((TRUNC($AN57*3/13,0)+0.99),'Tax scales - NAT 3539'!$A$74:$C$94,2,1)-VLOOKUP((TRUNC($AN57*3/13,0)+0.99),'Tax scales - NAT 3539'!$A$74:$C$94,3,1)),0)
*13/3,
0),
""))),
""),
"")</f>
        <v/>
      </c>
      <c r="AX57" s="118" t="str">
        <f>IFERROR(
IF(VLOOKUP($C57,'Employee information'!$B:$M,COLUMNS('Employee information'!$B:$M),0)=55,
IF($E$2="Fortnightly",
ROUND(
ROUND((((TRUNC($AN57/2,0)+0.99))*VLOOKUP((TRUNC($AN57/2,0)+0.99),'Tax scales - NAT 3539'!$A$99:$C$123,2,1)-VLOOKUP((TRUNC($AN57/2,0)+0.99),'Tax scales - NAT 3539'!$A$99:$C$123,3,1)),0)
*2,
0),
IF(AND($E$2="Monthly",ROUND($AN57-TRUNC($AN57),2)=0.33),
ROUND(
ROUND(((TRUNC(($AN57+0.01)*3/13,0)+0.99)*VLOOKUP((TRUNC(($AN57+0.01)*3/13,0)+0.99),'Tax scales - NAT 3539'!$A$99:$C$123,2,1)-VLOOKUP((TRUNC(($AN57+0.01)*3/13,0)+0.99),'Tax scales - NAT 3539'!$A$99:$C$123,3,1)),0)
*13/3,
0),
IF($E$2="Monthly",
ROUND(
ROUND(((TRUNC($AN57*3/13,0)+0.99)*VLOOKUP((TRUNC($AN57*3/13,0)+0.99),'Tax scales - NAT 3539'!$A$99:$C$123,2,1)-VLOOKUP((TRUNC($AN57*3/13,0)+0.99),'Tax scales - NAT 3539'!$A$99:$C$123,3,1)),0)
*13/3,
0),
""))),
""),
"")</f>
        <v/>
      </c>
      <c r="AY57" s="118" t="str">
        <f>IFERROR(
IF(VLOOKUP($C57,'Employee information'!$B:$M,COLUMNS('Employee information'!$B:$M),0)=66,
IF($E$2="Fortnightly",
ROUND(
ROUND((((TRUNC($AN57/2,0)+0.99))*VLOOKUP((TRUNC($AN57/2,0)+0.99),'Tax scales - NAT 3539'!$A$127:$C$154,2,1)-VLOOKUP((TRUNC($AN57/2,0)+0.99),'Tax scales - NAT 3539'!$A$127:$C$154,3,1)),0)
*2,
0),
IF(AND($E$2="Monthly",ROUND($AN57-TRUNC($AN57),2)=0.33),
ROUND(
ROUND(((TRUNC(($AN57+0.01)*3/13,0)+0.99)*VLOOKUP((TRUNC(($AN57+0.01)*3/13,0)+0.99),'Tax scales - NAT 3539'!$A$127:$C$154,2,1)-VLOOKUP((TRUNC(($AN57+0.01)*3/13,0)+0.99),'Tax scales - NAT 3539'!$A$127:$C$154,3,1)),0)
*13/3,
0),
IF($E$2="Monthly",
ROUND(
ROUND(((TRUNC($AN57*3/13,0)+0.99)*VLOOKUP((TRUNC($AN57*3/13,0)+0.99),'Tax scales - NAT 3539'!$A$127:$C$154,2,1)-VLOOKUP((TRUNC($AN57*3/13,0)+0.99),'Tax scales - NAT 3539'!$A$127:$C$154,3,1)),0)
*13/3,
0),
""))),
""),
"")</f>
        <v/>
      </c>
      <c r="AZ57" s="118">
        <f>IFERROR(
HLOOKUP(VLOOKUP($C57,'Employee information'!$B:$M,COLUMNS('Employee information'!$B:$M),0),'PAYG worksheet'!$AO$39:$AY$58,COUNTA($C$40:$C57)+1,0),
0)</f>
        <v>0</v>
      </c>
      <c r="BA57" s="118"/>
      <c r="BB57" s="118">
        <f t="shared" si="46"/>
        <v>0</v>
      </c>
      <c r="BC57" s="119">
        <f>IFERROR(
IF(OR($AE57=1,$AE57=""),SUM($P57,$AA57,$AC57,$AK57)*VLOOKUP($C57,'Employee information'!$B:$Q,COLUMNS('Employee information'!$B:$H),0),
IF($AE57=0,SUM($P57,$AA57,$AK57)*VLOOKUP($C57,'Employee information'!$B:$Q,COLUMNS('Employee information'!$B:$H),0),
0)),
0)</f>
        <v>0</v>
      </c>
      <c r="BE57" s="114">
        <f t="shared" si="31"/>
        <v>0</v>
      </c>
      <c r="BF57" s="114">
        <f t="shared" si="32"/>
        <v>0</v>
      </c>
      <c r="BG57" s="114">
        <f t="shared" si="33"/>
        <v>0</v>
      </c>
      <c r="BH57" s="114">
        <f t="shared" si="34"/>
        <v>0</v>
      </c>
      <c r="BI57" s="114">
        <f t="shared" si="35"/>
        <v>0</v>
      </c>
      <c r="BJ57" s="114">
        <f t="shared" si="36"/>
        <v>0</v>
      </c>
      <c r="BK57" s="114">
        <f t="shared" si="37"/>
        <v>0</v>
      </c>
      <c r="BL57" s="114">
        <f t="shared" si="47"/>
        <v>0</v>
      </c>
      <c r="BM57" s="114">
        <f t="shared" si="38"/>
        <v>0</v>
      </c>
    </row>
    <row r="58" spans="1:65" x14ac:dyDescent="0.25">
      <c r="A58" s="228">
        <f t="shared" si="26"/>
        <v>2</v>
      </c>
      <c r="C58" s="278"/>
      <c r="E58" s="103">
        <f>IF($C58="",0,
IF(AND($E$2="Monthly",$A58&gt;12),0,
IF($E$2="Monthly",VLOOKUP($C58,'Employee information'!$B:$AM,COLUMNS('Employee information'!$B:S),0),
IF($E$2="Fortnightly",VLOOKUP($C58,'Employee information'!$B:$AM,COLUMNS('Employee information'!$B:R),0),
0))))</f>
        <v>0</v>
      </c>
      <c r="F58" s="106"/>
      <c r="G58" s="106"/>
      <c r="H58" s="106"/>
      <c r="I58" s="106"/>
      <c r="J58" s="103">
        <f t="shared" si="39"/>
        <v>0</v>
      </c>
      <c r="L58" s="113">
        <f>IF(AND($E$2="Monthly",$A58&gt;12),"",
IFERROR($J58*VLOOKUP($C58,'Employee information'!$B:$AI,COLUMNS('Employee information'!$B:$P),0),0))</f>
        <v>0</v>
      </c>
      <c r="M58" s="114">
        <f t="shared" si="40"/>
        <v>0</v>
      </c>
      <c r="O58" s="103">
        <f t="shared" si="41"/>
        <v>0</v>
      </c>
      <c r="P58" s="113">
        <f>IFERROR(
IF(AND($E$2="Monthly",$A58&gt;12),0,
$O58*VLOOKUP($C58,'Employee information'!$B:$AI,COLUMNS('Employee information'!$B:$P),0)),
0)</f>
        <v>0</v>
      </c>
      <c r="R58" s="114">
        <f t="shared" si="27"/>
        <v>0</v>
      </c>
      <c r="T58" s="103"/>
      <c r="U58" s="103"/>
      <c r="V58" s="282" t="str">
        <f>IF($C58="","",
IF(AND($E$2="Monthly",$A58&gt;12),"",
$T58*VLOOKUP($C58,'Employee information'!$B:$P,COLUMNS('Employee information'!$B:$P),0)))</f>
        <v/>
      </c>
      <c r="W58" s="282" t="str">
        <f>IF($C58="","",
IF(AND($E$2="Monthly",$A58&gt;12),"",
$U58*VLOOKUP($C58,'Employee information'!$B:$P,COLUMNS('Employee information'!$B:$P),0)))</f>
        <v/>
      </c>
      <c r="X58" s="114">
        <f t="shared" si="28"/>
        <v>0</v>
      </c>
      <c r="Y58" s="114">
        <f t="shared" si="29"/>
        <v>0</v>
      </c>
      <c r="AA58" s="118">
        <f>IFERROR(
IF(OR('Basic payroll data'!$D$12="",'Basic payroll data'!$D$12="No"),0,
$T58*VLOOKUP($C58,'Employee information'!$B:$P,COLUMNS('Employee information'!$B:$P),0)*AL_loading_perc),
0)</f>
        <v>0</v>
      </c>
      <c r="AC58" s="118"/>
      <c r="AD58" s="118"/>
      <c r="AE58" s="283" t="str">
        <f t="shared" si="42"/>
        <v/>
      </c>
      <c r="AF58" s="283" t="str">
        <f t="shared" si="43"/>
        <v/>
      </c>
      <c r="AG58" s="118"/>
      <c r="AH58" s="118"/>
      <c r="AI58" s="283" t="str">
        <f t="shared" si="44"/>
        <v/>
      </c>
      <c r="AJ58" s="118"/>
      <c r="AK58" s="118"/>
      <c r="AM58" s="118">
        <f t="shared" si="45"/>
        <v>0</v>
      </c>
      <c r="AN58" s="118">
        <f t="shared" si="30"/>
        <v>0</v>
      </c>
      <c r="AO58" s="118" t="str">
        <f>IFERROR(
IF(VLOOKUP($C58,'Employee information'!$B:$M,COLUMNS('Employee information'!$B:$M),0)=1,
IF($E$2="Fortnightly",
ROUND(
ROUND((((TRUNC($AN58/2,0)+0.99))*VLOOKUP((TRUNC($AN58/2,0)+0.99),'Tax scales - NAT 1004'!$A$12:$C$18,2,1)-VLOOKUP((TRUNC($AN58/2,0)+0.99),'Tax scales - NAT 1004'!$A$12:$C$18,3,1)),0)
*2,
0),
IF(AND($E$2="Monthly",ROUND($AN58-TRUNC($AN58),2)=0.33),
ROUND(
ROUND(((TRUNC(($AN58+0.01)*3/13,0)+0.99)*VLOOKUP((TRUNC(($AN58+0.01)*3/13,0)+0.99),'Tax scales - NAT 1004'!$A$12:$C$18,2,1)-VLOOKUP((TRUNC(($AN58+0.01)*3/13,0)+0.99),'Tax scales - NAT 1004'!$A$12:$C$18,3,1)),0)
*13/3,
0),
IF($E$2="Monthly",
ROUND(
ROUND(((TRUNC($AN58*3/13,0)+0.99)*VLOOKUP((TRUNC($AN58*3/13,0)+0.99),'Tax scales - NAT 1004'!$A$12:$C$18,2,1)-VLOOKUP((TRUNC($AN58*3/13,0)+0.99),'Tax scales - NAT 1004'!$A$12:$C$18,3,1)),0)
*13/3,
0),
""))),
""),
"")</f>
        <v/>
      </c>
      <c r="AP58" s="118" t="str">
        <f>IFERROR(
IF(VLOOKUP($C58,'Employee information'!$B:$M,COLUMNS('Employee information'!$B:$M),0)=2,
IF($E$2="Fortnightly",
ROUND(
ROUND((((TRUNC($AN58/2,0)+0.99))*VLOOKUP((TRUNC($AN58/2,0)+0.99),'Tax scales - NAT 1004'!$A$25:$C$33,2,1)-VLOOKUP((TRUNC($AN58/2,0)+0.99),'Tax scales - NAT 1004'!$A$25:$C$33,3,1)),0)
*2,
0),
IF(AND($E$2="Monthly",ROUND($AN58-TRUNC($AN58),2)=0.33),
ROUND(
ROUND(((TRUNC(($AN58+0.01)*3/13,0)+0.99)*VLOOKUP((TRUNC(($AN58+0.01)*3/13,0)+0.99),'Tax scales - NAT 1004'!$A$25:$C$33,2,1)-VLOOKUP((TRUNC(($AN58+0.01)*3/13,0)+0.99),'Tax scales - NAT 1004'!$A$25:$C$33,3,1)),0)
*13/3,
0),
IF($E$2="Monthly",
ROUND(
ROUND(((TRUNC($AN58*3/13,0)+0.99)*VLOOKUP((TRUNC($AN58*3/13,0)+0.99),'Tax scales - NAT 1004'!$A$25:$C$33,2,1)-VLOOKUP((TRUNC($AN58*3/13,0)+0.99),'Tax scales - NAT 1004'!$A$25:$C$33,3,1)),0)
*13/3,
0),
""))),
""),
"")</f>
        <v/>
      </c>
      <c r="AQ58" s="118" t="str">
        <f>IFERROR(
IF(VLOOKUP($C58,'Employee information'!$B:$M,COLUMNS('Employee information'!$B:$M),0)=3,
IF($E$2="Fortnightly",
ROUND(
ROUND((((TRUNC($AN58/2,0)+0.99))*VLOOKUP((TRUNC($AN58/2,0)+0.99),'Tax scales - NAT 1004'!$A$39:$C$41,2,1)-VLOOKUP((TRUNC($AN58/2,0)+0.99),'Tax scales - NAT 1004'!$A$39:$C$41,3,1)),0)
*2,
0),
IF(AND($E$2="Monthly",ROUND($AN58-TRUNC($AN58),2)=0.33),
ROUND(
ROUND(((TRUNC(($AN58+0.01)*3/13,0)+0.99)*VLOOKUP((TRUNC(($AN58+0.01)*3/13,0)+0.99),'Tax scales - NAT 1004'!$A$39:$C$41,2,1)-VLOOKUP((TRUNC(($AN58+0.01)*3/13,0)+0.99),'Tax scales - NAT 1004'!$A$39:$C$41,3,1)),0)
*13/3,
0),
IF($E$2="Monthly",
ROUND(
ROUND(((TRUNC($AN58*3/13,0)+0.99)*VLOOKUP((TRUNC($AN58*3/13,0)+0.99),'Tax scales - NAT 1004'!$A$39:$C$41,2,1)-VLOOKUP((TRUNC($AN58*3/13,0)+0.99),'Tax scales - NAT 1004'!$A$39:$C$41,3,1)),0)
*13/3,
0),
""))),
""),
"")</f>
        <v/>
      </c>
      <c r="AR58" s="118" t="str">
        <f>IFERROR(
IF(AND(VLOOKUP($C58,'Employee information'!$B:$M,COLUMNS('Employee information'!$B:$M),0)=4,
VLOOKUP($C58,'Employee information'!$B:$J,COLUMNS('Employee information'!$B:$J),0)="Resident"),
TRUNC(TRUNC($AN58)*'Tax scales - NAT 1004'!$B$47),
IF(AND(VLOOKUP($C58,'Employee information'!$B:$M,COLUMNS('Employee information'!$B:$M),0)=4,
VLOOKUP($C58,'Employee information'!$B:$J,COLUMNS('Employee information'!$B:$J),0)="Foreign resident"),
TRUNC(TRUNC($AN58)*'Tax scales - NAT 1004'!$B$48),
"")),
"")</f>
        <v/>
      </c>
      <c r="AS58" s="118" t="str">
        <f>IFERROR(
IF(VLOOKUP($C58,'Employee information'!$B:$M,COLUMNS('Employee information'!$B:$M),0)=5,
IF($E$2="Fortnightly",
ROUND(
ROUND((((TRUNC($AN58/2,0)+0.99))*VLOOKUP((TRUNC($AN58/2,0)+0.99),'Tax scales - NAT 1004'!$A$53:$C$59,2,1)-VLOOKUP((TRUNC($AN58/2,0)+0.99),'Tax scales - NAT 1004'!$A$53:$C$59,3,1)),0)
*2,
0),
IF(AND($E$2="Monthly",ROUND($AN58-TRUNC($AN58),2)=0.33),
ROUND(
ROUND(((TRUNC(($AN58+0.01)*3/13,0)+0.99)*VLOOKUP((TRUNC(($AN58+0.01)*3/13,0)+0.99),'Tax scales - NAT 1004'!$A$53:$C$59,2,1)-VLOOKUP((TRUNC(($AN58+0.01)*3/13,0)+0.99),'Tax scales - NAT 1004'!$A$53:$C$59,3,1)),0)
*13/3,
0),
IF($E$2="Monthly",
ROUND(
ROUND(((TRUNC($AN58*3/13,0)+0.99)*VLOOKUP((TRUNC($AN58*3/13,0)+0.99),'Tax scales - NAT 1004'!$A$53:$C$59,2,1)-VLOOKUP((TRUNC($AN58*3/13,0)+0.99),'Tax scales - NAT 1004'!$A$53:$C$59,3,1)),0)
*13/3,
0),
""))),
""),
"")</f>
        <v/>
      </c>
      <c r="AT58" s="118" t="str">
        <f>IFERROR(
IF(VLOOKUP($C58,'Employee information'!$B:$M,COLUMNS('Employee information'!$B:$M),0)=6,
IF($E$2="Fortnightly",
ROUND(
ROUND((((TRUNC($AN58/2,0)+0.99))*VLOOKUP((TRUNC($AN58/2,0)+0.99),'Tax scales - NAT 1004'!$A$65:$C$73,2,1)-VLOOKUP((TRUNC($AN58/2,0)+0.99),'Tax scales - NAT 1004'!$A$65:$C$73,3,1)),0)
*2,
0),
IF(AND($E$2="Monthly",ROUND($AN58-TRUNC($AN58),2)=0.33),
ROUND(
ROUND(((TRUNC(($AN58+0.01)*3/13,0)+0.99)*VLOOKUP((TRUNC(($AN58+0.01)*3/13,0)+0.99),'Tax scales - NAT 1004'!$A$65:$C$73,2,1)-VLOOKUP((TRUNC(($AN58+0.01)*3/13,0)+0.99),'Tax scales - NAT 1004'!$A$65:$C$73,3,1)),0)
*13/3,
0),
IF($E$2="Monthly",
ROUND(
ROUND(((TRUNC($AN58*3/13,0)+0.99)*VLOOKUP((TRUNC($AN58*3/13,0)+0.99),'Tax scales - NAT 1004'!$A$65:$C$73,2,1)-VLOOKUP((TRUNC($AN58*3/13,0)+0.99),'Tax scales - NAT 1004'!$A$65:$C$73,3,1)),0)
*13/3,
0),
""))),
""),
"")</f>
        <v/>
      </c>
      <c r="AU58" s="118" t="str">
        <f>IFERROR(
IF(VLOOKUP($C58,'Employee information'!$B:$M,COLUMNS('Employee information'!$B:$M),0)=11,
IF($E$2="Fortnightly",
ROUND(
ROUND((((TRUNC($AN58/2,0)+0.99))*VLOOKUP((TRUNC($AN58/2,0)+0.99),'Tax scales - NAT 3539'!$A$14:$C$38,2,1)-VLOOKUP((TRUNC($AN58/2,0)+0.99),'Tax scales - NAT 3539'!$A$14:$C$38,3,1)),0)
*2,
0),
IF(AND($E$2="Monthly",ROUND($AN58-TRUNC($AN58),2)=0.33),
ROUND(
ROUND(((TRUNC(($AN58+0.01)*3/13,0)+0.99)*VLOOKUP((TRUNC(($AN58+0.01)*3/13,0)+0.99),'Tax scales - NAT 3539'!$A$14:$C$38,2,1)-VLOOKUP((TRUNC(($AN58+0.01)*3/13,0)+0.99),'Tax scales - NAT 3539'!$A$14:$C$38,3,1)),0)
*13/3,
0),
IF($E$2="Monthly",
ROUND(
ROUND(((TRUNC($AN58*3/13,0)+0.99)*VLOOKUP((TRUNC($AN58*3/13,0)+0.99),'Tax scales - NAT 3539'!$A$14:$C$38,2,1)-VLOOKUP((TRUNC($AN58*3/13,0)+0.99),'Tax scales - NAT 3539'!$A$14:$C$38,3,1)),0)
*13/3,
0),
""))),
""),
"")</f>
        <v/>
      </c>
      <c r="AV58" s="118" t="str">
        <f>IFERROR(
IF(VLOOKUP($C58,'Employee information'!$B:$M,COLUMNS('Employee information'!$B:$M),0)=22,
IF($E$2="Fortnightly",
ROUND(
ROUND((((TRUNC($AN58/2,0)+0.99))*VLOOKUP((TRUNC($AN58/2,0)+0.99),'Tax scales - NAT 3539'!$A$43:$C$69,2,1)-VLOOKUP((TRUNC($AN58/2,0)+0.99),'Tax scales - NAT 3539'!$A$43:$C$69,3,1)),0)
*2,
0),
IF(AND($E$2="Monthly",ROUND($AN58-TRUNC($AN58),2)=0.33),
ROUND(
ROUND(((TRUNC(($AN58+0.01)*3/13,0)+0.99)*VLOOKUP((TRUNC(($AN58+0.01)*3/13,0)+0.99),'Tax scales - NAT 3539'!$A$43:$C$69,2,1)-VLOOKUP((TRUNC(($AN58+0.01)*3/13,0)+0.99),'Tax scales - NAT 3539'!$A$43:$C$69,3,1)),0)
*13/3,
0),
IF($E$2="Monthly",
ROUND(
ROUND(((TRUNC($AN58*3/13,0)+0.99)*VLOOKUP((TRUNC($AN58*3/13,0)+0.99),'Tax scales - NAT 3539'!$A$43:$C$69,2,1)-VLOOKUP((TRUNC($AN58*3/13,0)+0.99),'Tax scales - NAT 3539'!$A$43:$C$69,3,1)),0)
*13/3,
0),
""))),
""),
"")</f>
        <v/>
      </c>
      <c r="AW58" s="118" t="str">
        <f>IFERROR(
IF(VLOOKUP($C58,'Employee information'!$B:$M,COLUMNS('Employee information'!$B:$M),0)=33,
IF($E$2="Fortnightly",
ROUND(
ROUND((((TRUNC($AN58/2,0)+0.99))*VLOOKUP((TRUNC($AN58/2,0)+0.99),'Tax scales - NAT 3539'!$A$74:$C$94,2,1)-VLOOKUP((TRUNC($AN58/2,0)+0.99),'Tax scales - NAT 3539'!$A$74:$C$94,3,1)),0)
*2,
0),
IF(AND($E$2="Monthly",ROUND($AN58-TRUNC($AN58),2)=0.33),
ROUND(
ROUND(((TRUNC(($AN58+0.01)*3/13,0)+0.99)*VLOOKUP((TRUNC(($AN58+0.01)*3/13,0)+0.99),'Tax scales - NAT 3539'!$A$74:$C$94,2,1)-VLOOKUP((TRUNC(($AN58+0.01)*3/13,0)+0.99),'Tax scales - NAT 3539'!$A$74:$C$94,3,1)),0)
*13/3,
0),
IF($E$2="Monthly",
ROUND(
ROUND(((TRUNC($AN58*3/13,0)+0.99)*VLOOKUP((TRUNC($AN58*3/13,0)+0.99),'Tax scales - NAT 3539'!$A$74:$C$94,2,1)-VLOOKUP((TRUNC($AN58*3/13,0)+0.99),'Tax scales - NAT 3539'!$A$74:$C$94,3,1)),0)
*13/3,
0),
""))),
""),
"")</f>
        <v/>
      </c>
      <c r="AX58" s="118" t="str">
        <f>IFERROR(
IF(VLOOKUP($C58,'Employee information'!$B:$M,COLUMNS('Employee information'!$B:$M),0)=55,
IF($E$2="Fortnightly",
ROUND(
ROUND((((TRUNC($AN58/2,0)+0.99))*VLOOKUP((TRUNC($AN58/2,0)+0.99),'Tax scales - NAT 3539'!$A$99:$C$123,2,1)-VLOOKUP((TRUNC($AN58/2,0)+0.99),'Tax scales - NAT 3539'!$A$99:$C$123,3,1)),0)
*2,
0),
IF(AND($E$2="Monthly",ROUND($AN58-TRUNC($AN58),2)=0.33),
ROUND(
ROUND(((TRUNC(($AN58+0.01)*3/13,0)+0.99)*VLOOKUP((TRUNC(($AN58+0.01)*3/13,0)+0.99),'Tax scales - NAT 3539'!$A$99:$C$123,2,1)-VLOOKUP((TRUNC(($AN58+0.01)*3/13,0)+0.99),'Tax scales - NAT 3539'!$A$99:$C$123,3,1)),0)
*13/3,
0),
IF($E$2="Monthly",
ROUND(
ROUND(((TRUNC($AN58*3/13,0)+0.99)*VLOOKUP((TRUNC($AN58*3/13,0)+0.99),'Tax scales - NAT 3539'!$A$99:$C$123,2,1)-VLOOKUP((TRUNC($AN58*3/13,0)+0.99),'Tax scales - NAT 3539'!$A$99:$C$123,3,1)),0)
*13/3,
0),
""))),
""),
"")</f>
        <v/>
      </c>
      <c r="AY58" s="118" t="str">
        <f>IFERROR(
IF(VLOOKUP($C58,'Employee information'!$B:$M,COLUMNS('Employee information'!$B:$M),0)=66,
IF($E$2="Fortnightly",
ROUND(
ROUND((((TRUNC($AN58/2,0)+0.99))*VLOOKUP((TRUNC($AN58/2,0)+0.99),'Tax scales - NAT 3539'!$A$127:$C$154,2,1)-VLOOKUP((TRUNC($AN58/2,0)+0.99),'Tax scales - NAT 3539'!$A$127:$C$154,3,1)),0)
*2,
0),
IF(AND($E$2="Monthly",ROUND($AN58-TRUNC($AN58),2)=0.33),
ROUND(
ROUND(((TRUNC(($AN58+0.01)*3/13,0)+0.99)*VLOOKUP((TRUNC(($AN58+0.01)*3/13,0)+0.99),'Tax scales - NAT 3539'!$A$127:$C$154,2,1)-VLOOKUP((TRUNC(($AN58+0.01)*3/13,0)+0.99),'Tax scales - NAT 3539'!$A$127:$C$154,3,1)),0)
*13/3,
0),
IF($E$2="Monthly",
ROUND(
ROUND(((TRUNC($AN58*3/13,0)+0.99)*VLOOKUP((TRUNC($AN58*3/13,0)+0.99),'Tax scales - NAT 3539'!$A$127:$C$154,2,1)-VLOOKUP((TRUNC($AN58*3/13,0)+0.99),'Tax scales - NAT 3539'!$A$127:$C$154,3,1)),0)
*13/3,
0),
""))),
""),
"")</f>
        <v/>
      </c>
      <c r="AZ58" s="118">
        <f>IFERROR(
HLOOKUP(VLOOKUP($C58,'Employee information'!$B:$M,COLUMNS('Employee information'!$B:$M),0),'PAYG worksheet'!$AO$39:$AY$58,COUNTA($C$40:$C58)+1,0),
0)</f>
        <v>0</v>
      </c>
      <c r="BA58" s="118"/>
      <c r="BB58" s="118">
        <f t="shared" si="46"/>
        <v>0</v>
      </c>
      <c r="BC58" s="119">
        <f>IFERROR(
IF(OR($AE58=1,$AE58=""),SUM($P58,$AA58,$AC58,$AK58)*VLOOKUP($C58,'Employee information'!$B:$Q,COLUMNS('Employee information'!$B:$H),0),
IF($AE58=0,SUM($P58,$AA58,$AK58)*VLOOKUP($C58,'Employee information'!$B:$Q,COLUMNS('Employee information'!$B:$H),0),
0)),
0)</f>
        <v>0</v>
      </c>
      <c r="BE58" s="114">
        <f t="shared" si="31"/>
        <v>0</v>
      </c>
      <c r="BF58" s="114">
        <f t="shared" si="32"/>
        <v>0</v>
      </c>
      <c r="BG58" s="114">
        <f t="shared" si="33"/>
        <v>0</v>
      </c>
      <c r="BH58" s="114">
        <f t="shared" si="34"/>
        <v>0</v>
      </c>
      <c r="BI58" s="114">
        <f t="shared" si="35"/>
        <v>0</v>
      </c>
      <c r="BJ58" s="114">
        <f t="shared" si="36"/>
        <v>0</v>
      </c>
      <c r="BK58" s="114">
        <f t="shared" si="37"/>
        <v>0</v>
      </c>
      <c r="BL58" s="114">
        <f t="shared" si="47"/>
        <v>0</v>
      </c>
      <c r="BM58" s="114">
        <f t="shared" si="38"/>
        <v>0</v>
      </c>
    </row>
    <row r="59" spans="1:65" x14ac:dyDescent="0.25">
      <c r="C59" s="284" t="s">
        <v>39</v>
      </c>
      <c r="D59" s="223"/>
      <c r="E59" s="111">
        <f>SUM(E40:E58)</f>
        <v>345</v>
      </c>
      <c r="F59" s="112">
        <f t="shared" ref="F59:H59" si="48">SUM(F40:F58)</f>
        <v>0</v>
      </c>
      <c r="G59" s="112">
        <f t="shared" si="48"/>
        <v>0</v>
      </c>
      <c r="H59" s="112">
        <f t="shared" si="48"/>
        <v>0</v>
      </c>
      <c r="I59" s="112"/>
      <c r="J59" s="111">
        <f t="shared" ref="J59" si="49">SUM(J40:J58)</f>
        <v>345</v>
      </c>
      <c r="K59" s="223"/>
      <c r="L59" s="115">
        <f>SUM(L40:L58)</f>
        <v>19122.576396206536</v>
      </c>
      <c r="M59" s="115">
        <f>SUM(M40:M58)</f>
        <v>40760.537407797681</v>
      </c>
      <c r="N59" s="223"/>
      <c r="O59" s="116">
        <f>SUM(O40:O58)</f>
        <v>345</v>
      </c>
      <c r="P59" s="117">
        <f>SUM(P40:P58)</f>
        <v>19122.576396206536</v>
      </c>
      <c r="R59" s="117">
        <f>SUM(R40:R58)</f>
        <v>40760.537407797681</v>
      </c>
      <c r="S59" s="223"/>
      <c r="T59" s="116">
        <f>SUM(T40:T58)</f>
        <v>0</v>
      </c>
      <c r="U59" s="116">
        <f t="shared" ref="U59:Y59" si="50">SUM(U40:U58)</f>
        <v>0</v>
      </c>
      <c r="V59" s="285">
        <f t="shared" si="50"/>
        <v>0</v>
      </c>
      <c r="W59" s="285">
        <f t="shared" si="50"/>
        <v>0</v>
      </c>
      <c r="X59" s="285">
        <f t="shared" si="50"/>
        <v>1538.4615384615386</v>
      </c>
      <c r="Y59" s="285">
        <f t="shared" si="50"/>
        <v>801.28205128205127</v>
      </c>
      <c r="Z59" s="223"/>
      <c r="AA59" s="117">
        <f t="shared" ref="AA59" si="51">SUM(AA40:AA58)</f>
        <v>0</v>
      </c>
      <c r="AC59" s="117">
        <f t="shared" ref="AC59" si="52">SUM(AC40:AC58)</f>
        <v>0</v>
      </c>
      <c r="AD59" s="117"/>
      <c r="AE59" s="117"/>
      <c r="AF59" s="117"/>
      <c r="AG59" s="117">
        <f t="shared" ref="AG59" si="53">SUM(AG40:AG58)</f>
        <v>0</v>
      </c>
      <c r="AH59" s="117"/>
      <c r="AI59" s="117"/>
      <c r="AJ59" s="117">
        <f>SUM(AJ40:AJ58)</f>
        <v>0</v>
      </c>
      <c r="AK59" s="117">
        <f>SUM(AK40:AK58)</f>
        <v>0</v>
      </c>
      <c r="AM59" s="117">
        <f t="shared" ref="AM59:AN59" si="54">SUM(AM40:AM58)</f>
        <v>19122.576396206536</v>
      </c>
      <c r="AN59" s="117">
        <f t="shared" si="54"/>
        <v>19122.576396206536</v>
      </c>
      <c r="AO59" s="117"/>
      <c r="AP59" s="117"/>
      <c r="AQ59" s="117"/>
      <c r="AR59" s="117"/>
      <c r="AS59" s="117"/>
      <c r="AT59" s="117"/>
      <c r="AU59" s="117"/>
      <c r="AV59" s="117"/>
      <c r="AW59" s="117"/>
      <c r="AX59" s="117"/>
      <c r="AY59" s="117"/>
      <c r="AZ59" s="117">
        <f>SUM(AZ40:AZ58)</f>
        <v>7481</v>
      </c>
      <c r="BA59" s="117">
        <f>SUM(BA40:BA58)</f>
        <v>0</v>
      </c>
      <c r="BB59" s="117">
        <f>SUM(BB40:BB58)</f>
        <v>11641.576396206534</v>
      </c>
      <c r="BC59" s="117">
        <f t="shared" ref="BC59" si="55">SUM(BC40:BC58)</f>
        <v>1816.6447576396208</v>
      </c>
      <c r="BD59" s="136"/>
      <c r="BE59" s="117">
        <f t="shared" ref="BE59:BM59" si="56">SUM(BE40:BE58)</f>
        <v>41000.537407797681</v>
      </c>
      <c r="BF59" s="117">
        <f t="shared" si="56"/>
        <v>40860.537407797681</v>
      </c>
      <c r="BG59" s="117">
        <f t="shared" si="56"/>
        <v>0</v>
      </c>
      <c r="BH59" s="117">
        <f t="shared" si="56"/>
        <v>140</v>
      </c>
      <c r="BI59" s="117">
        <f t="shared" si="56"/>
        <v>15776</v>
      </c>
      <c r="BJ59" s="117">
        <f t="shared" si="56"/>
        <v>0</v>
      </c>
      <c r="BK59" s="117">
        <f t="shared" si="56"/>
        <v>0</v>
      </c>
      <c r="BL59" s="117">
        <f t="shared" si="56"/>
        <v>100</v>
      </c>
      <c r="BM59" s="117">
        <f t="shared" si="56"/>
        <v>3881.7510537407802</v>
      </c>
    </row>
    <row r="61" spans="1:65" x14ac:dyDescent="0.25">
      <c r="B61" s="228">
        <v>3</v>
      </c>
      <c r="C61" s="230" t="s">
        <v>2</v>
      </c>
      <c r="E61" s="232">
        <v>44075</v>
      </c>
      <c r="F61" s="148" t="s">
        <v>91</v>
      </c>
      <c r="L61" s="286"/>
      <c r="T61" s="127"/>
      <c r="U61" s="127"/>
      <c r="V61" s="127"/>
      <c r="W61" s="127"/>
      <c r="X61" s="127"/>
      <c r="Y61" s="127"/>
    </row>
    <row r="62" spans="1:65" x14ac:dyDescent="0.25">
      <c r="C62" s="230" t="s">
        <v>3</v>
      </c>
      <c r="E62" s="232">
        <v>44104</v>
      </c>
      <c r="F62" s="148" t="s">
        <v>90</v>
      </c>
      <c r="G62" s="229"/>
      <c r="H62" s="229"/>
      <c r="I62" s="229"/>
      <c r="J62" s="229"/>
      <c r="L62" s="164"/>
      <c r="T62" s="127"/>
      <c r="U62" s="127"/>
      <c r="V62" s="127"/>
      <c r="W62" s="127"/>
      <c r="X62" s="127"/>
      <c r="Y62" s="127"/>
    </row>
    <row r="63" spans="1:65" x14ac:dyDescent="0.25">
      <c r="C63" s="233"/>
    </row>
    <row r="64" spans="1:65" ht="34.5" customHeight="1" x14ac:dyDescent="0.25">
      <c r="C64" s="234"/>
      <c r="D64" s="235"/>
      <c r="E64" s="441" t="s">
        <v>4</v>
      </c>
      <c r="F64" s="442"/>
      <c r="G64" s="442"/>
      <c r="H64" s="442"/>
      <c r="I64" s="442"/>
      <c r="J64" s="443"/>
      <c r="L64" s="444" t="s">
        <v>253</v>
      </c>
      <c r="M64" s="445"/>
      <c r="N64" s="235"/>
      <c r="O64" s="444" t="s">
        <v>148</v>
      </c>
      <c r="P64" s="445"/>
      <c r="R64" s="235"/>
      <c r="T64" s="446" t="s">
        <v>269</v>
      </c>
      <c r="U64" s="447"/>
      <c r="V64" s="447"/>
      <c r="W64" s="447"/>
      <c r="X64" s="447"/>
      <c r="Y64" s="447"/>
      <c r="Z64" s="447"/>
      <c r="AA64" s="447"/>
      <c r="AC64" s="438" t="s">
        <v>274</v>
      </c>
      <c r="AD64" s="438"/>
      <c r="AE64" s="438"/>
      <c r="AF64" s="438"/>
      <c r="AG64" s="438"/>
      <c r="AH64" s="438"/>
      <c r="AI64" s="438"/>
      <c r="AJ64" s="438"/>
      <c r="AK64" s="438"/>
      <c r="AM64" s="439" t="s">
        <v>270</v>
      </c>
      <c r="AN64" s="439"/>
      <c r="AO64" s="439"/>
      <c r="AP64" s="439"/>
      <c r="AQ64" s="439"/>
      <c r="AR64" s="439"/>
      <c r="AS64" s="439"/>
      <c r="AT64" s="439"/>
      <c r="AU64" s="439"/>
      <c r="AV64" s="439"/>
      <c r="AW64" s="439"/>
      <c r="AX64" s="439"/>
      <c r="AY64" s="439"/>
      <c r="AZ64" s="439"/>
      <c r="BA64" s="439"/>
      <c r="BB64" s="439"/>
      <c r="BC64" s="440"/>
      <c r="BE64" s="439" t="s">
        <v>246</v>
      </c>
      <c r="BF64" s="439"/>
      <c r="BG64" s="439"/>
      <c r="BH64" s="439"/>
      <c r="BI64" s="439"/>
      <c r="BJ64" s="439"/>
      <c r="BK64" s="439"/>
      <c r="BL64" s="439"/>
      <c r="BM64" s="439"/>
    </row>
    <row r="65" spans="1:65" x14ac:dyDescent="0.25">
      <c r="C65" s="236"/>
      <c r="E65" s="229"/>
      <c r="F65" s="229"/>
      <c r="G65" s="229"/>
      <c r="H65" s="229"/>
      <c r="I65" s="229"/>
      <c r="J65" s="229"/>
      <c r="L65" s="164"/>
      <c r="O65" s="229"/>
      <c r="P65" s="164"/>
      <c r="T65" s="127"/>
      <c r="U65" s="127"/>
      <c r="V65" s="127"/>
      <c r="W65" s="127"/>
      <c r="X65" s="127"/>
      <c r="Y65" s="127"/>
      <c r="AA65" s="229"/>
      <c r="AC65" s="229"/>
      <c r="AD65" s="229"/>
      <c r="AE65" s="229"/>
      <c r="AF65" s="229"/>
      <c r="AG65" s="229"/>
      <c r="AH65" s="229"/>
      <c r="AI65" s="229"/>
      <c r="AJ65" s="229"/>
      <c r="AK65" s="127"/>
      <c r="AM65" s="229"/>
      <c r="AN65" s="229"/>
      <c r="AO65" s="229"/>
      <c r="AP65" s="229"/>
      <c r="AQ65" s="229"/>
      <c r="AR65" s="229"/>
      <c r="AS65" s="229"/>
      <c r="AT65" s="229"/>
      <c r="AU65" s="229"/>
      <c r="AV65" s="229"/>
      <c r="AW65" s="229"/>
      <c r="AX65" s="229"/>
      <c r="AY65" s="229"/>
      <c r="AZ65" s="229"/>
      <c r="BA65" s="229"/>
      <c r="BB65" s="229"/>
      <c r="BC65" s="229"/>
    </row>
    <row r="66" spans="1:65" ht="60" x14ac:dyDescent="0.25">
      <c r="C66" s="238" t="s">
        <v>5</v>
      </c>
      <c r="D66" s="239"/>
      <c r="E66" s="240" t="s">
        <v>268</v>
      </c>
      <c r="F66" s="241" t="s">
        <v>271</v>
      </c>
      <c r="G66" s="242" t="s">
        <v>267</v>
      </c>
      <c r="H66" s="243" t="s">
        <v>266</v>
      </c>
      <c r="I66" s="242" t="s">
        <v>265</v>
      </c>
      <c r="J66" s="244" t="s">
        <v>6</v>
      </c>
      <c r="L66" s="245" t="s">
        <v>7</v>
      </c>
      <c r="M66" s="246" t="s">
        <v>254</v>
      </c>
      <c r="N66" s="247"/>
      <c r="O66" s="248" t="s">
        <v>272</v>
      </c>
      <c r="P66" s="249" t="s">
        <v>200</v>
      </c>
      <c r="R66" s="250" t="s">
        <v>151</v>
      </c>
      <c r="T66" s="251" t="s">
        <v>8</v>
      </c>
      <c r="U66" s="252" t="s">
        <v>9</v>
      </c>
      <c r="V66" s="252" t="s">
        <v>120</v>
      </c>
      <c r="W66" s="252" t="s">
        <v>121</v>
      </c>
      <c r="X66" s="253" t="s">
        <v>118</v>
      </c>
      <c r="Y66" s="254" t="s">
        <v>119</v>
      </c>
      <c r="AA66" s="255" t="s">
        <v>84</v>
      </c>
      <c r="AC66" s="256" t="s">
        <v>142</v>
      </c>
      <c r="AD66" s="256" t="s">
        <v>138</v>
      </c>
      <c r="AE66" s="257" t="s">
        <v>147</v>
      </c>
      <c r="AF66" s="257" t="s">
        <v>149</v>
      </c>
      <c r="AG66" s="256" t="s">
        <v>305</v>
      </c>
      <c r="AH66" s="256" t="s">
        <v>306</v>
      </c>
      <c r="AI66" s="257" t="s">
        <v>150</v>
      </c>
      <c r="AJ66" s="258" t="s">
        <v>250</v>
      </c>
      <c r="AK66" s="259" t="s">
        <v>373</v>
      </c>
      <c r="AM66" s="260" t="s">
        <v>256</v>
      </c>
      <c r="AN66" s="261" t="s">
        <v>372</v>
      </c>
      <c r="AO66" s="253" t="s">
        <v>170</v>
      </c>
      <c r="AP66" s="253" t="s">
        <v>171</v>
      </c>
      <c r="AQ66" s="253" t="s">
        <v>172</v>
      </c>
      <c r="AR66" s="253" t="s">
        <v>173</v>
      </c>
      <c r="AS66" s="253" t="s">
        <v>174</v>
      </c>
      <c r="AT66" s="253" t="s">
        <v>175</v>
      </c>
      <c r="AU66" s="262" t="s">
        <v>210</v>
      </c>
      <c r="AV66" s="262" t="s">
        <v>211</v>
      </c>
      <c r="AW66" s="262" t="s">
        <v>212</v>
      </c>
      <c r="AX66" s="262" t="s">
        <v>213</v>
      </c>
      <c r="AY66" s="263" t="s">
        <v>214</v>
      </c>
      <c r="AZ66" s="264" t="s">
        <v>111</v>
      </c>
      <c r="BA66" s="265" t="s">
        <v>199</v>
      </c>
      <c r="BB66" s="252" t="s">
        <v>223</v>
      </c>
      <c r="BC66" s="260" t="s">
        <v>112</v>
      </c>
      <c r="BE66" s="260" t="s">
        <v>257</v>
      </c>
      <c r="BF66" s="266" t="s">
        <v>255</v>
      </c>
      <c r="BG66" s="262" t="s">
        <v>247</v>
      </c>
      <c r="BH66" s="262" t="s">
        <v>248</v>
      </c>
      <c r="BI66" s="260" t="s">
        <v>249</v>
      </c>
      <c r="BJ66" s="253" t="s">
        <v>199</v>
      </c>
      <c r="BK66" s="262" t="s">
        <v>251</v>
      </c>
      <c r="BL66" s="259" t="s">
        <v>373</v>
      </c>
      <c r="BM66" s="260" t="s">
        <v>252</v>
      </c>
    </row>
    <row r="67" spans="1:65" x14ac:dyDescent="0.25">
      <c r="T67" s="120"/>
      <c r="U67" s="120"/>
      <c r="V67" s="120"/>
      <c r="W67" s="120"/>
      <c r="X67" s="120"/>
      <c r="Y67" s="120"/>
      <c r="AM67" s="267" t="s">
        <v>322</v>
      </c>
      <c r="AN67" s="237"/>
      <c r="AO67" s="237"/>
      <c r="AP67" s="237"/>
      <c r="AQ67" s="237"/>
      <c r="AR67" s="237"/>
      <c r="AS67" s="237"/>
      <c r="AT67" s="237"/>
      <c r="AU67" s="237"/>
      <c r="AV67" s="237"/>
      <c r="AW67" s="237"/>
      <c r="AX67" s="237"/>
      <c r="AY67" s="237"/>
      <c r="AZ67" s="436" t="s">
        <v>320</v>
      </c>
      <c r="BA67" s="437"/>
      <c r="BB67" s="237"/>
      <c r="BC67" s="267" t="s">
        <v>321</v>
      </c>
    </row>
    <row r="68" spans="1:65" x14ac:dyDescent="0.25">
      <c r="A68" s="228">
        <f t="shared" ref="A68:A87" si="57">IF($E$62="","",$B$61)</f>
        <v>3</v>
      </c>
      <c r="C68" s="268"/>
      <c r="D68" s="239"/>
      <c r="E68" s="269"/>
      <c r="F68" s="270"/>
      <c r="G68" s="271"/>
      <c r="H68" s="272"/>
      <c r="I68" s="271"/>
      <c r="J68" s="273"/>
      <c r="O68" s="274"/>
      <c r="P68" s="247"/>
      <c r="T68" s="271"/>
      <c r="U68" s="271"/>
      <c r="V68" s="275"/>
      <c r="W68" s="269"/>
      <c r="X68" s="269"/>
      <c r="Y68" s="269"/>
      <c r="AA68" s="271"/>
      <c r="AC68" s="271"/>
      <c r="AD68" s="271"/>
      <c r="AE68" s="271"/>
      <c r="AF68" s="271"/>
      <c r="AG68" s="271"/>
      <c r="AH68" s="271"/>
      <c r="AI68" s="271"/>
      <c r="AJ68" s="271"/>
      <c r="AK68" s="275"/>
      <c r="AM68" s="271"/>
      <c r="AN68" s="271"/>
      <c r="AO68" s="276">
        <v>1</v>
      </c>
      <c r="AP68" s="276">
        <v>2</v>
      </c>
      <c r="AQ68" s="276">
        <v>3</v>
      </c>
      <c r="AR68" s="277">
        <v>4</v>
      </c>
      <c r="AS68" s="276">
        <v>5</v>
      </c>
      <c r="AT68" s="276">
        <v>6</v>
      </c>
      <c r="AU68" s="276">
        <v>11</v>
      </c>
      <c r="AV68" s="276">
        <v>22</v>
      </c>
      <c r="AW68" s="276">
        <v>33</v>
      </c>
      <c r="AX68" s="276">
        <v>55</v>
      </c>
      <c r="AY68" s="276">
        <v>66</v>
      </c>
      <c r="AZ68" s="271"/>
      <c r="BA68" s="271"/>
      <c r="BB68" s="271"/>
      <c r="BC68" s="273"/>
    </row>
    <row r="69" spans="1:65" x14ac:dyDescent="0.25">
      <c r="A69" s="228">
        <f t="shared" si="57"/>
        <v>3</v>
      </c>
      <c r="C69" s="278" t="s">
        <v>12</v>
      </c>
      <c r="E69" s="103">
        <f>IF($C69="",0,
IF(AND($E$2="Monthly",$A69&gt;12),0,
IF($E$2="Monthly",VLOOKUP($C69,'Employee information'!$B:$AM,COLUMNS('Employee information'!$B:S),0),
IF($E$2="Fortnightly",VLOOKUP($C69,'Employee information'!$B:$AM,COLUMNS('Employee information'!$B:R),0),
0))))</f>
        <v>75</v>
      </c>
      <c r="F69" s="279"/>
      <c r="G69" s="106"/>
      <c r="H69" s="280"/>
      <c r="I69" s="106"/>
      <c r="J69" s="103">
        <f>IF($E$2="Monthly",
IF(AND($E$2="Monthly",$H69&lt;&gt;""),$H69,
IF(AND($E$2="Monthly",$E69=0),SUM($F69:$G69),
$E69)),
IF($E$2="Fortnightly",
IF(AND($E$2="Fortnightly",$H69&lt;&gt;""),$H69,
IF(AND($E$2="Fortnightly",$F69&lt;&gt;"",$E69&lt;&gt;0),$F69,
IF(AND($E$2="Fortnightly",$E69=0),SUM($F69:$G69),
$E69)))))</f>
        <v>75</v>
      </c>
      <c r="L69" s="113">
        <f>IF(AND($E$2="Monthly",$A69&gt;12),"",
IFERROR($J69*VLOOKUP($C69,'Employee information'!$B:$AI,COLUMNS('Employee information'!$B:$P),0),0))</f>
        <v>3697.576396206533</v>
      </c>
      <c r="M69" s="114">
        <f>IF(AND($E$2="Monthly",$A69&gt;12),"",
SUMIFS($L:$L,$C:$C,$C69,$A:$A,"&lt;="&amp;$A69)
)</f>
        <v>11092.7291886196</v>
      </c>
      <c r="O69" s="103">
        <f>IF($E$2="Monthly",
IF(AND($E$2="Monthly",$H69&lt;&gt;""),$H69,
IF(AND($E$2="Monthly",$E69=0),$F69,
$E69)),
IF($E$2="Fortnightly",
IF(AND($E$2="Fortnightly",$H69&lt;&gt;""),$H69,
IF(AND($E$2="Fortnightly",$F69&lt;&gt;"",$E69&lt;&gt;0),$F69,
IF(AND($E$2="Fortnightly",$E69=0),$F69,
$E69)))))</f>
        <v>75</v>
      </c>
      <c r="P69" s="113">
        <f>IFERROR(
IF(AND($E$2="Monthly",$A69&gt;12),0,
$O69*VLOOKUP($C69,'Employee information'!$B:$AI,COLUMNS('Employee information'!$B:$P),0)),
0)</f>
        <v>3697.576396206533</v>
      </c>
      <c r="R69" s="114">
        <f t="shared" ref="R69:R87" si="58">IF(AND($E$2="Monthly",$A69&gt;12),"",
SUMIFS($P:$P,$C:$C,$C69,$A:$A,"&lt;="&amp;$A69)
)</f>
        <v>11092.7291886196</v>
      </c>
      <c r="T69" s="281"/>
      <c r="U69" s="103"/>
      <c r="V69" s="282">
        <f>IF($C69="","",
IF(AND($E$2="Monthly",$A69&gt;12),"",
$T69*VLOOKUP($C69,'Employee information'!$B:$P,COLUMNS('Employee information'!$B:$P),0)))</f>
        <v>0</v>
      </c>
      <c r="W69" s="282">
        <f>IF($C69="","",
IF(AND($E$2="Monthly",$A69&gt;12),"",
$U69*VLOOKUP($C69,'Employee information'!$B:$P,COLUMNS('Employee information'!$B:$P),0)))</f>
        <v>0</v>
      </c>
      <c r="X69" s="114">
        <f t="shared" ref="X69:X87" si="59">IF(AND($E$2="Monthly",$A69&gt;12),"",
SUMIFS($V:$V,$C:$C,$C69,$A:$A,"&lt;="&amp;$A69)
)</f>
        <v>0</v>
      </c>
      <c r="Y69" s="114">
        <f t="shared" ref="Y69:Y87" si="60">IF(AND($E$2="Monthly",$A69&gt;12),"",
SUMIFS($W:$W,$C:$C,$C69,$A:$A,"&lt;="&amp;$A69)
)</f>
        <v>0</v>
      </c>
      <c r="AA69" s="118">
        <f>IFERROR(
IF(OR('Basic payroll data'!$D$12="",'Basic payroll data'!$D$12="No"),0,
$T69*VLOOKUP($C69,'Employee information'!$B:$P,COLUMNS('Employee information'!$B:$P),0)*AL_loading_perc),
0)</f>
        <v>0</v>
      </c>
      <c r="AC69" s="118"/>
      <c r="AD69" s="118"/>
      <c r="AE69" s="283" t="str">
        <f>IF(LEFT($AD69,6)="Is OTE",1,
IF(LEFT($AD69,10)="Is not OTE",0,
""))</f>
        <v/>
      </c>
      <c r="AF69" s="283" t="str">
        <f>IF(RIGHT($AD69,12)="tax withheld",1,
IF(RIGHT($AD69,16)="tax not withheld",0,
""))</f>
        <v/>
      </c>
      <c r="AG69" s="118"/>
      <c r="AH69" s="118"/>
      <c r="AI69" s="283" t="str">
        <f>IF($AH69="FBT",0,
IF($AH69="Not FBT",1,
""))</f>
        <v/>
      </c>
      <c r="AJ69" s="118"/>
      <c r="AK69" s="118"/>
      <c r="AM69" s="118">
        <f>SUM($L69,$AA69,$AC69,$AG69,$AK69)-$AJ69</f>
        <v>3697.576396206533</v>
      </c>
      <c r="AN69" s="118">
        <f t="shared" ref="AN69:AN87" si="61">IF(AND(OR($AF69=1,$AF69=""),OR($AI69=1,$AI69="")),SUM($L69,$AA69,$AC69,$AG69,$AK69)-$AJ69,
IF(AND(OR($AF69=1,$AF69=""),$AI69=0),SUM($L69,$AA69,$AC69,$AK69)-$AJ69,
IF(AND($AF69=0,OR($AI69=1,$AI69="")),SUM($L69,$AA69,$AG69,$AK69)-$AJ69,
IF(AND($AF69=0,$AI69=0),SUM($L69,$AA69,$AK69)-$AJ69,
""))))</f>
        <v>3697.576396206533</v>
      </c>
      <c r="AO69" s="118" t="str">
        <f>IFERROR(
IF(VLOOKUP($C69,'Employee information'!$B:$M,COLUMNS('Employee information'!$B:$M),0)=1,
IF($E$2="Fortnightly",
ROUND(
ROUND((((TRUNC($AN69/2,0)+0.99))*VLOOKUP((TRUNC($AN69/2,0)+0.99),'Tax scales - NAT 1004'!$A$12:$C$18,2,1)-VLOOKUP((TRUNC($AN69/2,0)+0.99),'Tax scales - NAT 1004'!$A$12:$C$18,3,1)),0)
*2,
0),
IF(AND($E$2="Monthly",ROUND($AN69-TRUNC($AN69),2)=0.33),
ROUND(
ROUND(((TRUNC(($AN69+0.01)*3/13,0)+0.99)*VLOOKUP((TRUNC(($AN69+0.01)*3/13,0)+0.99),'Tax scales - NAT 1004'!$A$12:$C$18,2,1)-VLOOKUP((TRUNC(($AN69+0.01)*3/13,0)+0.99),'Tax scales - NAT 1004'!$A$12:$C$18,3,1)),0)
*13/3,
0),
IF($E$2="Monthly",
ROUND(
ROUND(((TRUNC($AN69*3/13,0)+0.99)*VLOOKUP((TRUNC($AN69*3/13,0)+0.99),'Tax scales - NAT 1004'!$A$12:$C$18,2,1)-VLOOKUP((TRUNC($AN69*3/13,0)+0.99),'Tax scales - NAT 1004'!$A$12:$C$18,3,1)),0)
*13/3,
0),
""))),
""),
"")</f>
        <v/>
      </c>
      <c r="AP69" s="118" t="str">
        <f>IFERROR(
IF(VLOOKUP($C69,'Employee information'!$B:$M,COLUMNS('Employee information'!$B:$M),0)=2,
IF($E$2="Fortnightly",
ROUND(
ROUND((((TRUNC($AN69/2,0)+0.99))*VLOOKUP((TRUNC($AN69/2,0)+0.99),'Tax scales - NAT 1004'!$A$25:$C$33,2,1)-VLOOKUP((TRUNC($AN69/2,0)+0.99),'Tax scales - NAT 1004'!$A$25:$C$33,3,1)),0)
*2,
0),
IF(AND($E$2="Monthly",ROUND($AN69-TRUNC($AN69),2)=0.33),
ROUND(
ROUND(((TRUNC(($AN69+0.01)*3/13,0)+0.99)*VLOOKUP((TRUNC(($AN69+0.01)*3/13,0)+0.99),'Tax scales - NAT 1004'!$A$25:$C$33,2,1)-VLOOKUP((TRUNC(($AN69+0.01)*3/13,0)+0.99),'Tax scales - NAT 1004'!$A$25:$C$33,3,1)),0)
*13/3,
0),
IF($E$2="Monthly",
ROUND(
ROUND(((TRUNC($AN69*3/13,0)+0.99)*VLOOKUP((TRUNC($AN69*3/13,0)+0.99),'Tax scales - NAT 1004'!$A$25:$C$33,2,1)-VLOOKUP((TRUNC($AN69*3/13,0)+0.99),'Tax scales - NAT 1004'!$A$25:$C$33,3,1)),0)
*13/3,
0),
""))),
""),
"")</f>
        <v/>
      </c>
      <c r="AQ69" s="118" t="str">
        <f>IFERROR(
IF(VLOOKUP($C69,'Employee information'!$B:$M,COLUMNS('Employee information'!$B:$M),0)=3,
IF($E$2="Fortnightly",
ROUND(
ROUND((((TRUNC($AN69/2,0)+0.99))*VLOOKUP((TRUNC($AN69/2,0)+0.99),'Tax scales - NAT 1004'!$A$39:$C$41,2,1)-VLOOKUP((TRUNC($AN69/2,0)+0.99),'Tax scales - NAT 1004'!$A$39:$C$41,3,1)),0)
*2,
0),
IF(AND($E$2="Monthly",ROUND($AN69-TRUNC($AN69),2)=0.33),
ROUND(
ROUND(((TRUNC(($AN69+0.01)*3/13,0)+0.99)*VLOOKUP((TRUNC(($AN69+0.01)*3/13,0)+0.99),'Tax scales - NAT 1004'!$A$39:$C$41,2,1)-VLOOKUP((TRUNC(($AN69+0.01)*3/13,0)+0.99),'Tax scales - NAT 1004'!$A$39:$C$41,3,1)),0)
*13/3,
0),
IF($E$2="Monthly",
ROUND(
ROUND(((TRUNC($AN69*3/13,0)+0.99)*VLOOKUP((TRUNC($AN69*3/13,0)+0.99),'Tax scales - NAT 1004'!$A$39:$C$41,2,1)-VLOOKUP((TRUNC($AN69*3/13,0)+0.99),'Tax scales - NAT 1004'!$A$39:$C$41,3,1)),0)
*13/3,
0),
""))),
""),
"")</f>
        <v/>
      </c>
      <c r="AR69" s="118" t="str">
        <f>IFERROR(
IF(AND(VLOOKUP($C69,'Employee information'!$B:$M,COLUMNS('Employee information'!$B:$M),0)=4,
VLOOKUP($C69,'Employee information'!$B:$J,COLUMNS('Employee information'!$B:$J),0)="Resident"),
TRUNC(TRUNC($AN69)*'Tax scales - NAT 1004'!$B$47),
IF(AND(VLOOKUP($C69,'Employee information'!$B:$M,COLUMNS('Employee information'!$B:$M),0)=4,
VLOOKUP($C69,'Employee information'!$B:$J,COLUMNS('Employee information'!$B:$J),0)="Foreign resident"),
TRUNC(TRUNC($AN69)*'Tax scales - NAT 1004'!$B$48),
"")),
"")</f>
        <v/>
      </c>
      <c r="AS69" s="118" t="str">
        <f>IFERROR(
IF(VLOOKUP($C69,'Employee information'!$B:$M,COLUMNS('Employee information'!$B:$M),0)=5,
IF($E$2="Fortnightly",
ROUND(
ROUND((((TRUNC($AN69/2,0)+0.99))*VLOOKUP((TRUNC($AN69/2,0)+0.99),'Tax scales - NAT 1004'!$A$53:$C$59,2,1)-VLOOKUP((TRUNC($AN69/2,0)+0.99),'Tax scales - NAT 1004'!$A$53:$C$59,3,1)),0)
*2,
0),
IF(AND($E$2="Monthly",ROUND($AN69-TRUNC($AN69),2)=0.33),
ROUND(
ROUND(((TRUNC(($AN69+0.01)*3/13,0)+0.99)*VLOOKUP((TRUNC(($AN69+0.01)*3/13,0)+0.99),'Tax scales - NAT 1004'!$A$53:$C$59,2,1)-VLOOKUP((TRUNC(($AN69+0.01)*3/13,0)+0.99),'Tax scales - NAT 1004'!$A$53:$C$59,3,1)),0)
*13/3,
0),
IF($E$2="Monthly",
ROUND(
ROUND(((TRUNC($AN69*3/13,0)+0.99)*VLOOKUP((TRUNC($AN69*3/13,0)+0.99),'Tax scales - NAT 1004'!$A$53:$C$59,2,1)-VLOOKUP((TRUNC($AN69*3/13,0)+0.99),'Tax scales - NAT 1004'!$A$53:$C$59,3,1)),0)
*13/3,
0),
""))),
""),
"")</f>
        <v/>
      </c>
      <c r="AT69" s="118" t="str">
        <f>IFERROR(
IF(VLOOKUP($C69,'Employee information'!$B:$M,COLUMNS('Employee information'!$B:$M),0)=6,
IF($E$2="Fortnightly",
ROUND(
ROUND((((TRUNC($AN69/2,0)+0.99))*VLOOKUP((TRUNC($AN69/2,0)+0.99),'Tax scales - NAT 1004'!$A$65:$C$73,2,1)-VLOOKUP((TRUNC($AN69/2,0)+0.99),'Tax scales - NAT 1004'!$A$65:$C$73,3,1)),0)
*2,
0),
IF(AND($E$2="Monthly",ROUND($AN69-TRUNC($AN69),2)=0.33),
ROUND(
ROUND(((TRUNC(($AN69+0.01)*3/13,0)+0.99)*VLOOKUP((TRUNC(($AN69+0.01)*3/13,0)+0.99),'Tax scales - NAT 1004'!$A$65:$C$73,2,1)-VLOOKUP((TRUNC(($AN69+0.01)*3/13,0)+0.99),'Tax scales - NAT 1004'!$A$65:$C$73,3,1)),0)
*13/3,
0),
IF($E$2="Monthly",
ROUND(
ROUND(((TRUNC($AN69*3/13,0)+0.99)*VLOOKUP((TRUNC($AN69*3/13,0)+0.99),'Tax scales - NAT 1004'!$A$65:$C$73,2,1)-VLOOKUP((TRUNC($AN69*3/13,0)+0.99),'Tax scales - NAT 1004'!$A$65:$C$73,3,1)),0)
*13/3,
0),
""))),
""),
"")</f>
        <v/>
      </c>
      <c r="AU69" s="118">
        <f>IFERROR(
IF(VLOOKUP($C69,'Employee information'!$B:$M,COLUMNS('Employee information'!$B:$M),0)=11,
IF($E$2="Fortnightly",
ROUND(
ROUND((((TRUNC($AN69/2,0)+0.99))*VLOOKUP((TRUNC($AN69/2,0)+0.99),'Tax scales - NAT 3539'!$A$14:$C$38,2,1)-VLOOKUP((TRUNC($AN69/2,0)+0.99),'Tax scales - NAT 3539'!$A$14:$C$38,3,1)),0)
*2,
0),
IF(AND($E$2="Monthly",ROUND($AN69-TRUNC($AN69),2)=0.33),
ROUND(
ROUND(((TRUNC(($AN69+0.01)*3/13,0)+0.99)*VLOOKUP((TRUNC(($AN69+0.01)*3/13,0)+0.99),'Tax scales - NAT 3539'!$A$14:$C$38,2,1)-VLOOKUP((TRUNC(($AN69+0.01)*3/13,0)+0.99),'Tax scales - NAT 3539'!$A$14:$C$38,3,1)),0)
*13/3,
0),
IF($E$2="Monthly",
ROUND(
ROUND(((TRUNC($AN69*3/13,0)+0.99)*VLOOKUP((TRUNC($AN69*3/13,0)+0.99),'Tax scales - NAT 3539'!$A$14:$C$38,2,1)-VLOOKUP((TRUNC($AN69*3/13,0)+0.99),'Tax scales - NAT 3539'!$A$14:$C$38,3,1)),0)
*13/3,
0),
""))),
""),
"")</f>
        <v>1448</v>
      </c>
      <c r="AV69" s="118" t="str">
        <f>IFERROR(
IF(VLOOKUP($C69,'Employee information'!$B:$M,COLUMNS('Employee information'!$B:$M),0)=22,
IF($E$2="Fortnightly",
ROUND(
ROUND((((TRUNC($AN69/2,0)+0.99))*VLOOKUP((TRUNC($AN69/2,0)+0.99),'Tax scales - NAT 3539'!$A$43:$C$69,2,1)-VLOOKUP((TRUNC($AN69/2,0)+0.99),'Tax scales - NAT 3539'!$A$43:$C$69,3,1)),0)
*2,
0),
IF(AND($E$2="Monthly",ROUND($AN69-TRUNC($AN69),2)=0.33),
ROUND(
ROUND(((TRUNC(($AN69+0.01)*3/13,0)+0.99)*VLOOKUP((TRUNC(($AN69+0.01)*3/13,0)+0.99),'Tax scales - NAT 3539'!$A$43:$C$69,2,1)-VLOOKUP((TRUNC(($AN69+0.01)*3/13,0)+0.99),'Tax scales - NAT 3539'!$A$43:$C$69,3,1)),0)
*13/3,
0),
IF($E$2="Monthly",
ROUND(
ROUND(((TRUNC($AN69*3/13,0)+0.99)*VLOOKUP((TRUNC($AN69*3/13,0)+0.99),'Tax scales - NAT 3539'!$A$43:$C$69,2,1)-VLOOKUP((TRUNC($AN69*3/13,0)+0.99),'Tax scales - NAT 3539'!$A$43:$C$69,3,1)),0)
*13/3,
0),
""))),
""),
"")</f>
        <v/>
      </c>
      <c r="AW69" s="118" t="str">
        <f>IFERROR(
IF(VLOOKUP($C69,'Employee information'!$B:$M,COLUMNS('Employee information'!$B:$M),0)=33,
IF($E$2="Fortnightly",
ROUND(
ROUND((((TRUNC($AN69/2,0)+0.99))*VLOOKUP((TRUNC($AN69/2,0)+0.99),'Tax scales - NAT 3539'!$A$74:$C$94,2,1)-VLOOKUP((TRUNC($AN69/2,0)+0.99),'Tax scales - NAT 3539'!$A$74:$C$94,3,1)),0)
*2,
0),
IF(AND($E$2="Monthly",ROUND($AN69-TRUNC($AN69),2)=0.33),
ROUND(
ROUND(((TRUNC(($AN69+0.01)*3/13,0)+0.99)*VLOOKUP((TRUNC(($AN69+0.01)*3/13,0)+0.99),'Tax scales - NAT 3539'!$A$74:$C$94,2,1)-VLOOKUP((TRUNC(($AN69+0.01)*3/13,0)+0.99),'Tax scales - NAT 3539'!$A$74:$C$94,3,1)),0)
*13/3,
0),
IF($E$2="Monthly",
ROUND(
ROUND(((TRUNC($AN69*3/13,0)+0.99)*VLOOKUP((TRUNC($AN69*3/13,0)+0.99),'Tax scales - NAT 3539'!$A$74:$C$94,2,1)-VLOOKUP((TRUNC($AN69*3/13,0)+0.99),'Tax scales - NAT 3539'!$A$74:$C$94,3,1)),0)
*13/3,
0),
""))),
""),
"")</f>
        <v/>
      </c>
      <c r="AX69" s="118" t="str">
        <f>IFERROR(
IF(VLOOKUP($C69,'Employee information'!$B:$M,COLUMNS('Employee information'!$B:$M),0)=55,
IF($E$2="Fortnightly",
ROUND(
ROUND((((TRUNC($AN69/2,0)+0.99))*VLOOKUP((TRUNC($AN69/2,0)+0.99),'Tax scales - NAT 3539'!$A$99:$C$123,2,1)-VLOOKUP((TRUNC($AN69/2,0)+0.99),'Tax scales - NAT 3539'!$A$99:$C$123,3,1)),0)
*2,
0),
IF(AND($E$2="Monthly",ROUND($AN69-TRUNC($AN69),2)=0.33),
ROUND(
ROUND(((TRUNC(($AN69+0.01)*3/13,0)+0.99)*VLOOKUP((TRUNC(($AN69+0.01)*3/13,0)+0.99),'Tax scales - NAT 3539'!$A$99:$C$123,2,1)-VLOOKUP((TRUNC(($AN69+0.01)*3/13,0)+0.99),'Tax scales - NAT 3539'!$A$99:$C$123,3,1)),0)
*13/3,
0),
IF($E$2="Monthly",
ROUND(
ROUND(((TRUNC($AN69*3/13,0)+0.99)*VLOOKUP((TRUNC($AN69*3/13,0)+0.99),'Tax scales - NAT 3539'!$A$99:$C$123,2,1)-VLOOKUP((TRUNC($AN69*3/13,0)+0.99),'Tax scales - NAT 3539'!$A$99:$C$123,3,1)),0)
*13/3,
0),
""))),
""),
"")</f>
        <v/>
      </c>
      <c r="AY69" s="118" t="str">
        <f>IFERROR(
IF(VLOOKUP($C69,'Employee information'!$B:$M,COLUMNS('Employee information'!$B:$M),0)=66,
IF($E$2="Fortnightly",
ROUND(
ROUND((((TRUNC($AN69/2,0)+0.99))*VLOOKUP((TRUNC($AN69/2,0)+0.99),'Tax scales - NAT 3539'!$A$127:$C$154,2,1)-VLOOKUP((TRUNC($AN69/2,0)+0.99),'Tax scales - NAT 3539'!$A$127:$C$154,3,1)),0)
*2,
0),
IF(AND($E$2="Monthly",ROUND($AN69-TRUNC($AN69),2)=0.33),
ROUND(
ROUND(((TRUNC(($AN69+0.01)*3/13,0)+0.99)*VLOOKUP((TRUNC(($AN69+0.01)*3/13,0)+0.99),'Tax scales - NAT 3539'!$A$127:$C$154,2,1)-VLOOKUP((TRUNC(($AN69+0.01)*3/13,0)+0.99),'Tax scales - NAT 3539'!$A$127:$C$154,3,1)),0)
*13/3,
0),
IF($E$2="Monthly",
ROUND(
ROUND(((TRUNC($AN69*3/13,0)+0.99)*VLOOKUP((TRUNC($AN69*3/13,0)+0.99),'Tax scales - NAT 3539'!$A$127:$C$154,2,1)-VLOOKUP((TRUNC($AN69*3/13,0)+0.99),'Tax scales - NAT 3539'!$A$127:$C$154,3,1)),0)
*13/3,
0),
""))),
""),
"")</f>
        <v/>
      </c>
      <c r="AZ69" s="118">
        <f>IFERROR(
HLOOKUP(VLOOKUP($C69,'Employee information'!$B:$M,COLUMNS('Employee information'!$B:$M),0),'PAYG worksheet'!$AO$68:$AY$87,COUNTA($C$69:$C69)+1,0),
0)</f>
        <v>1448</v>
      </c>
      <c r="BA69" s="118"/>
      <c r="BB69" s="118">
        <f>IFERROR($AM69-$AZ69-$BA69,"")</f>
        <v>2249.576396206533</v>
      </c>
      <c r="BC69" s="119">
        <f>IFERROR(
IF(OR($AE69=1,$AE69=""),SUM($P69,$AA69,$AC69,$AK69)*VLOOKUP($C69,'Employee information'!$B:$Q,COLUMNS('Employee information'!$B:$H),0),
IF($AE69=0,SUM($P69,$AA69,$AK69)*VLOOKUP($C69,'Employee information'!$B:$Q,COLUMNS('Employee information'!$B:$H),0),
0)),
0)</f>
        <v>351.26975763962065</v>
      </c>
      <c r="BE69" s="114">
        <f t="shared" ref="BE69:BE87" si="62">IF(AND($E$2="Monthly",$A69&gt;12),"",
SUMIFS($AM:$AM,$C:$C,$C69,$A:$A,"&lt;="&amp;$A69)
)</f>
        <v>11092.7291886196</v>
      </c>
      <c r="BF69" s="114">
        <f t="shared" ref="BF69:BF87" si="63">IF(AND($E$2="Monthly",$A69&gt;12),"",
SUMIFS($AN:$AN,$C:$C,$C69,$A:$A,"&lt;="&amp;$A69)
)</f>
        <v>11092.7291886196</v>
      </c>
      <c r="BG69" s="114">
        <f t="shared" ref="BG69:BG87" si="64">IF(AND($E$2="Monthly",$A69&gt;12),"",
SUMIFS($AC:$AC,$C:$C,$C69,$A:$A,"&lt;="&amp;$A69)
)</f>
        <v>0</v>
      </c>
      <c r="BH69" s="114">
        <f t="shared" ref="BH69:BH87" si="65">IF(AND($E$2="Monthly",$A69&gt;12),"",
SUMIFS($AG:$AG,$C:$C,$C69,$A:$A,"&lt;="&amp;$A69)
)</f>
        <v>0</v>
      </c>
      <c r="BI69" s="114">
        <f t="shared" ref="BI69:BI87" si="66">IF(AND($E$2="Monthly",$A69&gt;12),"",
SUMIFS($AZ:$AZ,$C:$C,$C69,$A:$A,"&lt;="&amp;$A69)
)</f>
        <v>4344</v>
      </c>
      <c r="BJ69" s="114">
        <f t="shared" ref="BJ69:BJ87" si="67">IF(AND($E$2="Monthly",$A69&gt;12),"",
SUMIFS($BA:$BA,$C:$C,$C69,$A:$A,"&lt;="&amp;$A69)
)</f>
        <v>0</v>
      </c>
      <c r="BK69" s="114">
        <f t="shared" ref="BK69:BK87" si="68">IF(AND($E$2="Monthly",$A69&gt;12),"",
SUMIFS($AJ:$AJ,$C:$C,$C69,$A:$A,"&lt;="&amp;$A69)
)</f>
        <v>0</v>
      </c>
      <c r="BL69" s="114">
        <f>IF(AND($E$2="Monthly",$A69&gt;12),"",
SUMIFS($AK:$AK,$C:$C,$C69,$A:$A,"&lt;="&amp;$A69)
)</f>
        <v>0</v>
      </c>
      <c r="BM69" s="114">
        <f t="shared" ref="BM69:BM87" si="69">IF(AND($E$2="Monthly",$A69&gt;12),"",
SUMIFS($BC:$BC,$C:$C,$C69,$A:$A,"&lt;="&amp;$A69)
)</f>
        <v>1053.809272918862</v>
      </c>
    </row>
    <row r="70" spans="1:65" x14ac:dyDescent="0.25">
      <c r="A70" s="228">
        <f t="shared" si="57"/>
        <v>3</v>
      </c>
      <c r="C70" s="278" t="s">
        <v>13</v>
      </c>
      <c r="E70" s="103">
        <f>IF($C70="",0,
IF(AND($E$2="Monthly",$A70&gt;12),0,
IF($E$2="Monthly",VLOOKUP($C70,'Employee information'!$B:$AM,COLUMNS('Employee information'!$B:S),0),
IF($E$2="Fortnightly",VLOOKUP($C70,'Employee information'!$B:$AM,COLUMNS('Employee information'!$B:R),0),
0))))</f>
        <v>0</v>
      </c>
      <c r="F70" s="106"/>
      <c r="G70" s="106"/>
      <c r="H70" s="106"/>
      <c r="I70" s="106"/>
      <c r="J70" s="103">
        <f t="shared" ref="J70:J87" si="70">IF($E$2="Monthly",
IF(AND($E$2="Monthly",$H70&lt;&gt;""),$H70,
IF(AND($E$2="Monthly",$E70=0),SUM($F70:$G70),
$E70)),
IF($E$2="Fortnightly",
IF(AND($E$2="Fortnightly",$H70&lt;&gt;""),$H70,
IF(AND($E$2="Fortnightly",$F70&lt;&gt;"",$E70&lt;&gt;0),$F70,
IF(AND($E$2="Fortnightly",$E70=0),SUM($F70:$G70),
$E70)))))</f>
        <v>0</v>
      </c>
      <c r="L70" s="113">
        <f>IF(AND($E$2="Monthly",$A70&gt;12),"",
IFERROR($J70*VLOOKUP($C70,'Employee information'!$B:$AI,COLUMNS('Employee information'!$B:$P),0),0))</f>
        <v>0</v>
      </c>
      <c r="M70" s="114">
        <f t="shared" ref="M70:M87" si="71">IF(AND($E$2="Monthly",$A70&gt;12),"",
SUMIFS($L:$L,$C:$C,$C70,$A:$A,"&lt;="&amp;$A70)
)</f>
        <v>1615.3846153846152</v>
      </c>
      <c r="O70" s="103">
        <f t="shared" ref="O70:O87" si="72">IF($E$2="Monthly",
IF(AND($E$2="Monthly",$H70&lt;&gt;""),$H70,
IF(AND($E$2="Monthly",$E70=0),$F70,
$E70)),
IF($E$2="Fortnightly",
IF(AND($E$2="Fortnightly",$H70&lt;&gt;""),$H70,
IF(AND($E$2="Fortnightly",$F70&lt;&gt;"",$E70&lt;&gt;0),$F70,
IF(AND($E$2="Fortnightly",$E70=0),$F70,
$E70)))))</f>
        <v>0</v>
      </c>
      <c r="P70" s="113">
        <f>IFERROR(
IF(AND($E$2="Monthly",$A70&gt;12),0,
$O70*VLOOKUP($C70,'Employee information'!$B:$AI,COLUMNS('Employee information'!$B:$P),0)),
0)</f>
        <v>0</v>
      </c>
      <c r="R70" s="114">
        <f t="shared" si="58"/>
        <v>1615.3846153846152</v>
      </c>
      <c r="T70" s="103"/>
      <c r="U70" s="103"/>
      <c r="V70" s="282">
        <f>IF($C70="","",
IF(AND($E$2="Monthly",$A70&gt;12),"",
$T70*VLOOKUP($C70,'Employee information'!$B:$P,COLUMNS('Employee information'!$B:$P),0)))</f>
        <v>0</v>
      </c>
      <c r="W70" s="282">
        <f>IF($C70="","",
IF(AND($E$2="Monthly",$A70&gt;12),"",
$U70*VLOOKUP($C70,'Employee information'!$B:$P,COLUMNS('Employee information'!$B:$P),0)))</f>
        <v>0</v>
      </c>
      <c r="X70" s="114">
        <f t="shared" si="59"/>
        <v>0</v>
      </c>
      <c r="Y70" s="114">
        <f t="shared" si="60"/>
        <v>288.46153846153845</v>
      </c>
      <c r="AA70" s="118">
        <f>IFERROR(
IF(OR('Basic payroll data'!$D$12="",'Basic payroll data'!$D$12="No"),0,
$T70*VLOOKUP($C70,'Employee information'!$B:$P,COLUMNS('Employee information'!$B:$P),0)*AL_loading_perc),
0)</f>
        <v>0</v>
      </c>
      <c r="AC70" s="118"/>
      <c r="AD70" s="118"/>
      <c r="AE70" s="283" t="str">
        <f t="shared" ref="AE70:AE87" si="73">IF(LEFT($AD70,6)="Is OTE",1,
IF(LEFT($AD70,10)="Is not OTE",0,
""))</f>
        <v/>
      </c>
      <c r="AF70" s="283" t="str">
        <f t="shared" ref="AF70:AF87" si="74">IF(RIGHT($AD70,12)="tax withheld",1,
IF(RIGHT($AD70,16)="tax not withheld",0,
""))</f>
        <v/>
      </c>
      <c r="AG70" s="118"/>
      <c r="AH70" s="118"/>
      <c r="AI70" s="283" t="str">
        <f t="shared" ref="AI70:AI87" si="75">IF($AH70="FBT",0,
IF($AH70="Not FBT",1,
""))</f>
        <v/>
      </c>
      <c r="AJ70" s="118"/>
      <c r="AK70" s="118"/>
      <c r="AM70" s="118">
        <f t="shared" ref="AM70:AM87" si="76">SUM($L70,$AA70,$AC70,$AG70,$AK70)-$AJ70</f>
        <v>0</v>
      </c>
      <c r="AN70" s="118">
        <f t="shared" si="61"/>
        <v>0</v>
      </c>
      <c r="AO70" s="118" t="str">
        <f>IFERROR(
IF(VLOOKUP($C70,'Employee information'!$B:$M,COLUMNS('Employee information'!$B:$M),0)=1,
IF($E$2="Fortnightly",
ROUND(
ROUND((((TRUNC($AN70/2,0)+0.99))*VLOOKUP((TRUNC($AN70/2,0)+0.99),'Tax scales - NAT 1004'!$A$12:$C$18,2,1)-VLOOKUP((TRUNC($AN70/2,0)+0.99),'Tax scales - NAT 1004'!$A$12:$C$18,3,1)),0)
*2,
0),
IF(AND($E$2="Monthly",ROUND($AN70-TRUNC($AN70),2)=0.33),
ROUND(
ROUND(((TRUNC(($AN70+0.01)*3/13,0)+0.99)*VLOOKUP((TRUNC(($AN70+0.01)*3/13,0)+0.99),'Tax scales - NAT 1004'!$A$12:$C$18,2,1)-VLOOKUP((TRUNC(($AN70+0.01)*3/13,0)+0.99),'Tax scales - NAT 1004'!$A$12:$C$18,3,1)),0)
*13/3,
0),
IF($E$2="Monthly",
ROUND(
ROUND(((TRUNC($AN70*3/13,0)+0.99)*VLOOKUP((TRUNC($AN70*3/13,0)+0.99),'Tax scales - NAT 1004'!$A$12:$C$18,2,1)-VLOOKUP((TRUNC($AN70*3/13,0)+0.99),'Tax scales - NAT 1004'!$A$12:$C$18,3,1)),0)
*13/3,
0),
""))),
""),
"")</f>
        <v/>
      </c>
      <c r="AP70" s="118" t="str">
        <f>IFERROR(
IF(VLOOKUP($C70,'Employee information'!$B:$M,COLUMNS('Employee information'!$B:$M),0)=2,
IF($E$2="Fortnightly",
ROUND(
ROUND((((TRUNC($AN70/2,0)+0.99))*VLOOKUP((TRUNC($AN70/2,0)+0.99),'Tax scales - NAT 1004'!$A$25:$C$33,2,1)-VLOOKUP((TRUNC($AN70/2,0)+0.99),'Tax scales - NAT 1004'!$A$25:$C$33,3,1)),0)
*2,
0),
IF(AND($E$2="Monthly",ROUND($AN70-TRUNC($AN70),2)=0.33),
ROUND(
ROUND(((TRUNC(($AN70+0.01)*3/13,0)+0.99)*VLOOKUP((TRUNC(($AN70+0.01)*3/13,0)+0.99),'Tax scales - NAT 1004'!$A$25:$C$33,2,1)-VLOOKUP((TRUNC(($AN70+0.01)*3/13,0)+0.99),'Tax scales - NAT 1004'!$A$25:$C$33,3,1)),0)
*13/3,
0),
IF($E$2="Monthly",
ROUND(
ROUND(((TRUNC($AN70*3/13,0)+0.99)*VLOOKUP((TRUNC($AN70*3/13,0)+0.99),'Tax scales - NAT 1004'!$A$25:$C$33,2,1)-VLOOKUP((TRUNC($AN70*3/13,0)+0.99),'Tax scales - NAT 1004'!$A$25:$C$33,3,1)),0)
*13/3,
0),
""))),
""),
"")</f>
        <v/>
      </c>
      <c r="AQ70" s="118" t="str">
        <f>IFERROR(
IF(VLOOKUP($C70,'Employee information'!$B:$M,COLUMNS('Employee information'!$B:$M),0)=3,
IF($E$2="Fortnightly",
ROUND(
ROUND((((TRUNC($AN70/2,0)+0.99))*VLOOKUP((TRUNC($AN70/2,0)+0.99),'Tax scales - NAT 1004'!$A$39:$C$41,2,1)-VLOOKUP((TRUNC($AN70/2,0)+0.99),'Tax scales - NAT 1004'!$A$39:$C$41,3,1)),0)
*2,
0),
IF(AND($E$2="Monthly",ROUND($AN70-TRUNC($AN70),2)=0.33),
ROUND(
ROUND(((TRUNC(($AN70+0.01)*3/13,0)+0.99)*VLOOKUP((TRUNC(($AN70+0.01)*3/13,0)+0.99),'Tax scales - NAT 1004'!$A$39:$C$41,2,1)-VLOOKUP((TRUNC(($AN70+0.01)*3/13,0)+0.99),'Tax scales - NAT 1004'!$A$39:$C$41,3,1)),0)
*13/3,
0),
IF($E$2="Monthly",
ROUND(
ROUND(((TRUNC($AN70*3/13,0)+0.99)*VLOOKUP((TRUNC($AN70*3/13,0)+0.99),'Tax scales - NAT 1004'!$A$39:$C$41,2,1)-VLOOKUP((TRUNC($AN70*3/13,0)+0.99),'Tax scales - NAT 1004'!$A$39:$C$41,3,1)),0)
*13/3,
0),
""))),
""),
"")</f>
        <v/>
      </c>
      <c r="AR70" s="118" t="str">
        <f>IFERROR(
IF(AND(VLOOKUP($C70,'Employee information'!$B:$M,COLUMNS('Employee information'!$B:$M),0)=4,
VLOOKUP($C70,'Employee information'!$B:$J,COLUMNS('Employee information'!$B:$J),0)="Resident"),
TRUNC(TRUNC($AN70)*'Tax scales - NAT 1004'!$B$47),
IF(AND(VLOOKUP($C70,'Employee information'!$B:$M,COLUMNS('Employee information'!$B:$M),0)=4,
VLOOKUP($C70,'Employee information'!$B:$J,COLUMNS('Employee information'!$B:$J),0)="Foreign resident"),
TRUNC(TRUNC($AN70)*'Tax scales - NAT 1004'!$B$48),
"")),
"")</f>
        <v/>
      </c>
      <c r="AS70" s="118" t="str">
        <f>IFERROR(
IF(VLOOKUP($C70,'Employee information'!$B:$M,COLUMNS('Employee information'!$B:$M),0)=5,
IF($E$2="Fortnightly",
ROUND(
ROUND((((TRUNC($AN70/2,0)+0.99))*VLOOKUP((TRUNC($AN70/2,0)+0.99),'Tax scales - NAT 1004'!$A$53:$C$59,2,1)-VLOOKUP((TRUNC($AN70/2,0)+0.99),'Tax scales - NAT 1004'!$A$53:$C$59,3,1)),0)
*2,
0),
IF(AND($E$2="Monthly",ROUND($AN70-TRUNC($AN70),2)=0.33),
ROUND(
ROUND(((TRUNC(($AN70+0.01)*3/13,0)+0.99)*VLOOKUP((TRUNC(($AN70+0.01)*3/13,0)+0.99),'Tax scales - NAT 1004'!$A$53:$C$59,2,1)-VLOOKUP((TRUNC(($AN70+0.01)*3/13,0)+0.99),'Tax scales - NAT 1004'!$A$53:$C$59,3,1)),0)
*13/3,
0),
IF($E$2="Monthly",
ROUND(
ROUND(((TRUNC($AN70*3/13,0)+0.99)*VLOOKUP((TRUNC($AN70*3/13,0)+0.99),'Tax scales - NAT 1004'!$A$53:$C$59,2,1)-VLOOKUP((TRUNC($AN70*3/13,0)+0.99),'Tax scales - NAT 1004'!$A$53:$C$59,3,1)),0)
*13/3,
0),
""))),
""),
"")</f>
        <v/>
      </c>
      <c r="AT70" s="118" t="str">
        <f>IFERROR(
IF(VLOOKUP($C70,'Employee information'!$B:$M,COLUMNS('Employee information'!$B:$M),0)=6,
IF($E$2="Fortnightly",
ROUND(
ROUND((((TRUNC($AN70/2,0)+0.99))*VLOOKUP((TRUNC($AN70/2,0)+0.99),'Tax scales - NAT 1004'!$A$65:$C$73,2,1)-VLOOKUP((TRUNC($AN70/2,0)+0.99),'Tax scales - NAT 1004'!$A$65:$C$73,3,1)),0)
*2,
0),
IF(AND($E$2="Monthly",ROUND($AN70-TRUNC($AN70),2)=0.33),
ROUND(
ROUND(((TRUNC(($AN70+0.01)*3/13,0)+0.99)*VLOOKUP((TRUNC(($AN70+0.01)*3/13,0)+0.99),'Tax scales - NAT 1004'!$A$65:$C$73,2,1)-VLOOKUP((TRUNC(($AN70+0.01)*3/13,0)+0.99),'Tax scales - NAT 1004'!$A$65:$C$73,3,1)),0)
*13/3,
0),
IF($E$2="Monthly",
ROUND(
ROUND(((TRUNC($AN70*3/13,0)+0.99)*VLOOKUP((TRUNC($AN70*3/13,0)+0.99),'Tax scales - NAT 1004'!$A$65:$C$73,2,1)-VLOOKUP((TRUNC($AN70*3/13,0)+0.99),'Tax scales - NAT 1004'!$A$65:$C$73,3,1)),0)
*13/3,
0),
""))),
""),
"")</f>
        <v/>
      </c>
      <c r="AU70" s="118">
        <f>IFERROR(
IF(VLOOKUP($C70,'Employee information'!$B:$M,COLUMNS('Employee information'!$B:$M),0)=11,
IF($E$2="Fortnightly",
ROUND(
ROUND((((TRUNC($AN70/2,0)+0.99))*VLOOKUP((TRUNC($AN70/2,0)+0.99),'Tax scales - NAT 3539'!$A$14:$C$38,2,1)-VLOOKUP((TRUNC($AN70/2,0)+0.99),'Tax scales - NAT 3539'!$A$14:$C$38,3,1)),0)
*2,
0),
IF(AND($E$2="Monthly",ROUND($AN70-TRUNC($AN70),2)=0.33),
ROUND(
ROUND(((TRUNC(($AN70+0.01)*3/13,0)+0.99)*VLOOKUP((TRUNC(($AN70+0.01)*3/13,0)+0.99),'Tax scales - NAT 3539'!$A$14:$C$38,2,1)-VLOOKUP((TRUNC(($AN70+0.01)*3/13,0)+0.99),'Tax scales - NAT 3539'!$A$14:$C$38,3,1)),0)
*13/3,
0),
IF($E$2="Monthly",
ROUND(
ROUND(((TRUNC($AN70*3/13,0)+0.99)*VLOOKUP((TRUNC($AN70*3/13,0)+0.99),'Tax scales - NAT 3539'!$A$14:$C$38,2,1)-VLOOKUP((TRUNC($AN70*3/13,0)+0.99),'Tax scales - NAT 3539'!$A$14:$C$38,3,1)),0)
*13/3,
0),
""))),
""),
"")</f>
        <v>0</v>
      </c>
      <c r="AV70" s="118" t="str">
        <f>IFERROR(
IF(VLOOKUP($C70,'Employee information'!$B:$M,COLUMNS('Employee information'!$B:$M),0)=22,
IF($E$2="Fortnightly",
ROUND(
ROUND((((TRUNC($AN70/2,0)+0.99))*VLOOKUP((TRUNC($AN70/2,0)+0.99),'Tax scales - NAT 3539'!$A$43:$C$69,2,1)-VLOOKUP((TRUNC($AN70/2,0)+0.99),'Tax scales - NAT 3539'!$A$43:$C$69,3,1)),0)
*2,
0),
IF(AND($E$2="Monthly",ROUND($AN70-TRUNC($AN70),2)=0.33),
ROUND(
ROUND(((TRUNC(($AN70+0.01)*3/13,0)+0.99)*VLOOKUP((TRUNC(($AN70+0.01)*3/13,0)+0.99),'Tax scales - NAT 3539'!$A$43:$C$69,2,1)-VLOOKUP((TRUNC(($AN70+0.01)*3/13,0)+0.99),'Tax scales - NAT 3539'!$A$43:$C$69,3,1)),0)
*13/3,
0),
IF($E$2="Monthly",
ROUND(
ROUND(((TRUNC($AN70*3/13,0)+0.99)*VLOOKUP((TRUNC($AN70*3/13,0)+0.99),'Tax scales - NAT 3539'!$A$43:$C$69,2,1)-VLOOKUP((TRUNC($AN70*3/13,0)+0.99),'Tax scales - NAT 3539'!$A$43:$C$69,3,1)),0)
*13/3,
0),
""))),
""),
"")</f>
        <v/>
      </c>
      <c r="AW70" s="118" t="str">
        <f>IFERROR(
IF(VLOOKUP($C70,'Employee information'!$B:$M,COLUMNS('Employee information'!$B:$M),0)=33,
IF($E$2="Fortnightly",
ROUND(
ROUND((((TRUNC($AN70/2,0)+0.99))*VLOOKUP((TRUNC($AN70/2,0)+0.99),'Tax scales - NAT 3539'!$A$74:$C$94,2,1)-VLOOKUP((TRUNC($AN70/2,0)+0.99),'Tax scales - NAT 3539'!$A$74:$C$94,3,1)),0)
*2,
0),
IF(AND($E$2="Monthly",ROUND($AN70-TRUNC($AN70),2)=0.33),
ROUND(
ROUND(((TRUNC(($AN70+0.01)*3/13,0)+0.99)*VLOOKUP((TRUNC(($AN70+0.01)*3/13,0)+0.99),'Tax scales - NAT 3539'!$A$74:$C$94,2,1)-VLOOKUP((TRUNC(($AN70+0.01)*3/13,0)+0.99),'Tax scales - NAT 3539'!$A$74:$C$94,3,1)),0)
*13/3,
0),
IF($E$2="Monthly",
ROUND(
ROUND(((TRUNC($AN70*3/13,0)+0.99)*VLOOKUP((TRUNC($AN70*3/13,0)+0.99),'Tax scales - NAT 3539'!$A$74:$C$94,2,1)-VLOOKUP((TRUNC($AN70*3/13,0)+0.99),'Tax scales - NAT 3539'!$A$74:$C$94,3,1)),0)
*13/3,
0),
""))),
""),
"")</f>
        <v/>
      </c>
      <c r="AX70" s="118" t="str">
        <f>IFERROR(
IF(VLOOKUP($C70,'Employee information'!$B:$M,COLUMNS('Employee information'!$B:$M),0)=55,
IF($E$2="Fortnightly",
ROUND(
ROUND((((TRUNC($AN70/2,0)+0.99))*VLOOKUP((TRUNC($AN70/2,0)+0.99),'Tax scales - NAT 3539'!$A$99:$C$123,2,1)-VLOOKUP((TRUNC($AN70/2,0)+0.99),'Tax scales - NAT 3539'!$A$99:$C$123,3,1)),0)
*2,
0),
IF(AND($E$2="Monthly",ROUND($AN70-TRUNC($AN70),2)=0.33),
ROUND(
ROUND(((TRUNC(($AN70+0.01)*3/13,0)+0.99)*VLOOKUP((TRUNC(($AN70+0.01)*3/13,0)+0.99),'Tax scales - NAT 3539'!$A$99:$C$123,2,1)-VLOOKUP((TRUNC(($AN70+0.01)*3/13,0)+0.99),'Tax scales - NAT 3539'!$A$99:$C$123,3,1)),0)
*13/3,
0),
IF($E$2="Monthly",
ROUND(
ROUND(((TRUNC($AN70*3/13,0)+0.99)*VLOOKUP((TRUNC($AN70*3/13,0)+0.99),'Tax scales - NAT 3539'!$A$99:$C$123,2,1)-VLOOKUP((TRUNC($AN70*3/13,0)+0.99),'Tax scales - NAT 3539'!$A$99:$C$123,3,1)),0)
*13/3,
0),
""))),
""),
"")</f>
        <v/>
      </c>
      <c r="AY70" s="118" t="str">
        <f>IFERROR(
IF(VLOOKUP($C70,'Employee information'!$B:$M,COLUMNS('Employee information'!$B:$M),0)=66,
IF($E$2="Fortnightly",
ROUND(
ROUND((((TRUNC($AN70/2,0)+0.99))*VLOOKUP((TRUNC($AN70/2,0)+0.99),'Tax scales - NAT 3539'!$A$127:$C$154,2,1)-VLOOKUP((TRUNC($AN70/2,0)+0.99),'Tax scales - NAT 3539'!$A$127:$C$154,3,1)),0)
*2,
0),
IF(AND($E$2="Monthly",ROUND($AN70-TRUNC($AN70),2)=0.33),
ROUND(
ROUND(((TRUNC(($AN70+0.01)*3/13,0)+0.99)*VLOOKUP((TRUNC(($AN70+0.01)*3/13,0)+0.99),'Tax scales - NAT 3539'!$A$127:$C$154,2,1)-VLOOKUP((TRUNC(($AN70+0.01)*3/13,0)+0.99),'Tax scales - NAT 3539'!$A$127:$C$154,3,1)),0)
*13/3,
0),
IF($E$2="Monthly",
ROUND(
ROUND(((TRUNC($AN70*3/13,0)+0.99)*VLOOKUP((TRUNC($AN70*3/13,0)+0.99),'Tax scales - NAT 3539'!$A$127:$C$154,2,1)-VLOOKUP((TRUNC($AN70*3/13,0)+0.99),'Tax scales - NAT 3539'!$A$127:$C$154,3,1)),0)
*13/3,
0),
""))),
""),
"")</f>
        <v/>
      </c>
      <c r="AZ70" s="118">
        <f>IFERROR(
HLOOKUP(VLOOKUP($C70,'Employee information'!$B:$M,COLUMNS('Employee information'!$B:$M),0),'PAYG worksheet'!$AO$68:$AY$87,COUNTA($C$69:$C70)+1,0),
0)</f>
        <v>0</v>
      </c>
      <c r="BA70" s="118"/>
      <c r="BB70" s="118">
        <f t="shared" ref="BB70:BB87" si="77">IFERROR($AM70-$AZ70-$BA70,"")</f>
        <v>0</v>
      </c>
      <c r="BC70" s="119">
        <f>IFERROR(
IF(OR($AE70=1,$AE70=""),SUM($P70,$AA70,$AC70,$AK70)*VLOOKUP($C70,'Employee information'!$B:$Q,COLUMNS('Employee information'!$B:$H),0),
IF($AE70=0,SUM($P70,$AA70,$AK70)*VLOOKUP($C70,'Employee information'!$B:$Q,COLUMNS('Employee information'!$B:$H),0),
0)),
0)</f>
        <v>0</v>
      </c>
      <c r="BE70" s="114">
        <f t="shared" si="62"/>
        <v>1615.3846153846152</v>
      </c>
      <c r="BF70" s="114">
        <f t="shared" si="63"/>
        <v>1615.3846153846152</v>
      </c>
      <c r="BG70" s="114">
        <f t="shared" si="64"/>
        <v>0</v>
      </c>
      <c r="BH70" s="114">
        <f t="shared" si="65"/>
        <v>0</v>
      </c>
      <c r="BI70" s="114">
        <f t="shared" si="66"/>
        <v>474</v>
      </c>
      <c r="BJ70" s="114">
        <f t="shared" si="67"/>
        <v>0</v>
      </c>
      <c r="BK70" s="114">
        <f t="shared" si="68"/>
        <v>0</v>
      </c>
      <c r="BL70" s="114">
        <f t="shared" ref="BL70:BL87" si="78">IF(AND($E$2="Monthly",$A70&gt;12),"",
SUMIFS($AK:$AK,$C:$C,$C70,$A:$A,"&lt;="&amp;$A70)
)</f>
        <v>0</v>
      </c>
      <c r="BM70" s="114">
        <f t="shared" si="69"/>
        <v>153.46153846153845</v>
      </c>
    </row>
    <row r="71" spans="1:65" x14ac:dyDescent="0.25">
      <c r="A71" s="228">
        <f t="shared" si="57"/>
        <v>3</v>
      </c>
      <c r="C71" s="278" t="s">
        <v>14</v>
      </c>
      <c r="E71" s="103">
        <f>IF($C71="",0,
IF(AND($E$2="Monthly",$A71&gt;12),0,
IF($E$2="Monthly",VLOOKUP($C71,'Employee information'!$B:$AM,COLUMNS('Employee information'!$B:S),0),
IF($E$2="Fortnightly",VLOOKUP($C71,'Employee information'!$B:$AM,COLUMNS('Employee information'!$B:R),0),
0))))</f>
        <v>0</v>
      </c>
      <c r="F71" s="106"/>
      <c r="G71" s="106"/>
      <c r="H71" s="106"/>
      <c r="I71" s="106"/>
      <c r="J71" s="103">
        <f t="shared" si="70"/>
        <v>0</v>
      </c>
      <c r="L71" s="113">
        <f>IF(AND($E$2="Monthly",$A71&gt;12),"",
IFERROR($J71*VLOOKUP($C71,'Employee information'!$B:$AI,COLUMNS('Employee information'!$B:$P),0),0))</f>
        <v>0</v>
      </c>
      <c r="M71" s="114">
        <f t="shared" si="71"/>
        <v>900</v>
      </c>
      <c r="O71" s="103">
        <f t="shared" si="72"/>
        <v>0</v>
      </c>
      <c r="P71" s="113">
        <f>IFERROR(
IF(AND($E$2="Monthly",$A71&gt;12),0,
$O71*VLOOKUP($C71,'Employee information'!$B:$AI,COLUMNS('Employee information'!$B:$P),0)),
0)</f>
        <v>0</v>
      </c>
      <c r="R71" s="114">
        <f t="shared" si="58"/>
        <v>900</v>
      </c>
      <c r="T71" s="103"/>
      <c r="U71" s="103"/>
      <c r="V71" s="282">
        <f>IF($C71="","",
IF(AND($E$2="Monthly",$A71&gt;12),"",
$T71*VLOOKUP($C71,'Employee information'!$B:$P,COLUMNS('Employee information'!$B:$P),0)))</f>
        <v>0</v>
      </c>
      <c r="W71" s="282">
        <f>IF($C71="","",
IF(AND($E$2="Monthly",$A71&gt;12),"",
$U71*VLOOKUP($C71,'Employee information'!$B:$P,COLUMNS('Employee information'!$B:$P),0)))</f>
        <v>0</v>
      </c>
      <c r="X71" s="114">
        <f t="shared" si="59"/>
        <v>0</v>
      </c>
      <c r="Y71" s="114">
        <f t="shared" si="60"/>
        <v>0</v>
      </c>
      <c r="AA71" s="118">
        <f>IFERROR(
IF(OR('Basic payroll data'!$D$12="",'Basic payroll data'!$D$12="No"),0,
$T71*VLOOKUP($C71,'Employee information'!$B:$P,COLUMNS('Employee information'!$B:$P),0)*AL_loading_perc),
0)</f>
        <v>0</v>
      </c>
      <c r="AC71" s="118"/>
      <c r="AD71" s="118"/>
      <c r="AE71" s="283" t="str">
        <f t="shared" si="73"/>
        <v/>
      </c>
      <c r="AF71" s="283" t="str">
        <f t="shared" si="74"/>
        <v/>
      </c>
      <c r="AG71" s="118"/>
      <c r="AH71" s="118"/>
      <c r="AI71" s="283" t="str">
        <f t="shared" si="75"/>
        <v/>
      </c>
      <c r="AJ71" s="118"/>
      <c r="AK71" s="118"/>
      <c r="AM71" s="118">
        <f t="shared" si="76"/>
        <v>0</v>
      </c>
      <c r="AN71" s="118">
        <f t="shared" si="61"/>
        <v>0</v>
      </c>
      <c r="AO71" s="118" t="str">
        <f>IFERROR(
IF(VLOOKUP($C71,'Employee information'!$B:$M,COLUMNS('Employee information'!$B:$M),0)=1,
IF($E$2="Fortnightly",
ROUND(
ROUND((((TRUNC($AN71/2,0)+0.99))*VLOOKUP((TRUNC($AN71/2,0)+0.99),'Tax scales - NAT 1004'!$A$12:$C$18,2,1)-VLOOKUP((TRUNC($AN71/2,0)+0.99),'Tax scales - NAT 1004'!$A$12:$C$18,3,1)),0)
*2,
0),
IF(AND($E$2="Monthly",ROUND($AN71-TRUNC($AN71),2)=0.33),
ROUND(
ROUND(((TRUNC(($AN71+0.01)*3/13,0)+0.99)*VLOOKUP((TRUNC(($AN71+0.01)*3/13,0)+0.99),'Tax scales - NAT 1004'!$A$12:$C$18,2,1)-VLOOKUP((TRUNC(($AN71+0.01)*3/13,0)+0.99),'Tax scales - NAT 1004'!$A$12:$C$18,3,1)),0)
*13/3,
0),
IF($E$2="Monthly",
ROUND(
ROUND(((TRUNC($AN71*3/13,0)+0.99)*VLOOKUP((TRUNC($AN71*3/13,0)+0.99),'Tax scales - NAT 1004'!$A$12:$C$18,2,1)-VLOOKUP((TRUNC($AN71*3/13,0)+0.99),'Tax scales - NAT 1004'!$A$12:$C$18,3,1)),0)
*13/3,
0),
""))),
""),
"")</f>
        <v/>
      </c>
      <c r="AP71" s="118" t="str">
        <f>IFERROR(
IF(VLOOKUP($C71,'Employee information'!$B:$M,COLUMNS('Employee information'!$B:$M),0)=2,
IF($E$2="Fortnightly",
ROUND(
ROUND((((TRUNC($AN71/2,0)+0.99))*VLOOKUP((TRUNC($AN71/2,0)+0.99),'Tax scales - NAT 1004'!$A$25:$C$33,2,1)-VLOOKUP((TRUNC($AN71/2,0)+0.99),'Tax scales - NAT 1004'!$A$25:$C$33,3,1)),0)
*2,
0),
IF(AND($E$2="Monthly",ROUND($AN71-TRUNC($AN71),2)=0.33),
ROUND(
ROUND(((TRUNC(($AN71+0.01)*3/13,0)+0.99)*VLOOKUP((TRUNC(($AN71+0.01)*3/13,0)+0.99),'Tax scales - NAT 1004'!$A$25:$C$33,2,1)-VLOOKUP((TRUNC(($AN71+0.01)*3/13,0)+0.99),'Tax scales - NAT 1004'!$A$25:$C$33,3,1)),0)
*13/3,
0),
IF($E$2="Monthly",
ROUND(
ROUND(((TRUNC($AN71*3/13,0)+0.99)*VLOOKUP((TRUNC($AN71*3/13,0)+0.99),'Tax scales - NAT 1004'!$A$25:$C$33,2,1)-VLOOKUP((TRUNC($AN71*3/13,0)+0.99),'Tax scales - NAT 1004'!$A$25:$C$33,3,1)),0)
*13/3,
0),
""))),
""),
"")</f>
        <v/>
      </c>
      <c r="AQ71" s="118" t="str">
        <f>IFERROR(
IF(VLOOKUP($C71,'Employee information'!$B:$M,COLUMNS('Employee information'!$B:$M),0)=3,
IF($E$2="Fortnightly",
ROUND(
ROUND((((TRUNC($AN71/2,0)+0.99))*VLOOKUP((TRUNC($AN71/2,0)+0.99),'Tax scales - NAT 1004'!$A$39:$C$41,2,1)-VLOOKUP((TRUNC($AN71/2,0)+0.99),'Tax scales - NAT 1004'!$A$39:$C$41,3,1)),0)
*2,
0),
IF(AND($E$2="Monthly",ROUND($AN71-TRUNC($AN71),2)=0.33),
ROUND(
ROUND(((TRUNC(($AN71+0.01)*3/13,0)+0.99)*VLOOKUP((TRUNC(($AN71+0.01)*3/13,0)+0.99),'Tax scales - NAT 1004'!$A$39:$C$41,2,1)-VLOOKUP((TRUNC(($AN71+0.01)*3/13,0)+0.99),'Tax scales - NAT 1004'!$A$39:$C$41,3,1)),0)
*13/3,
0),
IF($E$2="Monthly",
ROUND(
ROUND(((TRUNC($AN71*3/13,0)+0.99)*VLOOKUP((TRUNC($AN71*3/13,0)+0.99),'Tax scales - NAT 1004'!$A$39:$C$41,2,1)-VLOOKUP((TRUNC($AN71*3/13,0)+0.99),'Tax scales - NAT 1004'!$A$39:$C$41,3,1)),0)
*13/3,
0),
""))),
""),
"")</f>
        <v/>
      </c>
      <c r="AR71" s="118" t="str">
        <f>IFERROR(
IF(AND(VLOOKUP($C71,'Employee information'!$B:$M,COLUMNS('Employee information'!$B:$M),0)=4,
VLOOKUP($C71,'Employee information'!$B:$J,COLUMNS('Employee information'!$B:$J),0)="Resident"),
TRUNC(TRUNC($AN71)*'Tax scales - NAT 1004'!$B$47),
IF(AND(VLOOKUP($C71,'Employee information'!$B:$M,COLUMNS('Employee information'!$B:$M),0)=4,
VLOOKUP($C71,'Employee information'!$B:$J,COLUMNS('Employee information'!$B:$J),0)="Foreign resident"),
TRUNC(TRUNC($AN71)*'Tax scales - NAT 1004'!$B$48),
"")),
"")</f>
        <v/>
      </c>
      <c r="AS71" s="118" t="str">
        <f>IFERROR(
IF(VLOOKUP($C71,'Employee information'!$B:$M,COLUMNS('Employee information'!$B:$M),0)=5,
IF($E$2="Fortnightly",
ROUND(
ROUND((((TRUNC($AN71/2,0)+0.99))*VLOOKUP((TRUNC($AN71/2,0)+0.99),'Tax scales - NAT 1004'!$A$53:$C$59,2,1)-VLOOKUP((TRUNC($AN71/2,0)+0.99),'Tax scales - NAT 1004'!$A$53:$C$59,3,1)),0)
*2,
0),
IF(AND($E$2="Monthly",ROUND($AN71-TRUNC($AN71),2)=0.33),
ROUND(
ROUND(((TRUNC(($AN71+0.01)*3/13,0)+0.99)*VLOOKUP((TRUNC(($AN71+0.01)*3/13,0)+0.99),'Tax scales - NAT 1004'!$A$53:$C$59,2,1)-VLOOKUP((TRUNC(($AN71+0.01)*3/13,0)+0.99),'Tax scales - NAT 1004'!$A$53:$C$59,3,1)),0)
*13/3,
0),
IF($E$2="Monthly",
ROUND(
ROUND(((TRUNC($AN71*3/13,0)+0.99)*VLOOKUP((TRUNC($AN71*3/13,0)+0.99),'Tax scales - NAT 1004'!$A$53:$C$59,2,1)-VLOOKUP((TRUNC($AN71*3/13,0)+0.99),'Tax scales - NAT 1004'!$A$53:$C$59,3,1)),0)
*13/3,
0),
""))),
""),
"")</f>
        <v/>
      </c>
      <c r="AT71" s="118" t="str">
        <f>IFERROR(
IF(VLOOKUP($C71,'Employee information'!$B:$M,COLUMNS('Employee information'!$B:$M),0)=6,
IF($E$2="Fortnightly",
ROUND(
ROUND((((TRUNC($AN71/2,0)+0.99))*VLOOKUP((TRUNC($AN71/2,0)+0.99),'Tax scales - NAT 1004'!$A$65:$C$73,2,1)-VLOOKUP((TRUNC($AN71/2,0)+0.99),'Tax scales - NAT 1004'!$A$65:$C$73,3,1)),0)
*2,
0),
IF(AND($E$2="Monthly",ROUND($AN71-TRUNC($AN71),2)=0.33),
ROUND(
ROUND(((TRUNC(($AN71+0.01)*3/13,0)+0.99)*VLOOKUP((TRUNC(($AN71+0.01)*3/13,0)+0.99),'Tax scales - NAT 1004'!$A$65:$C$73,2,1)-VLOOKUP((TRUNC(($AN71+0.01)*3/13,0)+0.99),'Tax scales - NAT 1004'!$A$65:$C$73,3,1)),0)
*13/3,
0),
IF($E$2="Monthly",
ROUND(
ROUND(((TRUNC($AN71*3/13,0)+0.99)*VLOOKUP((TRUNC($AN71*3/13,0)+0.99),'Tax scales - NAT 1004'!$A$65:$C$73,2,1)-VLOOKUP((TRUNC($AN71*3/13,0)+0.99),'Tax scales - NAT 1004'!$A$65:$C$73,3,1)),0)
*13/3,
0),
""))),
""),
"")</f>
        <v/>
      </c>
      <c r="AU71" s="118" t="str">
        <f>IFERROR(
IF(VLOOKUP($C71,'Employee information'!$B:$M,COLUMNS('Employee information'!$B:$M),0)=11,
IF($E$2="Fortnightly",
ROUND(
ROUND((((TRUNC($AN71/2,0)+0.99))*VLOOKUP((TRUNC($AN71/2,0)+0.99),'Tax scales - NAT 3539'!$A$14:$C$38,2,1)-VLOOKUP((TRUNC($AN71/2,0)+0.99),'Tax scales - NAT 3539'!$A$14:$C$38,3,1)),0)
*2,
0),
IF(AND($E$2="Monthly",ROUND($AN71-TRUNC($AN71),2)=0.33),
ROUND(
ROUND(((TRUNC(($AN71+0.01)*3/13,0)+0.99)*VLOOKUP((TRUNC(($AN71+0.01)*3/13,0)+0.99),'Tax scales - NAT 3539'!$A$14:$C$38,2,1)-VLOOKUP((TRUNC(($AN71+0.01)*3/13,0)+0.99),'Tax scales - NAT 3539'!$A$14:$C$38,3,1)),0)
*13/3,
0),
IF($E$2="Monthly",
ROUND(
ROUND(((TRUNC($AN71*3/13,0)+0.99)*VLOOKUP((TRUNC($AN71*3/13,0)+0.99),'Tax scales - NAT 3539'!$A$14:$C$38,2,1)-VLOOKUP((TRUNC($AN71*3/13,0)+0.99),'Tax scales - NAT 3539'!$A$14:$C$38,3,1)),0)
*13/3,
0),
""))),
""),
"")</f>
        <v/>
      </c>
      <c r="AV71" s="118" t="str">
        <f>IFERROR(
IF(VLOOKUP($C71,'Employee information'!$B:$M,COLUMNS('Employee information'!$B:$M),0)=22,
IF($E$2="Fortnightly",
ROUND(
ROUND((((TRUNC($AN71/2,0)+0.99))*VLOOKUP((TRUNC($AN71/2,0)+0.99),'Tax scales - NAT 3539'!$A$43:$C$69,2,1)-VLOOKUP((TRUNC($AN71/2,0)+0.99),'Tax scales - NAT 3539'!$A$43:$C$69,3,1)),0)
*2,
0),
IF(AND($E$2="Monthly",ROUND($AN71-TRUNC($AN71),2)=0.33),
ROUND(
ROUND(((TRUNC(($AN71+0.01)*3/13,0)+0.99)*VLOOKUP((TRUNC(($AN71+0.01)*3/13,0)+0.99),'Tax scales - NAT 3539'!$A$43:$C$69,2,1)-VLOOKUP((TRUNC(($AN71+0.01)*3/13,0)+0.99),'Tax scales - NAT 3539'!$A$43:$C$69,3,1)),0)
*13/3,
0),
IF($E$2="Monthly",
ROUND(
ROUND(((TRUNC($AN71*3/13,0)+0.99)*VLOOKUP((TRUNC($AN71*3/13,0)+0.99),'Tax scales - NAT 3539'!$A$43:$C$69,2,1)-VLOOKUP((TRUNC($AN71*3/13,0)+0.99),'Tax scales - NAT 3539'!$A$43:$C$69,3,1)),0)
*13/3,
0),
""))),
""),
"")</f>
        <v/>
      </c>
      <c r="AW71" s="118">
        <f>IFERROR(
IF(VLOOKUP($C71,'Employee information'!$B:$M,COLUMNS('Employee information'!$B:$M),0)=33,
IF($E$2="Fortnightly",
ROUND(
ROUND((((TRUNC($AN71/2,0)+0.99))*VLOOKUP((TRUNC($AN71/2,0)+0.99),'Tax scales - NAT 3539'!$A$74:$C$94,2,1)-VLOOKUP((TRUNC($AN71/2,0)+0.99),'Tax scales - NAT 3539'!$A$74:$C$94,3,1)),0)
*2,
0),
IF(AND($E$2="Monthly",ROUND($AN71-TRUNC($AN71),2)=0.33),
ROUND(
ROUND(((TRUNC(($AN71+0.01)*3/13,0)+0.99)*VLOOKUP((TRUNC(($AN71+0.01)*3/13,0)+0.99),'Tax scales - NAT 3539'!$A$74:$C$94,2,1)-VLOOKUP((TRUNC(($AN71+0.01)*3/13,0)+0.99),'Tax scales - NAT 3539'!$A$74:$C$94,3,1)),0)
*13/3,
0),
IF($E$2="Monthly",
ROUND(
ROUND(((TRUNC($AN71*3/13,0)+0.99)*VLOOKUP((TRUNC($AN71*3/13,0)+0.99),'Tax scales - NAT 3539'!$A$74:$C$94,2,1)-VLOOKUP((TRUNC($AN71*3/13,0)+0.99),'Tax scales - NAT 3539'!$A$74:$C$94,3,1)),0)
*13/3,
0),
""))),
""),
"")</f>
        <v>0</v>
      </c>
      <c r="AX71" s="118" t="str">
        <f>IFERROR(
IF(VLOOKUP($C71,'Employee information'!$B:$M,COLUMNS('Employee information'!$B:$M),0)=55,
IF($E$2="Fortnightly",
ROUND(
ROUND((((TRUNC($AN71/2,0)+0.99))*VLOOKUP((TRUNC($AN71/2,0)+0.99),'Tax scales - NAT 3539'!$A$99:$C$123,2,1)-VLOOKUP((TRUNC($AN71/2,0)+0.99),'Tax scales - NAT 3539'!$A$99:$C$123,3,1)),0)
*2,
0),
IF(AND($E$2="Monthly",ROUND($AN71-TRUNC($AN71),2)=0.33),
ROUND(
ROUND(((TRUNC(($AN71+0.01)*3/13,0)+0.99)*VLOOKUP((TRUNC(($AN71+0.01)*3/13,0)+0.99),'Tax scales - NAT 3539'!$A$99:$C$123,2,1)-VLOOKUP((TRUNC(($AN71+0.01)*3/13,0)+0.99),'Tax scales - NAT 3539'!$A$99:$C$123,3,1)),0)
*13/3,
0),
IF($E$2="Monthly",
ROUND(
ROUND(((TRUNC($AN71*3/13,0)+0.99)*VLOOKUP((TRUNC($AN71*3/13,0)+0.99),'Tax scales - NAT 3539'!$A$99:$C$123,2,1)-VLOOKUP((TRUNC($AN71*3/13,0)+0.99),'Tax scales - NAT 3539'!$A$99:$C$123,3,1)),0)
*13/3,
0),
""))),
""),
"")</f>
        <v/>
      </c>
      <c r="AY71" s="118" t="str">
        <f>IFERROR(
IF(VLOOKUP($C71,'Employee information'!$B:$M,COLUMNS('Employee information'!$B:$M),0)=66,
IF($E$2="Fortnightly",
ROUND(
ROUND((((TRUNC($AN71/2,0)+0.99))*VLOOKUP((TRUNC($AN71/2,0)+0.99),'Tax scales - NAT 3539'!$A$127:$C$154,2,1)-VLOOKUP((TRUNC($AN71/2,0)+0.99),'Tax scales - NAT 3539'!$A$127:$C$154,3,1)),0)
*2,
0),
IF(AND($E$2="Monthly",ROUND($AN71-TRUNC($AN71),2)=0.33),
ROUND(
ROUND(((TRUNC(($AN71+0.01)*3/13,0)+0.99)*VLOOKUP((TRUNC(($AN71+0.01)*3/13,0)+0.99),'Tax scales - NAT 3539'!$A$127:$C$154,2,1)-VLOOKUP((TRUNC(($AN71+0.01)*3/13,0)+0.99),'Tax scales - NAT 3539'!$A$127:$C$154,3,1)),0)
*13/3,
0),
IF($E$2="Monthly",
ROUND(
ROUND(((TRUNC($AN71*3/13,0)+0.99)*VLOOKUP((TRUNC($AN71*3/13,0)+0.99),'Tax scales - NAT 3539'!$A$127:$C$154,2,1)-VLOOKUP((TRUNC($AN71*3/13,0)+0.99),'Tax scales - NAT 3539'!$A$127:$C$154,3,1)),0)
*13/3,
0),
""))),
""),
"")</f>
        <v/>
      </c>
      <c r="AZ71" s="118">
        <f>IFERROR(
HLOOKUP(VLOOKUP($C71,'Employee information'!$B:$M,COLUMNS('Employee information'!$B:$M),0),'PAYG worksheet'!$AO$68:$AY$87,COUNTA($C$69:$C71)+1,0),
0)</f>
        <v>0</v>
      </c>
      <c r="BA71" s="118"/>
      <c r="BB71" s="118">
        <f t="shared" si="77"/>
        <v>0</v>
      </c>
      <c r="BC71" s="119">
        <f>IFERROR(
IF(OR($AE71=1,$AE71=""),SUM($P71,$AA71,$AC71,$AK71)*VLOOKUP($C71,'Employee information'!$B:$Q,COLUMNS('Employee information'!$B:$H),0),
IF($AE71=0,SUM($P71,$AA71,$AK71)*VLOOKUP($C71,'Employee information'!$B:$Q,COLUMNS('Employee information'!$B:$H),0),
0)),
0)</f>
        <v>0</v>
      </c>
      <c r="BE71" s="114">
        <f t="shared" si="62"/>
        <v>900</v>
      </c>
      <c r="BF71" s="114">
        <f t="shared" si="63"/>
        <v>900</v>
      </c>
      <c r="BG71" s="114">
        <f t="shared" si="64"/>
        <v>0</v>
      </c>
      <c r="BH71" s="114">
        <f t="shared" si="65"/>
        <v>0</v>
      </c>
      <c r="BI71" s="114">
        <f t="shared" si="66"/>
        <v>292</v>
      </c>
      <c r="BJ71" s="114">
        <f t="shared" si="67"/>
        <v>0</v>
      </c>
      <c r="BK71" s="114">
        <f t="shared" si="68"/>
        <v>0</v>
      </c>
      <c r="BL71" s="114">
        <f t="shared" si="78"/>
        <v>0</v>
      </c>
      <c r="BM71" s="114">
        <f t="shared" si="69"/>
        <v>85.5</v>
      </c>
    </row>
    <row r="72" spans="1:65" x14ac:dyDescent="0.25">
      <c r="A72" s="228">
        <f t="shared" si="57"/>
        <v>3</v>
      </c>
      <c r="C72" s="278" t="s">
        <v>15</v>
      </c>
      <c r="E72" s="103">
        <f>IF($C72="",0,
IF(AND($E$2="Monthly",$A72&gt;12),0,
IF($E$2="Monthly",VLOOKUP($C72,'Employee information'!$B:$AM,COLUMNS('Employee information'!$B:S),0),
IF($E$2="Fortnightly",VLOOKUP($C72,'Employee information'!$B:$AM,COLUMNS('Employee information'!$B:R),0),
0))))</f>
        <v>75</v>
      </c>
      <c r="F72" s="106"/>
      <c r="G72" s="106"/>
      <c r="H72" s="106"/>
      <c r="I72" s="106"/>
      <c r="J72" s="103">
        <f t="shared" si="70"/>
        <v>75</v>
      </c>
      <c r="L72" s="113">
        <f>IF(AND($E$2="Monthly",$A72&gt;12),"",
IFERROR($J72*VLOOKUP($C72,'Employee information'!$B:$AI,COLUMNS('Employee information'!$B:$P),0),0))</f>
        <v>7692.3076923076924</v>
      </c>
      <c r="M72" s="114">
        <f t="shared" si="71"/>
        <v>23076.923076923078</v>
      </c>
      <c r="O72" s="103">
        <f t="shared" si="72"/>
        <v>75</v>
      </c>
      <c r="P72" s="113">
        <f>IFERROR(
IF(AND($E$2="Monthly",$A72&gt;12),0,
$O72*VLOOKUP($C72,'Employee information'!$B:$AI,COLUMNS('Employee information'!$B:$P),0)),
0)</f>
        <v>7692.3076923076924</v>
      </c>
      <c r="R72" s="114">
        <f t="shared" si="58"/>
        <v>23076.923076923078</v>
      </c>
      <c r="T72" s="103"/>
      <c r="U72" s="103"/>
      <c r="V72" s="282">
        <f>IF($C72="","",
IF(AND($E$2="Monthly",$A72&gt;12),"",
$T72*VLOOKUP($C72,'Employee information'!$B:$P,COLUMNS('Employee information'!$B:$P),0)))</f>
        <v>0</v>
      </c>
      <c r="W72" s="282">
        <f>IF($C72="","",
IF(AND($E$2="Monthly",$A72&gt;12),"",
$U72*VLOOKUP($C72,'Employee information'!$B:$P,COLUMNS('Employee information'!$B:$P),0)))</f>
        <v>0</v>
      </c>
      <c r="X72" s="114">
        <f t="shared" si="59"/>
        <v>1538.4615384615386</v>
      </c>
      <c r="Y72" s="114">
        <f t="shared" si="60"/>
        <v>512.82051282051282</v>
      </c>
      <c r="AA72" s="118">
        <f>IFERROR(
IF(OR('Basic payroll data'!$D$12="",'Basic payroll data'!$D$12="No"),0,
$T72*VLOOKUP($C72,'Employee information'!$B:$P,COLUMNS('Employee information'!$B:$P),0)*AL_loading_perc),
0)</f>
        <v>0</v>
      </c>
      <c r="AC72" s="118"/>
      <c r="AD72" s="118"/>
      <c r="AE72" s="283" t="str">
        <f t="shared" si="73"/>
        <v/>
      </c>
      <c r="AF72" s="283" t="str">
        <f t="shared" si="74"/>
        <v/>
      </c>
      <c r="AG72" s="118"/>
      <c r="AH72" s="118"/>
      <c r="AI72" s="283" t="str">
        <f t="shared" si="75"/>
        <v/>
      </c>
      <c r="AJ72" s="118"/>
      <c r="AK72" s="118"/>
      <c r="AM72" s="118">
        <f t="shared" si="76"/>
        <v>7692.3076923076924</v>
      </c>
      <c r="AN72" s="118">
        <f t="shared" si="61"/>
        <v>7692.3076923076924</v>
      </c>
      <c r="AO72" s="118" t="str">
        <f>IFERROR(
IF(VLOOKUP($C72,'Employee information'!$B:$M,COLUMNS('Employee information'!$B:$M),0)=1,
IF($E$2="Fortnightly",
ROUND(
ROUND((((TRUNC($AN72/2,0)+0.99))*VLOOKUP((TRUNC($AN72/2,0)+0.99),'Tax scales - NAT 1004'!$A$12:$C$18,2,1)-VLOOKUP((TRUNC($AN72/2,0)+0.99),'Tax scales - NAT 1004'!$A$12:$C$18,3,1)),0)
*2,
0),
IF(AND($E$2="Monthly",ROUND($AN72-TRUNC($AN72),2)=0.33),
ROUND(
ROUND(((TRUNC(($AN72+0.01)*3/13,0)+0.99)*VLOOKUP((TRUNC(($AN72+0.01)*3/13,0)+0.99),'Tax scales - NAT 1004'!$A$12:$C$18,2,1)-VLOOKUP((TRUNC(($AN72+0.01)*3/13,0)+0.99),'Tax scales - NAT 1004'!$A$12:$C$18,3,1)),0)
*13/3,
0),
IF($E$2="Monthly",
ROUND(
ROUND(((TRUNC($AN72*3/13,0)+0.99)*VLOOKUP((TRUNC($AN72*3/13,0)+0.99),'Tax scales - NAT 1004'!$A$12:$C$18,2,1)-VLOOKUP((TRUNC($AN72*3/13,0)+0.99),'Tax scales - NAT 1004'!$A$12:$C$18,3,1)),0)
*13/3,
0),
""))),
""),
"")</f>
        <v/>
      </c>
      <c r="AP72" s="118" t="str">
        <f>IFERROR(
IF(VLOOKUP($C72,'Employee information'!$B:$M,COLUMNS('Employee information'!$B:$M),0)=2,
IF($E$2="Fortnightly",
ROUND(
ROUND((((TRUNC($AN72/2,0)+0.99))*VLOOKUP((TRUNC($AN72/2,0)+0.99),'Tax scales - NAT 1004'!$A$25:$C$33,2,1)-VLOOKUP((TRUNC($AN72/2,0)+0.99),'Tax scales - NAT 1004'!$A$25:$C$33,3,1)),0)
*2,
0),
IF(AND($E$2="Monthly",ROUND($AN72-TRUNC($AN72),2)=0.33),
ROUND(
ROUND(((TRUNC(($AN72+0.01)*3/13,0)+0.99)*VLOOKUP((TRUNC(($AN72+0.01)*3/13,0)+0.99),'Tax scales - NAT 1004'!$A$25:$C$33,2,1)-VLOOKUP((TRUNC(($AN72+0.01)*3/13,0)+0.99),'Tax scales - NAT 1004'!$A$25:$C$33,3,1)),0)
*13/3,
0),
IF($E$2="Monthly",
ROUND(
ROUND(((TRUNC($AN72*3/13,0)+0.99)*VLOOKUP((TRUNC($AN72*3/13,0)+0.99),'Tax scales - NAT 1004'!$A$25:$C$33,2,1)-VLOOKUP((TRUNC($AN72*3/13,0)+0.99),'Tax scales - NAT 1004'!$A$25:$C$33,3,1)),0)
*13/3,
0),
""))),
""),
"")</f>
        <v/>
      </c>
      <c r="AQ72" s="118" t="str">
        <f>IFERROR(
IF(VLOOKUP($C72,'Employee information'!$B:$M,COLUMNS('Employee information'!$B:$M),0)=3,
IF($E$2="Fortnightly",
ROUND(
ROUND((((TRUNC($AN72/2,0)+0.99))*VLOOKUP((TRUNC($AN72/2,0)+0.99),'Tax scales - NAT 1004'!$A$39:$C$41,2,1)-VLOOKUP((TRUNC($AN72/2,0)+0.99),'Tax scales - NAT 1004'!$A$39:$C$41,3,1)),0)
*2,
0),
IF(AND($E$2="Monthly",ROUND($AN72-TRUNC($AN72),2)=0.33),
ROUND(
ROUND(((TRUNC(($AN72+0.01)*3/13,0)+0.99)*VLOOKUP((TRUNC(($AN72+0.01)*3/13,0)+0.99),'Tax scales - NAT 1004'!$A$39:$C$41,2,1)-VLOOKUP((TRUNC(($AN72+0.01)*3/13,0)+0.99),'Tax scales - NAT 1004'!$A$39:$C$41,3,1)),0)
*13/3,
0),
IF($E$2="Monthly",
ROUND(
ROUND(((TRUNC($AN72*3/13,0)+0.99)*VLOOKUP((TRUNC($AN72*3/13,0)+0.99),'Tax scales - NAT 1004'!$A$39:$C$41,2,1)-VLOOKUP((TRUNC($AN72*3/13,0)+0.99),'Tax scales - NAT 1004'!$A$39:$C$41,3,1)),0)
*13/3,
0),
""))),
""),
"")</f>
        <v/>
      </c>
      <c r="AR72" s="118" t="str">
        <f>IFERROR(
IF(AND(VLOOKUP($C72,'Employee information'!$B:$M,COLUMNS('Employee information'!$B:$M),0)=4,
VLOOKUP($C72,'Employee information'!$B:$J,COLUMNS('Employee information'!$B:$J),0)="Resident"),
TRUNC(TRUNC($AN72)*'Tax scales - NAT 1004'!$B$47),
IF(AND(VLOOKUP($C72,'Employee information'!$B:$M,COLUMNS('Employee information'!$B:$M),0)=4,
VLOOKUP($C72,'Employee information'!$B:$J,COLUMNS('Employee information'!$B:$J),0)="Foreign resident"),
TRUNC(TRUNC($AN72)*'Tax scales - NAT 1004'!$B$48),
"")),
"")</f>
        <v/>
      </c>
      <c r="AS72" s="118" t="str">
        <f>IFERROR(
IF(VLOOKUP($C72,'Employee information'!$B:$M,COLUMNS('Employee information'!$B:$M),0)=5,
IF($E$2="Fortnightly",
ROUND(
ROUND((((TRUNC($AN72/2,0)+0.99))*VLOOKUP((TRUNC($AN72/2,0)+0.99),'Tax scales - NAT 1004'!$A$53:$C$59,2,1)-VLOOKUP((TRUNC($AN72/2,0)+0.99),'Tax scales - NAT 1004'!$A$53:$C$59,3,1)),0)
*2,
0),
IF(AND($E$2="Monthly",ROUND($AN72-TRUNC($AN72),2)=0.33),
ROUND(
ROUND(((TRUNC(($AN72+0.01)*3/13,0)+0.99)*VLOOKUP((TRUNC(($AN72+0.01)*3/13,0)+0.99),'Tax scales - NAT 1004'!$A$53:$C$59,2,1)-VLOOKUP((TRUNC(($AN72+0.01)*3/13,0)+0.99),'Tax scales - NAT 1004'!$A$53:$C$59,3,1)),0)
*13/3,
0),
IF($E$2="Monthly",
ROUND(
ROUND(((TRUNC($AN72*3/13,0)+0.99)*VLOOKUP((TRUNC($AN72*3/13,0)+0.99),'Tax scales - NAT 1004'!$A$53:$C$59,2,1)-VLOOKUP((TRUNC($AN72*3/13,0)+0.99),'Tax scales - NAT 1004'!$A$53:$C$59,3,1)),0)
*13/3,
0),
""))),
""),
"")</f>
        <v/>
      </c>
      <c r="AT72" s="118" t="str">
        <f>IFERROR(
IF(VLOOKUP($C72,'Employee information'!$B:$M,COLUMNS('Employee information'!$B:$M),0)=6,
IF($E$2="Fortnightly",
ROUND(
ROUND((((TRUNC($AN72/2,0)+0.99))*VLOOKUP((TRUNC($AN72/2,0)+0.99),'Tax scales - NAT 1004'!$A$65:$C$73,2,1)-VLOOKUP((TRUNC($AN72/2,0)+0.99),'Tax scales - NAT 1004'!$A$65:$C$73,3,1)),0)
*2,
0),
IF(AND($E$2="Monthly",ROUND($AN72-TRUNC($AN72),2)=0.33),
ROUND(
ROUND(((TRUNC(($AN72+0.01)*3/13,0)+0.99)*VLOOKUP((TRUNC(($AN72+0.01)*3/13,0)+0.99),'Tax scales - NAT 1004'!$A$65:$C$73,2,1)-VLOOKUP((TRUNC(($AN72+0.01)*3/13,0)+0.99),'Tax scales - NAT 1004'!$A$65:$C$73,3,1)),0)
*13/3,
0),
IF($E$2="Monthly",
ROUND(
ROUND(((TRUNC($AN72*3/13,0)+0.99)*VLOOKUP((TRUNC($AN72*3/13,0)+0.99),'Tax scales - NAT 1004'!$A$65:$C$73,2,1)-VLOOKUP((TRUNC($AN72*3/13,0)+0.99),'Tax scales - NAT 1004'!$A$65:$C$73,3,1)),0)
*13/3,
0),
""))),
""),
"")</f>
        <v/>
      </c>
      <c r="AU72" s="118" t="str">
        <f>IFERROR(
IF(VLOOKUP($C72,'Employee information'!$B:$M,COLUMNS('Employee information'!$B:$M),0)=11,
IF($E$2="Fortnightly",
ROUND(
ROUND((((TRUNC($AN72/2,0)+0.99))*VLOOKUP((TRUNC($AN72/2,0)+0.99),'Tax scales - NAT 3539'!$A$14:$C$38,2,1)-VLOOKUP((TRUNC($AN72/2,0)+0.99),'Tax scales - NAT 3539'!$A$14:$C$38,3,1)),0)
*2,
0),
IF(AND($E$2="Monthly",ROUND($AN72-TRUNC($AN72),2)=0.33),
ROUND(
ROUND(((TRUNC(($AN72+0.01)*3/13,0)+0.99)*VLOOKUP((TRUNC(($AN72+0.01)*3/13,0)+0.99),'Tax scales - NAT 3539'!$A$14:$C$38,2,1)-VLOOKUP((TRUNC(($AN72+0.01)*3/13,0)+0.99),'Tax scales - NAT 3539'!$A$14:$C$38,3,1)),0)
*13/3,
0),
IF($E$2="Monthly",
ROUND(
ROUND(((TRUNC($AN72*3/13,0)+0.99)*VLOOKUP((TRUNC($AN72*3/13,0)+0.99),'Tax scales - NAT 3539'!$A$14:$C$38,2,1)-VLOOKUP((TRUNC($AN72*3/13,0)+0.99),'Tax scales - NAT 3539'!$A$14:$C$38,3,1)),0)
*13/3,
0),
""))),
""),
"")</f>
        <v/>
      </c>
      <c r="AV72" s="118" t="str">
        <f>IFERROR(
IF(VLOOKUP($C72,'Employee information'!$B:$M,COLUMNS('Employee information'!$B:$M),0)=22,
IF($E$2="Fortnightly",
ROUND(
ROUND((((TRUNC($AN72/2,0)+0.99))*VLOOKUP((TRUNC($AN72/2,0)+0.99),'Tax scales - NAT 3539'!$A$43:$C$69,2,1)-VLOOKUP((TRUNC($AN72/2,0)+0.99),'Tax scales - NAT 3539'!$A$43:$C$69,3,1)),0)
*2,
0),
IF(AND($E$2="Monthly",ROUND($AN72-TRUNC($AN72),2)=0.33),
ROUND(
ROUND(((TRUNC(($AN72+0.01)*3/13,0)+0.99)*VLOOKUP((TRUNC(($AN72+0.01)*3/13,0)+0.99),'Tax scales - NAT 3539'!$A$43:$C$69,2,1)-VLOOKUP((TRUNC(($AN72+0.01)*3/13,0)+0.99),'Tax scales - NAT 3539'!$A$43:$C$69,3,1)),0)
*13/3,
0),
IF($E$2="Monthly",
ROUND(
ROUND(((TRUNC($AN72*3/13,0)+0.99)*VLOOKUP((TRUNC($AN72*3/13,0)+0.99),'Tax scales - NAT 3539'!$A$43:$C$69,2,1)-VLOOKUP((TRUNC($AN72*3/13,0)+0.99),'Tax scales - NAT 3539'!$A$43:$C$69,3,1)),0)
*13/3,
0),
""))),
""),
"")</f>
        <v/>
      </c>
      <c r="AW72" s="118" t="str">
        <f>IFERROR(
IF(VLOOKUP($C72,'Employee information'!$B:$M,COLUMNS('Employee information'!$B:$M),0)=33,
IF($E$2="Fortnightly",
ROUND(
ROUND((((TRUNC($AN72/2,0)+0.99))*VLOOKUP((TRUNC($AN72/2,0)+0.99),'Tax scales - NAT 3539'!$A$74:$C$94,2,1)-VLOOKUP((TRUNC($AN72/2,0)+0.99),'Tax scales - NAT 3539'!$A$74:$C$94,3,1)),0)
*2,
0),
IF(AND($E$2="Monthly",ROUND($AN72-TRUNC($AN72),2)=0.33),
ROUND(
ROUND(((TRUNC(($AN72+0.01)*3/13,0)+0.99)*VLOOKUP((TRUNC(($AN72+0.01)*3/13,0)+0.99),'Tax scales - NAT 3539'!$A$74:$C$94,2,1)-VLOOKUP((TRUNC(($AN72+0.01)*3/13,0)+0.99),'Tax scales - NAT 3539'!$A$74:$C$94,3,1)),0)
*13/3,
0),
IF($E$2="Monthly",
ROUND(
ROUND(((TRUNC($AN72*3/13,0)+0.99)*VLOOKUP((TRUNC($AN72*3/13,0)+0.99),'Tax scales - NAT 3539'!$A$74:$C$94,2,1)-VLOOKUP((TRUNC($AN72*3/13,0)+0.99),'Tax scales - NAT 3539'!$A$74:$C$94,3,1)),0)
*13/3,
0),
""))),
""),
"")</f>
        <v/>
      </c>
      <c r="AX72" s="118">
        <f>IFERROR(
IF(VLOOKUP($C72,'Employee information'!$B:$M,COLUMNS('Employee information'!$B:$M),0)=55,
IF($E$2="Fortnightly",
ROUND(
ROUND((((TRUNC($AN72/2,0)+0.99))*VLOOKUP((TRUNC($AN72/2,0)+0.99),'Tax scales - NAT 3539'!$A$99:$C$123,2,1)-VLOOKUP((TRUNC($AN72/2,0)+0.99),'Tax scales - NAT 3539'!$A$99:$C$123,3,1)),0)
*2,
0),
IF(AND($E$2="Monthly",ROUND($AN72-TRUNC($AN72),2)=0.33),
ROUND(
ROUND(((TRUNC(($AN72+0.01)*3/13,0)+0.99)*VLOOKUP((TRUNC(($AN72+0.01)*3/13,0)+0.99),'Tax scales - NAT 3539'!$A$99:$C$123,2,1)-VLOOKUP((TRUNC(($AN72+0.01)*3/13,0)+0.99),'Tax scales - NAT 3539'!$A$99:$C$123,3,1)),0)
*13/3,
0),
IF($E$2="Monthly",
ROUND(
ROUND(((TRUNC($AN72*3/13,0)+0.99)*VLOOKUP((TRUNC($AN72*3/13,0)+0.99),'Tax scales - NAT 3539'!$A$99:$C$123,2,1)-VLOOKUP((TRUNC($AN72*3/13,0)+0.99),'Tax scales - NAT 3539'!$A$99:$C$123,3,1)),0)
*13/3,
0),
""))),
""),
"")</f>
        <v>3104</v>
      </c>
      <c r="AY72" s="118" t="str">
        <f>IFERROR(
IF(VLOOKUP($C72,'Employee information'!$B:$M,COLUMNS('Employee information'!$B:$M),0)=66,
IF($E$2="Fortnightly",
ROUND(
ROUND((((TRUNC($AN72/2,0)+0.99))*VLOOKUP((TRUNC($AN72/2,0)+0.99),'Tax scales - NAT 3539'!$A$127:$C$154,2,1)-VLOOKUP((TRUNC($AN72/2,0)+0.99),'Tax scales - NAT 3539'!$A$127:$C$154,3,1)),0)
*2,
0),
IF(AND($E$2="Monthly",ROUND($AN72-TRUNC($AN72),2)=0.33),
ROUND(
ROUND(((TRUNC(($AN72+0.01)*3/13,0)+0.99)*VLOOKUP((TRUNC(($AN72+0.01)*3/13,0)+0.99),'Tax scales - NAT 3539'!$A$127:$C$154,2,1)-VLOOKUP((TRUNC(($AN72+0.01)*3/13,0)+0.99),'Tax scales - NAT 3539'!$A$127:$C$154,3,1)),0)
*13/3,
0),
IF($E$2="Monthly",
ROUND(
ROUND(((TRUNC($AN72*3/13,0)+0.99)*VLOOKUP((TRUNC($AN72*3/13,0)+0.99),'Tax scales - NAT 3539'!$A$127:$C$154,2,1)-VLOOKUP((TRUNC($AN72*3/13,0)+0.99),'Tax scales - NAT 3539'!$A$127:$C$154,3,1)),0)
*13/3,
0),
""))),
""),
"")</f>
        <v/>
      </c>
      <c r="AZ72" s="118">
        <f>IFERROR(
HLOOKUP(VLOOKUP($C72,'Employee information'!$B:$M,COLUMNS('Employee information'!$B:$M),0),'PAYG worksheet'!$AO$68:$AY$87,COUNTA($C$69:$C72)+1,0),
0)</f>
        <v>3104</v>
      </c>
      <c r="BA72" s="118"/>
      <c r="BB72" s="118">
        <f t="shared" si="77"/>
        <v>4588.3076923076924</v>
      </c>
      <c r="BC72" s="119">
        <f>IFERROR(
IF(OR($AE72=1,$AE72=""),SUM($P72,$AA72,$AC72,$AK72)*VLOOKUP($C72,'Employee information'!$B:$Q,COLUMNS('Employee information'!$B:$H),0),
IF($AE72=0,SUM($P72,$AA72,$AK72)*VLOOKUP($C72,'Employee information'!$B:$Q,COLUMNS('Employee information'!$B:$H),0),
0)),
0)</f>
        <v>730.76923076923083</v>
      </c>
      <c r="BE72" s="114">
        <f t="shared" si="62"/>
        <v>23216.923076923078</v>
      </c>
      <c r="BF72" s="114">
        <f t="shared" si="63"/>
        <v>23076.923076923078</v>
      </c>
      <c r="BG72" s="114">
        <f t="shared" si="64"/>
        <v>0</v>
      </c>
      <c r="BH72" s="114">
        <f t="shared" si="65"/>
        <v>140</v>
      </c>
      <c r="BI72" s="114">
        <f t="shared" si="66"/>
        <v>9312</v>
      </c>
      <c r="BJ72" s="114">
        <f t="shared" si="67"/>
        <v>0</v>
      </c>
      <c r="BK72" s="114">
        <f t="shared" si="68"/>
        <v>0</v>
      </c>
      <c r="BL72" s="114">
        <f t="shared" si="78"/>
        <v>0</v>
      </c>
      <c r="BM72" s="114">
        <f t="shared" si="69"/>
        <v>2192.3076923076924</v>
      </c>
    </row>
    <row r="73" spans="1:65" x14ac:dyDescent="0.25">
      <c r="A73" s="228">
        <f t="shared" si="57"/>
        <v>3</v>
      </c>
      <c r="C73" s="278" t="s">
        <v>16</v>
      </c>
      <c r="E73" s="103">
        <f>IF($C73="",0,
IF(AND($E$2="Monthly",$A73&gt;12),0,
IF($E$2="Monthly",VLOOKUP($C73,'Employee information'!$B:$AM,COLUMNS('Employee information'!$B:S),0),
IF($E$2="Fortnightly",VLOOKUP($C73,'Employee information'!$B:$AM,COLUMNS('Employee information'!$B:R),0),
0))))</f>
        <v>75</v>
      </c>
      <c r="F73" s="106"/>
      <c r="G73" s="106"/>
      <c r="H73" s="106"/>
      <c r="I73" s="106"/>
      <c r="J73" s="103">
        <f t="shared" si="70"/>
        <v>75</v>
      </c>
      <c r="L73" s="113">
        <f>IF(AND($E$2="Monthly",$A73&gt;12),"",
IFERROR($J73*VLOOKUP($C73,'Employee information'!$B:$AI,COLUMNS('Employee information'!$B:$P),0),0))</f>
        <v>4125</v>
      </c>
      <c r="M73" s="114">
        <f t="shared" si="71"/>
        <v>12375</v>
      </c>
      <c r="O73" s="103">
        <f t="shared" si="72"/>
        <v>75</v>
      </c>
      <c r="P73" s="113">
        <f>IFERROR(
IF(AND($E$2="Monthly",$A73&gt;12),0,
$O73*VLOOKUP($C73,'Employee information'!$B:$AI,COLUMNS('Employee information'!$B:$P),0)),
0)</f>
        <v>4125</v>
      </c>
      <c r="R73" s="114">
        <f t="shared" si="58"/>
        <v>12375</v>
      </c>
      <c r="T73" s="103"/>
      <c r="U73" s="103"/>
      <c r="V73" s="282">
        <f>IF($C73="","",
IF(AND($E$2="Monthly",$A73&gt;12),"",
$T73*VLOOKUP($C73,'Employee information'!$B:$P,COLUMNS('Employee information'!$B:$P),0)))</f>
        <v>0</v>
      </c>
      <c r="W73" s="282">
        <f>IF($C73="","",
IF(AND($E$2="Monthly",$A73&gt;12),"",
$U73*VLOOKUP($C73,'Employee information'!$B:$P,COLUMNS('Employee information'!$B:$P),0)))</f>
        <v>0</v>
      </c>
      <c r="X73" s="114">
        <f t="shared" si="59"/>
        <v>0</v>
      </c>
      <c r="Y73" s="114">
        <f t="shared" si="60"/>
        <v>0</v>
      </c>
      <c r="AA73" s="118">
        <f>IFERROR(
IF(OR('Basic payroll data'!$D$12="",'Basic payroll data'!$D$12="No"),0,
$T73*VLOOKUP($C73,'Employee information'!$B:$P,COLUMNS('Employee information'!$B:$P),0)*AL_loading_perc),
0)</f>
        <v>0</v>
      </c>
      <c r="AC73" s="118"/>
      <c r="AD73" s="118"/>
      <c r="AE73" s="283" t="str">
        <f t="shared" si="73"/>
        <v/>
      </c>
      <c r="AF73" s="283" t="str">
        <f t="shared" si="74"/>
        <v/>
      </c>
      <c r="AG73" s="118"/>
      <c r="AH73" s="118"/>
      <c r="AI73" s="283" t="str">
        <f t="shared" si="75"/>
        <v/>
      </c>
      <c r="AJ73" s="118"/>
      <c r="AK73" s="118"/>
      <c r="AM73" s="118">
        <f t="shared" si="76"/>
        <v>4125</v>
      </c>
      <c r="AN73" s="118">
        <f t="shared" si="61"/>
        <v>4125</v>
      </c>
      <c r="AO73" s="118" t="str">
        <f>IFERROR(
IF(VLOOKUP($C73,'Employee information'!$B:$M,COLUMNS('Employee information'!$B:$M),0)=1,
IF($E$2="Fortnightly",
ROUND(
ROUND((((TRUNC($AN73/2,0)+0.99))*VLOOKUP((TRUNC($AN73/2,0)+0.99),'Tax scales - NAT 1004'!$A$12:$C$18,2,1)-VLOOKUP((TRUNC($AN73/2,0)+0.99),'Tax scales - NAT 1004'!$A$12:$C$18,3,1)),0)
*2,
0),
IF(AND($E$2="Monthly",ROUND($AN73-TRUNC($AN73),2)=0.33),
ROUND(
ROUND(((TRUNC(($AN73+0.01)*3/13,0)+0.99)*VLOOKUP((TRUNC(($AN73+0.01)*3/13,0)+0.99),'Tax scales - NAT 1004'!$A$12:$C$18,2,1)-VLOOKUP((TRUNC(($AN73+0.01)*3/13,0)+0.99),'Tax scales - NAT 1004'!$A$12:$C$18,3,1)),0)
*13/3,
0),
IF($E$2="Monthly",
ROUND(
ROUND(((TRUNC($AN73*3/13,0)+0.99)*VLOOKUP((TRUNC($AN73*3/13,0)+0.99),'Tax scales - NAT 1004'!$A$12:$C$18,2,1)-VLOOKUP((TRUNC($AN73*3/13,0)+0.99),'Tax scales - NAT 1004'!$A$12:$C$18,3,1)),0)
*13/3,
0),
""))),
""),
"")</f>
        <v/>
      </c>
      <c r="AP73" s="118" t="str">
        <f>IFERROR(
IF(VLOOKUP($C73,'Employee information'!$B:$M,COLUMNS('Employee information'!$B:$M),0)=2,
IF($E$2="Fortnightly",
ROUND(
ROUND((((TRUNC($AN73/2,0)+0.99))*VLOOKUP((TRUNC($AN73/2,0)+0.99),'Tax scales - NAT 1004'!$A$25:$C$33,2,1)-VLOOKUP((TRUNC($AN73/2,0)+0.99),'Tax scales - NAT 1004'!$A$25:$C$33,3,1)),0)
*2,
0),
IF(AND($E$2="Monthly",ROUND($AN73-TRUNC($AN73),2)=0.33),
ROUND(
ROUND(((TRUNC(($AN73+0.01)*3/13,0)+0.99)*VLOOKUP((TRUNC(($AN73+0.01)*3/13,0)+0.99),'Tax scales - NAT 1004'!$A$25:$C$33,2,1)-VLOOKUP((TRUNC(($AN73+0.01)*3/13,0)+0.99),'Tax scales - NAT 1004'!$A$25:$C$33,3,1)),0)
*13/3,
0),
IF($E$2="Monthly",
ROUND(
ROUND(((TRUNC($AN73*3/13,0)+0.99)*VLOOKUP((TRUNC($AN73*3/13,0)+0.99),'Tax scales - NAT 1004'!$A$25:$C$33,2,1)-VLOOKUP((TRUNC($AN73*3/13,0)+0.99),'Tax scales - NAT 1004'!$A$25:$C$33,3,1)),0)
*13/3,
0),
""))),
""),
"")</f>
        <v/>
      </c>
      <c r="AQ73" s="118" t="str">
        <f>IFERROR(
IF(VLOOKUP($C73,'Employee information'!$B:$M,COLUMNS('Employee information'!$B:$M),0)=3,
IF($E$2="Fortnightly",
ROUND(
ROUND((((TRUNC($AN73/2,0)+0.99))*VLOOKUP((TRUNC($AN73/2,0)+0.99),'Tax scales - NAT 1004'!$A$39:$C$41,2,1)-VLOOKUP((TRUNC($AN73/2,0)+0.99),'Tax scales - NAT 1004'!$A$39:$C$41,3,1)),0)
*2,
0),
IF(AND($E$2="Monthly",ROUND($AN73-TRUNC($AN73),2)=0.33),
ROUND(
ROUND(((TRUNC(($AN73+0.01)*3/13,0)+0.99)*VLOOKUP((TRUNC(($AN73+0.01)*3/13,0)+0.99),'Tax scales - NAT 1004'!$A$39:$C$41,2,1)-VLOOKUP((TRUNC(($AN73+0.01)*3/13,0)+0.99),'Tax scales - NAT 1004'!$A$39:$C$41,3,1)),0)
*13/3,
0),
IF($E$2="Monthly",
ROUND(
ROUND(((TRUNC($AN73*3/13,0)+0.99)*VLOOKUP((TRUNC($AN73*3/13,0)+0.99),'Tax scales - NAT 1004'!$A$39:$C$41,2,1)-VLOOKUP((TRUNC($AN73*3/13,0)+0.99),'Tax scales - NAT 1004'!$A$39:$C$41,3,1)),0)
*13/3,
0),
""))),
""),
"")</f>
        <v/>
      </c>
      <c r="AR73" s="118" t="str">
        <f>IFERROR(
IF(AND(VLOOKUP($C73,'Employee information'!$B:$M,COLUMNS('Employee information'!$B:$M),0)=4,
VLOOKUP($C73,'Employee information'!$B:$J,COLUMNS('Employee information'!$B:$J),0)="Resident"),
TRUNC(TRUNC($AN73)*'Tax scales - NAT 1004'!$B$47),
IF(AND(VLOOKUP($C73,'Employee information'!$B:$M,COLUMNS('Employee information'!$B:$M),0)=4,
VLOOKUP($C73,'Employee information'!$B:$J,COLUMNS('Employee information'!$B:$J),0)="Foreign resident"),
TRUNC(TRUNC($AN73)*'Tax scales - NAT 1004'!$B$48),
"")),
"")</f>
        <v/>
      </c>
      <c r="AS73" s="118" t="str">
        <f>IFERROR(
IF(VLOOKUP($C73,'Employee information'!$B:$M,COLUMNS('Employee information'!$B:$M),0)=5,
IF($E$2="Fortnightly",
ROUND(
ROUND((((TRUNC($AN73/2,0)+0.99))*VLOOKUP((TRUNC($AN73/2,0)+0.99),'Tax scales - NAT 1004'!$A$53:$C$59,2,1)-VLOOKUP((TRUNC($AN73/2,0)+0.99),'Tax scales - NAT 1004'!$A$53:$C$59,3,1)),0)
*2,
0),
IF(AND($E$2="Monthly",ROUND($AN73-TRUNC($AN73),2)=0.33),
ROUND(
ROUND(((TRUNC(($AN73+0.01)*3/13,0)+0.99)*VLOOKUP((TRUNC(($AN73+0.01)*3/13,0)+0.99),'Tax scales - NAT 1004'!$A$53:$C$59,2,1)-VLOOKUP((TRUNC(($AN73+0.01)*3/13,0)+0.99),'Tax scales - NAT 1004'!$A$53:$C$59,3,1)),0)
*13/3,
0),
IF($E$2="Monthly",
ROUND(
ROUND(((TRUNC($AN73*3/13,0)+0.99)*VLOOKUP((TRUNC($AN73*3/13,0)+0.99),'Tax scales - NAT 1004'!$A$53:$C$59,2,1)-VLOOKUP((TRUNC($AN73*3/13,0)+0.99),'Tax scales - NAT 1004'!$A$53:$C$59,3,1)),0)
*13/3,
0),
""))),
""),
"")</f>
        <v/>
      </c>
      <c r="AT73" s="118" t="str">
        <f>IFERROR(
IF(VLOOKUP($C73,'Employee information'!$B:$M,COLUMNS('Employee information'!$B:$M),0)=6,
IF($E$2="Fortnightly",
ROUND(
ROUND((((TRUNC($AN73/2,0)+0.99))*VLOOKUP((TRUNC($AN73/2,0)+0.99),'Tax scales - NAT 1004'!$A$65:$C$73,2,1)-VLOOKUP((TRUNC($AN73/2,0)+0.99),'Tax scales - NAT 1004'!$A$65:$C$73,3,1)),0)
*2,
0),
IF(AND($E$2="Monthly",ROUND($AN73-TRUNC($AN73),2)=0.33),
ROUND(
ROUND(((TRUNC(($AN73+0.01)*3/13,0)+0.99)*VLOOKUP((TRUNC(($AN73+0.01)*3/13,0)+0.99),'Tax scales - NAT 1004'!$A$65:$C$73,2,1)-VLOOKUP((TRUNC(($AN73+0.01)*3/13,0)+0.99),'Tax scales - NAT 1004'!$A$65:$C$73,3,1)),0)
*13/3,
0),
IF($E$2="Monthly",
ROUND(
ROUND(((TRUNC($AN73*3/13,0)+0.99)*VLOOKUP((TRUNC($AN73*3/13,0)+0.99),'Tax scales - NAT 1004'!$A$65:$C$73,2,1)-VLOOKUP((TRUNC($AN73*3/13,0)+0.99),'Tax scales - NAT 1004'!$A$65:$C$73,3,1)),0)
*13/3,
0),
""))),
""),
"")</f>
        <v/>
      </c>
      <c r="AU73" s="118">
        <f>IFERROR(
IF(VLOOKUP($C73,'Employee information'!$B:$M,COLUMNS('Employee information'!$B:$M),0)=11,
IF($E$2="Fortnightly",
ROUND(
ROUND((((TRUNC($AN73/2,0)+0.99))*VLOOKUP((TRUNC($AN73/2,0)+0.99),'Tax scales - NAT 3539'!$A$14:$C$38,2,1)-VLOOKUP((TRUNC($AN73/2,0)+0.99),'Tax scales - NAT 3539'!$A$14:$C$38,3,1)),0)
*2,
0),
IF(AND($E$2="Monthly",ROUND($AN73-TRUNC($AN73),2)=0.33),
ROUND(
ROUND(((TRUNC(($AN73+0.01)*3/13,0)+0.99)*VLOOKUP((TRUNC(($AN73+0.01)*3/13,0)+0.99),'Tax scales - NAT 3539'!$A$14:$C$38,2,1)-VLOOKUP((TRUNC(($AN73+0.01)*3/13,0)+0.99),'Tax scales - NAT 3539'!$A$14:$C$38,3,1)),0)
*13/3,
0),
IF($E$2="Monthly",
ROUND(
ROUND(((TRUNC($AN73*3/13,0)+0.99)*VLOOKUP((TRUNC($AN73*3/13,0)+0.99),'Tax scales - NAT 3539'!$A$14:$C$38,2,1)-VLOOKUP((TRUNC($AN73*3/13,0)+0.99),'Tax scales - NAT 3539'!$A$14:$C$38,3,1)),0)
*13/3,
0),
""))),
""),
"")</f>
        <v>1680</v>
      </c>
      <c r="AV73" s="118" t="str">
        <f>IFERROR(
IF(VLOOKUP($C73,'Employee information'!$B:$M,COLUMNS('Employee information'!$B:$M),0)=22,
IF($E$2="Fortnightly",
ROUND(
ROUND((((TRUNC($AN73/2,0)+0.99))*VLOOKUP((TRUNC($AN73/2,0)+0.99),'Tax scales - NAT 3539'!$A$43:$C$69,2,1)-VLOOKUP((TRUNC($AN73/2,0)+0.99),'Tax scales - NAT 3539'!$A$43:$C$69,3,1)),0)
*2,
0),
IF(AND($E$2="Monthly",ROUND($AN73-TRUNC($AN73),2)=0.33),
ROUND(
ROUND(((TRUNC(($AN73+0.01)*3/13,0)+0.99)*VLOOKUP((TRUNC(($AN73+0.01)*3/13,0)+0.99),'Tax scales - NAT 3539'!$A$43:$C$69,2,1)-VLOOKUP((TRUNC(($AN73+0.01)*3/13,0)+0.99),'Tax scales - NAT 3539'!$A$43:$C$69,3,1)),0)
*13/3,
0),
IF($E$2="Monthly",
ROUND(
ROUND(((TRUNC($AN73*3/13,0)+0.99)*VLOOKUP((TRUNC($AN73*3/13,0)+0.99),'Tax scales - NAT 3539'!$A$43:$C$69,2,1)-VLOOKUP((TRUNC($AN73*3/13,0)+0.99),'Tax scales - NAT 3539'!$A$43:$C$69,3,1)),0)
*13/3,
0),
""))),
""),
"")</f>
        <v/>
      </c>
      <c r="AW73" s="118" t="str">
        <f>IFERROR(
IF(VLOOKUP($C73,'Employee information'!$B:$M,COLUMNS('Employee information'!$B:$M),0)=33,
IF($E$2="Fortnightly",
ROUND(
ROUND((((TRUNC($AN73/2,0)+0.99))*VLOOKUP((TRUNC($AN73/2,0)+0.99),'Tax scales - NAT 3539'!$A$74:$C$94,2,1)-VLOOKUP((TRUNC($AN73/2,0)+0.99),'Tax scales - NAT 3539'!$A$74:$C$94,3,1)),0)
*2,
0),
IF(AND($E$2="Monthly",ROUND($AN73-TRUNC($AN73),2)=0.33),
ROUND(
ROUND(((TRUNC(($AN73+0.01)*3/13,0)+0.99)*VLOOKUP((TRUNC(($AN73+0.01)*3/13,0)+0.99),'Tax scales - NAT 3539'!$A$74:$C$94,2,1)-VLOOKUP((TRUNC(($AN73+0.01)*3/13,0)+0.99),'Tax scales - NAT 3539'!$A$74:$C$94,3,1)),0)
*13/3,
0),
IF($E$2="Monthly",
ROUND(
ROUND(((TRUNC($AN73*3/13,0)+0.99)*VLOOKUP((TRUNC($AN73*3/13,0)+0.99),'Tax scales - NAT 3539'!$A$74:$C$94,2,1)-VLOOKUP((TRUNC($AN73*3/13,0)+0.99),'Tax scales - NAT 3539'!$A$74:$C$94,3,1)),0)
*13/3,
0),
""))),
""),
"")</f>
        <v/>
      </c>
      <c r="AX73" s="118" t="str">
        <f>IFERROR(
IF(VLOOKUP($C73,'Employee information'!$B:$M,COLUMNS('Employee information'!$B:$M),0)=55,
IF($E$2="Fortnightly",
ROUND(
ROUND((((TRUNC($AN73/2,0)+0.99))*VLOOKUP((TRUNC($AN73/2,0)+0.99),'Tax scales - NAT 3539'!$A$99:$C$123,2,1)-VLOOKUP((TRUNC($AN73/2,0)+0.99),'Tax scales - NAT 3539'!$A$99:$C$123,3,1)),0)
*2,
0),
IF(AND($E$2="Monthly",ROUND($AN73-TRUNC($AN73),2)=0.33),
ROUND(
ROUND(((TRUNC(($AN73+0.01)*3/13,0)+0.99)*VLOOKUP((TRUNC(($AN73+0.01)*3/13,0)+0.99),'Tax scales - NAT 3539'!$A$99:$C$123,2,1)-VLOOKUP((TRUNC(($AN73+0.01)*3/13,0)+0.99),'Tax scales - NAT 3539'!$A$99:$C$123,3,1)),0)
*13/3,
0),
IF($E$2="Monthly",
ROUND(
ROUND(((TRUNC($AN73*3/13,0)+0.99)*VLOOKUP((TRUNC($AN73*3/13,0)+0.99),'Tax scales - NAT 3539'!$A$99:$C$123,2,1)-VLOOKUP((TRUNC($AN73*3/13,0)+0.99),'Tax scales - NAT 3539'!$A$99:$C$123,3,1)),0)
*13/3,
0),
""))),
""),
"")</f>
        <v/>
      </c>
      <c r="AY73" s="118" t="str">
        <f>IFERROR(
IF(VLOOKUP($C73,'Employee information'!$B:$M,COLUMNS('Employee information'!$B:$M),0)=66,
IF($E$2="Fortnightly",
ROUND(
ROUND((((TRUNC($AN73/2,0)+0.99))*VLOOKUP((TRUNC($AN73/2,0)+0.99),'Tax scales - NAT 3539'!$A$127:$C$154,2,1)-VLOOKUP((TRUNC($AN73/2,0)+0.99),'Tax scales - NAT 3539'!$A$127:$C$154,3,1)),0)
*2,
0),
IF(AND($E$2="Monthly",ROUND($AN73-TRUNC($AN73),2)=0.33),
ROUND(
ROUND(((TRUNC(($AN73+0.01)*3/13,0)+0.99)*VLOOKUP((TRUNC(($AN73+0.01)*3/13,0)+0.99),'Tax scales - NAT 3539'!$A$127:$C$154,2,1)-VLOOKUP((TRUNC(($AN73+0.01)*3/13,0)+0.99),'Tax scales - NAT 3539'!$A$127:$C$154,3,1)),0)
*13/3,
0),
IF($E$2="Monthly",
ROUND(
ROUND(((TRUNC($AN73*3/13,0)+0.99)*VLOOKUP((TRUNC($AN73*3/13,0)+0.99),'Tax scales - NAT 3539'!$A$127:$C$154,2,1)-VLOOKUP((TRUNC($AN73*3/13,0)+0.99),'Tax scales - NAT 3539'!$A$127:$C$154,3,1)),0)
*13/3,
0),
""))),
""),
"")</f>
        <v/>
      </c>
      <c r="AZ73" s="118">
        <f>IFERROR(
HLOOKUP(VLOOKUP($C73,'Employee information'!$B:$M,COLUMNS('Employee information'!$B:$M),0),'PAYG worksheet'!$AO$68:$AY$87,COUNTA($C$69:$C73)+1,0),
0)</f>
        <v>1680</v>
      </c>
      <c r="BA73" s="118"/>
      <c r="BB73" s="118">
        <f t="shared" si="77"/>
        <v>2445</v>
      </c>
      <c r="BC73" s="119">
        <f>IFERROR(
IF(OR($AE73=1,$AE73=""),SUM($P73,$AA73,$AC73,$AK73)*VLOOKUP($C73,'Employee information'!$B:$Q,COLUMNS('Employee information'!$B:$H),0),
IF($AE73=0,SUM($P73,$AA73,$AK73)*VLOOKUP($C73,'Employee information'!$B:$Q,COLUMNS('Employee information'!$B:$H),0),
0)),
0)</f>
        <v>391.875</v>
      </c>
      <c r="BE73" s="114">
        <f t="shared" si="62"/>
        <v>12475</v>
      </c>
      <c r="BF73" s="114">
        <f t="shared" si="63"/>
        <v>12475</v>
      </c>
      <c r="BG73" s="114">
        <f t="shared" si="64"/>
        <v>0</v>
      </c>
      <c r="BH73" s="114">
        <f t="shared" si="65"/>
        <v>0</v>
      </c>
      <c r="BI73" s="114">
        <f t="shared" si="66"/>
        <v>5088</v>
      </c>
      <c r="BJ73" s="114">
        <f t="shared" si="67"/>
        <v>0</v>
      </c>
      <c r="BK73" s="114">
        <f t="shared" si="68"/>
        <v>0</v>
      </c>
      <c r="BL73" s="114">
        <f t="shared" si="78"/>
        <v>100</v>
      </c>
      <c r="BM73" s="114">
        <f t="shared" si="69"/>
        <v>1185.125</v>
      </c>
    </row>
    <row r="74" spans="1:65" x14ac:dyDescent="0.25">
      <c r="A74" s="228">
        <f t="shared" si="57"/>
        <v>3</v>
      </c>
      <c r="C74" s="278" t="s">
        <v>17</v>
      </c>
      <c r="E74" s="103">
        <f>IF($C74="",0,
IF(AND($E$2="Monthly",$A74&gt;12),0,
IF($E$2="Monthly",VLOOKUP($C74,'Employee information'!$B:$AM,COLUMNS('Employee information'!$B:S),0),
IF($E$2="Fortnightly",VLOOKUP($C74,'Employee information'!$B:$AM,COLUMNS('Employee information'!$B:R),0),
0))))</f>
        <v>75</v>
      </c>
      <c r="F74" s="106"/>
      <c r="G74" s="106"/>
      <c r="H74" s="106"/>
      <c r="I74" s="106"/>
      <c r="J74" s="103">
        <f t="shared" si="70"/>
        <v>75</v>
      </c>
      <c r="L74" s="113">
        <f>IF(AND($E$2="Monthly",$A74&gt;12),"",
IFERROR($J74*VLOOKUP($C74,'Employee information'!$B:$AI,COLUMNS('Employee information'!$B:$P),0),0))</f>
        <v>2500</v>
      </c>
      <c r="M74" s="114">
        <f t="shared" si="71"/>
        <v>7500</v>
      </c>
      <c r="O74" s="103">
        <f t="shared" si="72"/>
        <v>75</v>
      </c>
      <c r="P74" s="113">
        <f>IFERROR(
IF(AND($E$2="Monthly",$A74&gt;12),0,
$O74*VLOOKUP($C74,'Employee information'!$B:$AI,COLUMNS('Employee information'!$B:$P),0)),
0)</f>
        <v>2500</v>
      </c>
      <c r="R74" s="114">
        <f t="shared" si="58"/>
        <v>7500</v>
      </c>
      <c r="T74" s="103"/>
      <c r="U74" s="103"/>
      <c r="V74" s="282">
        <f>IF($C74="","",
IF(AND($E$2="Monthly",$A74&gt;12),"",
$T74*VLOOKUP($C74,'Employee information'!$B:$P,COLUMNS('Employee information'!$B:$P),0)))</f>
        <v>0</v>
      </c>
      <c r="W74" s="282">
        <f>IF($C74="","",
IF(AND($E$2="Monthly",$A74&gt;12),"",
$U74*VLOOKUP($C74,'Employee information'!$B:$P,COLUMNS('Employee information'!$B:$P),0)))</f>
        <v>0</v>
      </c>
      <c r="X74" s="114">
        <f t="shared" si="59"/>
        <v>0</v>
      </c>
      <c r="Y74" s="114">
        <f t="shared" si="60"/>
        <v>0</v>
      </c>
      <c r="AA74" s="118">
        <f>IFERROR(
IF(OR('Basic payroll data'!$D$12="",'Basic payroll data'!$D$12="No"),0,
$T74*VLOOKUP($C74,'Employee information'!$B:$P,COLUMNS('Employee information'!$B:$P),0)*AL_loading_perc),
0)</f>
        <v>0</v>
      </c>
      <c r="AC74" s="118"/>
      <c r="AD74" s="118"/>
      <c r="AE74" s="283" t="str">
        <f t="shared" si="73"/>
        <v/>
      </c>
      <c r="AF74" s="283" t="str">
        <f t="shared" si="74"/>
        <v/>
      </c>
      <c r="AG74" s="118"/>
      <c r="AH74" s="118"/>
      <c r="AI74" s="283" t="str">
        <f t="shared" si="75"/>
        <v/>
      </c>
      <c r="AJ74" s="118"/>
      <c r="AK74" s="118"/>
      <c r="AM74" s="118">
        <f t="shared" si="76"/>
        <v>2500</v>
      </c>
      <c r="AN74" s="118">
        <f t="shared" si="61"/>
        <v>2500</v>
      </c>
      <c r="AO74" s="118" t="str">
        <f>IFERROR(
IF(VLOOKUP($C74,'Employee information'!$B:$M,COLUMNS('Employee information'!$B:$M),0)=1,
IF($E$2="Fortnightly",
ROUND(
ROUND((((TRUNC($AN74/2,0)+0.99))*VLOOKUP((TRUNC($AN74/2,0)+0.99),'Tax scales - NAT 1004'!$A$12:$C$18,2,1)-VLOOKUP((TRUNC($AN74/2,0)+0.99),'Tax scales - NAT 1004'!$A$12:$C$18,3,1)),0)
*2,
0),
IF(AND($E$2="Monthly",ROUND($AN74-TRUNC($AN74),2)=0.33),
ROUND(
ROUND(((TRUNC(($AN74+0.01)*3/13,0)+0.99)*VLOOKUP((TRUNC(($AN74+0.01)*3/13,0)+0.99),'Tax scales - NAT 1004'!$A$12:$C$18,2,1)-VLOOKUP((TRUNC(($AN74+0.01)*3/13,0)+0.99),'Tax scales - NAT 1004'!$A$12:$C$18,3,1)),0)
*13/3,
0),
IF($E$2="Monthly",
ROUND(
ROUND(((TRUNC($AN74*3/13,0)+0.99)*VLOOKUP((TRUNC($AN74*3/13,0)+0.99),'Tax scales - NAT 1004'!$A$12:$C$18,2,1)-VLOOKUP((TRUNC($AN74*3/13,0)+0.99),'Tax scales - NAT 1004'!$A$12:$C$18,3,1)),0)
*13/3,
0),
""))),
""),
"")</f>
        <v/>
      </c>
      <c r="AP74" s="118" t="str">
        <f>IFERROR(
IF(VLOOKUP($C74,'Employee information'!$B:$M,COLUMNS('Employee information'!$B:$M),0)=2,
IF($E$2="Fortnightly",
ROUND(
ROUND((((TRUNC($AN74/2,0)+0.99))*VLOOKUP((TRUNC($AN74/2,0)+0.99),'Tax scales - NAT 1004'!$A$25:$C$33,2,1)-VLOOKUP((TRUNC($AN74/2,0)+0.99),'Tax scales - NAT 1004'!$A$25:$C$33,3,1)),0)
*2,
0),
IF(AND($E$2="Monthly",ROUND($AN74-TRUNC($AN74),2)=0.33),
ROUND(
ROUND(((TRUNC(($AN74+0.01)*3/13,0)+0.99)*VLOOKUP((TRUNC(($AN74+0.01)*3/13,0)+0.99),'Tax scales - NAT 1004'!$A$25:$C$33,2,1)-VLOOKUP((TRUNC(($AN74+0.01)*3/13,0)+0.99),'Tax scales - NAT 1004'!$A$25:$C$33,3,1)),0)
*13/3,
0),
IF($E$2="Monthly",
ROUND(
ROUND(((TRUNC($AN74*3/13,0)+0.99)*VLOOKUP((TRUNC($AN74*3/13,0)+0.99),'Tax scales - NAT 1004'!$A$25:$C$33,2,1)-VLOOKUP((TRUNC($AN74*3/13,0)+0.99),'Tax scales - NAT 1004'!$A$25:$C$33,3,1)),0)
*13/3,
0),
""))),
""),
"")</f>
        <v/>
      </c>
      <c r="AQ74" s="118" t="str">
        <f>IFERROR(
IF(VLOOKUP($C74,'Employee information'!$B:$M,COLUMNS('Employee information'!$B:$M),0)=3,
IF($E$2="Fortnightly",
ROUND(
ROUND((((TRUNC($AN74/2,0)+0.99))*VLOOKUP((TRUNC($AN74/2,0)+0.99),'Tax scales - NAT 1004'!$A$39:$C$41,2,1)-VLOOKUP((TRUNC($AN74/2,0)+0.99),'Tax scales - NAT 1004'!$A$39:$C$41,3,1)),0)
*2,
0),
IF(AND($E$2="Monthly",ROUND($AN74-TRUNC($AN74),2)=0.33),
ROUND(
ROUND(((TRUNC(($AN74+0.01)*3/13,0)+0.99)*VLOOKUP((TRUNC(($AN74+0.01)*3/13,0)+0.99),'Tax scales - NAT 1004'!$A$39:$C$41,2,1)-VLOOKUP((TRUNC(($AN74+0.01)*3/13,0)+0.99),'Tax scales - NAT 1004'!$A$39:$C$41,3,1)),0)
*13/3,
0),
IF($E$2="Monthly",
ROUND(
ROUND(((TRUNC($AN74*3/13,0)+0.99)*VLOOKUP((TRUNC($AN74*3/13,0)+0.99),'Tax scales - NAT 1004'!$A$39:$C$41,2,1)-VLOOKUP((TRUNC($AN74*3/13,0)+0.99),'Tax scales - NAT 1004'!$A$39:$C$41,3,1)),0)
*13/3,
0),
""))),
""),
"")</f>
        <v/>
      </c>
      <c r="AR74" s="118">
        <f>IFERROR(
IF(AND(VLOOKUP($C74,'Employee information'!$B:$M,COLUMNS('Employee information'!$B:$M),0)=4,
VLOOKUP($C74,'Employee information'!$B:$J,COLUMNS('Employee information'!$B:$J),0)="Resident"),
TRUNC(TRUNC($AN74)*'Tax scales - NAT 1004'!$B$47),
IF(AND(VLOOKUP($C74,'Employee information'!$B:$M,COLUMNS('Employee information'!$B:$M),0)=4,
VLOOKUP($C74,'Employee information'!$B:$J,COLUMNS('Employee information'!$B:$J),0)="Foreign resident"),
TRUNC(TRUNC($AN74)*'Tax scales - NAT 1004'!$B$48),
"")),
"")</f>
        <v>1175</v>
      </c>
      <c r="AS74" s="118" t="str">
        <f>IFERROR(
IF(VLOOKUP($C74,'Employee information'!$B:$M,COLUMNS('Employee information'!$B:$M),0)=5,
IF($E$2="Fortnightly",
ROUND(
ROUND((((TRUNC($AN74/2,0)+0.99))*VLOOKUP((TRUNC($AN74/2,0)+0.99),'Tax scales - NAT 1004'!$A$53:$C$59,2,1)-VLOOKUP((TRUNC($AN74/2,0)+0.99),'Tax scales - NAT 1004'!$A$53:$C$59,3,1)),0)
*2,
0),
IF(AND($E$2="Monthly",ROUND($AN74-TRUNC($AN74),2)=0.33),
ROUND(
ROUND(((TRUNC(($AN74+0.01)*3/13,0)+0.99)*VLOOKUP((TRUNC(($AN74+0.01)*3/13,0)+0.99),'Tax scales - NAT 1004'!$A$53:$C$59,2,1)-VLOOKUP((TRUNC(($AN74+0.01)*3/13,0)+0.99),'Tax scales - NAT 1004'!$A$53:$C$59,3,1)),0)
*13/3,
0),
IF($E$2="Monthly",
ROUND(
ROUND(((TRUNC($AN74*3/13,0)+0.99)*VLOOKUP((TRUNC($AN74*3/13,0)+0.99),'Tax scales - NAT 1004'!$A$53:$C$59,2,1)-VLOOKUP((TRUNC($AN74*3/13,0)+0.99),'Tax scales - NAT 1004'!$A$53:$C$59,3,1)),0)
*13/3,
0),
""))),
""),
"")</f>
        <v/>
      </c>
      <c r="AT74" s="118" t="str">
        <f>IFERROR(
IF(VLOOKUP($C74,'Employee information'!$B:$M,COLUMNS('Employee information'!$B:$M),0)=6,
IF($E$2="Fortnightly",
ROUND(
ROUND((((TRUNC($AN74/2,0)+0.99))*VLOOKUP((TRUNC($AN74/2,0)+0.99),'Tax scales - NAT 1004'!$A$65:$C$73,2,1)-VLOOKUP((TRUNC($AN74/2,0)+0.99),'Tax scales - NAT 1004'!$A$65:$C$73,3,1)),0)
*2,
0),
IF(AND($E$2="Monthly",ROUND($AN74-TRUNC($AN74),2)=0.33),
ROUND(
ROUND(((TRUNC(($AN74+0.01)*3/13,0)+0.99)*VLOOKUP((TRUNC(($AN74+0.01)*3/13,0)+0.99),'Tax scales - NAT 1004'!$A$65:$C$73,2,1)-VLOOKUP((TRUNC(($AN74+0.01)*3/13,0)+0.99),'Tax scales - NAT 1004'!$A$65:$C$73,3,1)),0)
*13/3,
0),
IF($E$2="Monthly",
ROUND(
ROUND(((TRUNC($AN74*3/13,0)+0.99)*VLOOKUP((TRUNC($AN74*3/13,0)+0.99),'Tax scales - NAT 1004'!$A$65:$C$73,2,1)-VLOOKUP((TRUNC($AN74*3/13,0)+0.99),'Tax scales - NAT 1004'!$A$65:$C$73,3,1)),0)
*13/3,
0),
""))),
""),
"")</f>
        <v/>
      </c>
      <c r="AU74" s="118" t="str">
        <f>IFERROR(
IF(VLOOKUP($C74,'Employee information'!$B:$M,COLUMNS('Employee information'!$B:$M),0)=11,
IF($E$2="Fortnightly",
ROUND(
ROUND((((TRUNC($AN74/2,0)+0.99))*VLOOKUP((TRUNC($AN74/2,0)+0.99),'Tax scales - NAT 3539'!$A$14:$C$38,2,1)-VLOOKUP((TRUNC($AN74/2,0)+0.99),'Tax scales - NAT 3539'!$A$14:$C$38,3,1)),0)
*2,
0),
IF(AND($E$2="Monthly",ROUND($AN74-TRUNC($AN74),2)=0.33),
ROUND(
ROUND(((TRUNC(($AN74+0.01)*3/13,0)+0.99)*VLOOKUP((TRUNC(($AN74+0.01)*3/13,0)+0.99),'Tax scales - NAT 3539'!$A$14:$C$38,2,1)-VLOOKUP((TRUNC(($AN74+0.01)*3/13,0)+0.99),'Tax scales - NAT 3539'!$A$14:$C$38,3,1)),0)
*13/3,
0),
IF($E$2="Monthly",
ROUND(
ROUND(((TRUNC($AN74*3/13,0)+0.99)*VLOOKUP((TRUNC($AN74*3/13,0)+0.99),'Tax scales - NAT 3539'!$A$14:$C$38,2,1)-VLOOKUP((TRUNC($AN74*3/13,0)+0.99),'Tax scales - NAT 3539'!$A$14:$C$38,3,1)),0)
*13/3,
0),
""))),
""),
"")</f>
        <v/>
      </c>
      <c r="AV74" s="118" t="str">
        <f>IFERROR(
IF(VLOOKUP($C74,'Employee information'!$B:$M,COLUMNS('Employee information'!$B:$M),0)=22,
IF($E$2="Fortnightly",
ROUND(
ROUND((((TRUNC($AN74/2,0)+0.99))*VLOOKUP((TRUNC($AN74/2,0)+0.99),'Tax scales - NAT 3539'!$A$43:$C$69,2,1)-VLOOKUP((TRUNC($AN74/2,0)+0.99),'Tax scales - NAT 3539'!$A$43:$C$69,3,1)),0)
*2,
0),
IF(AND($E$2="Monthly",ROUND($AN74-TRUNC($AN74),2)=0.33),
ROUND(
ROUND(((TRUNC(($AN74+0.01)*3/13,0)+0.99)*VLOOKUP((TRUNC(($AN74+0.01)*3/13,0)+0.99),'Tax scales - NAT 3539'!$A$43:$C$69,2,1)-VLOOKUP((TRUNC(($AN74+0.01)*3/13,0)+0.99),'Tax scales - NAT 3539'!$A$43:$C$69,3,1)),0)
*13/3,
0),
IF($E$2="Monthly",
ROUND(
ROUND(((TRUNC($AN74*3/13,0)+0.99)*VLOOKUP((TRUNC($AN74*3/13,0)+0.99),'Tax scales - NAT 3539'!$A$43:$C$69,2,1)-VLOOKUP((TRUNC($AN74*3/13,0)+0.99),'Tax scales - NAT 3539'!$A$43:$C$69,3,1)),0)
*13/3,
0),
""))),
""),
"")</f>
        <v/>
      </c>
      <c r="AW74" s="118" t="str">
        <f>IFERROR(
IF(VLOOKUP($C74,'Employee information'!$B:$M,COLUMNS('Employee information'!$B:$M),0)=33,
IF($E$2="Fortnightly",
ROUND(
ROUND((((TRUNC($AN74/2,0)+0.99))*VLOOKUP((TRUNC($AN74/2,0)+0.99),'Tax scales - NAT 3539'!$A$74:$C$94,2,1)-VLOOKUP((TRUNC($AN74/2,0)+0.99),'Tax scales - NAT 3539'!$A$74:$C$94,3,1)),0)
*2,
0),
IF(AND($E$2="Monthly",ROUND($AN74-TRUNC($AN74),2)=0.33),
ROUND(
ROUND(((TRUNC(($AN74+0.01)*3/13,0)+0.99)*VLOOKUP((TRUNC(($AN74+0.01)*3/13,0)+0.99),'Tax scales - NAT 3539'!$A$74:$C$94,2,1)-VLOOKUP((TRUNC(($AN74+0.01)*3/13,0)+0.99),'Tax scales - NAT 3539'!$A$74:$C$94,3,1)),0)
*13/3,
0),
IF($E$2="Monthly",
ROUND(
ROUND(((TRUNC($AN74*3/13,0)+0.99)*VLOOKUP((TRUNC($AN74*3/13,0)+0.99),'Tax scales - NAT 3539'!$A$74:$C$94,2,1)-VLOOKUP((TRUNC($AN74*3/13,0)+0.99),'Tax scales - NAT 3539'!$A$74:$C$94,3,1)),0)
*13/3,
0),
""))),
""),
"")</f>
        <v/>
      </c>
      <c r="AX74" s="118" t="str">
        <f>IFERROR(
IF(VLOOKUP($C74,'Employee information'!$B:$M,COLUMNS('Employee information'!$B:$M),0)=55,
IF($E$2="Fortnightly",
ROUND(
ROUND((((TRUNC($AN74/2,0)+0.99))*VLOOKUP((TRUNC($AN74/2,0)+0.99),'Tax scales - NAT 3539'!$A$99:$C$123,2,1)-VLOOKUP((TRUNC($AN74/2,0)+0.99),'Tax scales - NAT 3539'!$A$99:$C$123,3,1)),0)
*2,
0),
IF(AND($E$2="Monthly",ROUND($AN74-TRUNC($AN74),2)=0.33),
ROUND(
ROUND(((TRUNC(($AN74+0.01)*3/13,0)+0.99)*VLOOKUP((TRUNC(($AN74+0.01)*3/13,0)+0.99),'Tax scales - NAT 3539'!$A$99:$C$123,2,1)-VLOOKUP((TRUNC(($AN74+0.01)*3/13,0)+0.99),'Tax scales - NAT 3539'!$A$99:$C$123,3,1)),0)
*13/3,
0),
IF($E$2="Monthly",
ROUND(
ROUND(((TRUNC($AN74*3/13,0)+0.99)*VLOOKUP((TRUNC($AN74*3/13,0)+0.99),'Tax scales - NAT 3539'!$A$99:$C$123,2,1)-VLOOKUP((TRUNC($AN74*3/13,0)+0.99),'Tax scales - NAT 3539'!$A$99:$C$123,3,1)),0)
*13/3,
0),
""))),
""),
"")</f>
        <v/>
      </c>
      <c r="AY74" s="118" t="str">
        <f>IFERROR(
IF(VLOOKUP($C74,'Employee information'!$B:$M,COLUMNS('Employee information'!$B:$M),0)=66,
IF($E$2="Fortnightly",
ROUND(
ROUND((((TRUNC($AN74/2,0)+0.99))*VLOOKUP((TRUNC($AN74/2,0)+0.99),'Tax scales - NAT 3539'!$A$127:$C$154,2,1)-VLOOKUP((TRUNC($AN74/2,0)+0.99),'Tax scales - NAT 3539'!$A$127:$C$154,3,1)),0)
*2,
0),
IF(AND($E$2="Monthly",ROUND($AN74-TRUNC($AN74),2)=0.33),
ROUND(
ROUND(((TRUNC(($AN74+0.01)*3/13,0)+0.99)*VLOOKUP((TRUNC(($AN74+0.01)*3/13,0)+0.99),'Tax scales - NAT 3539'!$A$127:$C$154,2,1)-VLOOKUP((TRUNC(($AN74+0.01)*3/13,0)+0.99),'Tax scales - NAT 3539'!$A$127:$C$154,3,1)),0)
*13/3,
0),
IF($E$2="Monthly",
ROUND(
ROUND(((TRUNC($AN74*3/13,0)+0.99)*VLOOKUP((TRUNC($AN74*3/13,0)+0.99),'Tax scales - NAT 3539'!$A$127:$C$154,2,1)-VLOOKUP((TRUNC($AN74*3/13,0)+0.99),'Tax scales - NAT 3539'!$A$127:$C$154,3,1)),0)
*13/3,
0),
""))),
""),
"")</f>
        <v/>
      </c>
      <c r="AZ74" s="118">
        <f>IFERROR(
HLOOKUP(VLOOKUP($C74,'Employee information'!$B:$M,COLUMNS('Employee information'!$B:$M),0),'PAYG worksheet'!$AO$68:$AY$87,COUNTA($C$69:$C74)+1,0),
0)</f>
        <v>1175</v>
      </c>
      <c r="BA74" s="118"/>
      <c r="BB74" s="118">
        <f t="shared" si="77"/>
        <v>1325</v>
      </c>
      <c r="BC74" s="119">
        <f>IFERROR(
IF(OR($AE74=1,$AE74=""),SUM($P74,$AA74,$AC74,$AK74)*VLOOKUP($C74,'Employee information'!$B:$Q,COLUMNS('Employee information'!$B:$H),0),
IF($AE74=0,SUM($P74,$AA74,$AK74)*VLOOKUP($C74,'Employee information'!$B:$Q,COLUMNS('Employee information'!$B:$H),0),
0)),
0)</f>
        <v>237.5</v>
      </c>
      <c r="BE74" s="114">
        <f t="shared" si="62"/>
        <v>7500</v>
      </c>
      <c r="BF74" s="114">
        <f t="shared" si="63"/>
        <v>7500</v>
      </c>
      <c r="BG74" s="114">
        <f t="shared" si="64"/>
        <v>0</v>
      </c>
      <c r="BH74" s="114">
        <f t="shared" si="65"/>
        <v>0</v>
      </c>
      <c r="BI74" s="114">
        <f t="shared" si="66"/>
        <v>3525</v>
      </c>
      <c r="BJ74" s="114">
        <f t="shared" si="67"/>
        <v>0</v>
      </c>
      <c r="BK74" s="114">
        <f t="shared" si="68"/>
        <v>0</v>
      </c>
      <c r="BL74" s="114">
        <f t="shared" si="78"/>
        <v>0</v>
      </c>
      <c r="BM74" s="114">
        <f t="shared" si="69"/>
        <v>712.5</v>
      </c>
    </row>
    <row r="75" spans="1:65" x14ac:dyDescent="0.25">
      <c r="A75" s="228">
        <f t="shared" si="57"/>
        <v>3</v>
      </c>
      <c r="C75" s="278" t="s">
        <v>95</v>
      </c>
      <c r="E75" s="103">
        <f>IF($C75="",0,
IF(AND($E$2="Monthly",$A75&gt;12),0,
IF($E$2="Monthly",VLOOKUP($C75,'Employee information'!$B:$AM,COLUMNS('Employee information'!$B:S),0),
IF($E$2="Fortnightly",VLOOKUP($C75,'Employee information'!$B:$AM,COLUMNS('Employee information'!$B:R),0),
0))))</f>
        <v>45</v>
      </c>
      <c r="F75" s="106"/>
      <c r="G75" s="106"/>
      <c r="H75" s="106"/>
      <c r="I75" s="106"/>
      <c r="J75" s="103">
        <f t="shared" si="70"/>
        <v>45</v>
      </c>
      <c r="L75" s="113">
        <f>IF(AND($E$2="Monthly",$A75&gt;12),"",
IFERROR($J75*VLOOKUP($C75,'Employee information'!$B:$AI,COLUMNS('Employee information'!$B:$P),0),0))</f>
        <v>1107.6923076923078</v>
      </c>
      <c r="M75" s="114">
        <f t="shared" si="71"/>
        <v>3323.0769230769238</v>
      </c>
      <c r="O75" s="103">
        <f t="shared" si="72"/>
        <v>45</v>
      </c>
      <c r="P75" s="113">
        <f>IFERROR(
IF(AND($E$2="Monthly",$A75&gt;12),0,
$O75*VLOOKUP($C75,'Employee information'!$B:$AI,COLUMNS('Employee information'!$B:$P),0)),
0)</f>
        <v>1107.6923076923078</v>
      </c>
      <c r="R75" s="114">
        <f t="shared" si="58"/>
        <v>3323.0769230769238</v>
      </c>
      <c r="T75" s="103"/>
      <c r="U75" s="103"/>
      <c r="V75" s="282">
        <f>IF($C75="","",
IF(AND($E$2="Monthly",$A75&gt;12),"",
$T75*VLOOKUP($C75,'Employee information'!$B:$P,COLUMNS('Employee information'!$B:$P),0)))</f>
        <v>0</v>
      </c>
      <c r="W75" s="282">
        <f>IF($C75="","",
IF(AND($E$2="Monthly",$A75&gt;12),"",
$U75*VLOOKUP($C75,'Employee information'!$B:$P,COLUMNS('Employee information'!$B:$P),0)))</f>
        <v>0</v>
      </c>
      <c r="X75" s="114">
        <f t="shared" si="59"/>
        <v>0</v>
      </c>
      <c r="Y75" s="114">
        <f t="shared" si="60"/>
        <v>0</v>
      </c>
      <c r="AA75" s="118">
        <f>IFERROR(
IF(OR('Basic payroll data'!$D$12="",'Basic payroll data'!$D$12="No"),0,
$T75*VLOOKUP($C75,'Employee information'!$B:$P,COLUMNS('Employee information'!$B:$P),0)*AL_loading_perc),
0)</f>
        <v>0</v>
      </c>
      <c r="AC75" s="118"/>
      <c r="AD75" s="118"/>
      <c r="AE75" s="283" t="str">
        <f t="shared" si="73"/>
        <v/>
      </c>
      <c r="AF75" s="283" t="str">
        <f t="shared" si="74"/>
        <v/>
      </c>
      <c r="AG75" s="118"/>
      <c r="AH75" s="118"/>
      <c r="AI75" s="283" t="str">
        <f t="shared" si="75"/>
        <v/>
      </c>
      <c r="AJ75" s="118"/>
      <c r="AK75" s="118"/>
      <c r="AM75" s="118">
        <f t="shared" si="76"/>
        <v>1107.6923076923078</v>
      </c>
      <c r="AN75" s="118">
        <f t="shared" si="61"/>
        <v>1107.6923076923078</v>
      </c>
      <c r="AO75" s="118" t="str">
        <f>IFERROR(
IF(VLOOKUP($C75,'Employee information'!$B:$M,COLUMNS('Employee information'!$B:$M),0)=1,
IF($E$2="Fortnightly",
ROUND(
ROUND((((TRUNC($AN75/2,0)+0.99))*VLOOKUP((TRUNC($AN75/2,0)+0.99),'Tax scales - NAT 1004'!$A$12:$C$18,2,1)-VLOOKUP((TRUNC($AN75/2,0)+0.99),'Tax scales - NAT 1004'!$A$12:$C$18,3,1)),0)
*2,
0),
IF(AND($E$2="Monthly",ROUND($AN75-TRUNC($AN75),2)=0.33),
ROUND(
ROUND(((TRUNC(($AN75+0.01)*3/13,0)+0.99)*VLOOKUP((TRUNC(($AN75+0.01)*3/13,0)+0.99),'Tax scales - NAT 1004'!$A$12:$C$18,2,1)-VLOOKUP((TRUNC(($AN75+0.01)*3/13,0)+0.99),'Tax scales - NAT 1004'!$A$12:$C$18,3,1)),0)
*13/3,
0),
IF($E$2="Monthly",
ROUND(
ROUND(((TRUNC($AN75*3/13,0)+0.99)*VLOOKUP((TRUNC($AN75*3/13,0)+0.99),'Tax scales - NAT 1004'!$A$12:$C$18,2,1)-VLOOKUP((TRUNC($AN75*3/13,0)+0.99),'Tax scales - NAT 1004'!$A$12:$C$18,3,1)),0)
*13/3,
0),
""))),
""),
"")</f>
        <v/>
      </c>
      <c r="AP75" s="118" t="str">
        <f>IFERROR(
IF(VLOOKUP($C75,'Employee information'!$B:$M,COLUMNS('Employee information'!$B:$M),0)=2,
IF($E$2="Fortnightly",
ROUND(
ROUND((((TRUNC($AN75/2,0)+0.99))*VLOOKUP((TRUNC($AN75/2,0)+0.99),'Tax scales - NAT 1004'!$A$25:$C$33,2,1)-VLOOKUP((TRUNC($AN75/2,0)+0.99),'Tax scales - NAT 1004'!$A$25:$C$33,3,1)),0)
*2,
0),
IF(AND($E$2="Monthly",ROUND($AN75-TRUNC($AN75),2)=0.33),
ROUND(
ROUND(((TRUNC(($AN75+0.01)*3/13,0)+0.99)*VLOOKUP((TRUNC(($AN75+0.01)*3/13,0)+0.99),'Tax scales - NAT 1004'!$A$25:$C$33,2,1)-VLOOKUP((TRUNC(($AN75+0.01)*3/13,0)+0.99),'Tax scales - NAT 1004'!$A$25:$C$33,3,1)),0)
*13/3,
0),
IF($E$2="Monthly",
ROUND(
ROUND(((TRUNC($AN75*3/13,0)+0.99)*VLOOKUP((TRUNC($AN75*3/13,0)+0.99),'Tax scales - NAT 1004'!$A$25:$C$33,2,1)-VLOOKUP((TRUNC($AN75*3/13,0)+0.99),'Tax scales - NAT 1004'!$A$25:$C$33,3,1)),0)
*13/3,
0),
""))),
""),
"")</f>
        <v/>
      </c>
      <c r="AQ75" s="118" t="str">
        <f>IFERROR(
IF(VLOOKUP($C75,'Employee information'!$B:$M,COLUMNS('Employee information'!$B:$M),0)=3,
IF($E$2="Fortnightly",
ROUND(
ROUND((((TRUNC($AN75/2,0)+0.99))*VLOOKUP((TRUNC($AN75/2,0)+0.99),'Tax scales - NAT 1004'!$A$39:$C$41,2,1)-VLOOKUP((TRUNC($AN75/2,0)+0.99),'Tax scales - NAT 1004'!$A$39:$C$41,3,1)),0)
*2,
0),
IF(AND($E$2="Monthly",ROUND($AN75-TRUNC($AN75),2)=0.33),
ROUND(
ROUND(((TRUNC(($AN75+0.01)*3/13,0)+0.99)*VLOOKUP((TRUNC(($AN75+0.01)*3/13,0)+0.99),'Tax scales - NAT 1004'!$A$39:$C$41,2,1)-VLOOKUP((TRUNC(($AN75+0.01)*3/13,0)+0.99),'Tax scales - NAT 1004'!$A$39:$C$41,3,1)),0)
*13/3,
0),
IF($E$2="Monthly",
ROUND(
ROUND(((TRUNC($AN75*3/13,0)+0.99)*VLOOKUP((TRUNC($AN75*3/13,0)+0.99),'Tax scales - NAT 1004'!$A$39:$C$41,2,1)-VLOOKUP((TRUNC($AN75*3/13,0)+0.99),'Tax scales - NAT 1004'!$A$39:$C$41,3,1)),0)
*13/3,
0),
""))),
""),
"")</f>
        <v/>
      </c>
      <c r="AR75" s="118" t="str">
        <f>IFERROR(
IF(AND(VLOOKUP($C75,'Employee information'!$B:$M,COLUMNS('Employee information'!$B:$M),0)=4,
VLOOKUP($C75,'Employee information'!$B:$J,COLUMNS('Employee information'!$B:$J),0)="Resident"),
TRUNC(TRUNC($AN75)*'Tax scales - NAT 1004'!$B$47),
IF(AND(VLOOKUP($C75,'Employee information'!$B:$M,COLUMNS('Employee information'!$B:$M),0)=4,
VLOOKUP($C75,'Employee information'!$B:$J,COLUMNS('Employee information'!$B:$J),0)="Foreign resident"),
TRUNC(TRUNC($AN75)*'Tax scales - NAT 1004'!$B$48),
"")),
"")</f>
        <v/>
      </c>
      <c r="AS75" s="118" t="str">
        <f>IFERROR(
IF(VLOOKUP($C75,'Employee information'!$B:$M,COLUMNS('Employee information'!$B:$M),0)=5,
IF($E$2="Fortnightly",
ROUND(
ROUND((((TRUNC($AN75/2,0)+0.99))*VLOOKUP((TRUNC($AN75/2,0)+0.99),'Tax scales - NAT 1004'!$A$53:$C$59,2,1)-VLOOKUP((TRUNC($AN75/2,0)+0.99),'Tax scales - NAT 1004'!$A$53:$C$59,3,1)),0)
*2,
0),
IF(AND($E$2="Monthly",ROUND($AN75-TRUNC($AN75),2)=0.33),
ROUND(
ROUND(((TRUNC(($AN75+0.01)*3/13,0)+0.99)*VLOOKUP((TRUNC(($AN75+0.01)*3/13,0)+0.99),'Tax scales - NAT 1004'!$A$53:$C$59,2,1)-VLOOKUP((TRUNC(($AN75+0.01)*3/13,0)+0.99),'Tax scales - NAT 1004'!$A$53:$C$59,3,1)),0)
*13/3,
0),
IF($E$2="Monthly",
ROUND(
ROUND(((TRUNC($AN75*3/13,0)+0.99)*VLOOKUP((TRUNC($AN75*3/13,0)+0.99),'Tax scales - NAT 1004'!$A$53:$C$59,2,1)-VLOOKUP((TRUNC($AN75*3/13,0)+0.99),'Tax scales - NAT 1004'!$A$53:$C$59,3,1)),0)
*13/3,
0),
""))),
""),
"")</f>
        <v/>
      </c>
      <c r="AT75" s="118" t="str">
        <f>IFERROR(
IF(VLOOKUP($C75,'Employee information'!$B:$M,COLUMNS('Employee information'!$B:$M),0)=6,
IF($E$2="Fortnightly",
ROUND(
ROUND((((TRUNC($AN75/2,0)+0.99))*VLOOKUP((TRUNC($AN75/2,0)+0.99),'Tax scales - NAT 1004'!$A$65:$C$73,2,1)-VLOOKUP((TRUNC($AN75/2,0)+0.99),'Tax scales - NAT 1004'!$A$65:$C$73,3,1)),0)
*2,
0),
IF(AND($E$2="Monthly",ROUND($AN75-TRUNC($AN75),2)=0.33),
ROUND(
ROUND(((TRUNC(($AN75+0.01)*3/13,0)+0.99)*VLOOKUP((TRUNC(($AN75+0.01)*3/13,0)+0.99),'Tax scales - NAT 1004'!$A$65:$C$73,2,1)-VLOOKUP((TRUNC(($AN75+0.01)*3/13,0)+0.99),'Tax scales - NAT 1004'!$A$65:$C$73,3,1)),0)
*13/3,
0),
IF($E$2="Monthly",
ROUND(
ROUND(((TRUNC($AN75*3/13,0)+0.99)*VLOOKUP((TRUNC($AN75*3/13,0)+0.99),'Tax scales - NAT 1004'!$A$65:$C$73,2,1)-VLOOKUP((TRUNC($AN75*3/13,0)+0.99),'Tax scales - NAT 1004'!$A$65:$C$73,3,1)),0)
*13/3,
0),
""))),
""),
"")</f>
        <v/>
      </c>
      <c r="AU75" s="118" t="str">
        <f>IFERROR(
IF(VLOOKUP($C75,'Employee information'!$B:$M,COLUMNS('Employee information'!$B:$M),0)=11,
IF($E$2="Fortnightly",
ROUND(
ROUND((((TRUNC($AN75/2,0)+0.99))*VLOOKUP((TRUNC($AN75/2,0)+0.99),'Tax scales - NAT 3539'!$A$14:$C$38,2,1)-VLOOKUP((TRUNC($AN75/2,0)+0.99),'Tax scales - NAT 3539'!$A$14:$C$38,3,1)),0)
*2,
0),
IF(AND($E$2="Monthly",ROUND($AN75-TRUNC($AN75),2)=0.33),
ROUND(
ROUND(((TRUNC(($AN75+0.01)*3/13,0)+0.99)*VLOOKUP((TRUNC(($AN75+0.01)*3/13,0)+0.99),'Tax scales - NAT 3539'!$A$14:$C$38,2,1)-VLOOKUP((TRUNC(($AN75+0.01)*3/13,0)+0.99),'Tax scales - NAT 3539'!$A$14:$C$38,3,1)),0)
*13/3,
0),
IF($E$2="Monthly",
ROUND(
ROUND(((TRUNC($AN75*3/13,0)+0.99)*VLOOKUP((TRUNC($AN75*3/13,0)+0.99),'Tax scales - NAT 3539'!$A$14:$C$38,2,1)-VLOOKUP((TRUNC($AN75*3/13,0)+0.99),'Tax scales - NAT 3539'!$A$14:$C$38,3,1)),0)
*13/3,
0),
""))),
""),
"")</f>
        <v/>
      </c>
      <c r="AV75" s="118" t="str">
        <f>IFERROR(
IF(VLOOKUP($C75,'Employee information'!$B:$M,COLUMNS('Employee information'!$B:$M),0)=22,
IF($E$2="Fortnightly",
ROUND(
ROUND((((TRUNC($AN75/2,0)+0.99))*VLOOKUP((TRUNC($AN75/2,0)+0.99),'Tax scales - NAT 3539'!$A$43:$C$69,2,1)-VLOOKUP((TRUNC($AN75/2,0)+0.99),'Tax scales - NAT 3539'!$A$43:$C$69,3,1)),0)
*2,
0),
IF(AND($E$2="Monthly",ROUND($AN75-TRUNC($AN75),2)=0.33),
ROUND(
ROUND(((TRUNC(($AN75+0.01)*3/13,0)+0.99)*VLOOKUP((TRUNC(($AN75+0.01)*3/13,0)+0.99),'Tax scales - NAT 3539'!$A$43:$C$69,2,1)-VLOOKUP((TRUNC(($AN75+0.01)*3/13,0)+0.99),'Tax scales - NAT 3539'!$A$43:$C$69,3,1)),0)
*13/3,
0),
IF($E$2="Monthly",
ROUND(
ROUND(((TRUNC($AN75*3/13,0)+0.99)*VLOOKUP((TRUNC($AN75*3/13,0)+0.99),'Tax scales - NAT 3539'!$A$43:$C$69,2,1)-VLOOKUP((TRUNC($AN75*3/13,0)+0.99),'Tax scales - NAT 3539'!$A$43:$C$69,3,1)),0)
*13/3,
0),
""))),
""),
"")</f>
        <v/>
      </c>
      <c r="AW75" s="118" t="str">
        <f>IFERROR(
IF(VLOOKUP($C75,'Employee information'!$B:$M,COLUMNS('Employee information'!$B:$M),0)=33,
IF($E$2="Fortnightly",
ROUND(
ROUND((((TRUNC($AN75/2,0)+0.99))*VLOOKUP((TRUNC($AN75/2,0)+0.99),'Tax scales - NAT 3539'!$A$74:$C$94,2,1)-VLOOKUP((TRUNC($AN75/2,0)+0.99),'Tax scales - NAT 3539'!$A$74:$C$94,3,1)),0)
*2,
0),
IF(AND($E$2="Monthly",ROUND($AN75-TRUNC($AN75),2)=0.33),
ROUND(
ROUND(((TRUNC(($AN75+0.01)*3/13,0)+0.99)*VLOOKUP((TRUNC(($AN75+0.01)*3/13,0)+0.99),'Tax scales - NAT 3539'!$A$74:$C$94,2,1)-VLOOKUP((TRUNC(($AN75+0.01)*3/13,0)+0.99),'Tax scales - NAT 3539'!$A$74:$C$94,3,1)),0)
*13/3,
0),
IF($E$2="Monthly",
ROUND(
ROUND(((TRUNC($AN75*3/13,0)+0.99)*VLOOKUP((TRUNC($AN75*3/13,0)+0.99),'Tax scales - NAT 3539'!$A$74:$C$94,2,1)-VLOOKUP((TRUNC($AN75*3/13,0)+0.99),'Tax scales - NAT 3539'!$A$74:$C$94,3,1)),0)
*13/3,
0),
""))),
""),
"")</f>
        <v/>
      </c>
      <c r="AX75" s="118" t="str">
        <f>IFERROR(
IF(VLOOKUP($C75,'Employee information'!$B:$M,COLUMNS('Employee information'!$B:$M),0)=55,
IF($E$2="Fortnightly",
ROUND(
ROUND((((TRUNC($AN75/2,0)+0.99))*VLOOKUP((TRUNC($AN75/2,0)+0.99),'Tax scales - NAT 3539'!$A$99:$C$123,2,1)-VLOOKUP((TRUNC($AN75/2,0)+0.99),'Tax scales - NAT 3539'!$A$99:$C$123,3,1)),0)
*2,
0),
IF(AND($E$2="Monthly",ROUND($AN75-TRUNC($AN75),2)=0.33),
ROUND(
ROUND(((TRUNC(($AN75+0.01)*3/13,0)+0.99)*VLOOKUP((TRUNC(($AN75+0.01)*3/13,0)+0.99),'Tax scales - NAT 3539'!$A$99:$C$123,2,1)-VLOOKUP((TRUNC(($AN75+0.01)*3/13,0)+0.99),'Tax scales - NAT 3539'!$A$99:$C$123,3,1)),0)
*13/3,
0),
IF($E$2="Monthly",
ROUND(
ROUND(((TRUNC($AN75*3/13,0)+0.99)*VLOOKUP((TRUNC($AN75*3/13,0)+0.99),'Tax scales - NAT 3539'!$A$99:$C$123,2,1)-VLOOKUP((TRUNC($AN75*3/13,0)+0.99),'Tax scales - NAT 3539'!$A$99:$C$123,3,1)),0)
*13/3,
0),
""))),
""),
"")</f>
        <v/>
      </c>
      <c r="AY75" s="118">
        <f>IFERROR(
IF(VLOOKUP($C75,'Employee information'!$B:$M,COLUMNS('Employee information'!$B:$M),0)=66,
IF($E$2="Fortnightly",
ROUND(
ROUND((((TRUNC($AN75/2,0)+0.99))*VLOOKUP((TRUNC($AN75/2,0)+0.99),'Tax scales - NAT 3539'!$A$127:$C$154,2,1)-VLOOKUP((TRUNC($AN75/2,0)+0.99),'Tax scales - NAT 3539'!$A$127:$C$154,3,1)),0)
*2,
0),
IF(AND($E$2="Monthly",ROUND($AN75-TRUNC($AN75),2)=0.33),
ROUND(
ROUND(((TRUNC(($AN75+0.01)*3/13,0)+0.99)*VLOOKUP((TRUNC(($AN75+0.01)*3/13,0)+0.99),'Tax scales - NAT 3539'!$A$127:$C$154,2,1)-VLOOKUP((TRUNC(($AN75+0.01)*3/13,0)+0.99),'Tax scales - NAT 3539'!$A$127:$C$154,3,1)),0)
*13/3,
0),
IF($E$2="Monthly",
ROUND(
ROUND(((TRUNC($AN75*3/13,0)+0.99)*VLOOKUP((TRUNC($AN75*3/13,0)+0.99),'Tax scales - NAT 3539'!$A$127:$C$154,2,1)-VLOOKUP((TRUNC($AN75*3/13,0)+0.99),'Tax scales - NAT 3539'!$A$127:$C$154,3,1)),0)
*13/3,
0),
""))),
""),
"")</f>
        <v>74</v>
      </c>
      <c r="AZ75" s="118">
        <f>IFERROR(
HLOOKUP(VLOOKUP($C75,'Employee information'!$B:$M,COLUMNS('Employee information'!$B:$M),0),'PAYG worksheet'!$AO$68:$AY$87,COUNTA($C$69:$C75)+1,0),
0)</f>
        <v>74</v>
      </c>
      <c r="BA75" s="118"/>
      <c r="BB75" s="118">
        <f t="shared" si="77"/>
        <v>1033.6923076923078</v>
      </c>
      <c r="BC75" s="119">
        <f>IFERROR(
IF(OR($AE75=1,$AE75=""),SUM($P75,$AA75,$AC75,$AK75)*VLOOKUP($C75,'Employee information'!$B:$Q,COLUMNS('Employee information'!$B:$H),0),
IF($AE75=0,SUM($P75,$AA75,$AK75)*VLOOKUP($C75,'Employee information'!$B:$Q,COLUMNS('Employee information'!$B:$H),0),
0)),
0)</f>
        <v>105.23076923076924</v>
      </c>
      <c r="BE75" s="114">
        <f t="shared" si="62"/>
        <v>3323.0769230769238</v>
      </c>
      <c r="BF75" s="114">
        <f t="shared" si="63"/>
        <v>3323.0769230769238</v>
      </c>
      <c r="BG75" s="114">
        <f t="shared" si="64"/>
        <v>0</v>
      </c>
      <c r="BH75" s="114">
        <f t="shared" si="65"/>
        <v>0</v>
      </c>
      <c r="BI75" s="114">
        <f t="shared" si="66"/>
        <v>222</v>
      </c>
      <c r="BJ75" s="114">
        <f t="shared" si="67"/>
        <v>0</v>
      </c>
      <c r="BK75" s="114">
        <f t="shared" si="68"/>
        <v>0</v>
      </c>
      <c r="BL75" s="114">
        <f t="shared" si="78"/>
        <v>0</v>
      </c>
      <c r="BM75" s="114">
        <f t="shared" si="69"/>
        <v>315.69230769230774</v>
      </c>
    </row>
    <row r="76" spans="1:65" x14ac:dyDescent="0.25">
      <c r="A76" s="228">
        <f t="shared" si="57"/>
        <v>3</v>
      </c>
      <c r="C76" s="278"/>
      <c r="E76" s="103">
        <f>IF($C76="",0,
IF(AND($E$2="Monthly",$A76&gt;12),0,
IF($E$2="Monthly",VLOOKUP($C76,'Employee information'!$B:$AM,COLUMNS('Employee information'!$B:S),0),
IF($E$2="Fortnightly",VLOOKUP($C76,'Employee information'!$B:$AM,COLUMNS('Employee information'!$B:R),0),
0))))</f>
        <v>0</v>
      </c>
      <c r="F76" s="106"/>
      <c r="G76" s="106"/>
      <c r="H76" s="106"/>
      <c r="I76" s="106"/>
      <c r="J76" s="103">
        <f>IF($E$2="Monthly",
IF(AND($E$2="Monthly",$H76&lt;&gt;""),$H76,
IF(AND($E$2="Monthly",$E76=0),SUM($F76:$G76),
$E76)),
IF($E$2="Fortnightly",
IF(AND($E$2="Fortnightly",$H76&lt;&gt;""),$H76,
IF(AND($E$2="Fortnightly",$F76&lt;&gt;"",$E76&lt;&gt;0),$F76,
IF(AND($E$2="Fortnightly",$E76=0),SUM($F76:$G76),
$E76)))))</f>
        <v>0</v>
      </c>
      <c r="L76" s="113">
        <f>IF(AND($E$2="Monthly",$A76&gt;12),"",
IFERROR($J76*VLOOKUP($C76,'Employee information'!$B:$AI,COLUMNS('Employee information'!$B:$P),0),0))</f>
        <v>0</v>
      </c>
      <c r="M76" s="114">
        <f t="shared" si="71"/>
        <v>0</v>
      </c>
      <c r="O76" s="103">
        <f t="shared" si="72"/>
        <v>0</v>
      </c>
      <c r="P76" s="113">
        <f>IFERROR(
IF(AND($E$2="Monthly",$A76&gt;12),0,
$O76*VLOOKUP($C76,'Employee information'!$B:$AI,COLUMNS('Employee information'!$B:$P),0)),
0)</f>
        <v>0</v>
      </c>
      <c r="R76" s="114">
        <f t="shared" si="58"/>
        <v>0</v>
      </c>
      <c r="T76" s="103"/>
      <c r="U76" s="103"/>
      <c r="V76" s="282" t="str">
        <f>IF($C76="","",
IF(AND($E$2="Monthly",$A76&gt;12),"",
$T76*VLOOKUP($C76,'Employee information'!$B:$P,COLUMNS('Employee information'!$B:$P),0)))</f>
        <v/>
      </c>
      <c r="W76" s="282" t="str">
        <f>IF($C76="","",
IF(AND($E$2="Monthly",$A76&gt;12),"",
$U76*VLOOKUP($C76,'Employee information'!$B:$P,COLUMNS('Employee information'!$B:$P),0)))</f>
        <v/>
      </c>
      <c r="X76" s="114">
        <f t="shared" si="59"/>
        <v>0</v>
      </c>
      <c r="Y76" s="114">
        <f t="shared" si="60"/>
        <v>0</v>
      </c>
      <c r="AA76" s="118">
        <f>IFERROR(
IF(OR('Basic payroll data'!$D$12="",'Basic payroll data'!$D$12="No"),0,
$T76*VLOOKUP($C76,'Employee information'!$B:$P,COLUMNS('Employee information'!$B:$P),0)*AL_loading_perc),
0)</f>
        <v>0</v>
      </c>
      <c r="AC76" s="118"/>
      <c r="AD76" s="118"/>
      <c r="AE76" s="283" t="str">
        <f t="shared" si="73"/>
        <v/>
      </c>
      <c r="AF76" s="283" t="str">
        <f t="shared" si="74"/>
        <v/>
      </c>
      <c r="AG76" s="118"/>
      <c r="AH76" s="118"/>
      <c r="AI76" s="283" t="str">
        <f t="shared" si="75"/>
        <v/>
      </c>
      <c r="AJ76" s="118"/>
      <c r="AK76" s="118"/>
      <c r="AM76" s="118">
        <f t="shared" si="76"/>
        <v>0</v>
      </c>
      <c r="AN76" s="118">
        <f t="shared" si="61"/>
        <v>0</v>
      </c>
      <c r="AO76" s="118" t="str">
        <f>IFERROR(
IF(VLOOKUP($C76,'Employee information'!$B:$M,COLUMNS('Employee information'!$B:$M),0)=1,
IF($E$2="Fortnightly",
ROUND(
ROUND((((TRUNC($AN76/2,0)+0.99))*VLOOKUP((TRUNC($AN76/2,0)+0.99),'Tax scales - NAT 1004'!$A$12:$C$18,2,1)-VLOOKUP((TRUNC($AN76/2,0)+0.99),'Tax scales - NAT 1004'!$A$12:$C$18,3,1)),0)
*2,
0),
IF(AND($E$2="Monthly",ROUND($AN76-TRUNC($AN76),2)=0.33),
ROUND(
ROUND(((TRUNC(($AN76+0.01)*3/13,0)+0.99)*VLOOKUP((TRUNC(($AN76+0.01)*3/13,0)+0.99),'Tax scales - NAT 1004'!$A$12:$C$18,2,1)-VLOOKUP((TRUNC(($AN76+0.01)*3/13,0)+0.99),'Tax scales - NAT 1004'!$A$12:$C$18,3,1)),0)
*13/3,
0),
IF($E$2="Monthly",
ROUND(
ROUND(((TRUNC($AN76*3/13,0)+0.99)*VLOOKUP((TRUNC($AN76*3/13,0)+0.99),'Tax scales - NAT 1004'!$A$12:$C$18,2,1)-VLOOKUP((TRUNC($AN76*3/13,0)+0.99),'Tax scales - NAT 1004'!$A$12:$C$18,3,1)),0)
*13/3,
0),
""))),
""),
"")</f>
        <v/>
      </c>
      <c r="AP76" s="118" t="str">
        <f>IFERROR(
IF(VLOOKUP($C76,'Employee information'!$B:$M,COLUMNS('Employee information'!$B:$M),0)=2,
IF($E$2="Fortnightly",
ROUND(
ROUND((((TRUNC($AN76/2,0)+0.99))*VLOOKUP((TRUNC($AN76/2,0)+0.99),'Tax scales - NAT 1004'!$A$25:$C$33,2,1)-VLOOKUP((TRUNC($AN76/2,0)+0.99),'Tax scales - NAT 1004'!$A$25:$C$33,3,1)),0)
*2,
0),
IF(AND($E$2="Monthly",ROUND($AN76-TRUNC($AN76),2)=0.33),
ROUND(
ROUND(((TRUNC(($AN76+0.01)*3/13,0)+0.99)*VLOOKUP((TRUNC(($AN76+0.01)*3/13,0)+0.99),'Tax scales - NAT 1004'!$A$25:$C$33,2,1)-VLOOKUP((TRUNC(($AN76+0.01)*3/13,0)+0.99),'Tax scales - NAT 1004'!$A$25:$C$33,3,1)),0)
*13/3,
0),
IF($E$2="Monthly",
ROUND(
ROUND(((TRUNC($AN76*3/13,0)+0.99)*VLOOKUP((TRUNC($AN76*3/13,0)+0.99),'Tax scales - NAT 1004'!$A$25:$C$33,2,1)-VLOOKUP((TRUNC($AN76*3/13,0)+0.99),'Tax scales - NAT 1004'!$A$25:$C$33,3,1)),0)
*13/3,
0),
""))),
""),
"")</f>
        <v/>
      </c>
      <c r="AQ76" s="118" t="str">
        <f>IFERROR(
IF(VLOOKUP($C76,'Employee information'!$B:$M,COLUMNS('Employee information'!$B:$M),0)=3,
IF($E$2="Fortnightly",
ROUND(
ROUND((((TRUNC($AN76/2,0)+0.99))*VLOOKUP((TRUNC($AN76/2,0)+0.99),'Tax scales - NAT 1004'!$A$39:$C$41,2,1)-VLOOKUP((TRUNC($AN76/2,0)+0.99),'Tax scales - NAT 1004'!$A$39:$C$41,3,1)),0)
*2,
0),
IF(AND($E$2="Monthly",ROUND($AN76-TRUNC($AN76),2)=0.33),
ROUND(
ROUND(((TRUNC(($AN76+0.01)*3/13,0)+0.99)*VLOOKUP((TRUNC(($AN76+0.01)*3/13,0)+0.99),'Tax scales - NAT 1004'!$A$39:$C$41,2,1)-VLOOKUP((TRUNC(($AN76+0.01)*3/13,0)+0.99),'Tax scales - NAT 1004'!$A$39:$C$41,3,1)),0)
*13/3,
0),
IF($E$2="Monthly",
ROUND(
ROUND(((TRUNC($AN76*3/13,0)+0.99)*VLOOKUP((TRUNC($AN76*3/13,0)+0.99),'Tax scales - NAT 1004'!$A$39:$C$41,2,1)-VLOOKUP((TRUNC($AN76*3/13,0)+0.99),'Tax scales - NAT 1004'!$A$39:$C$41,3,1)),0)
*13/3,
0),
""))),
""),
"")</f>
        <v/>
      </c>
      <c r="AR76" s="118" t="str">
        <f>IFERROR(
IF(AND(VLOOKUP($C76,'Employee information'!$B:$M,COLUMNS('Employee information'!$B:$M),0)=4,
VLOOKUP($C76,'Employee information'!$B:$J,COLUMNS('Employee information'!$B:$J),0)="Resident"),
TRUNC(TRUNC($AN76)*'Tax scales - NAT 1004'!$B$47),
IF(AND(VLOOKUP($C76,'Employee information'!$B:$M,COLUMNS('Employee information'!$B:$M),0)=4,
VLOOKUP($C76,'Employee information'!$B:$J,COLUMNS('Employee information'!$B:$J),0)="Foreign resident"),
TRUNC(TRUNC($AN76)*'Tax scales - NAT 1004'!$B$48),
"")),
"")</f>
        <v/>
      </c>
      <c r="AS76" s="118" t="str">
        <f>IFERROR(
IF(VLOOKUP($C76,'Employee information'!$B:$M,COLUMNS('Employee information'!$B:$M),0)=5,
IF($E$2="Fortnightly",
ROUND(
ROUND((((TRUNC($AN76/2,0)+0.99))*VLOOKUP((TRUNC($AN76/2,0)+0.99),'Tax scales - NAT 1004'!$A$53:$C$59,2,1)-VLOOKUP((TRUNC($AN76/2,0)+0.99),'Tax scales - NAT 1004'!$A$53:$C$59,3,1)),0)
*2,
0),
IF(AND($E$2="Monthly",ROUND($AN76-TRUNC($AN76),2)=0.33),
ROUND(
ROUND(((TRUNC(($AN76+0.01)*3/13,0)+0.99)*VLOOKUP((TRUNC(($AN76+0.01)*3/13,0)+0.99),'Tax scales - NAT 1004'!$A$53:$C$59,2,1)-VLOOKUP((TRUNC(($AN76+0.01)*3/13,0)+0.99),'Tax scales - NAT 1004'!$A$53:$C$59,3,1)),0)
*13/3,
0),
IF($E$2="Monthly",
ROUND(
ROUND(((TRUNC($AN76*3/13,0)+0.99)*VLOOKUP((TRUNC($AN76*3/13,0)+0.99),'Tax scales - NAT 1004'!$A$53:$C$59,2,1)-VLOOKUP((TRUNC($AN76*3/13,0)+0.99),'Tax scales - NAT 1004'!$A$53:$C$59,3,1)),0)
*13/3,
0),
""))),
""),
"")</f>
        <v/>
      </c>
      <c r="AT76" s="118" t="str">
        <f>IFERROR(
IF(VLOOKUP($C76,'Employee information'!$B:$M,COLUMNS('Employee information'!$B:$M),0)=6,
IF($E$2="Fortnightly",
ROUND(
ROUND((((TRUNC($AN76/2,0)+0.99))*VLOOKUP((TRUNC($AN76/2,0)+0.99),'Tax scales - NAT 1004'!$A$65:$C$73,2,1)-VLOOKUP((TRUNC($AN76/2,0)+0.99),'Tax scales - NAT 1004'!$A$65:$C$73,3,1)),0)
*2,
0),
IF(AND($E$2="Monthly",ROUND($AN76-TRUNC($AN76),2)=0.33),
ROUND(
ROUND(((TRUNC(($AN76+0.01)*3/13,0)+0.99)*VLOOKUP((TRUNC(($AN76+0.01)*3/13,0)+0.99),'Tax scales - NAT 1004'!$A$65:$C$73,2,1)-VLOOKUP((TRUNC(($AN76+0.01)*3/13,0)+0.99),'Tax scales - NAT 1004'!$A$65:$C$73,3,1)),0)
*13/3,
0),
IF($E$2="Monthly",
ROUND(
ROUND(((TRUNC($AN76*3/13,0)+0.99)*VLOOKUP((TRUNC($AN76*3/13,0)+0.99),'Tax scales - NAT 1004'!$A$65:$C$73,2,1)-VLOOKUP((TRUNC($AN76*3/13,0)+0.99),'Tax scales - NAT 1004'!$A$65:$C$73,3,1)),0)
*13/3,
0),
""))),
""),
"")</f>
        <v/>
      </c>
      <c r="AU76" s="118" t="str">
        <f>IFERROR(
IF(VLOOKUP($C76,'Employee information'!$B:$M,COLUMNS('Employee information'!$B:$M),0)=11,
IF($E$2="Fortnightly",
ROUND(
ROUND((((TRUNC($AN76/2,0)+0.99))*VLOOKUP((TRUNC($AN76/2,0)+0.99),'Tax scales - NAT 3539'!$A$14:$C$38,2,1)-VLOOKUP((TRUNC($AN76/2,0)+0.99),'Tax scales - NAT 3539'!$A$14:$C$38,3,1)),0)
*2,
0),
IF(AND($E$2="Monthly",ROUND($AN76-TRUNC($AN76),2)=0.33),
ROUND(
ROUND(((TRUNC(($AN76+0.01)*3/13,0)+0.99)*VLOOKUP((TRUNC(($AN76+0.01)*3/13,0)+0.99),'Tax scales - NAT 3539'!$A$14:$C$38,2,1)-VLOOKUP((TRUNC(($AN76+0.01)*3/13,0)+0.99),'Tax scales - NAT 3539'!$A$14:$C$38,3,1)),0)
*13/3,
0),
IF($E$2="Monthly",
ROUND(
ROUND(((TRUNC($AN76*3/13,0)+0.99)*VLOOKUP((TRUNC($AN76*3/13,0)+0.99),'Tax scales - NAT 3539'!$A$14:$C$38,2,1)-VLOOKUP((TRUNC($AN76*3/13,0)+0.99),'Tax scales - NAT 3539'!$A$14:$C$38,3,1)),0)
*13/3,
0),
""))),
""),
"")</f>
        <v/>
      </c>
      <c r="AV76" s="118" t="str">
        <f>IFERROR(
IF(VLOOKUP($C76,'Employee information'!$B:$M,COLUMNS('Employee information'!$B:$M),0)=22,
IF($E$2="Fortnightly",
ROUND(
ROUND((((TRUNC($AN76/2,0)+0.99))*VLOOKUP((TRUNC($AN76/2,0)+0.99),'Tax scales - NAT 3539'!$A$43:$C$69,2,1)-VLOOKUP((TRUNC($AN76/2,0)+0.99),'Tax scales - NAT 3539'!$A$43:$C$69,3,1)),0)
*2,
0),
IF(AND($E$2="Monthly",ROUND($AN76-TRUNC($AN76),2)=0.33),
ROUND(
ROUND(((TRUNC(($AN76+0.01)*3/13,0)+0.99)*VLOOKUP((TRUNC(($AN76+0.01)*3/13,0)+0.99),'Tax scales - NAT 3539'!$A$43:$C$69,2,1)-VLOOKUP((TRUNC(($AN76+0.01)*3/13,0)+0.99),'Tax scales - NAT 3539'!$A$43:$C$69,3,1)),0)
*13/3,
0),
IF($E$2="Monthly",
ROUND(
ROUND(((TRUNC($AN76*3/13,0)+0.99)*VLOOKUP((TRUNC($AN76*3/13,0)+0.99),'Tax scales - NAT 3539'!$A$43:$C$69,2,1)-VLOOKUP((TRUNC($AN76*3/13,0)+0.99),'Tax scales - NAT 3539'!$A$43:$C$69,3,1)),0)
*13/3,
0),
""))),
""),
"")</f>
        <v/>
      </c>
      <c r="AW76" s="118" t="str">
        <f>IFERROR(
IF(VLOOKUP($C76,'Employee information'!$B:$M,COLUMNS('Employee information'!$B:$M),0)=33,
IF($E$2="Fortnightly",
ROUND(
ROUND((((TRUNC($AN76/2,0)+0.99))*VLOOKUP((TRUNC($AN76/2,0)+0.99),'Tax scales - NAT 3539'!$A$74:$C$94,2,1)-VLOOKUP((TRUNC($AN76/2,0)+0.99),'Tax scales - NAT 3539'!$A$74:$C$94,3,1)),0)
*2,
0),
IF(AND($E$2="Monthly",ROUND($AN76-TRUNC($AN76),2)=0.33),
ROUND(
ROUND(((TRUNC(($AN76+0.01)*3/13,0)+0.99)*VLOOKUP((TRUNC(($AN76+0.01)*3/13,0)+0.99),'Tax scales - NAT 3539'!$A$74:$C$94,2,1)-VLOOKUP((TRUNC(($AN76+0.01)*3/13,0)+0.99),'Tax scales - NAT 3539'!$A$74:$C$94,3,1)),0)
*13/3,
0),
IF($E$2="Monthly",
ROUND(
ROUND(((TRUNC($AN76*3/13,0)+0.99)*VLOOKUP((TRUNC($AN76*3/13,0)+0.99),'Tax scales - NAT 3539'!$A$74:$C$94,2,1)-VLOOKUP((TRUNC($AN76*3/13,0)+0.99),'Tax scales - NAT 3539'!$A$74:$C$94,3,1)),0)
*13/3,
0),
""))),
""),
"")</f>
        <v/>
      </c>
      <c r="AX76" s="118" t="str">
        <f>IFERROR(
IF(VLOOKUP($C76,'Employee information'!$B:$M,COLUMNS('Employee information'!$B:$M),0)=55,
IF($E$2="Fortnightly",
ROUND(
ROUND((((TRUNC($AN76/2,0)+0.99))*VLOOKUP((TRUNC($AN76/2,0)+0.99),'Tax scales - NAT 3539'!$A$99:$C$123,2,1)-VLOOKUP((TRUNC($AN76/2,0)+0.99),'Tax scales - NAT 3539'!$A$99:$C$123,3,1)),0)
*2,
0),
IF(AND($E$2="Monthly",ROUND($AN76-TRUNC($AN76),2)=0.33),
ROUND(
ROUND(((TRUNC(($AN76+0.01)*3/13,0)+0.99)*VLOOKUP((TRUNC(($AN76+0.01)*3/13,0)+0.99),'Tax scales - NAT 3539'!$A$99:$C$123,2,1)-VLOOKUP((TRUNC(($AN76+0.01)*3/13,0)+0.99),'Tax scales - NAT 3539'!$A$99:$C$123,3,1)),0)
*13/3,
0),
IF($E$2="Monthly",
ROUND(
ROUND(((TRUNC($AN76*3/13,0)+0.99)*VLOOKUP((TRUNC($AN76*3/13,0)+0.99),'Tax scales - NAT 3539'!$A$99:$C$123,2,1)-VLOOKUP((TRUNC($AN76*3/13,0)+0.99),'Tax scales - NAT 3539'!$A$99:$C$123,3,1)),0)
*13/3,
0),
""))),
""),
"")</f>
        <v/>
      </c>
      <c r="AY76" s="118" t="str">
        <f>IFERROR(
IF(VLOOKUP($C76,'Employee information'!$B:$M,COLUMNS('Employee information'!$B:$M),0)=66,
IF($E$2="Fortnightly",
ROUND(
ROUND((((TRUNC($AN76/2,0)+0.99))*VLOOKUP((TRUNC($AN76/2,0)+0.99),'Tax scales - NAT 3539'!$A$127:$C$154,2,1)-VLOOKUP((TRUNC($AN76/2,0)+0.99),'Tax scales - NAT 3539'!$A$127:$C$154,3,1)),0)
*2,
0),
IF(AND($E$2="Monthly",ROUND($AN76-TRUNC($AN76),2)=0.33),
ROUND(
ROUND(((TRUNC(($AN76+0.01)*3/13,0)+0.99)*VLOOKUP((TRUNC(($AN76+0.01)*3/13,0)+0.99),'Tax scales - NAT 3539'!$A$127:$C$154,2,1)-VLOOKUP((TRUNC(($AN76+0.01)*3/13,0)+0.99),'Tax scales - NAT 3539'!$A$127:$C$154,3,1)),0)
*13/3,
0),
IF($E$2="Monthly",
ROUND(
ROUND(((TRUNC($AN76*3/13,0)+0.99)*VLOOKUP((TRUNC($AN76*3/13,0)+0.99),'Tax scales - NAT 3539'!$A$127:$C$154,2,1)-VLOOKUP((TRUNC($AN76*3/13,0)+0.99),'Tax scales - NAT 3539'!$A$127:$C$154,3,1)),0)
*13/3,
0),
""))),
""),
"")</f>
        <v/>
      </c>
      <c r="AZ76" s="118">
        <f>IFERROR(
HLOOKUP(VLOOKUP($C76,'Employee information'!$B:$M,COLUMNS('Employee information'!$B:$M),0),'PAYG worksheet'!$AO$68:$AY$87,COUNTA($C$69:$C76)+1,0),
0)</f>
        <v>0</v>
      </c>
      <c r="BA76" s="118"/>
      <c r="BB76" s="118">
        <f t="shared" si="77"/>
        <v>0</v>
      </c>
      <c r="BC76" s="119">
        <f>IFERROR(
IF(OR($AE76=1,$AE76=""),SUM($P76,$AA76,$AC76,$AK76)*VLOOKUP($C76,'Employee information'!$B:$Q,COLUMNS('Employee information'!$B:$H),0),
IF($AE76=0,SUM($P76,$AA76,$AK76)*VLOOKUP($C76,'Employee information'!$B:$Q,COLUMNS('Employee information'!$B:$H),0),
0)),
0)</f>
        <v>0</v>
      </c>
      <c r="BE76" s="114">
        <f t="shared" si="62"/>
        <v>0</v>
      </c>
      <c r="BF76" s="114">
        <f t="shared" si="63"/>
        <v>0</v>
      </c>
      <c r="BG76" s="114">
        <f t="shared" si="64"/>
        <v>0</v>
      </c>
      <c r="BH76" s="114">
        <f t="shared" si="65"/>
        <v>0</v>
      </c>
      <c r="BI76" s="114">
        <f t="shared" si="66"/>
        <v>0</v>
      </c>
      <c r="BJ76" s="114">
        <f t="shared" si="67"/>
        <v>0</v>
      </c>
      <c r="BK76" s="114">
        <f t="shared" si="68"/>
        <v>0</v>
      </c>
      <c r="BL76" s="114">
        <f t="shared" si="78"/>
        <v>0</v>
      </c>
      <c r="BM76" s="114">
        <f t="shared" si="69"/>
        <v>0</v>
      </c>
    </row>
    <row r="77" spans="1:65" x14ac:dyDescent="0.25">
      <c r="A77" s="228">
        <f t="shared" si="57"/>
        <v>3</v>
      </c>
      <c r="C77" s="278"/>
      <c r="E77" s="103">
        <f>IF($C77="",0,
IF(AND($E$2="Monthly",$A77&gt;12),0,
IF($E$2="Monthly",VLOOKUP($C77,'Employee information'!$B:$AM,COLUMNS('Employee information'!$B:S),0),
IF($E$2="Fortnightly",VLOOKUP($C77,'Employee information'!$B:$AM,COLUMNS('Employee information'!$B:R),0),
0))))</f>
        <v>0</v>
      </c>
      <c r="F77" s="106"/>
      <c r="G77" s="106"/>
      <c r="H77" s="106"/>
      <c r="I77" s="106"/>
      <c r="J77" s="103">
        <f t="shared" si="70"/>
        <v>0</v>
      </c>
      <c r="L77" s="113">
        <f>IF(AND($E$2="Monthly",$A77&gt;12),"",
IFERROR($J77*VLOOKUP($C77,'Employee information'!$B:$AI,COLUMNS('Employee information'!$B:$P),0),0))</f>
        <v>0</v>
      </c>
      <c r="M77" s="114">
        <f t="shared" si="71"/>
        <v>0</v>
      </c>
      <c r="O77" s="103">
        <f t="shared" si="72"/>
        <v>0</v>
      </c>
      <c r="P77" s="113">
        <f>IFERROR(
IF(AND($E$2="Monthly",$A77&gt;12),0,
$O77*VLOOKUP($C77,'Employee information'!$B:$AI,COLUMNS('Employee information'!$B:$P),0)),
0)</f>
        <v>0</v>
      </c>
      <c r="R77" s="114">
        <f t="shared" si="58"/>
        <v>0</v>
      </c>
      <c r="T77" s="103"/>
      <c r="U77" s="103"/>
      <c r="V77" s="282" t="str">
        <f>IF($C77="","",
IF(AND($E$2="Monthly",$A77&gt;12),"",
$T77*VLOOKUP($C77,'Employee information'!$B:$P,COLUMNS('Employee information'!$B:$P),0)))</f>
        <v/>
      </c>
      <c r="W77" s="282" t="str">
        <f>IF($C77="","",
IF(AND($E$2="Monthly",$A77&gt;12),"",
$U77*VLOOKUP($C77,'Employee information'!$B:$P,COLUMNS('Employee information'!$B:$P),0)))</f>
        <v/>
      </c>
      <c r="X77" s="114">
        <f t="shared" si="59"/>
        <v>0</v>
      </c>
      <c r="Y77" s="114">
        <f t="shared" si="60"/>
        <v>0</v>
      </c>
      <c r="AA77" s="118">
        <f>IFERROR(
IF(OR('Basic payroll data'!$D$12="",'Basic payroll data'!$D$12="No"),0,
$T77*VLOOKUP($C77,'Employee information'!$B:$P,COLUMNS('Employee information'!$B:$P),0)*AL_loading_perc),
0)</f>
        <v>0</v>
      </c>
      <c r="AC77" s="118"/>
      <c r="AD77" s="118"/>
      <c r="AE77" s="283" t="str">
        <f t="shared" si="73"/>
        <v/>
      </c>
      <c r="AF77" s="283" t="str">
        <f t="shared" si="74"/>
        <v/>
      </c>
      <c r="AG77" s="118"/>
      <c r="AH77" s="118"/>
      <c r="AI77" s="283" t="str">
        <f t="shared" si="75"/>
        <v/>
      </c>
      <c r="AJ77" s="118"/>
      <c r="AK77" s="118"/>
      <c r="AM77" s="118">
        <f t="shared" si="76"/>
        <v>0</v>
      </c>
      <c r="AN77" s="118">
        <f t="shared" si="61"/>
        <v>0</v>
      </c>
      <c r="AO77" s="118" t="str">
        <f>IFERROR(
IF(VLOOKUP($C77,'Employee information'!$B:$M,COLUMNS('Employee information'!$B:$M),0)=1,
IF($E$2="Fortnightly",
ROUND(
ROUND((((TRUNC($AN77/2,0)+0.99))*VLOOKUP((TRUNC($AN77/2,0)+0.99),'Tax scales - NAT 1004'!$A$12:$C$18,2,1)-VLOOKUP((TRUNC($AN77/2,0)+0.99),'Tax scales - NAT 1004'!$A$12:$C$18,3,1)),0)
*2,
0),
IF(AND($E$2="Monthly",ROUND($AN77-TRUNC($AN77),2)=0.33),
ROUND(
ROUND(((TRUNC(($AN77+0.01)*3/13,0)+0.99)*VLOOKUP((TRUNC(($AN77+0.01)*3/13,0)+0.99),'Tax scales - NAT 1004'!$A$12:$C$18,2,1)-VLOOKUP((TRUNC(($AN77+0.01)*3/13,0)+0.99),'Tax scales - NAT 1004'!$A$12:$C$18,3,1)),0)
*13/3,
0),
IF($E$2="Monthly",
ROUND(
ROUND(((TRUNC($AN77*3/13,0)+0.99)*VLOOKUP((TRUNC($AN77*3/13,0)+0.99),'Tax scales - NAT 1004'!$A$12:$C$18,2,1)-VLOOKUP((TRUNC($AN77*3/13,0)+0.99),'Tax scales - NAT 1004'!$A$12:$C$18,3,1)),0)
*13/3,
0),
""))),
""),
"")</f>
        <v/>
      </c>
      <c r="AP77" s="118" t="str">
        <f>IFERROR(
IF(VLOOKUP($C77,'Employee information'!$B:$M,COLUMNS('Employee information'!$B:$M),0)=2,
IF($E$2="Fortnightly",
ROUND(
ROUND((((TRUNC($AN77/2,0)+0.99))*VLOOKUP((TRUNC($AN77/2,0)+0.99),'Tax scales - NAT 1004'!$A$25:$C$33,2,1)-VLOOKUP((TRUNC($AN77/2,0)+0.99),'Tax scales - NAT 1004'!$A$25:$C$33,3,1)),0)
*2,
0),
IF(AND($E$2="Monthly",ROUND($AN77-TRUNC($AN77),2)=0.33),
ROUND(
ROUND(((TRUNC(($AN77+0.01)*3/13,0)+0.99)*VLOOKUP((TRUNC(($AN77+0.01)*3/13,0)+0.99),'Tax scales - NAT 1004'!$A$25:$C$33,2,1)-VLOOKUP((TRUNC(($AN77+0.01)*3/13,0)+0.99),'Tax scales - NAT 1004'!$A$25:$C$33,3,1)),0)
*13/3,
0),
IF($E$2="Monthly",
ROUND(
ROUND(((TRUNC($AN77*3/13,0)+0.99)*VLOOKUP((TRUNC($AN77*3/13,0)+0.99),'Tax scales - NAT 1004'!$A$25:$C$33,2,1)-VLOOKUP((TRUNC($AN77*3/13,0)+0.99),'Tax scales - NAT 1004'!$A$25:$C$33,3,1)),0)
*13/3,
0),
""))),
""),
"")</f>
        <v/>
      </c>
      <c r="AQ77" s="118" t="str">
        <f>IFERROR(
IF(VLOOKUP($C77,'Employee information'!$B:$M,COLUMNS('Employee information'!$B:$M),0)=3,
IF($E$2="Fortnightly",
ROUND(
ROUND((((TRUNC($AN77/2,0)+0.99))*VLOOKUP((TRUNC($AN77/2,0)+0.99),'Tax scales - NAT 1004'!$A$39:$C$41,2,1)-VLOOKUP((TRUNC($AN77/2,0)+0.99),'Tax scales - NAT 1004'!$A$39:$C$41,3,1)),0)
*2,
0),
IF(AND($E$2="Monthly",ROUND($AN77-TRUNC($AN77),2)=0.33),
ROUND(
ROUND(((TRUNC(($AN77+0.01)*3/13,0)+0.99)*VLOOKUP((TRUNC(($AN77+0.01)*3/13,0)+0.99),'Tax scales - NAT 1004'!$A$39:$C$41,2,1)-VLOOKUP((TRUNC(($AN77+0.01)*3/13,0)+0.99),'Tax scales - NAT 1004'!$A$39:$C$41,3,1)),0)
*13/3,
0),
IF($E$2="Monthly",
ROUND(
ROUND(((TRUNC($AN77*3/13,0)+0.99)*VLOOKUP((TRUNC($AN77*3/13,0)+0.99),'Tax scales - NAT 1004'!$A$39:$C$41,2,1)-VLOOKUP((TRUNC($AN77*3/13,0)+0.99),'Tax scales - NAT 1004'!$A$39:$C$41,3,1)),0)
*13/3,
0),
""))),
""),
"")</f>
        <v/>
      </c>
      <c r="AR77" s="118" t="str">
        <f>IFERROR(
IF(AND(VLOOKUP($C77,'Employee information'!$B:$M,COLUMNS('Employee information'!$B:$M),0)=4,
VLOOKUP($C77,'Employee information'!$B:$J,COLUMNS('Employee information'!$B:$J),0)="Resident"),
TRUNC(TRUNC($AN77)*'Tax scales - NAT 1004'!$B$47),
IF(AND(VLOOKUP($C77,'Employee information'!$B:$M,COLUMNS('Employee information'!$B:$M),0)=4,
VLOOKUP($C77,'Employee information'!$B:$J,COLUMNS('Employee information'!$B:$J),0)="Foreign resident"),
TRUNC(TRUNC($AN77)*'Tax scales - NAT 1004'!$B$48),
"")),
"")</f>
        <v/>
      </c>
      <c r="AS77" s="118" t="str">
        <f>IFERROR(
IF(VLOOKUP($C77,'Employee information'!$B:$M,COLUMNS('Employee information'!$B:$M),0)=5,
IF($E$2="Fortnightly",
ROUND(
ROUND((((TRUNC($AN77/2,0)+0.99))*VLOOKUP((TRUNC($AN77/2,0)+0.99),'Tax scales - NAT 1004'!$A$53:$C$59,2,1)-VLOOKUP((TRUNC($AN77/2,0)+0.99),'Tax scales - NAT 1004'!$A$53:$C$59,3,1)),0)
*2,
0),
IF(AND($E$2="Monthly",ROUND($AN77-TRUNC($AN77),2)=0.33),
ROUND(
ROUND(((TRUNC(($AN77+0.01)*3/13,0)+0.99)*VLOOKUP((TRUNC(($AN77+0.01)*3/13,0)+0.99),'Tax scales - NAT 1004'!$A$53:$C$59,2,1)-VLOOKUP((TRUNC(($AN77+0.01)*3/13,0)+0.99),'Tax scales - NAT 1004'!$A$53:$C$59,3,1)),0)
*13/3,
0),
IF($E$2="Monthly",
ROUND(
ROUND(((TRUNC($AN77*3/13,0)+0.99)*VLOOKUP((TRUNC($AN77*3/13,0)+0.99),'Tax scales - NAT 1004'!$A$53:$C$59,2,1)-VLOOKUP((TRUNC($AN77*3/13,0)+0.99),'Tax scales - NAT 1004'!$A$53:$C$59,3,1)),0)
*13/3,
0),
""))),
""),
"")</f>
        <v/>
      </c>
      <c r="AT77" s="118" t="str">
        <f>IFERROR(
IF(VLOOKUP($C77,'Employee information'!$B:$M,COLUMNS('Employee information'!$B:$M),0)=6,
IF($E$2="Fortnightly",
ROUND(
ROUND((((TRUNC($AN77/2,0)+0.99))*VLOOKUP((TRUNC($AN77/2,0)+0.99),'Tax scales - NAT 1004'!$A$65:$C$73,2,1)-VLOOKUP((TRUNC($AN77/2,0)+0.99),'Tax scales - NAT 1004'!$A$65:$C$73,3,1)),0)
*2,
0),
IF(AND($E$2="Monthly",ROUND($AN77-TRUNC($AN77),2)=0.33),
ROUND(
ROUND(((TRUNC(($AN77+0.01)*3/13,0)+0.99)*VLOOKUP((TRUNC(($AN77+0.01)*3/13,0)+0.99),'Tax scales - NAT 1004'!$A$65:$C$73,2,1)-VLOOKUP((TRUNC(($AN77+0.01)*3/13,0)+0.99),'Tax scales - NAT 1004'!$A$65:$C$73,3,1)),0)
*13/3,
0),
IF($E$2="Monthly",
ROUND(
ROUND(((TRUNC($AN77*3/13,0)+0.99)*VLOOKUP((TRUNC($AN77*3/13,0)+0.99),'Tax scales - NAT 1004'!$A$65:$C$73,2,1)-VLOOKUP((TRUNC($AN77*3/13,0)+0.99),'Tax scales - NAT 1004'!$A$65:$C$73,3,1)),0)
*13/3,
0),
""))),
""),
"")</f>
        <v/>
      </c>
      <c r="AU77" s="118" t="str">
        <f>IFERROR(
IF(VLOOKUP($C77,'Employee information'!$B:$M,COLUMNS('Employee information'!$B:$M),0)=11,
IF($E$2="Fortnightly",
ROUND(
ROUND((((TRUNC($AN77/2,0)+0.99))*VLOOKUP((TRUNC($AN77/2,0)+0.99),'Tax scales - NAT 3539'!$A$14:$C$38,2,1)-VLOOKUP((TRUNC($AN77/2,0)+0.99),'Tax scales - NAT 3539'!$A$14:$C$38,3,1)),0)
*2,
0),
IF(AND($E$2="Monthly",ROUND($AN77-TRUNC($AN77),2)=0.33),
ROUND(
ROUND(((TRUNC(($AN77+0.01)*3/13,0)+0.99)*VLOOKUP((TRUNC(($AN77+0.01)*3/13,0)+0.99),'Tax scales - NAT 3539'!$A$14:$C$38,2,1)-VLOOKUP((TRUNC(($AN77+0.01)*3/13,0)+0.99),'Tax scales - NAT 3539'!$A$14:$C$38,3,1)),0)
*13/3,
0),
IF($E$2="Monthly",
ROUND(
ROUND(((TRUNC($AN77*3/13,0)+0.99)*VLOOKUP((TRUNC($AN77*3/13,0)+0.99),'Tax scales - NAT 3539'!$A$14:$C$38,2,1)-VLOOKUP((TRUNC($AN77*3/13,0)+0.99),'Tax scales - NAT 3539'!$A$14:$C$38,3,1)),0)
*13/3,
0),
""))),
""),
"")</f>
        <v/>
      </c>
      <c r="AV77" s="118" t="str">
        <f>IFERROR(
IF(VLOOKUP($C77,'Employee information'!$B:$M,COLUMNS('Employee information'!$B:$M),0)=22,
IF($E$2="Fortnightly",
ROUND(
ROUND((((TRUNC($AN77/2,0)+0.99))*VLOOKUP((TRUNC($AN77/2,0)+0.99),'Tax scales - NAT 3539'!$A$43:$C$69,2,1)-VLOOKUP((TRUNC($AN77/2,0)+0.99),'Tax scales - NAT 3539'!$A$43:$C$69,3,1)),0)
*2,
0),
IF(AND($E$2="Monthly",ROUND($AN77-TRUNC($AN77),2)=0.33),
ROUND(
ROUND(((TRUNC(($AN77+0.01)*3/13,0)+0.99)*VLOOKUP((TRUNC(($AN77+0.01)*3/13,0)+0.99),'Tax scales - NAT 3539'!$A$43:$C$69,2,1)-VLOOKUP((TRUNC(($AN77+0.01)*3/13,0)+0.99),'Tax scales - NAT 3539'!$A$43:$C$69,3,1)),0)
*13/3,
0),
IF($E$2="Monthly",
ROUND(
ROUND(((TRUNC($AN77*3/13,0)+0.99)*VLOOKUP((TRUNC($AN77*3/13,0)+0.99),'Tax scales - NAT 3539'!$A$43:$C$69,2,1)-VLOOKUP((TRUNC($AN77*3/13,0)+0.99),'Tax scales - NAT 3539'!$A$43:$C$69,3,1)),0)
*13/3,
0),
""))),
""),
"")</f>
        <v/>
      </c>
      <c r="AW77" s="118" t="str">
        <f>IFERROR(
IF(VLOOKUP($C77,'Employee information'!$B:$M,COLUMNS('Employee information'!$B:$M),0)=33,
IF($E$2="Fortnightly",
ROUND(
ROUND((((TRUNC($AN77/2,0)+0.99))*VLOOKUP((TRUNC($AN77/2,0)+0.99),'Tax scales - NAT 3539'!$A$74:$C$94,2,1)-VLOOKUP((TRUNC($AN77/2,0)+0.99),'Tax scales - NAT 3539'!$A$74:$C$94,3,1)),0)
*2,
0),
IF(AND($E$2="Monthly",ROUND($AN77-TRUNC($AN77),2)=0.33),
ROUND(
ROUND(((TRUNC(($AN77+0.01)*3/13,0)+0.99)*VLOOKUP((TRUNC(($AN77+0.01)*3/13,0)+0.99),'Tax scales - NAT 3539'!$A$74:$C$94,2,1)-VLOOKUP((TRUNC(($AN77+0.01)*3/13,0)+0.99),'Tax scales - NAT 3539'!$A$74:$C$94,3,1)),0)
*13/3,
0),
IF($E$2="Monthly",
ROUND(
ROUND(((TRUNC($AN77*3/13,0)+0.99)*VLOOKUP((TRUNC($AN77*3/13,0)+0.99),'Tax scales - NAT 3539'!$A$74:$C$94,2,1)-VLOOKUP((TRUNC($AN77*3/13,0)+0.99),'Tax scales - NAT 3539'!$A$74:$C$94,3,1)),0)
*13/3,
0),
""))),
""),
"")</f>
        <v/>
      </c>
      <c r="AX77" s="118" t="str">
        <f>IFERROR(
IF(VLOOKUP($C77,'Employee information'!$B:$M,COLUMNS('Employee information'!$B:$M),0)=55,
IF($E$2="Fortnightly",
ROUND(
ROUND((((TRUNC($AN77/2,0)+0.99))*VLOOKUP((TRUNC($AN77/2,0)+0.99),'Tax scales - NAT 3539'!$A$99:$C$123,2,1)-VLOOKUP((TRUNC($AN77/2,0)+0.99),'Tax scales - NAT 3539'!$A$99:$C$123,3,1)),0)
*2,
0),
IF(AND($E$2="Monthly",ROUND($AN77-TRUNC($AN77),2)=0.33),
ROUND(
ROUND(((TRUNC(($AN77+0.01)*3/13,0)+0.99)*VLOOKUP((TRUNC(($AN77+0.01)*3/13,0)+0.99),'Tax scales - NAT 3539'!$A$99:$C$123,2,1)-VLOOKUP((TRUNC(($AN77+0.01)*3/13,0)+0.99),'Tax scales - NAT 3539'!$A$99:$C$123,3,1)),0)
*13/3,
0),
IF($E$2="Monthly",
ROUND(
ROUND(((TRUNC($AN77*3/13,0)+0.99)*VLOOKUP((TRUNC($AN77*3/13,0)+0.99),'Tax scales - NAT 3539'!$A$99:$C$123,2,1)-VLOOKUP((TRUNC($AN77*3/13,0)+0.99),'Tax scales - NAT 3539'!$A$99:$C$123,3,1)),0)
*13/3,
0),
""))),
""),
"")</f>
        <v/>
      </c>
      <c r="AY77" s="118" t="str">
        <f>IFERROR(
IF(VLOOKUP($C77,'Employee information'!$B:$M,COLUMNS('Employee information'!$B:$M),0)=66,
IF($E$2="Fortnightly",
ROUND(
ROUND((((TRUNC($AN77/2,0)+0.99))*VLOOKUP((TRUNC($AN77/2,0)+0.99),'Tax scales - NAT 3539'!$A$127:$C$154,2,1)-VLOOKUP((TRUNC($AN77/2,0)+0.99),'Tax scales - NAT 3539'!$A$127:$C$154,3,1)),0)
*2,
0),
IF(AND($E$2="Monthly",ROUND($AN77-TRUNC($AN77),2)=0.33),
ROUND(
ROUND(((TRUNC(($AN77+0.01)*3/13,0)+0.99)*VLOOKUP((TRUNC(($AN77+0.01)*3/13,0)+0.99),'Tax scales - NAT 3539'!$A$127:$C$154,2,1)-VLOOKUP((TRUNC(($AN77+0.01)*3/13,0)+0.99),'Tax scales - NAT 3539'!$A$127:$C$154,3,1)),0)
*13/3,
0),
IF($E$2="Monthly",
ROUND(
ROUND(((TRUNC($AN77*3/13,0)+0.99)*VLOOKUP((TRUNC($AN77*3/13,0)+0.99),'Tax scales - NAT 3539'!$A$127:$C$154,2,1)-VLOOKUP((TRUNC($AN77*3/13,0)+0.99),'Tax scales - NAT 3539'!$A$127:$C$154,3,1)),0)
*13/3,
0),
""))),
""),
"")</f>
        <v/>
      </c>
      <c r="AZ77" s="118">
        <f>IFERROR(
HLOOKUP(VLOOKUP($C77,'Employee information'!$B:$M,COLUMNS('Employee information'!$B:$M),0),'PAYG worksheet'!$AO$68:$AY$87,COUNTA($C$69:$C77)+1,0),
0)</f>
        <v>0</v>
      </c>
      <c r="BA77" s="118"/>
      <c r="BB77" s="118">
        <f t="shared" si="77"/>
        <v>0</v>
      </c>
      <c r="BC77" s="119">
        <f>IFERROR(
IF(OR($AE77=1,$AE77=""),SUM($P77,$AA77,$AC77,$AK77)*VLOOKUP($C77,'Employee information'!$B:$Q,COLUMNS('Employee information'!$B:$H),0),
IF($AE77=0,SUM($P77,$AA77,$AK77)*VLOOKUP($C77,'Employee information'!$B:$Q,COLUMNS('Employee information'!$B:$H),0),
0)),
0)</f>
        <v>0</v>
      </c>
      <c r="BE77" s="114">
        <f t="shared" si="62"/>
        <v>0</v>
      </c>
      <c r="BF77" s="114">
        <f t="shared" si="63"/>
        <v>0</v>
      </c>
      <c r="BG77" s="114">
        <f t="shared" si="64"/>
        <v>0</v>
      </c>
      <c r="BH77" s="114">
        <f t="shared" si="65"/>
        <v>0</v>
      </c>
      <c r="BI77" s="114">
        <f t="shared" si="66"/>
        <v>0</v>
      </c>
      <c r="BJ77" s="114">
        <f t="shared" si="67"/>
        <v>0</v>
      </c>
      <c r="BK77" s="114">
        <f t="shared" si="68"/>
        <v>0</v>
      </c>
      <c r="BL77" s="114">
        <f t="shared" si="78"/>
        <v>0</v>
      </c>
      <c r="BM77" s="114">
        <f t="shared" si="69"/>
        <v>0</v>
      </c>
    </row>
    <row r="78" spans="1:65" x14ac:dyDescent="0.25">
      <c r="A78" s="228">
        <f t="shared" si="57"/>
        <v>3</v>
      </c>
      <c r="C78" s="278"/>
      <c r="E78" s="103">
        <f>IF($C78="",0,
IF(AND($E$2="Monthly",$A78&gt;12),0,
IF($E$2="Monthly",VLOOKUP($C78,'Employee information'!$B:$AM,COLUMNS('Employee information'!$B:S),0),
IF($E$2="Fortnightly",VLOOKUP($C78,'Employee information'!$B:$AM,COLUMNS('Employee information'!$B:R),0),
0))))</f>
        <v>0</v>
      </c>
      <c r="F78" s="106"/>
      <c r="G78" s="106"/>
      <c r="H78" s="106"/>
      <c r="I78" s="106"/>
      <c r="J78" s="103">
        <f t="shared" si="70"/>
        <v>0</v>
      </c>
      <c r="L78" s="113">
        <f>IF(AND($E$2="Monthly",$A78&gt;12),"",
IFERROR($J78*VLOOKUP($C78,'Employee information'!$B:$AI,COLUMNS('Employee information'!$B:$P),0),0))</f>
        <v>0</v>
      </c>
      <c r="M78" s="114">
        <f t="shared" si="71"/>
        <v>0</v>
      </c>
      <c r="O78" s="103">
        <f>IF($E$2="Monthly",
IF(AND($E$2="Monthly",$H78&lt;&gt;""),$H78,
IF(AND($E$2="Monthly",$E78=0),$F78,
$E78)),
IF($E$2="Fortnightly",
IF(AND($E$2="Fortnightly",$H78&lt;&gt;""),$H78,
IF(AND($E$2="Fortnightly",$F78&lt;&gt;"",$E78&lt;&gt;0),$F78,
IF(AND($E$2="Fortnightly",$E78=0),$F78,
$E78)))))</f>
        <v>0</v>
      </c>
      <c r="P78" s="113">
        <f>IFERROR(
IF(AND($E$2="Monthly",$A78&gt;12),0,
$O78*VLOOKUP($C78,'Employee information'!$B:$AI,COLUMNS('Employee information'!$B:$P),0)),
0)</f>
        <v>0</v>
      </c>
      <c r="R78" s="114">
        <f t="shared" si="58"/>
        <v>0</v>
      </c>
      <c r="T78" s="103"/>
      <c r="U78" s="103"/>
      <c r="V78" s="282" t="str">
        <f>IF($C78="","",
IF(AND($E$2="Monthly",$A78&gt;12),"",
$T78*VLOOKUP($C78,'Employee information'!$B:$P,COLUMNS('Employee information'!$B:$P),0)))</f>
        <v/>
      </c>
      <c r="W78" s="282" t="str">
        <f>IF($C78="","",
IF(AND($E$2="Monthly",$A78&gt;12),"",
$U78*VLOOKUP($C78,'Employee information'!$B:$P,COLUMNS('Employee information'!$B:$P),0)))</f>
        <v/>
      </c>
      <c r="X78" s="114">
        <f t="shared" si="59"/>
        <v>0</v>
      </c>
      <c r="Y78" s="114">
        <f t="shared" si="60"/>
        <v>0</v>
      </c>
      <c r="AA78" s="118">
        <f>IFERROR(
IF(OR('Basic payroll data'!$D$12="",'Basic payroll data'!$D$12="No"),0,
$T78*VLOOKUP($C78,'Employee information'!$B:$P,COLUMNS('Employee information'!$B:$P),0)*AL_loading_perc),
0)</f>
        <v>0</v>
      </c>
      <c r="AC78" s="118"/>
      <c r="AD78" s="118"/>
      <c r="AE78" s="283" t="str">
        <f t="shared" si="73"/>
        <v/>
      </c>
      <c r="AF78" s="283" t="str">
        <f t="shared" si="74"/>
        <v/>
      </c>
      <c r="AG78" s="118"/>
      <c r="AH78" s="118"/>
      <c r="AI78" s="283" t="str">
        <f t="shared" si="75"/>
        <v/>
      </c>
      <c r="AJ78" s="118"/>
      <c r="AK78" s="118"/>
      <c r="AM78" s="118">
        <f t="shared" si="76"/>
        <v>0</v>
      </c>
      <c r="AN78" s="118">
        <f t="shared" si="61"/>
        <v>0</v>
      </c>
      <c r="AO78" s="118" t="str">
        <f>IFERROR(
IF(VLOOKUP($C78,'Employee information'!$B:$M,COLUMNS('Employee information'!$B:$M),0)=1,
IF($E$2="Fortnightly",
ROUND(
ROUND((((TRUNC($AN78/2,0)+0.99))*VLOOKUP((TRUNC($AN78/2,0)+0.99),'Tax scales - NAT 1004'!$A$12:$C$18,2,1)-VLOOKUP((TRUNC($AN78/2,0)+0.99),'Tax scales - NAT 1004'!$A$12:$C$18,3,1)),0)
*2,
0),
IF(AND($E$2="Monthly",ROUND($AN78-TRUNC($AN78),2)=0.33),
ROUND(
ROUND(((TRUNC(($AN78+0.01)*3/13,0)+0.99)*VLOOKUP((TRUNC(($AN78+0.01)*3/13,0)+0.99),'Tax scales - NAT 1004'!$A$12:$C$18,2,1)-VLOOKUP((TRUNC(($AN78+0.01)*3/13,0)+0.99),'Tax scales - NAT 1004'!$A$12:$C$18,3,1)),0)
*13/3,
0),
IF($E$2="Monthly",
ROUND(
ROUND(((TRUNC($AN78*3/13,0)+0.99)*VLOOKUP((TRUNC($AN78*3/13,0)+0.99),'Tax scales - NAT 1004'!$A$12:$C$18,2,1)-VLOOKUP((TRUNC($AN78*3/13,0)+0.99),'Tax scales - NAT 1004'!$A$12:$C$18,3,1)),0)
*13/3,
0),
""))),
""),
"")</f>
        <v/>
      </c>
      <c r="AP78" s="118" t="str">
        <f>IFERROR(
IF(VLOOKUP($C78,'Employee information'!$B:$M,COLUMNS('Employee information'!$B:$M),0)=2,
IF($E$2="Fortnightly",
ROUND(
ROUND((((TRUNC($AN78/2,0)+0.99))*VLOOKUP((TRUNC($AN78/2,0)+0.99),'Tax scales - NAT 1004'!$A$25:$C$33,2,1)-VLOOKUP((TRUNC($AN78/2,0)+0.99),'Tax scales - NAT 1004'!$A$25:$C$33,3,1)),0)
*2,
0),
IF(AND($E$2="Monthly",ROUND($AN78-TRUNC($AN78),2)=0.33),
ROUND(
ROUND(((TRUNC(($AN78+0.01)*3/13,0)+0.99)*VLOOKUP((TRUNC(($AN78+0.01)*3/13,0)+0.99),'Tax scales - NAT 1004'!$A$25:$C$33,2,1)-VLOOKUP((TRUNC(($AN78+0.01)*3/13,0)+0.99),'Tax scales - NAT 1004'!$A$25:$C$33,3,1)),0)
*13/3,
0),
IF($E$2="Monthly",
ROUND(
ROUND(((TRUNC($AN78*3/13,0)+0.99)*VLOOKUP((TRUNC($AN78*3/13,0)+0.99),'Tax scales - NAT 1004'!$A$25:$C$33,2,1)-VLOOKUP((TRUNC($AN78*3/13,0)+0.99),'Tax scales - NAT 1004'!$A$25:$C$33,3,1)),0)
*13/3,
0),
""))),
""),
"")</f>
        <v/>
      </c>
      <c r="AQ78" s="118" t="str">
        <f>IFERROR(
IF(VLOOKUP($C78,'Employee information'!$B:$M,COLUMNS('Employee information'!$B:$M),0)=3,
IF($E$2="Fortnightly",
ROUND(
ROUND((((TRUNC($AN78/2,0)+0.99))*VLOOKUP((TRUNC($AN78/2,0)+0.99),'Tax scales - NAT 1004'!$A$39:$C$41,2,1)-VLOOKUP((TRUNC($AN78/2,0)+0.99),'Tax scales - NAT 1004'!$A$39:$C$41,3,1)),0)
*2,
0),
IF(AND($E$2="Monthly",ROUND($AN78-TRUNC($AN78),2)=0.33),
ROUND(
ROUND(((TRUNC(($AN78+0.01)*3/13,0)+0.99)*VLOOKUP((TRUNC(($AN78+0.01)*3/13,0)+0.99),'Tax scales - NAT 1004'!$A$39:$C$41,2,1)-VLOOKUP((TRUNC(($AN78+0.01)*3/13,0)+0.99),'Tax scales - NAT 1004'!$A$39:$C$41,3,1)),0)
*13/3,
0),
IF($E$2="Monthly",
ROUND(
ROUND(((TRUNC($AN78*3/13,0)+0.99)*VLOOKUP((TRUNC($AN78*3/13,0)+0.99),'Tax scales - NAT 1004'!$A$39:$C$41,2,1)-VLOOKUP((TRUNC($AN78*3/13,0)+0.99),'Tax scales - NAT 1004'!$A$39:$C$41,3,1)),0)
*13/3,
0),
""))),
""),
"")</f>
        <v/>
      </c>
      <c r="AR78" s="118" t="str">
        <f>IFERROR(
IF(AND(VLOOKUP($C78,'Employee information'!$B:$M,COLUMNS('Employee information'!$B:$M),0)=4,
VLOOKUP($C78,'Employee information'!$B:$J,COLUMNS('Employee information'!$B:$J),0)="Resident"),
TRUNC(TRUNC($AN78)*'Tax scales - NAT 1004'!$B$47),
IF(AND(VLOOKUP($C78,'Employee information'!$B:$M,COLUMNS('Employee information'!$B:$M),0)=4,
VLOOKUP($C78,'Employee information'!$B:$J,COLUMNS('Employee information'!$B:$J),0)="Foreign resident"),
TRUNC(TRUNC($AN78)*'Tax scales - NAT 1004'!$B$48),
"")),
"")</f>
        <v/>
      </c>
      <c r="AS78" s="118" t="str">
        <f>IFERROR(
IF(VLOOKUP($C78,'Employee information'!$B:$M,COLUMNS('Employee information'!$B:$M),0)=5,
IF($E$2="Fortnightly",
ROUND(
ROUND((((TRUNC($AN78/2,0)+0.99))*VLOOKUP((TRUNC($AN78/2,0)+0.99),'Tax scales - NAT 1004'!$A$53:$C$59,2,1)-VLOOKUP((TRUNC($AN78/2,0)+0.99),'Tax scales - NAT 1004'!$A$53:$C$59,3,1)),0)
*2,
0),
IF(AND($E$2="Monthly",ROUND($AN78-TRUNC($AN78),2)=0.33),
ROUND(
ROUND(((TRUNC(($AN78+0.01)*3/13,0)+0.99)*VLOOKUP((TRUNC(($AN78+0.01)*3/13,0)+0.99),'Tax scales - NAT 1004'!$A$53:$C$59,2,1)-VLOOKUP((TRUNC(($AN78+0.01)*3/13,0)+0.99),'Tax scales - NAT 1004'!$A$53:$C$59,3,1)),0)
*13/3,
0),
IF($E$2="Monthly",
ROUND(
ROUND(((TRUNC($AN78*3/13,0)+0.99)*VLOOKUP((TRUNC($AN78*3/13,0)+0.99),'Tax scales - NAT 1004'!$A$53:$C$59,2,1)-VLOOKUP((TRUNC($AN78*3/13,0)+0.99),'Tax scales - NAT 1004'!$A$53:$C$59,3,1)),0)
*13/3,
0),
""))),
""),
"")</f>
        <v/>
      </c>
      <c r="AT78" s="118" t="str">
        <f>IFERROR(
IF(VLOOKUP($C78,'Employee information'!$B:$M,COLUMNS('Employee information'!$B:$M),0)=6,
IF($E$2="Fortnightly",
ROUND(
ROUND((((TRUNC($AN78/2,0)+0.99))*VLOOKUP((TRUNC($AN78/2,0)+0.99),'Tax scales - NAT 1004'!$A$65:$C$73,2,1)-VLOOKUP((TRUNC($AN78/2,0)+0.99),'Tax scales - NAT 1004'!$A$65:$C$73,3,1)),0)
*2,
0),
IF(AND($E$2="Monthly",ROUND($AN78-TRUNC($AN78),2)=0.33),
ROUND(
ROUND(((TRUNC(($AN78+0.01)*3/13,0)+0.99)*VLOOKUP((TRUNC(($AN78+0.01)*3/13,0)+0.99),'Tax scales - NAT 1004'!$A$65:$C$73,2,1)-VLOOKUP((TRUNC(($AN78+0.01)*3/13,0)+0.99),'Tax scales - NAT 1004'!$A$65:$C$73,3,1)),0)
*13/3,
0),
IF($E$2="Monthly",
ROUND(
ROUND(((TRUNC($AN78*3/13,0)+0.99)*VLOOKUP((TRUNC($AN78*3/13,0)+0.99),'Tax scales - NAT 1004'!$A$65:$C$73,2,1)-VLOOKUP((TRUNC($AN78*3/13,0)+0.99),'Tax scales - NAT 1004'!$A$65:$C$73,3,1)),0)
*13/3,
0),
""))),
""),
"")</f>
        <v/>
      </c>
      <c r="AU78" s="118" t="str">
        <f>IFERROR(
IF(VLOOKUP($C78,'Employee information'!$B:$M,COLUMNS('Employee information'!$B:$M),0)=11,
IF($E$2="Fortnightly",
ROUND(
ROUND((((TRUNC($AN78/2,0)+0.99))*VLOOKUP((TRUNC($AN78/2,0)+0.99),'Tax scales - NAT 3539'!$A$14:$C$38,2,1)-VLOOKUP((TRUNC($AN78/2,0)+0.99),'Tax scales - NAT 3539'!$A$14:$C$38,3,1)),0)
*2,
0),
IF(AND($E$2="Monthly",ROUND($AN78-TRUNC($AN78),2)=0.33),
ROUND(
ROUND(((TRUNC(($AN78+0.01)*3/13,0)+0.99)*VLOOKUP((TRUNC(($AN78+0.01)*3/13,0)+0.99),'Tax scales - NAT 3539'!$A$14:$C$38,2,1)-VLOOKUP((TRUNC(($AN78+0.01)*3/13,0)+0.99),'Tax scales - NAT 3539'!$A$14:$C$38,3,1)),0)
*13/3,
0),
IF($E$2="Monthly",
ROUND(
ROUND(((TRUNC($AN78*3/13,0)+0.99)*VLOOKUP((TRUNC($AN78*3/13,0)+0.99),'Tax scales - NAT 3539'!$A$14:$C$38,2,1)-VLOOKUP((TRUNC($AN78*3/13,0)+0.99),'Tax scales - NAT 3539'!$A$14:$C$38,3,1)),0)
*13/3,
0),
""))),
""),
"")</f>
        <v/>
      </c>
      <c r="AV78" s="118" t="str">
        <f>IFERROR(
IF(VLOOKUP($C78,'Employee information'!$B:$M,COLUMNS('Employee information'!$B:$M),0)=22,
IF($E$2="Fortnightly",
ROUND(
ROUND((((TRUNC($AN78/2,0)+0.99))*VLOOKUP((TRUNC($AN78/2,0)+0.99),'Tax scales - NAT 3539'!$A$43:$C$69,2,1)-VLOOKUP((TRUNC($AN78/2,0)+0.99),'Tax scales - NAT 3539'!$A$43:$C$69,3,1)),0)
*2,
0),
IF(AND($E$2="Monthly",ROUND($AN78-TRUNC($AN78),2)=0.33),
ROUND(
ROUND(((TRUNC(($AN78+0.01)*3/13,0)+0.99)*VLOOKUP((TRUNC(($AN78+0.01)*3/13,0)+0.99),'Tax scales - NAT 3539'!$A$43:$C$69,2,1)-VLOOKUP((TRUNC(($AN78+0.01)*3/13,0)+0.99),'Tax scales - NAT 3539'!$A$43:$C$69,3,1)),0)
*13/3,
0),
IF($E$2="Monthly",
ROUND(
ROUND(((TRUNC($AN78*3/13,0)+0.99)*VLOOKUP((TRUNC($AN78*3/13,0)+0.99),'Tax scales - NAT 3539'!$A$43:$C$69,2,1)-VLOOKUP((TRUNC($AN78*3/13,0)+0.99),'Tax scales - NAT 3539'!$A$43:$C$69,3,1)),0)
*13/3,
0),
""))),
""),
"")</f>
        <v/>
      </c>
      <c r="AW78" s="118" t="str">
        <f>IFERROR(
IF(VLOOKUP($C78,'Employee information'!$B:$M,COLUMNS('Employee information'!$B:$M),0)=33,
IF($E$2="Fortnightly",
ROUND(
ROUND((((TRUNC($AN78/2,0)+0.99))*VLOOKUP((TRUNC($AN78/2,0)+0.99),'Tax scales - NAT 3539'!$A$74:$C$94,2,1)-VLOOKUP((TRUNC($AN78/2,0)+0.99),'Tax scales - NAT 3539'!$A$74:$C$94,3,1)),0)
*2,
0),
IF(AND($E$2="Monthly",ROUND($AN78-TRUNC($AN78),2)=0.33),
ROUND(
ROUND(((TRUNC(($AN78+0.01)*3/13,0)+0.99)*VLOOKUP((TRUNC(($AN78+0.01)*3/13,0)+0.99),'Tax scales - NAT 3539'!$A$74:$C$94,2,1)-VLOOKUP((TRUNC(($AN78+0.01)*3/13,0)+0.99),'Tax scales - NAT 3539'!$A$74:$C$94,3,1)),0)
*13/3,
0),
IF($E$2="Monthly",
ROUND(
ROUND(((TRUNC($AN78*3/13,0)+0.99)*VLOOKUP((TRUNC($AN78*3/13,0)+0.99),'Tax scales - NAT 3539'!$A$74:$C$94,2,1)-VLOOKUP((TRUNC($AN78*3/13,0)+0.99),'Tax scales - NAT 3539'!$A$74:$C$94,3,1)),0)
*13/3,
0),
""))),
""),
"")</f>
        <v/>
      </c>
      <c r="AX78" s="118" t="str">
        <f>IFERROR(
IF(VLOOKUP($C78,'Employee information'!$B:$M,COLUMNS('Employee information'!$B:$M),0)=55,
IF($E$2="Fortnightly",
ROUND(
ROUND((((TRUNC($AN78/2,0)+0.99))*VLOOKUP((TRUNC($AN78/2,0)+0.99),'Tax scales - NAT 3539'!$A$99:$C$123,2,1)-VLOOKUP((TRUNC($AN78/2,0)+0.99),'Tax scales - NAT 3539'!$A$99:$C$123,3,1)),0)
*2,
0),
IF(AND($E$2="Monthly",ROUND($AN78-TRUNC($AN78),2)=0.33),
ROUND(
ROUND(((TRUNC(($AN78+0.01)*3/13,0)+0.99)*VLOOKUP((TRUNC(($AN78+0.01)*3/13,0)+0.99),'Tax scales - NAT 3539'!$A$99:$C$123,2,1)-VLOOKUP((TRUNC(($AN78+0.01)*3/13,0)+0.99),'Tax scales - NAT 3539'!$A$99:$C$123,3,1)),0)
*13/3,
0),
IF($E$2="Monthly",
ROUND(
ROUND(((TRUNC($AN78*3/13,0)+0.99)*VLOOKUP((TRUNC($AN78*3/13,0)+0.99),'Tax scales - NAT 3539'!$A$99:$C$123,2,1)-VLOOKUP((TRUNC($AN78*3/13,0)+0.99),'Tax scales - NAT 3539'!$A$99:$C$123,3,1)),0)
*13/3,
0),
""))),
""),
"")</f>
        <v/>
      </c>
      <c r="AY78" s="118" t="str">
        <f>IFERROR(
IF(VLOOKUP($C78,'Employee information'!$B:$M,COLUMNS('Employee information'!$B:$M),0)=66,
IF($E$2="Fortnightly",
ROUND(
ROUND((((TRUNC($AN78/2,0)+0.99))*VLOOKUP((TRUNC($AN78/2,0)+0.99),'Tax scales - NAT 3539'!$A$127:$C$154,2,1)-VLOOKUP((TRUNC($AN78/2,0)+0.99),'Tax scales - NAT 3539'!$A$127:$C$154,3,1)),0)
*2,
0),
IF(AND($E$2="Monthly",ROUND($AN78-TRUNC($AN78),2)=0.33),
ROUND(
ROUND(((TRUNC(($AN78+0.01)*3/13,0)+0.99)*VLOOKUP((TRUNC(($AN78+0.01)*3/13,0)+0.99),'Tax scales - NAT 3539'!$A$127:$C$154,2,1)-VLOOKUP((TRUNC(($AN78+0.01)*3/13,0)+0.99),'Tax scales - NAT 3539'!$A$127:$C$154,3,1)),0)
*13/3,
0),
IF($E$2="Monthly",
ROUND(
ROUND(((TRUNC($AN78*3/13,0)+0.99)*VLOOKUP((TRUNC($AN78*3/13,0)+0.99),'Tax scales - NAT 3539'!$A$127:$C$154,2,1)-VLOOKUP((TRUNC($AN78*3/13,0)+0.99),'Tax scales - NAT 3539'!$A$127:$C$154,3,1)),0)
*13/3,
0),
""))),
""),
"")</f>
        <v/>
      </c>
      <c r="AZ78" s="118">
        <f>IFERROR(
HLOOKUP(VLOOKUP($C78,'Employee information'!$B:$M,COLUMNS('Employee information'!$B:$M),0),'PAYG worksheet'!$AO$68:$AY$87,COUNTA($C$69:$C78)+1,0),
0)</f>
        <v>0</v>
      </c>
      <c r="BA78" s="118"/>
      <c r="BB78" s="118">
        <f t="shared" si="77"/>
        <v>0</v>
      </c>
      <c r="BC78" s="119">
        <f>IFERROR(
IF(OR($AE78=1,$AE78=""),SUM($P78,$AA78,$AC78,$AK78)*VLOOKUP($C78,'Employee information'!$B:$Q,COLUMNS('Employee information'!$B:$H),0),
IF($AE78=0,SUM($P78,$AA78,$AK78)*VLOOKUP($C78,'Employee information'!$B:$Q,COLUMNS('Employee information'!$B:$H),0),
0)),
0)</f>
        <v>0</v>
      </c>
      <c r="BE78" s="114">
        <f t="shared" si="62"/>
        <v>0</v>
      </c>
      <c r="BF78" s="114">
        <f t="shared" si="63"/>
        <v>0</v>
      </c>
      <c r="BG78" s="114">
        <f t="shared" si="64"/>
        <v>0</v>
      </c>
      <c r="BH78" s="114">
        <f t="shared" si="65"/>
        <v>0</v>
      </c>
      <c r="BI78" s="114">
        <f t="shared" si="66"/>
        <v>0</v>
      </c>
      <c r="BJ78" s="114">
        <f t="shared" si="67"/>
        <v>0</v>
      </c>
      <c r="BK78" s="114">
        <f t="shared" si="68"/>
        <v>0</v>
      </c>
      <c r="BL78" s="114">
        <f t="shared" si="78"/>
        <v>0</v>
      </c>
      <c r="BM78" s="114">
        <f t="shared" si="69"/>
        <v>0</v>
      </c>
    </row>
    <row r="79" spans="1:65" x14ac:dyDescent="0.25">
      <c r="A79" s="228">
        <f t="shared" si="57"/>
        <v>3</v>
      </c>
      <c r="C79" s="278"/>
      <c r="E79" s="103">
        <f>IF($C79="",0,
IF(AND($E$2="Monthly",$A79&gt;12),0,
IF($E$2="Monthly",VLOOKUP($C79,'Employee information'!$B:$AM,COLUMNS('Employee information'!$B:S),0),
IF($E$2="Fortnightly",VLOOKUP($C79,'Employee information'!$B:$AM,COLUMNS('Employee information'!$B:R),0),
0))))</f>
        <v>0</v>
      </c>
      <c r="F79" s="106"/>
      <c r="G79" s="106"/>
      <c r="H79" s="106"/>
      <c r="I79" s="106"/>
      <c r="J79" s="103">
        <f t="shared" si="70"/>
        <v>0</v>
      </c>
      <c r="L79" s="113">
        <f>IF(AND($E$2="Monthly",$A79&gt;12),"",
IFERROR($J79*VLOOKUP($C79,'Employee information'!$B:$AI,COLUMNS('Employee information'!$B:$P),0),0))</f>
        <v>0</v>
      </c>
      <c r="M79" s="114">
        <f t="shared" si="71"/>
        <v>0</v>
      </c>
      <c r="O79" s="103">
        <f t="shared" si="72"/>
        <v>0</v>
      </c>
      <c r="P79" s="113">
        <f>IFERROR(
IF(AND($E$2="Monthly",$A79&gt;12),0,
$O79*VLOOKUP($C79,'Employee information'!$B:$AI,COLUMNS('Employee information'!$B:$P),0)),
0)</f>
        <v>0</v>
      </c>
      <c r="R79" s="114">
        <f t="shared" si="58"/>
        <v>0</v>
      </c>
      <c r="T79" s="103"/>
      <c r="U79" s="103"/>
      <c r="V79" s="282" t="str">
        <f>IF($C79="","",
IF(AND($E$2="Monthly",$A79&gt;12),"",
$T79*VLOOKUP($C79,'Employee information'!$B:$P,COLUMNS('Employee information'!$B:$P),0)))</f>
        <v/>
      </c>
      <c r="W79" s="282" t="str">
        <f>IF($C79="","",
IF(AND($E$2="Monthly",$A79&gt;12),"",
$U79*VLOOKUP($C79,'Employee information'!$B:$P,COLUMNS('Employee information'!$B:$P),0)))</f>
        <v/>
      </c>
      <c r="X79" s="114">
        <f t="shared" si="59"/>
        <v>0</v>
      </c>
      <c r="Y79" s="114">
        <f t="shared" si="60"/>
        <v>0</v>
      </c>
      <c r="AA79" s="118">
        <f>IFERROR(
IF(OR('Basic payroll data'!$D$12="",'Basic payroll data'!$D$12="No"),0,
$T79*VLOOKUP($C79,'Employee information'!$B:$P,COLUMNS('Employee information'!$B:$P),0)*AL_loading_perc),
0)</f>
        <v>0</v>
      </c>
      <c r="AC79" s="118"/>
      <c r="AD79" s="118"/>
      <c r="AE79" s="283" t="str">
        <f t="shared" si="73"/>
        <v/>
      </c>
      <c r="AF79" s="283" t="str">
        <f t="shared" si="74"/>
        <v/>
      </c>
      <c r="AG79" s="118"/>
      <c r="AH79" s="118"/>
      <c r="AI79" s="283" t="str">
        <f t="shared" si="75"/>
        <v/>
      </c>
      <c r="AJ79" s="118"/>
      <c r="AK79" s="118"/>
      <c r="AM79" s="118">
        <f t="shared" si="76"/>
        <v>0</v>
      </c>
      <c r="AN79" s="118">
        <f t="shared" si="61"/>
        <v>0</v>
      </c>
      <c r="AO79" s="118" t="str">
        <f>IFERROR(
IF(VLOOKUP($C79,'Employee information'!$B:$M,COLUMNS('Employee information'!$B:$M),0)=1,
IF($E$2="Fortnightly",
ROUND(
ROUND((((TRUNC($AN79/2,0)+0.99))*VLOOKUP((TRUNC($AN79/2,0)+0.99),'Tax scales - NAT 1004'!$A$12:$C$18,2,1)-VLOOKUP((TRUNC($AN79/2,0)+0.99),'Tax scales - NAT 1004'!$A$12:$C$18,3,1)),0)
*2,
0),
IF(AND($E$2="Monthly",ROUND($AN79-TRUNC($AN79),2)=0.33),
ROUND(
ROUND(((TRUNC(($AN79+0.01)*3/13,0)+0.99)*VLOOKUP((TRUNC(($AN79+0.01)*3/13,0)+0.99),'Tax scales - NAT 1004'!$A$12:$C$18,2,1)-VLOOKUP((TRUNC(($AN79+0.01)*3/13,0)+0.99),'Tax scales - NAT 1004'!$A$12:$C$18,3,1)),0)
*13/3,
0),
IF($E$2="Monthly",
ROUND(
ROUND(((TRUNC($AN79*3/13,0)+0.99)*VLOOKUP((TRUNC($AN79*3/13,0)+0.99),'Tax scales - NAT 1004'!$A$12:$C$18,2,1)-VLOOKUP((TRUNC($AN79*3/13,0)+0.99),'Tax scales - NAT 1004'!$A$12:$C$18,3,1)),0)
*13/3,
0),
""))),
""),
"")</f>
        <v/>
      </c>
      <c r="AP79" s="118" t="str">
        <f>IFERROR(
IF(VLOOKUP($C79,'Employee information'!$B:$M,COLUMNS('Employee information'!$B:$M),0)=2,
IF($E$2="Fortnightly",
ROUND(
ROUND((((TRUNC($AN79/2,0)+0.99))*VLOOKUP((TRUNC($AN79/2,0)+0.99),'Tax scales - NAT 1004'!$A$25:$C$33,2,1)-VLOOKUP((TRUNC($AN79/2,0)+0.99),'Tax scales - NAT 1004'!$A$25:$C$33,3,1)),0)
*2,
0),
IF(AND($E$2="Monthly",ROUND($AN79-TRUNC($AN79),2)=0.33),
ROUND(
ROUND(((TRUNC(($AN79+0.01)*3/13,0)+0.99)*VLOOKUP((TRUNC(($AN79+0.01)*3/13,0)+0.99),'Tax scales - NAT 1004'!$A$25:$C$33,2,1)-VLOOKUP((TRUNC(($AN79+0.01)*3/13,0)+0.99),'Tax scales - NAT 1004'!$A$25:$C$33,3,1)),0)
*13/3,
0),
IF($E$2="Monthly",
ROUND(
ROUND(((TRUNC($AN79*3/13,0)+0.99)*VLOOKUP((TRUNC($AN79*3/13,0)+0.99),'Tax scales - NAT 1004'!$A$25:$C$33,2,1)-VLOOKUP((TRUNC($AN79*3/13,0)+0.99),'Tax scales - NAT 1004'!$A$25:$C$33,3,1)),0)
*13/3,
0),
""))),
""),
"")</f>
        <v/>
      </c>
      <c r="AQ79" s="118" t="str">
        <f>IFERROR(
IF(VLOOKUP($C79,'Employee information'!$B:$M,COLUMNS('Employee information'!$B:$M),0)=3,
IF($E$2="Fortnightly",
ROUND(
ROUND((((TRUNC($AN79/2,0)+0.99))*VLOOKUP((TRUNC($AN79/2,0)+0.99),'Tax scales - NAT 1004'!$A$39:$C$41,2,1)-VLOOKUP((TRUNC($AN79/2,0)+0.99),'Tax scales - NAT 1004'!$A$39:$C$41,3,1)),0)
*2,
0),
IF(AND($E$2="Monthly",ROUND($AN79-TRUNC($AN79),2)=0.33),
ROUND(
ROUND(((TRUNC(($AN79+0.01)*3/13,0)+0.99)*VLOOKUP((TRUNC(($AN79+0.01)*3/13,0)+0.99),'Tax scales - NAT 1004'!$A$39:$C$41,2,1)-VLOOKUP((TRUNC(($AN79+0.01)*3/13,0)+0.99),'Tax scales - NAT 1004'!$A$39:$C$41,3,1)),0)
*13/3,
0),
IF($E$2="Monthly",
ROUND(
ROUND(((TRUNC($AN79*3/13,0)+0.99)*VLOOKUP((TRUNC($AN79*3/13,0)+0.99),'Tax scales - NAT 1004'!$A$39:$C$41,2,1)-VLOOKUP((TRUNC($AN79*3/13,0)+0.99),'Tax scales - NAT 1004'!$A$39:$C$41,3,1)),0)
*13/3,
0),
""))),
""),
"")</f>
        <v/>
      </c>
      <c r="AR79" s="118" t="str">
        <f>IFERROR(
IF(AND(VLOOKUP($C79,'Employee information'!$B:$M,COLUMNS('Employee information'!$B:$M),0)=4,
VLOOKUP($C79,'Employee information'!$B:$J,COLUMNS('Employee information'!$B:$J),0)="Resident"),
TRUNC(TRUNC($AN79)*'Tax scales - NAT 1004'!$B$47),
IF(AND(VLOOKUP($C79,'Employee information'!$B:$M,COLUMNS('Employee information'!$B:$M),0)=4,
VLOOKUP($C79,'Employee information'!$B:$J,COLUMNS('Employee information'!$B:$J),0)="Foreign resident"),
TRUNC(TRUNC($AN79)*'Tax scales - NAT 1004'!$B$48),
"")),
"")</f>
        <v/>
      </c>
      <c r="AS79" s="118" t="str">
        <f>IFERROR(
IF(VLOOKUP($C79,'Employee information'!$B:$M,COLUMNS('Employee information'!$B:$M),0)=5,
IF($E$2="Fortnightly",
ROUND(
ROUND((((TRUNC($AN79/2,0)+0.99))*VLOOKUP((TRUNC($AN79/2,0)+0.99),'Tax scales - NAT 1004'!$A$53:$C$59,2,1)-VLOOKUP((TRUNC($AN79/2,0)+0.99),'Tax scales - NAT 1004'!$A$53:$C$59,3,1)),0)
*2,
0),
IF(AND($E$2="Monthly",ROUND($AN79-TRUNC($AN79),2)=0.33),
ROUND(
ROUND(((TRUNC(($AN79+0.01)*3/13,0)+0.99)*VLOOKUP((TRUNC(($AN79+0.01)*3/13,0)+0.99),'Tax scales - NAT 1004'!$A$53:$C$59,2,1)-VLOOKUP((TRUNC(($AN79+0.01)*3/13,0)+0.99),'Tax scales - NAT 1004'!$A$53:$C$59,3,1)),0)
*13/3,
0),
IF($E$2="Monthly",
ROUND(
ROUND(((TRUNC($AN79*3/13,0)+0.99)*VLOOKUP((TRUNC($AN79*3/13,0)+0.99),'Tax scales - NAT 1004'!$A$53:$C$59,2,1)-VLOOKUP((TRUNC($AN79*3/13,0)+0.99),'Tax scales - NAT 1004'!$A$53:$C$59,3,1)),0)
*13/3,
0),
""))),
""),
"")</f>
        <v/>
      </c>
      <c r="AT79" s="118" t="str">
        <f>IFERROR(
IF(VLOOKUP($C79,'Employee information'!$B:$M,COLUMNS('Employee information'!$B:$M),0)=6,
IF($E$2="Fortnightly",
ROUND(
ROUND((((TRUNC($AN79/2,0)+0.99))*VLOOKUP((TRUNC($AN79/2,0)+0.99),'Tax scales - NAT 1004'!$A$65:$C$73,2,1)-VLOOKUP((TRUNC($AN79/2,0)+0.99),'Tax scales - NAT 1004'!$A$65:$C$73,3,1)),0)
*2,
0),
IF(AND($E$2="Monthly",ROUND($AN79-TRUNC($AN79),2)=0.33),
ROUND(
ROUND(((TRUNC(($AN79+0.01)*3/13,0)+0.99)*VLOOKUP((TRUNC(($AN79+0.01)*3/13,0)+0.99),'Tax scales - NAT 1004'!$A$65:$C$73,2,1)-VLOOKUP((TRUNC(($AN79+0.01)*3/13,0)+0.99),'Tax scales - NAT 1004'!$A$65:$C$73,3,1)),0)
*13/3,
0),
IF($E$2="Monthly",
ROUND(
ROUND(((TRUNC($AN79*3/13,0)+0.99)*VLOOKUP((TRUNC($AN79*3/13,0)+0.99),'Tax scales - NAT 1004'!$A$65:$C$73,2,1)-VLOOKUP((TRUNC($AN79*3/13,0)+0.99),'Tax scales - NAT 1004'!$A$65:$C$73,3,1)),0)
*13/3,
0),
""))),
""),
"")</f>
        <v/>
      </c>
      <c r="AU79" s="118" t="str">
        <f>IFERROR(
IF(VLOOKUP($C79,'Employee information'!$B:$M,COLUMNS('Employee information'!$B:$M),0)=11,
IF($E$2="Fortnightly",
ROUND(
ROUND((((TRUNC($AN79/2,0)+0.99))*VLOOKUP((TRUNC($AN79/2,0)+0.99),'Tax scales - NAT 3539'!$A$14:$C$38,2,1)-VLOOKUP((TRUNC($AN79/2,0)+0.99),'Tax scales - NAT 3539'!$A$14:$C$38,3,1)),0)
*2,
0),
IF(AND($E$2="Monthly",ROUND($AN79-TRUNC($AN79),2)=0.33),
ROUND(
ROUND(((TRUNC(($AN79+0.01)*3/13,0)+0.99)*VLOOKUP((TRUNC(($AN79+0.01)*3/13,0)+0.99),'Tax scales - NAT 3539'!$A$14:$C$38,2,1)-VLOOKUP((TRUNC(($AN79+0.01)*3/13,0)+0.99),'Tax scales - NAT 3539'!$A$14:$C$38,3,1)),0)
*13/3,
0),
IF($E$2="Monthly",
ROUND(
ROUND(((TRUNC($AN79*3/13,0)+0.99)*VLOOKUP((TRUNC($AN79*3/13,0)+0.99),'Tax scales - NAT 3539'!$A$14:$C$38,2,1)-VLOOKUP((TRUNC($AN79*3/13,0)+0.99),'Tax scales - NAT 3539'!$A$14:$C$38,3,1)),0)
*13/3,
0),
""))),
""),
"")</f>
        <v/>
      </c>
      <c r="AV79" s="118" t="str">
        <f>IFERROR(
IF(VLOOKUP($C79,'Employee information'!$B:$M,COLUMNS('Employee information'!$B:$M),0)=22,
IF($E$2="Fortnightly",
ROUND(
ROUND((((TRUNC($AN79/2,0)+0.99))*VLOOKUP((TRUNC($AN79/2,0)+0.99),'Tax scales - NAT 3539'!$A$43:$C$69,2,1)-VLOOKUP((TRUNC($AN79/2,0)+0.99),'Tax scales - NAT 3539'!$A$43:$C$69,3,1)),0)
*2,
0),
IF(AND($E$2="Monthly",ROUND($AN79-TRUNC($AN79),2)=0.33),
ROUND(
ROUND(((TRUNC(($AN79+0.01)*3/13,0)+0.99)*VLOOKUP((TRUNC(($AN79+0.01)*3/13,0)+0.99),'Tax scales - NAT 3539'!$A$43:$C$69,2,1)-VLOOKUP((TRUNC(($AN79+0.01)*3/13,0)+0.99),'Tax scales - NAT 3539'!$A$43:$C$69,3,1)),0)
*13/3,
0),
IF($E$2="Monthly",
ROUND(
ROUND(((TRUNC($AN79*3/13,0)+0.99)*VLOOKUP((TRUNC($AN79*3/13,0)+0.99),'Tax scales - NAT 3539'!$A$43:$C$69,2,1)-VLOOKUP((TRUNC($AN79*3/13,0)+0.99),'Tax scales - NAT 3539'!$A$43:$C$69,3,1)),0)
*13/3,
0),
""))),
""),
"")</f>
        <v/>
      </c>
      <c r="AW79" s="118" t="str">
        <f>IFERROR(
IF(VLOOKUP($C79,'Employee information'!$B:$M,COLUMNS('Employee information'!$B:$M),0)=33,
IF($E$2="Fortnightly",
ROUND(
ROUND((((TRUNC($AN79/2,0)+0.99))*VLOOKUP((TRUNC($AN79/2,0)+0.99),'Tax scales - NAT 3539'!$A$74:$C$94,2,1)-VLOOKUP((TRUNC($AN79/2,0)+0.99),'Tax scales - NAT 3539'!$A$74:$C$94,3,1)),0)
*2,
0),
IF(AND($E$2="Monthly",ROUND($AN79-TRUNC($AN79),2)=0.33),
ROUND(
ROUND(((TRUNC(($AN79+0.01)*3/13,0)+0.99)*VLOOKUP((TRUNC(($AN79+0.01)*3/13,0)+0.99),'Tax scales - NAT 3539'!$A$74:$C$94,2,1)-VLOOKUP((TRUNC(($AN79+0.01)*3/13,0)+0.99),'Tax scales - NAT 3539'!$A$74:$C$94,3,1)),0)
*13/3,
0),
IF($E$2="Monthly",
ROUND(
ROUND(((TRUNC($AN79*3/13,0)+0.99)*VLOOKUP((TRUNC($AN79*3/13,0)+0.99),'Tax scales - NAT 3539'!$A$74:$C$94,2,1)-VLOOKUP((TRUNC($AN79*3/13,0)+0.99),'Tax scales - NAT 3539'!$A$74:$C$94,3,1)),0)
*13/3,
0),
""))),
""),
"")</f>
        <v/>
      </c>
      <c r="AX79" s="118" t="str">
        <f>IFERROR(
IF(VLOOKUP($C79,'Employee information'!$B:$M,COLUMNS('Employee information'!$B:$M),0)=55,
IF($E$2="Fortnightly",
ROUND(
ROUND((((TRUNC($AN79/2,0)+0.99))*VLOOKUP((TRUNC($AN79/2,0)+0.99),'Tax scales - NAT 3539'!$A$99:$C$123,2,1)-VLOOKUP((TRUNC($AN79/2,0)+0.99),'Tax scales - NAT 3539'!$A$99:$C$123,3,1)),0)
*2,
0),
IF(AND($E$2="Monthly",ROUND($AN79-TRUNC($AN79),2)=0.33),
ROUND(
ROUND(((TRUNC(($AN79+0.01)*3/13,0)+0.99)*VLOOKUP((TRUNC(($AN79+0.01)*3/13,0)+0.99),'Tax scales - NAT 3539'!$A$99:$C$123,2,1)-VLOOKUP((TRUNC(($AN79+0.01)*3/13,0)+0.99),'Tax scales - NAT 3539'!$A$99:$C$123,3,1)),0)
*13/3,
0),
IF($E$2="Monthly",
ROUND(
ROUND(((TRUNC($AN79*3/13,0)+0.99)*VLOOKUP((TRUNC($AN79*3/13,0)+0.99),'Tax scales - NAT 3539'!$A$99:$C$123,2,1)-VLOOKUP((TRUNC($AN79*3/13,0)+0.99),'Tax scales - NAT 3539'!$A$99:$C$123,3,1)),0)
*13/3,
0),
""))),
""),
"")</f>
        <v/>
      </c>
      <c r="AY79" s="118" t="str">
        <f>IFERROR(
IF(VLOOKUP($C79,'Employee information'!$B:$M,COLUMNS('Employee information'!$B:$M),0)=66,
IF($E$2="Fortnightly",
ROUND(
ROUND((((TRUNC($AN79/2,0)+0.99))*VLOOKUP((TRUNC($AN79/2,0)+0.99),'Tax scales - NAT 3539'!$A$127:$C$154,2,1)-VLOOKUP((TRUNC($AN79/2,0)+0.99),'Tax scales - NAT 3539'!$A$127:$C$154,3,1)),0)
*2,
0),
IF(AND($E$2="Monthly",ROUND($AN79-TRUNC($AN79),2)=0.33),
ROUND(
ROUND(((TRUNC(($AN79+0.01)*3/13,0)+0.99)*VLOOKUP((TRUNC(($AN79+0.01)*3/13,0)+0.99),'Tax scales - NAT 3539'!$A$127:$C$154,2,1)-VLOOKUP((TRUNC(($AN79+0.01)*3/13,0)+0.99),'Tax scales - NAT 3539'!$A$127:$C$154,3,1)),0)
*13/3,
0),
IF($E$2="Monthly",
ROUND(
ROUND(((TRUNC($AN79*3/13,0)+0.99)*VLOOKUP((TRUNC($AN79*3/13,0)+0.99),'Tax scales - NAT 3539'!$A$127:$C$154,2,1)-VLOOKUP((TRUNC($AN79*3/13,0)+0.99),'Tax scales - NAT 3539'!$A$127:$C$154,3,1)),0)
*13/3,
0),
""))),
""),
"")</f>
        <v/>
      </c>
      <c r="AZ79" s="118">
        <f>IFERROR(
HLOOKUP(VLOOKUP($C79,'Employee information'!$B:$M,COLUMNS('Employee information'!$B:$M),0),'PAYG worksheet'!$AO$68:$AY$87,COUNTA($C$69:$C79)+1,0),
0)</f>
        <v>0</v>
      </c>
      <c r="BA79" s="118"/>
      <c r="BB79" s="118">
        <f t="shared" si="77"/>
        <v>0</v>
      </c>
      <c r="BC79" s="119">
        <f>IFERROR(
IF(OR($AE79=1,$AE79=""),SUM($P79,$AA79,$AC79,$AK79)*VLOOKUP($C79,'Employee information'!$B:$Q,COLUMNS('Employee information'!$B:$H),0),
IF($AE79=0,SUM($P79,$AA79,$AK79)*VLOOKUP($C79,'Employee information'!$B:$Q,COLUMNS('Employee information'!$B:$H),0),
0)),
0)</f>
        <v>0</v>
      </c>
      <c r="BE79" s="114">
        <f t="shared" si="62"/>
        <v>0</v>
      </c>
      <c r="BF79" s="114">
        <f t="shared" si="63"/>
        <v>0</v>
      </c>
      <c r="BG79" s="114">
        <f t="shared" si="64"/>
        <v>0</v>
      </c>
      <c r="BH79" s="114">
        <f t="shared" si="65"/>
        <v>0</v>
      </c>
      <c r="BI79" s="114">
        <f t="shared" si="66"/>
        <v>0</v>
      </c>
      <c r="BJ79" s="114">
        <f t="shared" si="67"/>
        <v>0</v>
      </c>
      <c r="BK79" s="114">
        <f t="shared" si="68"/>
        <v>0</v>
      </c>
      <c r="BL79" s="114">
        <f t="shared" si="78"/>
        <v>0</v>
      </c>
      <c r="BM79" s="114">
        <f t="shared" si="69"/>
        <v>0</v>
      </c>
    </row>
    <row r="80" spans="1:65" x14ac:dyDescent="0.25">
      <c r="A80" s="228">
        <f t="shared" si="57"/>
        <v>3</v>
      </c>
      <c r="C80" s="278"/>
      <c r="E80" s="103">
        <f>IF($C80="",0,
IF(AND($E$2="Monthly",$A80&gt;12),0,
IF($E$2="Monthly",VLOOKUP($C80,'Employee information'!$B:$AM,COLUMNS('Employee information'!$B:S),0),
IF($E$2="Fortnightly",VLOOKUP($C80,'Employee information'!$B:$AM,COLUMNS('Employee information'!$B:R),0),
0))))</f>
        <v>0</v>
      </c>
      <c r="F80" s="106"/>
      <c r="G80" s="106"/>
      <c r="H80" s="106"/>
      <c r="I80" s="106"/>
      <c r="J80" s="103">
        <f t="shared" si="70"/>
        <v>0</v>
      </c>
      <c r="L80" s="113">
        <f>IF(AND($E$2="Monthly",$A80&gt;12),"",
IFERROR($J80*VLOOKUP($C80,'Employee information'!$B:$AI,COLUMNS('Employee information'!$B:$P),0),0))</f>
        <v>0</v>
      </c>
      <c r="M80" s="114">
        <f t="shared" si="71"/>
        <v>0</v>
      </c>
      <c r="O80" s="103">
        <f t="shared" si="72"/>
        <v>0</v>
      </c>
      <c r="P80" s="113">
        <f>IFERROR(
IF(AND($E$2="Monthly",$A80&gt;12),0,
$O80*VLOOKUP($C80,'Employee information'!$B:$AI,COLUMNS('Employee information'!$B:$P),0)),
0)</f>
        <v>0</v>
      </c>
      <c r="R80" s="114">
        <f t="shared" si="58"/>
        <v>0</v>
      </c>
      <c r="T80" s="103"/>
      <c r="U80" s="103"/>
      <c r="V80" s="282" t="str">
        <f>IF($C80="","",
IF(AND($E$2="Monthly",$A80&gt;12),"",
$T80*VLOOKUP($C80,'Employee information'!$B:$P,COLUMNS('Employee information'!$B:$P),0)))</f>
        <v/>
      </c>
      <c r="W80" s="282" t="str">
        <f>IF($C80="","",
IF(AND($E$2="Monthly",$A80&gt;12),"",
$U80*VLOOKUP($C80,'Employee information'!$B:$P,COLUMNS('Employee information'!$B:$P),0)))</f>
        <v/>
      </c>
      <c r="X80" s="114">
        <f t="shared" si="59"/>
        <v>0</v>
      </c>
      <c r="Y80" s="114">
        <f t="shared" si="60"/>
        <v>0</v>
      </c>
      <c r="AA80" s="118">
        <f>IFERROR(
IF(OR('Basic payroll data'!$D$12="",'Basic payroll data'!$D$12="No"),0,
$T80*VLOOKUP($C80,'Employee information'!$B:$P,COLUMNS('Employee information'!$B:$P),0)*AL_loading_perc),
0)</f>
        <v>0</v>
      </c>
      <c r="AC80" s="118"/>
      <c r="AD80" s="118"/>
      <c r="AE80" s="283" t="str">
        <f t="shared" si="73"/>
        <v/>
      </c>
      <c r="AF80" s="283" t="str">
        <f t="shared" si="74"/>
        <v/>
      </c>
      <c r="AG80" s="118"/>
      <c r="AH80" s="118"/>
      <c r="AI80" s="283" t="str">
        <f t="shared" si="75"/>
        <v/>
      </c>
      <c r="AJ80" s="118"/>
      <c r="AK80" s="118"/>
      <c r="AM80" s="118">
        <f t="shared" si="76"/>
        <v>0</v>
      </c>
      <c r="AN80" s="118">
        <f t="shared" si="61"/>
        <v>0</v>
      </c>
      <c r="AO80" s="118" t="str">
        <f>IFERROR(
IF(VLOOKUP($C80,'Employee information'!$B:$M,COLUMNS('Employee information'!$B:$M),0)=1,
IF($E$2="Fortnightly",
ROUND(
ROUND((((TRUNC($AN80/2,0)+0.99))*VLOOKUP((TRUNC($AN80/2,0)+0.99),'Tax scales - NAT 1004'!$A$12:$C$18,2,1)-VLOOKUP((TRUNC($AN80/2,0)+0.99),'Tax scales - NAT 1004'!$A$12:$C$18,3,1)),0)
*2,
0),
IF(AND($E$2="Monthly",ROUND($AN80-TRUNC($AN80),2)=0.33),
ROUND(
ROUND(((TRUNC(($AN80+0.01)*3/13,0)+0.99)*VLOOKUP((TRUNC(($AN80+0.01)*3/13,0)+0.99),'Tax scales - NAT 1004'!$A$12:$C$18,2,1)-VLOOKUP((TRUNC(($AN80+0.01)*3/13,0)+0.99),'Tax scales - NAT 1004'!$A$12:$C$18,3,1)),0)
*13/3,
0),
IF($E$2="Monthly",
ROUND(
ROUND(((TRUNC($AN80*3/13,0)+0.99)*VLOOKUP((TRUNC($AN80*3/13,0)+0.99),'Tax scales - NAT 1004'!$A$12:$C$18,2,1)-VLOOKUP((TRUNC($AN80*3/13,0)+0.99),'Tax scales - NAT 1004'!$A$12:$C$18,3,1)),0)
*13/3,
0),
""))),
""),
"")</f>
        <v/>
      </c>
      <c r="AP80" s="118" t="str">
        <f>IFERROR(
IF(VLOOKUP($C80,'Employee information'!$B:$M,COLUMNS('Employee information'!$B:$M),0)=2,
IF($E$2="Fortnightly",
ROUND(
ROUND((((TRUNC($AN80/2,0)+0.99))*VLOOKUP((TRUNC($AN80/2,0)+0.99),'Tax scales - NAT 1004'!$A$25:$C$33,2,1)-VLOOKUP((TRUNC($AN80/2,0)+0.99),'Tax scales - NAT 1004'!$A$25:$C$33,3,1)),0)
*2,
0),
IF(AND($E$2="Monthly",ROUND($AN80-TRUNC($AN80),2)=0.33),
ROUND(
ROUND(((TRUNC(($AN80+0.01)*3/13,0)+0.99)*VLOOKUP((TRUNC(($AN80+0.01)*3/13,0)+0.99),'Tax scales - NAT 1004'!$A$25:$C$33,2,1)-VLOOKUP((TRUNC(($AN80+0.01)*3/13,0)+0.99),'Tax scales - NAT 1004'!$A$25:$C$33,3,1)),0)
*13/3,
0),
IF($E$2="Monthly",
ROUND(
ROUND(((TRUNC($AN80*3/13,0)+0.99)*VLOOKUP((TRUNC($AN80*3/13,0)+0.99),'Tax scales - NAT 1004'!$A$25:$C$33,2,1)-VLOOKUP((TRUNC($AN80*3/13,0)+0.99),'Tax scales - NAT 1004'!$A$25:$C$33,3,1)),0)
*13/3,
0),
""))),
""),
"")</f>
        <v/>
      </c>
      <c r="AQ80" s="118" t="str">
        <f>IFERROR(
IF(VLOOKUP($C80,'Employee information'!$B:$M,COLUMNS('Employee information'!$B:$M),0)=3,
IF($E$2="Fortnightly",
ROUND(
ROUND((((TRUNC($AN80/2,0)+0.99))*VLOOKUP((TRUNC($AN80/2,0)+0.99),'Tax scales - NAT 1004'!$A$39:$C$41,2,1)-VLOOKUP((TRUNC($AN80/2,0)+0.99),'Tax scales - NAT 1004'!$A$39:$C$41,3,1)),0)
*2,
0),
IF(AND($E$2="Monthly",ROUND($AN80-TRUNC($AN80),2)=0.33),
ROUND(
ROUND(((TRUNC(($AN80+0.01)*3/13,0)+0.99)*VLOOKUP((TRUNC(($AN80+0.01)*3/13,0)+0.99),'Tax scales - NAT 1004'!$A$39:$C$41,2,1)-VLOOKUP((TRUNC(($AN80+0.01)*3/13,0)+0.99),'Tax scales - NAT 1004'!$A$39:$C$41,3,1)),0)
*13/3,
0),
IF($E$2="Monthly",
ROUND(
ROUND(((TRUNC($AN80*3/13,0)+0.99)*VLOOKUP((TRUNC($AN80*3/13,0)+0.99),'Tax scales - NAT 1004'!$A$39:$C$41,2,1)-VLOOKUP((TRUNC($AN80*3/13,0)+0.99),'Tax scales - NAT 1004'!$A$39:$C$41,3,1)),0)
*13/3,
0),
""))),
""),
"")</f>
        <v/>
      </c>
      <c r="AR80" s="118" t="str">
        <f>IFERROR(
IF(AND(VLOOKUP($C80,'Employee information'!$B:$M,COLUMNS('Employee information'!$B:$M),0)=4,
VLOOKUP($C80,'Employee information'!$B:$J,COLUMNS('Employee information'!$B:$J),0)="Resident"),
TRUNC(TRUNC($AN80)*'Tax scales - NAT 1004'!$B$47),
IF(AND(VLOOKUP($C80,'Employee information'!$B:$M,COLUMNS('Employee information'!$B:$M),0)=4,
VLOOKUP($C80,'Employee information'!$B:$J,COLUMNS('Employee information'!$B:$J),0)="Foreign resident"),
TRUNC(TRUNC($AN80)*'Tax scales - NAT 1004'!$B$48),
"")),
"")</f>
        <v/>
      </c>
      <c r="AS80" s="118" t="str">
        <f>IFERROR(
IF(VLOOKUP($C80,'Employee information'!$B:$M,COLUMNS('Employee information'!$B:$M),0)=5,
IF($E$2="Fortnightly",
ROUND(
ROUND((((TRUNC($AN80/2,0)+0.99))*VLOOKUP((TRUNC($AN80/2,0)+0.99),'Tax scales - NAT 1004'!$A$53:$C$59,2,1)-VLOOKUP((TRUNC($AN80/2,0)+0.99),'Tax scales - NAT 1004'!$A$53:$C$59,3,1)),0)
*2,
0),
IF(AND($E$2="Monthly",ROUND($AN80-TRUNC($AN80),2)=0.33),
ROUND(
ROUND(((TRUNC(($AN80+0.01)*3/13,0)+0.99)*VLOOKUP((TRUNC(($AN80+0.01)*3/13,0)+0.99),'Tax scales - NAT 1004'!$A$53:$C$59,2,1)-VLOOKUP((TRUNC(($AN80+0.01)*3/13,0)+0.99),'Tax scales - NAT 1004'!$A$53:$C$59,3,1)),0)
*13/3,
0),
IF($E$2="Monthly",
ROUND(
ROUND(((TRUNC($AN80*3/13,0)+0.99)*VLOOKUP((TRUNC($AN80*3/13,0)+0.99),'Tax scales - NAT 1004'!$A$53:$C$59,2,1)-VLOOKUP((TRUNC($AN80*3/13,0)+0.99),'Tax scales - NAT 1004'!$A$53:$C$59,3,1)),0)
*13/3,
0),
""))),
""),
"")</f>
        <v/>
      </c>
      <c r="AT80" s="118" t="str">
        <f>IFERROR(
IF(VLOOKUP($C80,'Employee information'!$B:$M,COLUMNS('Employee information'!$B:$M),0)=6,
IF($E$2="Fortnightly",
ROUND(
ROUND((((TRUNC($AN80/2,0)+0.99))*VLOOKUP((TRUNC($AN80/2,0)+0.99),'Tax scales - NAT 1004'!$A$65:$C$73,2,1)-VLOOKUP((TRUNC($AN80/2,0)+0.99),'Tax scales - NAT 1004'!$A$65:$C$73,3,1)),0)
*2,
0),
IF(AND($E$2="Monthly",ROUND($AN80-TRUNC($AN80),2)=0.33),
ROUND(
ROUND(((TRUNC(($AN80+0.01)*3/13,0)+0.99)*VLOOKUP((TRUNC(($AN80+0.01)*3/13,0)+0.99),'Tax scales - NAT 1004'!$A$65:$C$73,2,1)-VLOOKUP((TRUNC(($AN80+0.01)*3/13,0)+0.99),'Tax scales - NAT 1004'!$A$65:$C$73,3,1)),0)
*13/3,
0),
IF($E$2="Monthly",
ROUND(
ROUND(((TRUNC($AN80*3/13,0)+0.99)*VLOOKUP((TRUNC($AN80*3/13,0)+0.99),'Tax scales - NAT 1004'!$A$65:$C$73,2,1)-VLOOKUP((TRUNC($AN80*3/13,0)+0.99),'Tax scales - NAT 1004'!$A$65:$C$73,3,1)),0)
*13/3,
0),
""))),
""),
"")</f>
        <v/>
      </c>
      <c r="AU80" s="118" t="str">
        <f>IFERROR(
IF(VLOOKUP($C80,'Employee information'!$B:$M,COLUMNS('Employee information'!$B:$M),0)=11,
IF($E$2="Fortnightly",
ROUND(
ROUND((((TRUNC($AN80/2,0)+0.99))*VLOOKUP((TRUNC($AN80/2,0)+0.99),'Tax scales - NAT 3539'!$A$14:$C$38,2,1)-VLOOKUP((TRUNC($AN80/2,0)+0.99),'Tax scales - NAT 3539'!$A$14:$C$38,3,1)),0)
*2,
0),
IF(AND($E$2="Monthly",ROUND($AN80-TRUNC($AN80),2)=0.33),
ROUND(
ROUND(((TRUNC(($AN80+0.01)*3/13,0)+0.99)*VLOOKUP((TRUNC(($AN80+0.01)*3/13,0)+0.99),'Tax scales - NAT 3539'!$A$14:$C$38,2,1)-VLOOKUP((TRUNC(($AN80+0.01)*3/13,0)+0.99),'Tax scales - NAT 3539'!$A$14:$C$38,3,1)),0)
*13/3,
0),
IF($E$2="Monthly",
ROUND(
ROUND(((TRUNC($AN80*3/13,0)+0.99)*VLOOKUP((TRUNC($AN80*3/13,0)+0.99),'Tax scales - NAT 3539'!$A$14:$C$38,2,1)-VLOOKUP((TRUNC($AN80*3/13,0)+0.99),'Tax scales - NAT 3539'!$A$14:$C$38,3,1)),0)
*13/3,
0),
""))),
""),
"")</f>
        <v/>
      </c>
      <c r="AV80" s="118" t="str">
        <f>IFERROR(
IF(VLOOKUP($C80,'Employee information'!$B:$M,COLUMNS('Employee information'!$B:$M),0)=22,
IF($E$2="Fortnightly",
ROUND(
ROUND((((TRUNC($AN80/2,0)+0.99))*VLOOKUP((TRUNC($AN80/2,0)+0.99),'Tax scales - NAT 3539'!$A$43:$C$69,2,1)-VLOOKUP((TRUNC($AN80/2,0)+0.99),'Tax scales - NAT 3539'!$A$43:$C$69,3,1)),0)
*2,
0),
IF(AND($E$2="Monthly",ROUND($AN80-TRUNC($AN80),2)=0.33),
ROUND(
ROUND(((TRUNC(($AN80+0.01)*3/13,0)+0.99)*VLOOKUP((TRUNC(($AN80+0.01)*3/13,0)+0.99),'Tax scales - NAT 3539'!$A$43:$C$69,2,1)-VLOOKUP((TRUNC(($AN80+0.01)*3/13,0)+0.99),'Tax scales - NAT 3539'!$A$43:$C$69,3,1)),0)
*13/3,
0),
IF($E$2="Monthly",
ROUND(
ROUND(((TRUNC($AN80*3/13,0)+0.99)*VLOOKUP((TRUNC($AN80*3/13,0)+0.99),'Tax scales - NAT 3539'!$A$43:$C$69,2,1)-VLOOKUP((TRUNC($AN80*3/13,0)+0.99),'Tax scales - NAT 3539'!$A$43:$C$69,3,1)),0)
*13/3,
0),
""))),
""),
"")</f>
        <v/>
      </c>
      <c r="AW80" s="118" t="str">
        <f>IFERROR(
IF(VLOOKUP($C80,'Employee information'!$B:$M,COLUMNS('Employee information'!$B:$M),0)=33,
IF($E$2="Fortnightly",
ROUND(
ROUND((((TRUNC($AN80/2,0)+0.99))*VLOOKUP((TRUNC($AN80/2,0)+0.99),'Tax scales - NAT 3539'!$A$74:$C$94,2,1)-VLOOKUP((TRUNC($AN80/2,0)+0.99),'Tax scales - NAT 3539'!$A$74:$C$94,3,1)),0)
*2,
0),
IF(AND($E$2="Monthly",ROUND($AN80-TRUNC($AN80),2)=0.33),
ROUND(
ROUND(((TRUNC(($AN80+0.01)*3/13,0)+0.99)*VLOOKUP((TRUNC(($AN80+0.01)*3/13,0)+0.99),'Tax scales - NAT 3539'!$A$74:$C$94,2,1)-VLOOKUP((TRUNC(($AN80+0.01)*3/13,0)+0.99),'Tax scales - NAT 3539'!$A$74:$C$94,3,1)),0)
*13/3,
0),
IF($E$2="Monthly",
ROUND(
ROUND(((TRUNC($AN80*3/13,0)+0.99)*VLOOKUP((TRUNC($AN80*3/13,0)+0.99),'Tax scales - NAT 3539'!$A$74:$C$94,2,1)-VLOOKUP((TRUNC($AN80*3/13,0)+0.99),'Tax scales - NAT 3539'!$A$74:$C$94,3,1)),0)
*13/3,
0),
""))),
""),
"")</f>
        <v/>
      </c>
      <c r="AX80" s="118" t="str">
        <f>IFERROR(
IF(VLOOKUP($C80,'Employee information'!$B:$M,COLUMNS('Employee information'!$B:$M),0)=55,
IF($E$2="Fortnightly",
ROUND(
ROUND((((TRUNC($AN80/2,0)+0.99))*VLOOKUP((TRUNC($AN80/2,0)+0.99),'Tax scales - NAT 3539'!$A$99:$C$123,2,1)-VLOOKUP((TRUNC($AN80/2,0)+0.99),'Tax scales - NAT 3539'!$A$99:$C$123,3,1)),0)
*2,
0),
IF(AND($E$2="Monthly",ROUND($AN80-TRUNC($AN80),2)=0.33),
ROUND(
ROUND(((TRUNC(($AN80+0.01)*3/13,0)+0.99)*VLOOKUP((TRUNC(($AN80+0.01)*3/13,0)+0.99),'Tax scales - NAT 3539'!$A$99:$C$123,2,1)-VLOOKUP((TRUNC(($AN80+0.01)*3/13,0)+0.99),'Tax scales - NAT 3539'!$A$99:$C$123,3,1)),0)
*13/3,
0),
IF($E$2="Monthly",
ROUND(
ROUND(((TRUNC($AN80*3/13,0)+0.99)*VLOOKUP((TRUNC($AN80*3/13,0)+0.99),'Tax scales - NAT 3539'!$A$99:$C$123,2,1)-VLOOKUP((TRUNC($AN80*3/13,0)+0.99),'Tax scales - NAT 3539'!$A$99:$C$123,3,1)),0)
*13/3,
0),
""))),
""),
"")</f>
        <v/>
      </c>
      <c r="AY80" s="118" t="str">
        <f>IFERROR(
IF(VLOOKUP($C80,'Employee information'!$B:$M,COLUMNS('Employee information'!$B:$M),0)=66,
IF($E$2="Fortnightly",
ROUND(
ROUND((((TRUNC($AN80/2,0)+0.99))*VLOOKUP((TRUNC($AN80/2,0)+0.99),'Tax scales - NAT 3539'!$A$127:$C$154,2,1)-VLOOKUP((TRUNC($AN80/2,0)+0.99),'Tax scales - NAT 3539'!$A$127:$C$154,3,1)),0)
*2,
0),
IF(AND($E$2="Monthly",ROUND($AN80-TRUNC($AN80),2)=0.33),
ROUND(
ROUND(((TRUNC(($AN80+0.01)*3/13,0)+0.99)*VLOOKUP((TRUNC(($AN80+0.01)*3/13,0)+0.99),'Tax scales - NAT 3539'!$A$127:$C$154,2,1)-VLOOKUP((TRUNC(($AN80+0.01)*3/13,0)+0.99),'Tax scales - NAT 3539'!$A$127:$C$154,3,1)),0)
*13/3,
0),
IF($E$2="Monthly",
ROUND(
ROUND(((TRUNC($AN80*3/13,0)+0.99)*VLOOKUP((TRUNC($AN80*3/13,0)+0.99),'Tax scales - NAT 3539'!$A$127:$C$154,2,1)-VLOOKUP((TRUNC($AN80*3/13,0)+0.99),'Tax scales - NAT 3539'!$A$127:$C$154,3,1)),0)
*13/3,
0),
""))),
""),
"")</f>
        <v/>
      </c>
      <c r="AZ80" s="118">
        <f>IFERROR(
HLOOKUP(VLOOKUP($C80,'Employee information'!$B:$M,COLUMNS('Employee information'!$B:$M),0),'PAYG worksheet'!$AO$68:$AY$87,COUNTA($C$69:$C80)+1,0),
0)</f>
        <v>0</v>
      </c>
      <c r="BA80" s="118"/>
      <c r="BB80" s="118">
        <f t="shared" si="77"/>
        <v>0</v>
      </c>
      <c r="BC80" s="119">
        <f>IFERROR(
IF(OR($AE80=1,$AE80=""),SUM($P80,$AA80,$AC80,$AK80)*VLOOKUP($C80,'Employee information'!$B:$Q,COLUMNS('Employee information'!$B:$H),0),
IF($AE80=0,SUM($P80,$AA80,$AK80)*VLOOKUP($C80,'Employee information'!$B:$Q,COLUMNS('Employee information'!$B:$H),0),
0)),
0)</f>
        <v>0</v>
      </c>
      <c r="BE80" s="114">
        <f t="shared" si="62"/>
        <v>0</v>
      </c>
      <c r="BF80" s="114">
        <f t="shared" si="63"/>
        <v>0</v>
      </c>
      <c r="BG80" s="114">
        <f t="shared" si="64"/>
        <v>0</v>
      </c>
      <c r="BH80" s="114">
        <f t="shared" si="65"/>
        <v>0</v>
      </c>
      <c r="BI80" s="114">
        <f t="shared" si="66"/>
        <v>0</v>
      </c>
      <c r="BJ80" s="114">
        <f t="shared" si="67"/>
        <v>0</v>
      </c>
      <c r="BK80" s="114">
        <f t="shared" si="68"/>
        <v>0</v>
      </c>
      <c r="BL80" s="114">
        <f t="shared" si="78"/>
        <v>0</v>
      </c>
      <c r="BM80" s="114">
        <f t="shared" si="69"/>
        <v>0</v>
      </c>
    </row>
    <row r="81" spans="1:65" x14ac:dyDescent="0.25">
      <c r="A81" s="228">
        <f t="shared" si="57"/>
        <v>3</v>
      </c>
      <c r="C81" s="278"/>
      <c r="E81" s="103">
        <f>IF($C81="",0,
IF(AND($E$2="Monthly",$A81&gt;12),0,
IF($E$2="Monthly",VLOOKUP($C81,'Employee information'!$B:$AM,COLUMNS('Employee information'!$B:S),0),
IF($E$2="Fortnightly",VLOOKUP($C81,'Employee information'!$B:$AM,COLUMNS('Employee information'!$B:R),0),
0))))</f>
        <v>0</v>
      </c>
      <c r="F81" s="106"/>
      <c r="G81" s="106"/>
      <c r="H81" s="106"/>
      <c r="I81" s="106"/>
      <c r="J81" s="103">
        <f t="shared" si="70"/>
        <v>0</v>
      </c>
      <c r="L81" s="113">
        <f>IF(AND($E$2="Monthly",$A81&gt;12),"",
IFERROR($J81*VLOOKUP($C81,'Employee information'!$B:$AI,COLUMNS('Employee information'!$B:$P),0),0))</f>
        <v>0</v>
      </c>
      <c r="M81" s="114">
        <f t="shared" si="71"/>
        <v>0</v>
      </c>
      <c r="O81" s="103">
        <f t="shared" si="72"/>
        <v>0</v>
      </c>
      <c r="P81" s="113">
        <f>IFERROR(
IF(AND($E$2="Monthly",$A81&gt;12),0,
$O81*VLOOKUP($C81,'Employee information'!$B:$AI,COLUMNS('Employee information'!$B:$P),0)),
0)</f>
        <v>0</v>
      </c>
      <c r="R81" s="114">
        <f t="shared" si="58"/>
        <v>0</v>
      </c>
      <c r="T81" s="103"/>
      <c r="U81" s="103"/>
      <c r="V81" s="282" t="str">
        <f>IF($C81="","",
IF(AND($E$2="Monthly",$A81&gt;12),"",
$T81*VLOOKUP($C81,'Employee information'!$B:$P,COLUMNS('Employee information'!$B:$P),0)))</f>
        <v/>
      </c>
      <c r="W81" s="282" t="str">
        <f>IF($C81="","",
IF(AND($E$2="Monthly",$A81&gt;12),"",
$U81*VLOOKUP($C81,'Employee information'!$B:$P,COLUMNS('Employee information'!$B:$P),0)))</f>
        <v/>
      </c>
      <c r="X81" s="114">
        <f t="shared" si="59"/>
        <v>0</v>
      </c>
      <c r="Y81" s="114">
        <f t="shared" si="60"/>
        <v>0</v>
      </c>
      <c r="AA81" s="118">
        <f>IFERROR(
IF(OR('Basic payroll data'!$D$12="",'Basic payroll data'!$D$12="No"),0,
$T81*VLOOKUP($C81,'Employee information'!$B:$P,COLUMNS('Employee information'!$B:$P),0)*AL_loading_perc),
0)</f>
        <v>0</v>
      </c>
      <c r="AC81" s="118"/>
      <c r="AD81" s="118"/>
      <c r="AE81" s="283" t="str">
        <f t="shared" si="73"/>
        <v/>
      </c>
      <c r="AF81" s="283" t="str">
        <f t="shared" si="74"/>
        <v/>
      </c>
      <c r="AG81" s="118"/>
      <c r="AH81" s="118"/>
      <c r="AI81" s="283" t="str">
        <f t="shared" si="75"/>
        <v/>
      </c>
      <c r="AJ81" s="118"/>
      <c r="AK81" s="118"/>
      <c r="AM81" s="118">
        <f t="shared" si="76"/>
        <v>0</v>
      </c>
      <c r="AN81" s="118">
        <f t="shared" si="61"/>
        <v>0</v>
      </c>
      <c r="AO81" s="118" t="str">
        <f>IFERROR(
IF(VLOOKUP($C81,'Employee information'!$B:$M,COLUMNS('Employee information'!$B:$M),0)=1,
IF($E$2="Fortnightly",
ROUND(
ROUND((((TRUNC($AN81/2,0)+0.99))*VLOOKUP((TRUNC($AN81/2,0)+0.99),'Tax scales - NAT 1004'!$A$12:$C$18,2,1)-VLOOKUP((TRUNC($AN81/2,0)+0.99),'Tax scales - NAT 1004'!$A$12:$C$18,3,1)),0)
*2,
0),
IF(AND($E$2="Monthly",ROUND($AN81-TRUNC($AN81),2)=0.33),
ROUND(
ROUND(((TRUNC(($AN81+0.01)*3/13,0)+0.99)*VLOOKUP((TRUNC(($AN81+0.01)*3/13,0)+0.99),'Tax scales - NAT 1004'!$A$12:$C$18,2,1)-VLOOKUP((TRUNC(($AN81+0.01)*3/13,0)+0.99),'Tax scales - NAT 1004'!$A$12:$C$18,3,1)),0)
*13/3,
0),
IF($E$2="Monthly",
ROUND(
ROUND(((TRUNC($AN81*3/13,0)+0.99)*VLOOKUP((TRUNC($AN81*3/13,0)+0.99),'Tax scales - NAT 1004'!$A$12:$C$18,2,1)-VLOOKUP((TRUNC($AN81*3/13,0)+0.99),'Tax scales - NAT 1004'!$A$12:$C$18,3,1)),0)
*13/3,
0),
""))),
""),
"")</f>
        <v/>
      </c>
      <c r="AP81" s="118" t="str">
        <f>IFERROR(
IF(VLOOKUP($C81,'Employee information'!$B:$M,COLUMNS('Employee information'!$B:$M),0)=2,
IF($E$2="Fortnightly",
ROUND(
ROUND((((TRUNC($AN81/2,0)+0.99))*VLOOKUP((TRUNC($AN81/2,0)+0.99),'Tax scales - NAT 1004'!$A$25:$C$33,2,1)-VLOOKUP((TRUNC($AN81/2,0)+0.99),'Tax scales - NAT 1004'!$A$25:$C$33,3,1)),0)
*2,
0),
IF(AND($E$2="Monthly",ROUND($AN81-TRUNC($AN81),2)=0.33),
ROUND(
ROUND(((TRUNC(($AN81+0.01)*3/13,0)+0.99)*VLOOKUP((TRUNC(($AN81+0.01)*3/13,0)+0.99),'Tax scales - NAT 1004'!$A$25:$C$33,2,1)-VLOOKUP((TRUNC(($AN81+0.01)*3/13,0)+0.99),'Tax scales - NAT 1004'!$A$25:$C$33,3,1)),0)
*13/3,
0),
IF($E$2="Monthly",
ROUND(
ROUND(((TRUNC($AN81*3/13,0)+0.99)*VLOOKUP((TRUNC($AN81*3/13,0)+0.99),'Tax scales - NAT 1004'!$A$25:$C$33,2,1)-VLOOKUP((TRUNC($AN81*3/13,0)+0.99),'Tax scales - NAT 1004'!$A$25:$C$33,3,1)),0)
*13/3,
0),
""))),
""),
"")</f>
        <v/>
      </c>
      <c r="AQ81" s="118" t="str">
        <f>IFERROR(
IF(VLOOKUP($C81,'Employee information'!$B:$M,COLUMNS('Employee information'!$B:$M),0)=3,
IF($E$2="Fortnightly",
ROUND(
ROUND((((TRUNC($AN81/2,0)+0.99))*VLOOKUP((TRUNC($AN81/2,0)+0.99),'Tax scales - NAT 1004'!$A$39:$C$41,2,1)-VLOOKUP((TRUNC($AN81/2,0)+0.99),'Tax scales - NAT 1004'!$A$39:$C$41,3,1)),0)
*2,
0),
IF(AND($E$2="Monthly",ROUND($AN81-TRUNC($AN81),2)=0.33),
ROUND(
ROUND(((TRUNC(($AN81+0.01)*3/13,0)+0.99)*VLOOKUP((TRUNC(($AN81+0.01)*3/13,0)+0.99),'Tax scales - NAT 1004'!$A$39:$C$41,2,1)-VLOOKUP((TRUNC(($AN81+0.01)*3/13,0)+0.99),'Tax scales - NAT 1004'!$A$39:$C$41,3,1)),0)
*13/3,
0),
IF($E$2="Monthly",
ROUND(
ROUND(((TRUNC($AN81*3/13,0)+0.99)*VLOOKUP((TRUNC($AN81*3/13,0)+0.99),'Tax scales - NAT 1004'!$A$39:$C$41,2,1)-VLOOKUP((TRUNC($AN81*3/13,0)+0.99),'Tax scales - NAT 1004'!$A$39:$C$41,3,1)),0)
*13/3,
0),
""))),
""),
"")</f>
        <v/>
      </c>
      <c r="AR81" s="118" t="str">
        <f>IFERROR(
IF(AND(VLOOKUP($C81,'Employee information'!$B:$M,COLUMNS('Employee information'!$B:$M),0)=4,
VLOOKUP($C81,'Employee information'!$B:$J,COLUMNS('Employee information'!$B:$J),0)="Resident"),
TRUNC(TRUNC($AN81)*'Tax scales - NAT 1004'!$B$47),
IF(AND(VLOOKUP($C81,'Employee information'!$B:$M,COLUMNS('Employee information'!$B:$M),0)=4,
VLOOKUP($C81,'Employee information'!$B:$J,COLUMNS('Employee information'!$B:$J),0)="Foreign resident"),
TRUNC(TRUNC($AN81)*'Tax scales - NAT 1004'!$B$48),
"")),
"")</f>
        <v/>
      </c>
      <c r="AS81" s="118" t="str">
        <f>IFERROR(
IF(VLOOKUP($C81,'Employee information'!$B:$M,COLUMNS('Employee information'!$B:$M),0)=5,
IF($E$2="Fortnightly",
ROUND(
ROUND((((TRUNC($AN81/2,0)+0.99))*VLOOKUP((TRUNC($AN81/2,0)+0.99),'Tax scales - NAT 1004'!$A$53:$C$59,2,1)-VLOOKUP((TRUNC($AN81/2,0)+0.99),'Tax scales - NAT 1004'!$A$53:$C$59,3,1)),0)
*2,
0),
IF(AND($E$2="Monthly",ROUND($AN81-TRUNC($AN81),2)=0.33),
ROUND(
ROUND(((TRUNC(($AN81+0.01)*3/13,0)+0.99)*VLOOKUP((TRUNC(($AN81+0.01)*3/13,0)+0.99),'Tax scales - NAT 1004'!$A$53:$C$59,2,1)-VLOOKUP((TRUNC(($AN81+0.01)*3/13,0)+0.99),'Tax scales - NAT 1004'!$A$53:$C$59,3,1)),0)
*13/3,
0),
IF($E$2="Monthly",
ROUND(
ROUND(((TRUNC($AN81*3/13,0)+0.99)*VLOOKUP((TRUNC($AN81*3/13,0)+0.99),'Tax scales - NAT 1004'!$A$53:$C$59,2,1)-VLOOKUP((TRUNC($AN81*3/13,0)+0.99),'Tax scales - NAT 1004'!$A$53:$C$59,3,1)),0)
*13/3,
0),
""))),
""),
"")</f>
        <v/>
      </c>
      <c r="AT81" s="118" t="str">
        <f>IFERROR(
IF(VLOOKUP($C81,'Employee information'!$B:$M,COLUMNS('Employee information'!$B:$M),0)=6,
IF($E$2="Fortnightly",
ROUND(
ROUND((((TRUNC($AN81/2,0)+0.99))*VLOOKUP((TRUNC($AN81/2,0)+0.99),'Tax scales - NAT 1004'!$A$65:$C$73,2,1)-VLOOKUP((TRUNC($AN81/2,0)+0.99),'Tax scales - NAT 1004'!$A$65:$C$73,3,1)),0)
*2,
0),
IF(AND($E$2="Monthly",ROUND($AN81-TRUNC($AN81),2)=0.33),
ROUND(
ROUND(((TRUNC(($AN81+0.01)*3/13,0)+0.99)*VLOOKUP((TRUNC(($AN81+0.01)*3/13,0)+0.99),'Tax scales - NAT 1004'!$A$65:$C$73,2,1)-VLOOKUP((TRUNC(($AN81+0.01)*3/13,0)+0.99),'Tax scales - NAT 1004'!$A$65:$C$73,3,1)),0)
*13/3,
0),
IF($E$2="Monthly",
ROUND(
ROUND(((TRUNC($AN81*3/13,0)+0.99)*VLOOKUP((TRUNC($AN81*3/13,0)+0.99),'Tax scales - NAT 1004'!$A$65:$C$73,2,1)-VLOOKUP((TRUNC($AN81*3/13,0)+0.99),'Tax scales - NAT 1004'!$A$65:$C$73,3,1)),0)
*13/3,
0),
""))),
""),
"")</f>
        <v/>
      </c>
      <c r="AU81" s="118" t="str">
        <f>IFERROR(
IF(VLOOKUP($C81,'Employee information'!$B:$M,COLUMNS('Employee information'!$B:$M),0)=11,
IF($E$2="Fortnightly",
ROUND(
ROUND((((TRUNC($AN81/2,0)+0.99))*VLOOKUP((TRUNC($AN81/2,0)+0.99),'Tax scales - NAT 3539'!$A$14:$C$38,2,1)-VLOOKUP((TRUNC($AN81/2,0)+0.99),'Tax scales - NAT 3539'!$A$14:$C$38,3,1)),0)
*2,
0),
IF(AND($E$2="Monthly",ROUND($AN81-TRUNC($AN81),2)=0.33),
ROUND(
ROUND(((TRUNC(($AN81+0.01)*3/13,0)+0.99)*VLOOKUP((TRUNC(($AN81+0.01)*3/13,0)+0.99),'Tax scales - NAT 3539'!$A$14:$C$38,2,1)-VLOOKUP((TRUNC(($AN81+0.01)*3/13,0)+0.99),'Tax scales - NAT 3539'!$A$14:$C$38,3,1)),0)
*13/3,
0),
IF($E$2="Monthly",
ROUND(
ROUND(((TRUNC($AN81*3/13,0)+0.99)*VLOOKUP((TRUNC($AN81*3/13,0)+0.99),'Tax scales - NAT 3539'!$A$14:$C$38,2,1)-VLOOKUP((TRUNC($AN81*3/13,0)+0.99),'Tax scales - NAT 3539'!$A$14:$C$38,3,1)),0)
*13/3,
0),
""))),
""),
"")</f>
        <v/>
      </c>
      <c r="AV81" s="118" t="str">
        <f>IFERROR(
IF(VLOOKUP($C81,'Employee information'!$B:$M,COLUMNS('Employee information'!$B:$M),0)=22,
IF($E$2="Fortnightly",
ROUND(
ROUND((((TRUNC($AN81/2,0)+0.99))*VLOOKUP((TRUNC($AN81/2,0)+0.99),'Tax scales - NAT 3539'!$A$43:$C$69,2,1)-VLOOKUP((TRUNC($AN81/2,0)+0.99),'Tax scales - NAT 3539'!$A$43:$C$69,3,1)),0)
*2,
0),
IF(AND($E$2="Monthly",ROUND($AN81-TRUNC($AN81),2)=0.33),
ROUND(
ROUND(((TRUNC(($AN81+0.01)*3/13,0)+0.99)*VLOOKUP((TRUNC(($AN81+0.01)*3/13,0)+0.99),'Tax scales - NAT 3539'!$A$43:$C$69,2,1)-VLOOKUP((TRUNC(($AN81+0.01)*3/13,0)+0.99),'Tax scales - NAT 3539'!$A$43:$C$69,3,1)),0)
*13/3,
0),
IF($E$2="Monthly",
ROUND(
ROUND(((TRUNC($AN81*3/13,0)+0.99)*VLOOKUP((TRUNC($AN81*3/13,0)+0.99),'Tax scales - NAT 3539'!$A$43:$C$69,2,1)-VLOOKUP((TRUNC($AN81*3/13,0)+0.99),'Tax scales - NAT 3539'!$A$43:$C$69,3,1)),0)
*13/3,
0),
""))),
""),
"")</f>
        <v/>
      </c>
      <c r="AW81" s="118" t="str">
        <f>IFERROR(
IF(VLOOKUP($C81,'Employee information'!$B:$M,COLUMNS('Employee information'!$B:$M),0)=33,
IF($E$2="Fortnightly",
ROUND(
ROUND((((TRUNC($AN81/2,0)+0.99))*VLOOKUP((TRUNC($AN81/2,0)+0.99),'Tax scales - NAT 3539'!$A$74:$C$94,2,1)-VLOOKUP((TRUNC($AN81/2,0)+0.99),'Tax scales - NAT 3539'!$A$74:$C$94,3,1)),0)
*2,
0),
IF(AND($E$2="Monthly",ROUND($AN81-TRUNC($AN81),2)=0.33),
ROUND(
ROUND(((TRUNC(($AN81+0.01)*3/13,0)+0.99)*VLOOKUP((TRUNC(($AN81+0.01)*3/13,0)+0.99),'Tax scales - NAT 3539'!$A$74:$C$94,2,1)-VLOOKUP((TRUNC(($AN81+0.01)*3/13,0)+0.99),'Tax scales - NAT 3539'!$A$74:$C$94,3,1)),0)
*13/3,
0),
IF($E$2="Monthly",
ROUND(
ROUND(((TRUNC($AN81*3/13,0)+0.99)*VLOOKUP((TRUNC($AN81*3/13,0)+0.99),'Tax scales - NAT 3539'!$A$74:$C$94,2,1)-VLOOKUP((TRUNC($AN81*3/13,0)+0.99),'Tax scales - NAT 3539'!$A$74:$C$94,3,1)),0)
*13/3,
0),
""))),
""),
"")</f>
        <v/>
      </c>
      <c r="AX81" s="118" t="str">
        <f>IFERROR(
IF(VLOOKUP($C81,'Employee information'!$B:$M,COLUMNS('Employee information'!$B:$M),0)=55,
IF($E$2="Fortnightly",
ROUND(
ROUND((((TRUNC($AN81/2,0)+0.99))*VLOOKUP((TRUNC($AN81/2,0)+0.99),'Tax scales - NAT 3539'!$A$99:$C$123,2,1)-VLOOKUP((TRUNC($AN81/2,0)+0.99),'Tax scales - NAT 3539'!$A$99:$C$123,3,1)),0)
*2,
0),
IF(AND($E$2="Monthly",ROUND($AN81-TRUNC($AN81),2)=0.33),
ROUND(
ROUND(((TRUNC(($AN81+0.01)*3/13,0)+0.99)*VLOOKUP((TRUNC(($AN81+0.01)*3/13,0)+0.99),'Tax scales - NAT 3539'!$A$99:$C$123,2,1)-VLOOKUP((TRUNC(($AN81+0.01)*3/13,0)+0.99),'Tax scales - NAT 3539'!$A$99:$C$123,3,1)),0)
*13/3,
0),
IF($E$2="Monthly",
ROUND(
ROUND(((TRUNC($AN81*3/13,0)+0.99)*VLOOKUP((TRUNC($AN81*3/13,0)+0.99),'Tax scales - NAT 3539'!$A$99:$C$123,2,1)-VLOOKUP((TRUNC($AN81*3/13,0)+0.99),'Tax scales - NAT 3539'!$A$99:$C$123,3,1)),0)
*13/3,
0),
""))),
""),
"")</f>
        <v/>
      </c>
      <c r="AY81" s="118" t="str">
        <f>IFERROR(
IF(VLOOKUP($C81,'Employee information'!$B:$M,COLUMNS('Employee information'!$B:$M),0)=66,
IF($E$2="Fortnightly",
ROUND(
ROUND((((TRUNC($AN81/2,0)+0.99))*VLOOKUP((TRUNC($AN81/2,0)+0.99),'Tax scales - NAT 3539'!$A$127:$C$154,2,1)-VLOOKUP((TRUNC($AN81/2,0)+0.99),'Tax scales - NAT 3539'!$A$127:$C$154,3,1)),0)
*2,
0),
IF(AND($E$2="Monthly",ROUND($AN81-TRUNC($AN81),2)=0.33),
ROUND(
ROUND(((TRUNC(($AN81+0.01)*3/13,0)+0.99)*VLOOKUP((TRUNC(($AN81+0.01)*3/13,0)+0.99),'Tax scales - NAT 3539'!$A$127:$C$154,2,1)-VLOOKUP((TRUNC(($AN81+0.01)*3/13,0)+0.99),'Tax scales - NAT 3539'!$A$127:$C$154,3,1)),0)
*13/3,
0),
IF($E$2="Monthly",
ROUND(
ROUND(((TRUNC($AN81*3/13,0)+0.99)*VLOOKUP((TRUNC($AN81*3/13,0)+0.99),'Tax scales - NAT 3539'!$A$127:$C$154,2,1)-VLOOKUP((TRUNC($AN81*3/13,0)+0.99),'Tax scales - NAT 3539'!$A$127:$C$154,3,1)),0)
*13/3,
0),
""))),
""),
"")</f>
        <v/>
      </c>
      <c r="AZ81" s="118">
        <f>IFERROR(
HLOOKUP(VLOOKUP($C81,'Employee information'!$B:$M,COLUMNS('Employee information'!$B:$M),0),'PAYG worksheet'!$AO$68:$AY$87,COUNTA($C$69:$C81)+1,0),
0)</f>
        <v>0</v>
      </c>
      <c r="BA81" s="118"/>
      <c r="BB81" s="118">
        <f t="shared" si="77"/>
        <v>0</v>
      </c>
      <c r="BC81" s="119">
        <f>IFERROR(
IF(OR($AE81=1,$AE81=""),SUM($P81,$AA81,$AC81,$AK81)*VLOOKUP($C81,'Employee information'!$B:$Q,COLUMNS('Employee information'!$B:$H),0),
IF($AE81=0,SUM($P81,$AA81,$AK81)*VLOOKUP($C81,'Employee information'!$B:$Q,COLUMNS('Employee information'!$B:$H),0),
0)),
0)</f>
        <v>0</v>
      </c>
      <c r="BE81" s="114">
        <f t="shared" si="62"/>
        <v>0</v>
      </c>
      <c r="BF81" s="114">
        <f t="shared" si="63"/>
        <v>0</v>
      </c>
      <c r="BG81" s="114">
        <f t="shared" si="64"/>
        <v>0</v>
      </c>
      <c r="BH81" s="114">
        <f t="shared" si="65"/>
        <v>0</v>
      </c>
      <c r="BI81" s="114">
        <f t="shared" si="66"/>
        <v>0</v>
      </c>
      <c r="BJ81" s="114">
        <f t="shared" si="67"/>
        <v>0</v>
      </c>
      <c r="BK81" s="114">
        <f t="shared" si="68"/>
        <v>0</v>
      </c>
      <c r="BL81" s="114">
        <f t="shared" si="78"/>
        <v>0</v>
      </c>
      <c r="BM81" s="114">
        <f t="shared" si="69"/>
        <v>0</v>
      </c>
    </row>
    <row r="82" spans="1:65" x14ac:dyDescent="0.25">
      <c r="A82" s="228">
        <f t="shared" si="57"/>
        <v>3</v>
      </c>
      <c r="C82" s="278"/>
      <c r="E82" s="103">
        <f>IF($C82="",0,
IF(AND($E$2="Monthly",$A82&gt;12),0,
IF($E$2="Monthly",VLOOKUP($C82,'Employee information'!$B:$AM,COLUMNS('Employee information'!$B:S),0),
IF($E$2="Fortnightly",VLOOKUP($C82,'Employee information'!$B:$AM,COLUMNS('Employee information'!$B:R),0),
0))))</f>
        <v>0</v>
      </c>
      <c r="F82" s="106"/>
      <c r="G82" s="106"/>
      <c r="H82" s="106"/>
      <c r="I82" s="106"/>
      <c r="J82" s="103">
        <f t="shared" si="70"/>
        <v>0</v>
      </c>
      <c r="L82" s="113">
        <f>IF(AND($E$2="Monthly",$A82&gt;12),"",
IFERROR($J82*VLOOKUP($C82,'Employee information'!$B:$AI,COLUMNS('Employee information'!$B:$P),0),0))</f>
        <v>0</v>
      </c>
      <c r="M82" s="114">
        <f t="shared" si="71"/>
        <v>0</v>
      </c>
      <c r="O82" s="103">
        <f t="shared" si="72"/>
        <v>0</v>
      </c>
      <c r="P82" s="113">
        <f>IFERROR(
IF(AND($E$2="Monthly",$A82&gt;12),0,
$O82*VLOOKUP($C82,'Employee information'!$B:$AI,COLUMNS('Employee information'!$B:$P),0)),
0)</f>
        <v>0</v>
      </c>
      <c r="R82" s="114">
        <f t="shared" si="58"/>
        <v>0</v>
      </c>
      <c r="T82" s="103"/>
      <c r="U82" s="103"/>
      <c r="V82" s="282" t="str">
        <f>IF($C82="","",
IF(AND($E$2="Monthly",$A82&gt;12),"",
$T82*VLOOKUP($C82,'Employee information'!$B:$P,COLUMNS('Employee information'!$B:$P),0)))</f>
        <v/>
      </c>
      <c r="W82" s="282" t="str">
        <f>IF($C82="","",
IF(AND($E$2="Monthly",$A82&gt;12),"",
$U82*VLOOKUP($C82,'Employee information'!$B:$P,COLUMNS('Employee information'!$B:$P),0)))</f>
        <v/>
      </c>
      <c r="X82" s="114">
        <f t="shared" si="59"/>
        <v>0</v>
      </c>
      <c r="Y82" s="114">
        <f t="shared" si="60"/>
        <v>0</v>
      </c>
      <c r="AA82" s="118">
        <f>IFERROR(
IF(OR('Basic payroll data'!$D$12="",'Basic payroll data'!$D$12="No"),0,
$T82*VLOOKUP($C82,'Employee information'!$B:$P,COLUMNS('Employee information'!$B:$P),0)*AL_loading_perc),
0)</f>
        <v>0</v>
      </c>
      <c r="AC82" s="118"/>
      <c r="AD82" s="118"/>
      <c r="AE82" s="283" t="str">
        <f t="shared" si="73"/>
        <v/>
      </c>
      <c r="AF82" s="283" t="str">
        <f t="shared" si="74"/>
        <v/>
      </c>
      <c r="AG82" s="118"/>
      <c r="AH82" s="118"/>
      <c r="AI82" s="283" t="str">
        <f t="shared" si="75"/>
        <v/>
      </c>
      <c r="AJ82" s="118"/>
      <c r="AK82" s="118"/>
      <c r="AM82" s="118">
        <f t="shared" si="76"/>
        <v>0</v>
      </c>
      <c r="AN82" s="118">
        <f t="shared" si="61"/>
        <v>0</v>
      </c>
      <c r="AO82" s="118" t="str">
        <f>IFERROR(
IF(VLOOKUP($C82,'Employee information'!$B:$M,COLUMNS('Employee information'!$B:$M),0)=1,
IF($E$2="Fortnightly",
ROUND(
ROUND((((TRUNC($AN82/2,0)+0.99))*VLOOKUP((TRUNC($AN82/2,0)+0.99),'Tax scales - NAT 1004'!$A$12:$C$18,2,1)-VLOOKUP((TRUNC($AN82/2,0)+0.99),'Tax scales - NAT 1004'!$A$12:$C$18,3,1)),0)
*2,
0),
IF(AND($E$2="Monthly",ROUND($AN82-TRUNC($AN82),2)=0.33),
ROUND(
ROUND(((TRUNC(($AN82+0.01)*3/13,0)+0.99)*VLOOKUP((TRUNC(($AN82+0.01)*3/13,0)+0.99),'Tax scales - NAT 1004'!$A$12:$C$18,2,1)-VLOOKUP((TRUNC(($AN82+0.01)*3/13,0)+0.99),'Tax scales - NAT 1004'!$A$12:$C$18,3,1)),0)
*13/3,
0),
IF($E$2="Monthly",
ROUND(
ROUND(((TRUNC($AN82*3/13,0)+0.99)*VLOOKUP((TRUNC($AN82*3/13,0)+0.99),'Tax scales - NAT 1004'!$A$12:$C$18,2,1)-VLOOKUP((TRUNC($AN82*3/13,0)+0.99),'Tax scales - NAT 1004'!$A$12:$C$18,3,1)),0)
*13/3,
0),
""))),
""),
"")</f>
        <v/>
      </c>
      <c r="AP82" s="118" t="str">
        <f>IFERROR(
IF(VLOOKUP($C82,'Employee information'!$B:$M,COLUMNS('Employee information'!$B:$M),0)=2,
IF($E$2="Fortnightly",
ROUND(
ROUND((((TRUNC($AN82/2,0)+0.99))*VLOOKUP((TRUNC($AN82/2,0)+0.99),'Tax scales - NAT 1004'!$A$25:$C$33,2,1)-VLOOKUP((TRUNC($AN82/2,0)+0.99),'Tax scales - NAT 1004'!$A$25:$C$33,3,1)),0)
*2,
0),
IF(AND($E$2="Monthly",ROUND($AN82-TRUNC($AN82),2)=0.33),
ROUND(
ROUND(((TRUNC(($AN82+0.01)*3/13,0)+0.99)*VLOOKUP((TRUNC(($AN82+0.01)*3/13,0)+0.99),'Tax scales - NAT 1004'!$A$25:$C$33,2,1)-VLOOKUP((TRUNC(($AN82+0.01)*3/13,0)+0.99),'Tax scales - NAT 1004'!$A$25:$C$33,3,1)),0)
*13/3,
0),
IF($E$2="Monthly",
ROUND(
ROUND(((TRUNC($AN82*3/13,0)+0.99)*VLOOKUP((TRUNC($AN82*3/13,0)+0.99),'Tax scales - NAT 1004'!$A$25:$C$33,2,1)-VLOOKUP((TRUNC($AN82*3/13,0)+0.99),'Tax scales - NAT 1004'!$A$25:$C$33,3,1)),0)
*13/3,
0),
""))),
""),
"")</f>
        <v/>
      </c>
      <c r="AQ82" s="118" t="str">
        <f>IFERROR(
IF(VLOOKUP($C82,'Employee information'!$B:$M,COLUMNS('Employee information'!$B:$M),0)=3,
IF($E$2="Fortnightly",
ROUND(
ROUND((((TRUNC($AN82/2,0)+0.99))*VLOOKUP((TRUNC($AN82/2,0)+0.99),'Tax scales - NAT 1004'!$A$39:$C$41,2,1)-VLOOKUP((TRUNC($AN82/2,0)+0.99),'Tax scales - NAT 1004'!$A$39:$C$41,3,1)),0)
*2,
0),
IF(AND($E$2="Monthly",ROUND($AN82-TRUNC($AN82),2)=0.33),
ROUND(
ROUND(((TRUNC(($AN82+0.01)*3/13,0)+0.99)*VLOOKUP((TRUNC(($AN82+0.01)*3/13,0)+0.99),'Tax scales - NAT 1004'!$A$39:$C$41,2,1)-VLOOKUP((TRUNC(($AN82+0.01)*3/13,0)+0.99),'Tax scales - NAT 1004'!$A$39:$C$41,3,1)),0)
*13/3,
0),
IF($E$2="Monthly",
ROUND(
ROUND(((TRUNC($AN82*3/13,0)+0.99)*VLOOKUP((TRUNC($AN82*3/13,0)+0.99),'Tax scales - NAT 1004'!$A$39:$C$41,2,1)-VLOOKUP((TRUNC($AN82*3/13,0)+0.99),'Tax scales - NAT 1004'!$A$39:$C$41,3,1)),0)
*13/3,
0),
""))),
""),
"")</f>
        <v/>
      </c>
      <c r="AR82" s="118" t="str">
        <f>IFERROR(
IF(AND(VLOOKUP($C82,'Employee information'!$B:$M,COLUMNS('Employee information'!$B:$M),0)=4,
VLOOKUP($C82,'Employee information'!$B:$J,COLUMNS('Employee information'!$B:$J),0)="Resident"),
TRUNC(TRUNC($AN82)*'Tax scales - NAT 1004'!$B$47),
IF(AND(VLOOKUP($C82,'Employee information'!$B:$M,COLUMNS('Employee information'!$B:$M),0)=4,
VLOOKUP($C82,'Employee information'!$B:$J,COLUMNS('Employee information'!$B:$J),0)="Foreign resident"),
TRUNC(TRUNC($AN82)*'Tax scales - NAT 1004'!$B$48),
"")),
"")</f>
        <v/>
      </c>
      <c r="AS82" s="118" t="str">
        <f>IFERROR(
IF(VLOOKUP($C82,'Employee information'!$B:$M,COLUMNS('Employee information'!$B:$M),0)=5,
IF($E$2="Fortnightly",
ROUND(
ROUND((((TRUNC($AN82/2,0)+0.99))*VLOOKUP((TRUNC($AN82/2,0)+0.99),'Tax scales - NAT 1004'!$A$53:$C$59,2,1)-VLOOKUP((TRUNC($AN82/2,0)+0.99),'Tax scales - NAT 1004'!$A$53:$C$59,3,1)),0)
*2,
0),
IF(AND($E$2="Monthly",ROUND($AN82-TRUNC($AN82),2)=0.33),
ROUND(
ROUND(((TRUNC(($AN82+0.01)*3/13,0)+0.99)*VLOOKUP((TRUNC(($AN82+0.01)*3/13,0)+0.99),'Tax scales - NAT 1004'!$A$53:$C$59,2,1)-VLOOKUP((TRUNC(($AN82+0.01)*3/13,0)+0.99),'Tax scales - NAT 1004'!$A$53:$C$59,3,1)),0)
*13/3,
0),
IF($E$2="Monthly",
ROUND(
ROUND(((TRUNC($AN82*3/13,0)+0.99)*VLOOKUP((TRUNC($AN82*3/13,0)+0.99),'Tax scales - NAT 1004'!$A$53:$C$59,2,1)-VLOOKUP((TRUNC($AN82*3/13,0)+0.99),'Tax scales - NAT 1004'!$A$53:$C$59,3,1)),0)
*13/3,
0),
""))),
""),
"")</f>
        <v/>
      </c>
      <c r="AT82" s="118" t="str">
        <f>IFERROR(
IF(VLOOKUP($C82,'Employee information'!$B:$M,COLUMNS('Employee information'!$B:$M),0)=6,
IF($E$2="Fortnightly",
ROUND(
ROUND((((TRUNC($AN82/2,0)+0.99))*VLOOKUP((TRUNC($AN82/2,0)+0.99),'Tax scales - NAT 1004'!$A$65:$C$73,2,1)-VLOOKUP((TRUNC($AN82/2,0)+0.99),'Tax scales - NAT 1004'!$A$65:$C$73,3,1)),0)
*2,
0),
IF(AND($E$2="Monthly",ROUND($AN82-TRUNC($AN82),2)=0.33),
ROUND(
ROUND(((TRUNC(($AN82+0.01)*3/13,0)+0.99)*VLOOKUP((TRUNC(($AN82+0.01)*3/13,0)+0.99),'Tax scales - NAT 1004'!$A$65:$C$73,2,1)-VLOOKUP((TRUNC(($AN82+0.01)*3/13,0)+0.99),'Tax scales - NAT 1004'!$A$65:$C$73,3,1)),0)
*13/3,
0),
IF($E$2="Monthly",
ROUND(
ROUND(((TRUNC($AN82*3/13,0)+0.99)*VLOOKUP((TRUNC($AN82*3/13,0)+0.99),'Tax scales - NAT 1004'!$A$65:$C$73,2,1)-VLOOKUP((TRUNC($AN82*3/13,0)+0.99),'Tax scales - NAT 1004'!$A$65:$C$73,3,1)),0)
*13/3,
0),
""))),
""),
"")</f>
        <v/>
      </c>
      <c r="AU82" s="118" t="str">
        <f>IFERROR(
IF(VLOOKUP($C82,'Employee information'!$B:$M,COLUMNS('Employee information'!$B:$M),0)=11,
IF($E$2="Fortnightly",
ROUND(
ROUND((((TRUNC($AN82/2,0)+0.99))*VLOOKUP((TRUNC($AN82/2,0)+0.99),'Tax scales - NAT 3539'!$A$14:$C$38,2,1)-VLOOKUP((TRUNC($AN82/2,0)+0.99),'Tax scales - NAT 3539'!$A$14:$C$38,3,1)),0)
*2,
0),
IF(AND($E$2="Monthly",ROUND($AN82-TRUNC($AN82),2)=0.33),
ROUND(
ROUND(((TRUNC(($AN82+0.01)*3/13,0)+0.99)*VLOOKUP((TRUNC(($AN82+0.01)*3/13,0)+0.99),'Tax scales - NAT 3539'!$A$14:$C$38,2,1)-VLOOKUP((TRUNC(($AN82+0.01)*3/13,0)+0.99),'Tax scales - NAT 3539'!$A$14:$C$38,3,1)),0)
*13/3,
0),
IF($E$2="Monthly",
ROUND(
ROUND(((TRUNC($AN82*3/13,0)+0.99)*VLOOKUP((TRUNC($AN82*3/13,0)+0.99),'Tax scales - NAT 3539'!$A$14:$C$38,2,1)-VLOOKUP((TRUNC($AN82*3/13,0)+0.99),'Tax scales - NAT 3539'!$A$14:$C$38,3,1)),0)
*13/3,
0),
""))),
""),
"")</f>
        <v/>
      </c>
      <c r="AV82" s="118" t="str">
        <f>IFERROR(
IF(VLOOKUP($C82,'Employee information'!$B:$M,COLUMNS('Employee information'!$B:$M),0)=22,
IF($E$2="Fortnightly",
ROUND(
ROUND((((TRUNC($AN82/2,0)+0.99))*VLOOKUP((TRUNC($AN82/2,0)+0.99),'Tax scales - NAT 3539'!$A$43:$C$69,2,1)-VLOOKUP((TRUNC($AN82/2,0)+0.99),'Tax scales - NAT 3539'!$A$43:$C$69,3,1)),0)
*2,
0),
IF(AND($E$2="Monthly",ROUND($AN82-TRUNC($AN82),2)=0.33),
ROUND(
ROUND(((TRUNC(($AN82+0.01)*3/13,0)+0.99)*VLOOKUP((TRUNC(($AN82+0.01)*3/13,0)+0.99),'Tax scales - NAT 3539'!$A$43:$C$69,2,1)-VLOOKUP((TRUNC(($AN82+0.01)*3/13,0)+0.99),'Tax scales - NAT 3539'!$A$43:$C$69,3,1)),0)
*13/3,
0),
IF($E$2="Monthly",
ROUND(
ROUND(((TRUNC($AN82*3/13,0)+0.99)*VLOOKUP((TRUNC($AN82*3/13,0)+0.99),'Tax scales - NAT 3539'!$A$43:$C$69,2,1)-VLOOKUP((TRUNC($AN82*3/13,0)+0.99),'Tax scales - NAT 3539'!$A$43:$C$69,3,1)),0)
*13/3,
0),
""))),
""),
"")</f>
        <v/>
      </c>
      <c r="AW82" s="118" t="str">
        <f>IFERROR(
IF(VLOOKUP($C82,'Employee information'!$B:$M,COLUMNS('Employee information'!$B:$M),0)=33,
IF($E$2="Fortnightly",
ROUND(
ROUND((((TRUNC($AN82/2,0)+0.99))*VLOOKUP((TRUNC($AN82/2,0)+0.99),'Tax scales - NAT 3539'!$A$74:$C$94,2,1)-VLOOKUP((TRUNC($AN82/2,0)+0.99),'Tax scales - NAT 3539'!$A$74:$C$94,3,1)),0)
*2,
0),
IF(AND($E$2="Monthly",ROUND($AN82-TRUNC($AN82),2)=0.33),
ROUND(
ROUND(((TRUNC(($AN82+0.01)*3/13,0)+0.99)*VLOOKUP((TRUNC(($AN82+0.01)*3/13,0)+0.99),'Tax scales - NAT 3539'!$A$74:$C$94,2,1)-VLOOKUP((TRUNC(($AN82+0.01)*3/13,0)+0.99),'Tax scales - NAT 3539'!$A$74:$C$94,3,1)),0)
*13/3,
0),
IF($E$2="Monthly",
ROUND(
ROUND(((TRUNC($AN82*3/13,0)+0.99)*VLOOKUP((TRUNC($AN82*3/13,0)+0.99),'Tax scales - NAT 3539'!$A$74:$C$94,2,1)-VLOOKUP((TRUNC($AN82*3/13,0)+0.99),'Tax scales - NAT 3539'!$A$74:$C$94,3,1)),0)
*13/3,
0),
""))),
""),
"")</f>
        <v/>
      </c>
      <c r="AX82" s="118" t="str">
        <f>IFERROR(
IF(VLOOKUP($C82,'Employee information'!$B:$M,COLUMNS('Employee information'!$B:$M),0)=55,
IF($E$2="Fortnightly",
ROUND(
ROUND((((TRUNC($AN82/2,0)+0.99))*VLOOKUP((TRUNC($AN82/2,0)+0.99),'Tax scales - NAT 3539'!$A$99:$C$123,2,1)-VLOOKUP((TRUNC($AN82/2,0)+0.99),'Tax scales - NAT 3539'!$A$99:$C$123,3,1)),0)
*2,
0),
IF(AND($E$2="Monthly",ROUND($AN82-TRUNC($AN82),2)=0.33),
ROUND(
ROUND(((TRUNC(($AN82+0.01)*3/13,0)+0.99)*VLOOKUP((TRUNC(($AN82+0.01)*3/13,0)+0.99),'Tax scales - NAT 3539'!$A$99:$C$123,2,1)-VLOOKUP((TRUNC(($AN82+0.01)*3/13,0)+0.99),'Tax scales - NAT 3539'!$A$99:$C$123,3,1)),0)
*13/3,
0),
IF($E$2="Monthly",
ROUND(
ROUND(((TRUNC($AN82*3/13,0)+0.99)*VLOOKUP((TRUNC($AN82*3/13,0)+0.99),'Tax scales - NAT 3539'!$A$99:$C$123,2,1)-VLOOKUP((TRUNC($AN82*3/13,0)+0.99),'Tax scales - NAT 3539'!$A$99:$C$123,3,1)),0)
*13/3,
0),
""))),
""),
"")</f>
        <v/>
      </c>
      <c r="AY82" s="118" t="str">
        <f>IFERROR(
IF(VLOOKUP($C82,'Employee information'!$B:$M,COLUMNS('Employee information'!$B:$M),0)=66,
IF($E$2="Fortnightly",
ROUND(
ROUND((((TRUNC($AN82/2,0)+0.99))*VLOOKUP((TRUNC($AN82/2,0)+0.99),'Tax scales - NAT 3539'!$A$127:$C$154,2,1)-VLOOKUP((TRUNC($AN82/2,0)+0.99),'Tax scales - NAT 3539'!$A$127:$C$154,3,1)),0)
*2,
0),
IF(AND($E$2="Monthly",ROUND($AN82-TRUNC($AN82),2)=0.33),
ROUND(
ROUND(((TRUNC(($AN82+0.01)*3/13,0)+0.99)*VLOOKUP((TRUNC(($AN82+0.01)*3/13,0)+0.99),'Tax scales - NAT 3539'!$A$127:$C$154,2,1)-VLOOKUP((TRUNC(($AN82+0.01)*3/13,0)+0.99),'Tax scales - NAT 3539'!$A$127:$C$154,3,1)),0)
*13/3,
0),
IF($E$2="Monthly",
ROUND(
ROUND(((TRUNC($AN82*3/13,0)+0.99)*VLOOKUP((TRUNC($AN82*3/13,0)+0.99),'Tax scales - NAT 3539'!$A$127:$C$154,2,1)-VLOOKUP((TRUNC($AN82*3/13,0)+0.99),'Tax scales - NAT 3539'!$A$127:$C$154,3,1)),0)
*13/3,
0),
""))),
""),
"")</f>
        <v/>
      </c>
      <c r="AZ82" s="118">
        <f>IFERROR(
HLOOKUP(VLOOKUP($C82,'Employee information'!$B:$M,COLUMNS('Employee information'!$B:$M),0),'PAYG worksheet'!$AO$68:$AY$87,COUNTA($C$69:$C82)+1,0),
0)</f>
        <v>0</v>
      </c>
      <c r="BA82" s="118"/>
      <c r="BB82" s="118">
        <f t="shared" si="77"/>
        <v>0</v>
      </c>
      <c r="BC82" s="119">
        <f>IFERROR(
IF(OR($AE82=1,$AE82=""),SUM($P82,$AA82,$AC82,$AK82)*VLOOKUP($C82,'Employee information'!$B:$Q,COLUMNS('Employee information'!$B:$H),0),
IF($AE82=0,SUM($P82,$AA82,$AK82)*VLOOKUP($C82,'Employee information'!$B:$Q,COLUMNS('Employee information'!$B:$H),0),
0)),
0)</f>
        <v>0</v>
      </c>
      <c r="BE82" s="114">
        <f t="shared" si="62"/>
        <v>0</v>
      </c>
      <c r="BF82" s="114">
        <f t="shared" si="63"/>
        <v>0</v>
      </c>
      <c r="BG82" s="114">
        <f t="shared" si="64"/>
        <v>0</v>
      </c>
      <c r="BH82" s="114">
        <f t="shared" si="65"/>
        <v>0</v>
      </c>
      <c r="BI82" s="114">
        <f t="shared" si="66"/>
        <v>0</v>
      </c>
      <c r="BJ82" s="114">
        <f t="shared" si="67"/>
        <v>0</v>
      </c>
      <c r="BK82" s="114">
        <f t="shared" si="68"/>
        <v>0</v>
      </c>
      <c r="BL82" s="114">
        <f t="shared" si="78"/>
        <v>0</v>
      </c>
      <c r="BM82" s="114">
        <f t="shared" si="69"/>
        <v>0</v>
      </c>
    </row>
    <row r="83" spans="1:65" x14ac:dyDescent="0.25">
      <c r="A83" s="228">
        <f t="shared" si="57"/>
        <v>3</v>
      </c>
      <c r="C83" s="278"/>
      <c r="E83" s="103">
        <f>IF($C83="",0,
IF(AND($E$2="Monthly",$A83&gt;12),0,
IF($E$2="Monthly",VLOOKUP($C83,'Employee information'!$B:$AM,COLUMNS('Employee information'!$B:S),0),
IF($E$2="Fortnightly",VLOOKUP($C83,'Employee information'!$B:$AM,COLUMNS('Employee information'!$B:R),0),
0))))</f>
        <v>0</v>
      </c>
      <c r="F83" s="106"/>
      <c r="G83" s="106"/>
      <c r="H83" s="106"/>
      <c r="I83" s="106"/>
      <c r="J83" s="103">
        <f t="shared" si="70"/>
        <v>0</v>
      </c>
      <c r="L83" s="113">
        <f>IF(AND($E$2="Monthly",$A83&gt;12),"",
IFERROR($J83*VLOOKUP($C83,'Employee information'!$B:$AI,COLUMNS('Employee information'!$B:$P),0),0))</f>
        <v>0</v>
      </c>
      <c r="M83" s="114">
        <f t="shared" si="71"/>
        <v>0</v>
      </c>
      <c r="O83" s="103">
        <f t="shared" si="72"/>
        <v>0</v>
      </c>
      <c r="P83" s="113">
        <f>IFERROR(
IF(AND($E$2="Monthly",$A83&gt;12),0,
$O83*VLOOKUP($C83,'Employee information'!$B:$AI,COLUMNS('Employee information'!$B:$P),0)),
0)</f>
        <v>0</v>
      </c>
      <c r="R83" s="114">
        <f t="shared" si="58"/>
        <v>0</v>
      </c>
      <c r="T83" s="103"/>
      <c r="U83" s="103"/>
      <c r="V83" s="282" t="str">
        <f>IF($C83="","",
IF(AND($E$2="Monthly",$A83&gt;12),"",
$T83*VLOOKUP($C83,'Employee information'!$B:$P,COLUMNS('Employee information'!$B:$P),0)))</f>
        <v/>
      </c>
      <c r="W83" s="282" t="str">
        <f>IF($C83="","",
IF(AND($E$2="Monthly",$A83&gt;12),"",
$U83*VLOOKUP($C83,'Employee information'!$B:$P,COLUMNS('Employee information'!$B:$P),0)))</f>
        <v/>
      </c>
      <c r="X83" s="114">
        <f t="shared" si="59"/>
        <v>0</v>
      </c>
      <c r="Y83" s="114">
        <f t="shared" si="60"/>
        <v>0</v>
      </c>
      <c r="AA83" s="118">
        <f>IFERROR(
IF(OR('Basic payroll data'!$D$12="",'Basic payroll data'!$D$12="No"),0,
$T83*VLOOKUP($C83,'Employee information'!$B:$P,COLUMNS('Employee information'!$B:$P),0)*AL_loading_perc),
0)</f>
        <v>0</v>
      </c>
      <c r="AC83" s="118"/>
      <c r="AD83" s="118"/>
      <c r="AE83" s="283" t="str">
        <f t="shared" si="73"/>
        <v/>
      </c>
      <c r="AF83" s="283" t="str">
        <f t="shared" si="74"/>
        <v/>
      </c>
      <c r="AG83" s="118"/>
      <c r="AH83" s="118"/>
      <c r="AI83" s="283" t="str">
        <f t="shared" si="75"/>
        <v/>
      </c>
      <c r="AJ83" s="118"/>
      <c r="AK83" s="118"/>
      <c r="AM83" s="118">
        <f t="shared" si="76"/>
        <v>0</v>
      </c>
      <c r="AN83" s="118">
        <f t="shared" si="61"/>
        <v>0</v>
      </c>
      <c r="AO83" s="118" t="str">
        <f>IFERROR(
IF(VLOOKUP($C83,'Employee information'!$B:$M,COLUMNS('Employee information'!$B:$M),0)=1,
IF($E$2="Fortnightly",
ROUND(
ROUND((((TRUNC($AN83/2,0)+0.99))*VLOOKUP((TRUNC($AN83/2,0)+0.99),'Tax scales - NAT 1004'!$A$12:$C$18,2,1)-VLOOKUP((TRUNC($AN83/2,0)+0.99),'Tax scales - NAT 1004'!$A$12:$C$18,3,1)),0)
*2,
0),
IF(AND($E$2="Monthly",ROUND($AN83-TRUNC($AN83),2)=0.33),
ROUND(
ROUND(((TRUNC(($AN83+0.01)*3/13,0)+0.99)*VLOOKUP((TRUNC(($AN83+0.01)*3/13,0)+0.99),'Tax scales - NAT 1004'!$A$12:$C$18,2,1)-VLOOKUP((TRUNC(($AN83+0.01)*3/13,0)+0.99),'Tax scales - NAT 1004'!$A$12:$C$18,3,1)),0)
*13/3,
0),
IF($E$2="Monthly",
ROUND(
ROUND(((TRUNC($AN83*3/13,0)+0.99)*VLOOKUP((TRUNC($AN83*3/13,0)+0.99),'Tax scales - NAT 1004'!$A$12:$C$18,2,1)-VLOOKUP((TRUNC($AN83*3/13,0)+0.99),'Tax scales - NAT 1004'!$A$12:$C$18,3,1)),0)
*13/3,
0),
""))),
""),
"")</f>
        <v/>
      </c>
      <c r="AP83" s="118" t="str">
        <f>IFERROR(
IF(VLOOKUP($C83,'Employee information'!$B:$M,COLUMNS('Employee information'!$B:$M),0)=2,
IF($E$2="Fortnightly",
ROUND(
ROUND((((TRUNC($AN83/2,0)+0.99))*VLOOKUP((TRUNC($AN83/2,0)+0.99),'Tax scales - NAT 1004'!$A$25:$C$33,2,1)-VLOOKUP((TRUNC($AN83/2,0)+0.99),'Tax scales - NAT 1004'!$A$25:$C$33,3,1)),0)
*2,
0),
IF(AND($E$2="Monthly",ROUND($AN83-TRUNC($AN83),2)=0.33),
ROUND(
ROUND(((TRUNC(($AN83+0.01)*3/13,0)+0.99)*VLOOKUP((TRUNC(($AN83+0.01)*3/13,0)+0.99),'Tax scales - NAT 1004'!$A$25:$C$33,2,1)-VLOOKUP((TRUNC(($AN83+0.01)*3/13,0)+0.99),'Tax scales - NAT 1004'!$A$25:$C$33,3,1)),0)
*13/3,
0),
IF($E$2="Monthly",
ROUND(
ROUND(((TRUNC($AN83*3/13,0)+0.99)*VLOOKUP((TRUNC($AN83*3/13,0)+0.99),'Tax scales - NAT 1004'!$A$25:$C$33,2,1)-VLOOKUP((TRUNC($AN83*3/13,0)+0.99),'Tax scales - NAT 1004'!$A$25:$C$33,3,1)),0)
*13/3,
0),
""))),
""),
"")</f>
        <v/>
      </c>
      <c r="AQ83" s="118" t="str">
        <f>IFERROR(
IF(VLOOKUP($C83,'Employee information'!$B:$M,COLUMNS('Employee information'!$B:$M),0)=3,
IF($E$2="Fortnightly",
ROUND(
ROUND((((TRUNC($AN83/2,0)+0.99))*VLOOKUP((TRUNC($AN83/2,0)+0.99),'Tax scales - NAT 1004'!$A$39:$C$41,2,1)-VLOOKUP((TRUNC($AN83/2,0)+0.99),'Tax scales - NAT 1004'!$A$39:$C$41,3,1)),0)
*2,
0),
IF(AND($E$2="Monthly",ROUND($AN83-TRUNC($AN83),2)=0.33),
ROUND(
ROUND(((TRUNC(($AN83+0.01)*3/13,0)+0.99)*VLOOKUP((TRUNC(($AN83+0.01)*3/13,0)+0.99),'Tax scales - NAT 1004'!$A$39:$C$41,2,1)-VLOOKUP((TRUNC(($AN83+0.01)*3/13,0)+0.99),'Tax scales - NAT 1004'!$A$39:$C$41,3,1)),0)
*13/3,
0),
IF($E$2="Monthly",
ROUND(
ROUND(((TRUNC($AN83*3/13,0)+0.99)*VLOOKUP((TRUNC($AN83*3/13,0)+0.99),'Tax scales - NAT 1004'!$A$39:$C$41,2,1)-VLOOKUP((TRUNC($AN83*3/13,0)+0.99),'Tax scales - NAT 1004'!$A$39:$C$41,3,1)),0)
*13/3,
0),
""))),
""),
"")</f>
        <v/>
      </c>
      <c r="AR83" s="118" t="str">
        <f>IFERROR(
IF(AND(VLOOKUP($C83,'Employee information'!$B:$M,COLUMNS('Employee information'!$B:$M),0)=4,
VLOOKUP($C83,'Employee information'!$B:$J,COLUMNS('Employee information'!$B:$J),0)="Resident"),
TRUNC(TRUNC($AN83)*'Tax scales - NAT 1004'!$B$47),
IF(AND(VLOOKUP($C83,'Employee information'!$B:$M,COLUMNS('Employee information'!$B:$M),0)=4,
VLOOKUP($C83,'Employee information'!$B:$J,COLUMNS('Employee information'!$B:$J),0)="Foreign resident"),
TRUNC(TRUNC($AN83)*'Tax scales - NAT 1004'!$B$48),
"")),
"")</f>
        <v/>
      </c>
      <c r="AS83" s="118" t="str">
        <f>IFERROR(
IF(VLOOKUP($C83,'Employee information'!$B:$M,COLUMNS('Employee information'!$B:$M),0)=5,
IF($E$2="Fortnightly",
ROUND(
ROUND((((TRUNC($AN83/2,0)+0.99))*VLOOKUP((TRUNC($AN83/2,0)+0.99),'Tax scales - NAT 1004'!$A$53:$C$59,2,1)-VLOOKUP((TRUNC($AN83/2,0)+0.99),'Tax scales - NAT 1004'!$A$53:$C$59,3,1)),0)
*2,
0),
IF(AND($E$2="Monthly",ROUND($AN83-TRUNC($AN83),2)=0.33),
ROUND(
ROUND(((TRUNC(($AN83+0.01)*3/13,0)+0.99)*VLOOKUP((TRUNC(($AN83+0.01)*3/13,0)+0.99),'Tax scales - NAT 1004'!$A$53:$C$59,2,1)-VLOOKUP((TRUNC(($AN83+0.01)*3/13,0)+0.99),'Tax scales - NAT 1004'!$A$53:$C$59,3,1)),0)
*13/3,
0),
IF($E$2="Monthly",
ROUND(
ROUND(((TRUNC($AN83*3/13,0)+0.99)*VLOOKUP((TRUNC($AN83*3/13,0)+0.99),'Tax scales - NAT 1004'!$A$53:$C$59,2,1)-VLOOKUP((TRUNC($AN83*3/13,0)+0.99),'Tax scales - NAT 1004'!$A$53:$C$59,3,1)),0)
*13/3,
0),
""))),
""),
"")</f>
        <v/>
      </c>
      <c r="AT83" s="118" t="str">
        <f>IFERROR(
IF(VLOOKUP($C83,'Employee information'!$B:$M,COLUMNS('Employee information'!$B:$M),0)=6,
IF($E$2="Fortnightly",
ROUND(
ROUND((((TRUNC($AN83/2,0)+0.99))*VLOOKUP((TRUNC($AN83/2,0)+0.99),'Tax scales - NAT 1004'!$A$65:$C$73,2,1)-VLOOKUP((TRUNC($AN83/2,0)+0.99),'Tax scales - NAT 1004'!$A$65:$C$73,3,1)),0)
*2,
0),
IF(AND($E$2="Monthly",ROUND($AN83-TRUNC($AN83),2)=0.33),
ROUND(
ROUND(((TRUNC(($AN83+0.01)*3/13,0)+0.99)*VLOOKUP((TRUNC(($AN83+0.01)*3/13,0)+0.99),'Tax scales - NAT 1004'!$A$65:$C$73,2,1)-VLOOKUP((TRUNC(($AN83+0.01)*3/13,0)+0.99),'Tax scales - NAT 1004'!$A$65:$C$73,3,1)),0)
*13/3,
0),
IF($E$2="Monthly",
ROUND(
ROUND(((TRUNC($AN83*3/13,0)+0.99)*VLOOKUP((TRUNC($AN83*3/13,0)+0.99),'Tax scales - NAT 1004'!$A$65:$C$73,2,1)-VLOOKUP((TRUNC($AN83*3/13,0)+0.99),'Tax scales - NAT 1004'!$A$65:$C$73,3,1)),0)
*13/3,
0),
""))),
""),
"")</f>
        <v/>
      </c>
      <c r="AU83" s="118" t="str">
        <f>IFERROR(
IF(VLOOKUP($C83,'Employee information'!$B:$M,COLUMNS('Employee information'!$B:$M),0)=11,
IF($E$2="Fortnightly",
ROUND(
ROUND((((TRUNC($AN83/2,0)+0.99))*VLOOKUP((TRUNC($AN83/2,0)+0.99),'Tax scales - NAT 3539'!$A$14:$C$38,2,1)-VLOOKUP((TRUNC($AN83/2,0)+0.99),'Tax scales - NAT 3539'!$A$14:$C$38,3,1)),0)
*2,
0),
IF(AND($E$2="Monthly",ROUND($AN83-TRUNC($AN83),2)=0.33),
ROUND(
ROUND(((TRUNC(($AN83+0.01)*3/13,0)+0.99)*VLOOKUP((TRUNC(($AN83+0.01)*3/13,0)+0.99),'Tax scales - NAT 3539'!$A$14:$C$38,2,1)-VLOOKUP((TRUNC(($AN83+0.01)*3/13,0)+0.99),'Tax scales - NAT 3539'!$A$14:$C$38,3,1)),0)
*13/3,
0),
IF($E$2="Monthly",
ROUND(
ROUND(((TRUNC($AN83*3/13,0)+0.99)*VLOOKUP((TRUNC($AN83*3/13,0)+0.99),'Tax scales - NAT 3539'!$A$14:$C$38,2,1)-VLOOKUP((TRUNC($AN83*3/13,0)+0.99),'Tax scales - NAT 3539'!$A$14:$C$38,3,1)),0)
*13/3,
0),
""))),
""),
"")</f>
        <v/>
      </c>
      <c r="AV83" s="118" t="str">
        <f>IFERROR(
IF(VLOOKUP($C83,'Employee information'!$B:$M,COLUMNS('Employee information'!$B:$M),0)=22,
IF($E$2="Fortnightly",
ROUND(
ROUND((((TRUNC($AN83/2,0)+0.99))*VLOOKUP((TRUNC($AN83/2,0)+0.99),'Tax scales - NAT 3539'!$A$43:$C$69,2,1)-VLOOKUP((TRUNC($AN83/2,0)+0.99),'Tax scales - NAT 3539'!$A$43:$C$69,3,1)),0)
*2,
0),
IF(AND($E$2="Monthly",ROUND($AN83-TRUNC($AN83),2)=0.33),
ROUND(
ROUND(((TRUNC(($AN83+0.01)*3/13,0)+0.99)*VLOOKUP((TRUNC(($AN83+0.01)*3/13,0)+0.99),'Tax scales - NAT 3539'!$A$43:$C$69,2,1)-VLOOKUP((TRUNC(($AN83+0.01)*3/13,0)+0.99),'Tax scales - NAT 3539'!$A$43:$C$69,3,1)),0)
*13/3,
0),
IF($E$2="Monthly",
ROUND(
ROUND(((TRUNC($AN83*3/13,0)+0.99)*VLOOKUP((TRUNC($AN83*3/13,0)+0.99),'Tax scales - NAT 3539'!$A$43:$C$69,2,1)-VLOOKUP((TRUNC($AN83*3/13,0)+0.99),'Tax scales - NAT 3539'!$A$43:$C$69,3,1)),0)
*13/3,
0),
""))),
""),
"")</f>
        <v/>
      </c>
      <c r="AW83" s="118" t="str">
        <f>IFERROR(
IF(VLOOKUP($C83,'Employee information'!$B:$M,COLUMNS('Employee information'!$B:$M),0)=33,
IF($E$2="Fortnightly",
ROUND(
ROUND((((TRUNC($AN83/2,0)+0.99))*VLOOKUP((TRUNC($AN83/2,0)+0.99),'Tax scales - NAT 3539'!$A$74:$C$94,2,1)-VLOOKUP((TRUNC($AN83/2,0)+0.99),'Tax scales - NAT 3539'!$A$74:$C$94,3,1)),0)
*2,
0),
IF(AND($E$2="Monthly",ROUND($AN83-TRUNC($AN83),2)=0.33),
ROUND(
ROUND(((TRUNC(($AN83+0.01)*3/13,0)+0.99)*VLOOKUP((TRUNC(($AN83+0.01)*3/13,0)+0.99),'Tax scales - NAT 3539'!$A$74:$C$94,2,1)-VLOOKUP((TRUNC(($AN83+0.01)*3/13,0)+0.99),'Tax scales - NAT 3539'!$A$74:$C$94,3,1)),0)
*13/3,
0),
IF($E$2="Monthly",
ROUND(
ROUND(((TRUNC($AN83*3/13,0)+0.99)*VLOOKUP((TRUNC($AN83*3/13,0)+0.99),'Tax scales - NAT 3539'!$A$74:$C$94,2,1)-VLOOKUP((TRUNC($AN83*3/13,0)+0.99),'Tax scales - NAT 3539'!$A$74:$C$94,3,1)),0)
*13/3,
0),
""))),
""),
"")</f>
        <v/>
      </c>
      <c r="AX83" s="118" t="str">
        <f>IFERROR(
IF(VLOOKUP($C83,'Employee information'!$B:$M,COLUMNS('Employee information'!$B:$M),0)=55,
IF($E$2="Fortnightly",
ROUND(
ROUND((((TRUNC($AN83/2,0)+0.99))*VLOOKUP((TRUNC($AN83/2,0)+0.99),'Tax scales - NAT 3539'!$A$99:$C$123,2,1)-VLOOKUP((TRUNC($AN83/2,0)+0.99),'Tax scales - NAT 3539'!$A$99:$C$123,3,1)),0)
*2,
0),
IF(AND($E$2="Monthly",ROUND($AN83-TRUNC($AN83),2)=0.33),
ROUND(
ROUND(((TRUNC(($AN83+0.01)*3/13,0)+0.99)*VLOOKUP((TRUNC(($AN83+0.01)*3/13,0)+0.99),'Tax scales - NAT 3539'!$A$99:$C$123,2,1)-VLOOKUP((TRUNC(($AN83+0.01)*3/13,0)+0.99),'Tax scales - NAT 3539'!$A$99:$C$123,3,1)),0)
*13/3,
0),
IF($E$2="Monthly",
ROUND(
ROUND(((TRUNC($AN83*3/13,0)+0.99)*VLOOKUP((TRUNC($AN83*3/13,0)+0.99),'Tax scales - NAT 3539'!$A$99:$C$123,2,1)-VLOOKUP((TRUNC($AN83*3/13,0)+0.99),'Tax scales - NAT 3539'!$A$99:$C$123,3,1)),0)
*13/3,
0),
""))),
""),
"")</f>
        <v/>
      </c>
      <c r="AY83" s="118" t="str">
        <f>IFERROR(
IF(VLOOKUP($C83,'Employee information'!$B:$M,COLUMNS('Employee information'!$B:$M),0)=66,
IF($E$2="Fortnightly",
ROUND(
ROUND((((TRUNC($AN83/2,0)+0.99))*VLOOKUP((TRUNC($AN83/2,0)+0.99),'Tax scales - NAT 3539'!$A$127:$C$154,2,1)-VLOOKUP((TRUNC($AN83/2,0)+0.99),'Tax scales - NAT 3539'!$A$127:$C$154,3,1)),0)
*2,
0),
IF(AND($E$2="Monthly",ROUND($AN83-TRUNC($AN83),2)=0.33),
ROUND(
ROUND(((TRUNC(($AN83+0.01)*3/13,0)+0.99)*VLOOKUP((TRUNC(($AN83+0.01)*3/13,0)+0.99),'Tax scales - NAT 3539'!$A$127:$C$154,2,1)-VLOOKUP((TRUNC(($AN83+0.01)*3/13,0)+0.99),'Tax scales - NAT 3539'!$A$127:$C$154,3,1)),0)
*13/3,
0),
IF($E$2="Monthly",
ROUND(
ROUND(((TRUNC($AN83*3/13,0)+0.99)*VLOOKUP((TRUNC($AN83*3/13,0)+0.99),'Tax scales - NAT 3539'!$A$127:$C$154,2,1)-VLOOKUP((TRUNC($AN83*3/13,0)+0.99),'Tax scales - NAT 3539'!$A$127:$C$154,3,1)),0)
*13/3,
0),
""))),
""),
"")</f>
        <v/>
      </c>
      <c r="AZ83" s="118">
        <f>IFERROR(
HLOOKUP(VLOOKUP($C83,'Employee information'!$B:$M,COLUMNS('Employee information'!$B:$M),0),'PAYG worksheet'!$AO$68:$AY$87,COUNTA($C$69:$C83)+1,0),
0)</f>
        <v>0</v>
      </c>
      <c r="BA83" s="118"/>
      <c r="BB83" s="118">
        <f t="shared" si="77"/>
        <v>0</v>
      </c>
      <c r="BC83" s="119">
        <f>IFERROR(
IF(OR($AE83=1,$AE83=""),SUM($P83,$AA83,$AC83,$AK83)*VLOOKUP($C83,'Employee information'!$B:$Q,COLUMNS('Employee information'!$B:$H),0),
IF($AE83=0,SUM($P83,$AA83,$AK83)*VLOOKUP($C83,'Employee information'!$B:$Q,COLUMNS('Employee information'!$B:$H),0),
0)),
0)</f>
        <v>0</v>
      </c>
      <c r="BE83" s="114">
        <f t="shared" si="62"/>
        <v>0</v>
      </c>
      <c r="BF83" s="114">
        <f t="shared" si="63"/>
        <v>0</v>
      </c>
      <c r="BG83" s="114">
        <f t="shared" si="64"/>
        <v>0</v>
      </c>
      <c r="BH83" s="114">
        <f t="shared" si="65"/>
        <v>0</v>
      </c>
      <c r="BI83" s="114">
        <f t="shared" si="66"/>
        <v>0</v>
      </c>
      <c r="BJ83" s="114">
        <f t="shared" si="67"/>
        <v>0</v>
      </c>
      <c r="BK83" s="114">
        <f t="shared" si="68"/>
        <v>0</v>
      </c>
      <c r="BL83" s="114">
        <f t="shared" si="78"/>
        <v>0</v>
      </c>
      <c r="BM83" s="114">
        <f t="shared" si="69"/>
        <v>0</v>
      </c>
    </row>
    <row r="84" spans="1:65" x14ac:dyDescent="0.25">
      <c r="A84" s="228">
        <f t="shared" si="57"/>
        <v>3</v>
      </c>
      <c r="C84" s="278"/>
      <c r="E84" s="103">
        <f>IF($C84="",0,
IF(AND($E$2="Monthly",$A84&gt;12),0,
IF($E$2="Monthly",VLOOKUP($C84,'Employee information'!$B:$AM,COLUMNS('Employee information'!$B:S),0),
IF($E$2="Fortnightly",VLOOKUP($C84,'Employee information'!$B:$AM,COLUMNS('Employee information'!$B:R),0),
0))))</f>
        <v>0</v>
      </c>
      <c r="F84" s="106"/>
      <c r="G84" s="106"/>
      <c r="H84" s="106"/>
      <c r="I84" s="106"/>
      <c r="J84" s="103">
        <f t="shared" si="70"/>
        <v>0</v>
      </c>
      <c r="L84" s="113">
        <f>IF(AND($E$2="Monthly",$A84&gt;12),"",
IFERROR($J84*VLOOKUP($C84,'Employee information'!$B:$AI,COLUMNS('Employee information'!$B:$P),0),0))</f>
        <v>0</v>
      </c>
      <c r="M84" s="114">
        <f t="shared" si="71"/>
        <v>0</v>
      </c>
      <c r="O84" s="103">
        <f t="shared" si="72"/>
        <v>0</v>
      </c>
      <c r="P84" s="113">
        <f>IFERROR(
IF(AND($E$2="Monthly",$A84&gt;12),0,
$O84*VLOOKUP($C84,'Employee information'!$B:$AI,COLUMNS('Employee information'!$B:$P),0)),
0)</f>
        <v>0</v>
      </c>
      <c r="R84" s="114">
        <f t="shared" si="58"/>
        <v>0</v>
      </c>
      <c r="T84" s="103"/>
      <c r="U84" s="103"/>
      <c r="V84" s="282" t="str">
        <f>IF($C84="","",
IF(AND($E$2="Monthly",$A84&gt;12),"",
$T84*VLOOKUP($C84,'Employee information'!$B:$P,COLUMNS('Employee information'!$B:$P),0)))</f>
        <v/>
      </c>
      <c r="W84" s="282" t="str">
        <f>IF($C84="","",
IF(AND($E$2="Monthly",$A84&gt;12),"",
$U84*VLOOKUP($C84,'Employee information'!$B:$P,COLUMNS('Employee information'!$B:$P),0)))</f>
        <v/>
      </c>
      <c r="X84" s="114">
        <f t="shared" si="59"/>
        <v>0</v>
      </c>
      <c r="Y84" s="114">
        <f t="shared" si="60"/>
        <v>0</v>
      </c>
      <c r="AA84" s="118">
        <f>IFERROR(
IF(OR('Basic payroll data'!$D$12="",'Basic payroll data'!$D$12="No"),0,
$T84*VLOOKUP($C84,'Employee information'!$B:$P,COLUMNS('Employee information'!$B:$P),0)*AL_loading_perc),
0)</f>
        <v>0</v>
      </c>
      <c r="AC84" s="118"/>
      <c r="AD84" s="118"/>
      <c r="AE84" s="283" t="str">
        <f t="shared" si="73"/>
        <v/>
      </c>
      <c r="AF84" s="283" t="str">
        <f t="shared" si="74"/>
        <v/>
      </c>
      <c r="AG84" s="118"/>
      <c r="AH84" s="118"/>
      <c r="AI84" s="283" t="str">
        <f t="shared" si="75"/>
        <v/>
      </c>
      <c r="AJ84" s="118"/>
      <c r="AK84" s="118"/>
      <c r="AM84" s="118">
        <f t="shared" si="76"/>
        <v>0</v>
      </c>
      <c r="AN84" s="118">
        <f t="shared" si="61"/>
        <v>0</v>
      </c>
      <c r="AO84" s="118" t="str">
        <f>IFERROR(
IF(VLOOKUP($C84,'Employee information'!$B:$M,COLUMNS('Employee information'!$B:$M),0)=1,
IF($E$2="Fortnightly",
ROUND(
ROUND((((TRUNC($AN84/2,0)+0.99))*VLOOKUP((TRUNC($AN84/2,0)+0.99),'Tax scales - NAT 1004'!$A$12:$C$18,2,1)-VLOOKUP((TRUNC($AN84/2,0)+0.99),'Tax scales - NAT 1004'!$A$12:$C$18,3,1)),0)
*2,
0),
IF(AND($E$2="Monthly",ROUND($AN84-TRUNC($AN84),2)=0.33),
ROUND(
ROUND(((TRUNC(($AN84+0.01)*3/13,0)+0.99)*VLOOKUP((TRUNC(($AN84+0.01)*3/13,0)+0.99),'Tax scales - NAT 1004'!$A$12:$C$18,2,1)-VLOOKUP((TRUNC(($AN84+0.01)*3/13,0)+0.99),'Tax scales - NAT 1004'!$A$12:$C$18,3,1)),0)
*13/3,
0),
IF($E$2="Monthly",
ROUND(
ROUND(((TRUNC($AN84*3/13,0)+0.99)*VLOOKUP((TRUNC($AN84*3/13,0)+0.99),'Tax scales - NAT 1004'!$A$12:$C$18,2,1)-VLOOKUP((TRUNC($AN84*3/13,0)+0.99),'Tax scales - NAT 1004'!$A$12:$C$18,3,1)),0)
*13/3,
0),
""))),
""),
"")</f>
        <v/>
      </c>
      <c r="AP84" s="118" t="str">
        <f>IFERROR(
IF(VLOOKUP($C84,'Employee information'!$B:$M,COLUMNS('Employee information'!$B:$M),0)=2,
IF($E$2="Fortnightly",
ROUND(
ROUND((((TRUNC($AN84/2,0)+0.99))*VLOOKUP((TRUNC($AN84/2,0)+0.99),'Tax scales - NAT 1004'!$A$25:$C$33,2,1)-VLOOKUP((TRUNC($AN84/2,0)+0.99),'Tax scales - NAT 1004'!$A$25:$C$33,3,1)),0)
*2,
0),
IF(AND($E$2="Monthly",ROUND($AN84-TRUNC($AN84),2)=0.33),
ROUND(
ROUND(((TRUNC(($AN84+0.01)*3/13,0)+0.99)*VLOOKUP((TRUNC(($AN84+0.01)*3/13,0)+0.99),'Tax scales - NAT 1004'!$A$25:$C$33,2,1)-VLOOKUP((TRUNC(($AN84+0.01)*3/13,0)+0.99),'Tax scales - NAT 1004'!$A$25:$C$33,3,1)),0)
*13/3,
0),
IF($E$2="Monthly",
ROUND(
ROUND(((TRUNC($AN84*3/13,0)+0.99)*VLOOKUP((TRUNC($AN84*3/13,0)+0.99),'Tax scales - NAT 1004'!$A$25:$C$33,2,1)-VLOOKUP((TRUNC($AN84*3/13,0)+0.99),'Tax scales - NAT 1004'!$A$25:$C$33,3,1)),0)
*13/3,
0),
""))),
""),
"")</f>
        <v/>
      </c>
      <c r="AQ84" s="118" t="str">
        <f>IFERROR(
IF(VLOOKUP($C84,'Employee information'!$B:$M,COLUMNS('Employee information'!$B:$M),0)=3,
IF($E$2="Fortnightly",
ROUND(
ROUND((((TRUNC($AN84/2,0)+0.99))*VLOOKUP((TRUNC($AN84/2,0)+0.99),'Tax scales - NAT 1004'!$A$39:$C$41,2,1)-VLOOKUP((TRUNC($AN84/2,0)+0.99),'Tax scales - NAT 1004'!$A$39:$C$41,3,1)),0)
*2,
0),
IF(AND($E$2="Monthly",ROUND($AN84-TRUNC($AN84),2)=0.33),
ROUND(
ROUND(((TRUNC(($AN84+0.01)*3/13,0)+0.99)*VLOOKUP((TRUNC(($AN84+0.01)*3/13,0)+0.99),'Tax scales - NAT 1004'!$A$39:$C$41,2,1)-VLOOKUP((TRUNC(($AN84+0.01)*3/13,0)+0.99),'Tax scales - NAT 1004'!$A$39:$C$41,3,1)),0)
*13/3,
0),
IF($E$2="Monthly",
ROUND(
ROUND(((TRUNC($AN84*3/13,0)+0.99)*VLOOKUP((TRUNC($AN84*3/13,0)+0.99),'Tax scales - NAT 1004'!$A$39:$C$41,2,1)-VLOOKUP((TRUNC($AN84*3/13,0)+0.99),'Tax scales - NAT 1004'!$A$39:$C$41,3,1)),0)
*13/3,
0),
""))),
""),
"")</f>
        <v/>
      </c>
      <c r="AR84" s="118" t="str">
        <f>IFERROR(
IF(AND(VLOOKUP($C84,'Employee information'!$B:$M,COLUMNS('Employee information'!$B:$M),0)=4,
VLOOKUP($C84,'Employee information'!$B:$J,COLUMNS('Employee information'!$B:$J),0)="Resident"),
TRUNC(TRUNC($AN84)*'Tax scales - NAT 1004'!$B$47),
IF(AND(VLOOKUP($C84,'Employee information'!$B:$M,COLUMNS('Employee information'!$B:$M),0)=4,
VLOOKUP($C84,'Employee information'!$B:$J,COLUMNS('Employee information'!$B:$J),0)="Foreign resident"),
TRUNC(TRUNC($AN84)*'Tax scales - NAT 1004'!$B$48),
"")),
"")</f>
        <v/>
      </c>
      <c r="AS84" s="118" t="str">
        <f>IFERROR(
IF(VLOOKUP($C84,'Employee information'!$B:$M,COLUMNS('Employee information'!$B:$M),0)=5,
IF($E$2="Fortnightly",
ROUND(
ROUND((((TRUNC($AN84/2,0)+0.99))*VLOOKUP((TRUNC($AN84/2,0)+0.99),'Tax scales - NAT 1004'!$A$53:$C$59,2,1)-VLOOKUP((TRUNC($AN84/2,0)+0.99),'Tax scales - NAT 1004'!$A$53:$C$59,3,1)),0)
*2,
0),
IF(AND($E$2="Monthly",ROUND($AN84-TRUNC($AN84),2)=0.33),
ROUND(
ROUND(((TRUNC(($AN84+0.01)*3/13,0)+0.99)*VLOOKUP((TRUNC(($AN84+0.01)*3/13,0)+0.99),'Tax scales - NAT 1004'!$A$53:$C$59,2,1)-VLOOKUP((TRUNC(($AN84+0.01)*3/13,0)+0.99),'Tax scales - NAT 1004'!$A$53:$C$59,3,1)),0)
*13/3,
0),
IF($E$2="Monthly",
ROUND(
ROUND(((TRUNC($AN84*3/13,0)+0.99)*VLOOKUP((TRUNC($AN84*3/13,0)+0.99),'Tax scales - NAT 1004'!$A$53:$C$59,2,1)-VLOOKUP((TRUNC($AN84*3/13,0)+0.99),'Tax scales - NAT 1004'!$A$53:$C$59,3,1)),0)
*13/3,
0),
""))),
""),
"")</f>
        <v/>
      </c>
      <c r="AT84" s="118" t="str">
        <f>IFERROR(
IF(VLOOKUP($C84,'Employee information'!$B:$M,COLUMNS('Employee information'!$B:$M),0)=6,
IF($E$2="Fortnightly",
ROUND(
ROUND((((TRUNC($AN84/2,0)+0.99))*VLOOKUP((TRUNC($AN84/2,0)+0.99),'Tax scales - NAT 1004'!$A$65:$C$73,2,1)-VLOOKUP((TRUNC($AN84/2,0)+0.99),'Tax scales - NAT 1004'!$A$65:$C$73,3,1)),0)
*2,
0),
IF(AND($E$2="Monthly",ROUND($AN84-TRUNC($AN84),2)=0.33),
ROUND(
ROUND(((TRUNC(($AN84+0.01)*3/13,0)+0.99)*VLOOKUP((TRUNC(($AN84+0.01)*3/13,0)+0.99),'Tax scales - NAT 1004'!$A$65:$C$73,2,1)-VLOOKUP((TRUNC(($AN84+0.01)*3/13,0)+0.99),'Tax scales - NAT 1004'!$A$65:$C$73,3,1)),0)
*13/3,
0),
IF($E$2="Monthly",
ROUND(
ROUND(((TRUNC($AN84*3/13,0)+0.99)*VLOOKUP((TRUNC($AN84*3/13,0)+0.99),'Tax scales - NAT 1004'!$A$65:$C$73,2,1)-VLOOKUP((TRUNC($AN84*3/13,0)+0.99),'Tax scales - NAT 1004'!$A$65:$C$73,3,1)),0)
*13/3,
0),
""))),
""),
"")</f>
        <v/>
      </c>
      <c r="AU84" s="118" t="str">
        <f>IFERROR(
IF(VLOOKUP($C84,'Employee information'!$B:$M,COLUMNS('Employee information'!$B:$M),0)=11,
IF($E$2="Fortnightly",
ROUND(
ROUND((((TRUNC($AN84/2,0)+0.99))*VLOOKUP((TRUNC($AN84/2,0)+0.99),'Tax scales - NAT 3539'!$A$14:$C$38,2,1)-VLOOKUP((TRUNC($AN84/2,0)+0.99),'Tax scales - NAT 3539'!$A$14:$C$38,3,1)),0)
*2,
0),
IF(AND($E$2="Monthly",ROUND($AN84-TRUNC($AN84),2)=0.33),
ROUND(
ROUND(((TRUNC(($AN84+0.01)*3/13,0)+0.99)*VLOOKUP((TRUNC(($AN84+0.01)*3/13,0)+0.99),'Tax scales - NAT 3539'!$A$14:$C$38,2,1)-VLOOKUP((TRUNC(($AN84+0.01)*3/13,0)+0.99),'Tax scales - NAT 3539'!$A$14:$C$38,3,1)),0)
*13/3,
0),
IF($E$2="Monthly",
ROUND(
ROUND(((TRUNC($AN84*3/13,0)+0.99)*VLOOKUP((TRUNC($AN84*3/13,0)+0.99),'Tax scales - NAT 3539'!$A$14:$C$38,2,1)-VLOOKUP((TRUNC($AN84*3/13,0)+0.99),'Tax scales - NAT 3539'!$A$14:$C$38,3,1)),0)
*13/3,
0),
""))),
""),
"")</f>
        <v/>
      </c>
      <c r="AV84" s="118" t="str">
        <f>IFERROR(
IF(VLOOKUP($C84,'Employee information'!$B:$M,COLUMNS('Employee information'!$B:$M),0)=22,
IF($E$2="Fortnightly",
ROUND(
ROUND((((TRUNC($AN84/2,0)+0.99))*VLOOKUP((TRUNC($AN84/2,0)+0.99),'Tax scales - NAT 3539'!$A$43:$C$69,2,1)-VLOOKUP((TRUNC($AN84/2,0)+0.99),'Tax scales - NAT 3539'!$A$43:$C$69,3,1)),0)
*2,
0),
IF(AND($E$2="Monthly",ROUND($AN84-TRUNC($AN84),2)=0.33),
ROUND(
ROUND(((TRUNC(($AN84+0.01)*3/13,0)+0.99)*VLOOKUP((TRUNC(($AN84+0.01)*3/13,0)+0.99),'Tax scales - NAT 3539'!$A$43:$C$69,2,1)-VLOOKUP((TRUNC(($AN84+0.01)*3/13,0)+0.99),'Tax scales - NAT 3539'!$A$43:$C$69,3,1)),0)
*13/3,
0),
IF($E$2="Monthly",
ROUND(
ROUND(((TRUNC($AN84*3/13,0)+0.99)*VLOOKUP((TRUNC($AN84*3/13,0)+0.99),'Tax scales - NAT 3539'!$A$43:$C$69,2,1)-VLOOKUP((TRUNC($AN84*3/13,0)+0.99),'Tax scales - NAT 3539'!$A$43:$C$69,3,1)),0)
*13/3,
0),
""))),
""),
"")</f>
        <v/>
      </c>
      <c r="AW84" s="118" t="str">
        <f>IFERROR(
IF(VLOOKUP($C84,'Employee information'!$B:$M,COLUMNS('Employee information'!$B:$M),0)=33,
IF($E$2="Fortnightly",
ROUND(
ROUND((((TRUNC($AN84/2,0)+0.99))*VLOOKUP((TRUNC($AN84/2,0)+0.99),'Tax scales - NAT 3539'!$A$74:$C$94,2,1)-VLOOKUP((TRUNC($AN84/2,0)+0.99),'Tax scales - NAT 3539'!$A$74:$C$94,3,1)),0)
*2,
0),
IF(AND($E$2="Monthly",ROUND($AN84-TRUNC($AN84),2)=0.33),
ROUND(
ROUND(((TRUNC(($AN84+0.01)*3/13,0)+0.99)*VLOOKUP((TRUNC(($AN84+0.01)*3/13,0)+0.99),'Tax scales - NAT 3539'!$A$74:$C$94,2,1)-VLOOKUP((TRUNC(($AN84+0.01)*3/13,0)+0.99),'Tax scales - NAT 3539'!$A$74:$C$94,3,1)),0)
*13/3,
0),
IF($E$2="Monthly",
ROUND(
ROUND(((TRUNC($AN84*3/13,0)+0.99)*VLOOKUP((TRUNC($AN84*3/13,0)+0.99),'Tax scales - NAT 3539'!$A$74:$C$94,2,1)-VLOOKUP((TRUNC($AN84*3/13,0)+0.99),'Tax scales - NAT 3539'!$A$74:$C$94,3,1)),0)
*13/3,
0),
""))),
""),
"")</f>
        <v/>
      </c>
      <c r="AX84" s="118" t="str">
        <f>IFERROR(
IF(VLOOKUP($C84,'Employee information'!$B:$M,COLUMNS('Employee information'!$B:$M),0)=55,
IF($E$2="Fortnightly",
ROUND(
ROUND((((TRUNC($AN84/2,0)+0.99))*VLOOKUP((TRUNC($AN84/2,0)+0.99),'Tax scales - NAT 3539'!$A$99:$C$123,2,1)-VLOOKUP((TRUNC($AN84/2,0)+0.99),'Tax scales - NAT 3539'!$A$99:$C$123,3,1)),0)
*2,
0),
IF(AND($E$2="Monthly",ROUND($AN84-TRUNC($AN84),2)=0.33),
ROUND(
ROUND(((TRUNC(($AN84+0.01)*3/13,0)+0.99)*VLOOKUP((TRUNC(($AN84+0.01)*3/13,0)+0.99),'Tax scales - NAT 3539'!$A$99:$C$123,2,1)-VLOOKUP((TRUNC(($AN84+0.01)*3/13,0)+0.99),'Tax scales - NAT 3539'!$A$99:$C$123,3,1)),0)
*13/3,
0),
IF($E$2="Monthly",
ROUND(
ROUND(((TRUNC($AN84*3/13,0)+0.99)*VLOOKUP((TRUNC($AN84*3/13,0)+0.99),'Tax scales - NAT 3539'!$A$99:$C$123,2,1)-VLOOKUP((TRUNC($AN84*3/13,0)+0.99),'Tax scales - NAT 3539'!$A$99:$C$123,3,1)),0)
*13/3,
0),
""))),
""),
"")</f>
        <v/>
      </c>
      <c r="AY84" s="118" t="str">
        <f>IFERROR(
IF(VLOOKUP($C84,'Employee information'!$B:$M,COLUMNS('Employee information'!$B:$M),0)=66,
IF($E$2="Fortnightly",
ROUND(
ROUND((((TRUNC($AN84/2,0)+0.99))*VLOOKUP((TRUNC($AN84/2,0)+0.99),'Tax scales - NAT 3539'!$A$127:$C$154,2,1)-VLOOKUP((TRUNC($AN84/2,0)+0.99),'Tax scales - NAT 3539'!$A$127:$C$154,3,1)),0)
*2,
0),
IF(AND($E$2="Monthly",ROUND($AN84-TRUNC($AN84),2)=0.33),
ROUND(
ROUND(((TRUNC(($AN84+0.01)*3/13,0)+0.99)*VLOOKUP((TRUNC(($AN84+0.01)*3/13,0)+0.99),'Tax scales - NAT 3539'!$A$127:$C$154,2,1)-VLOOKUP((TRUNC(($AN84+0.01)*3/13,0)+0.99),'Tax scales - NAT 3539'!$A$127:$C$154,3,1)),0)
*13/3,
0),
IF($E$2="Monthly",
ROUND(
ROUND(((TRUNC($AN84*3/13,0)+0.99)*VLOOKUP((TRUNC($AN84*3/13,0)+0.99),'Tax scales - NAT 3539'!$A$127:$C$154,2,1)-VLOOKUP((TRUNC($AN84*3/13,0)+0.99),'Tax scales - NAT 3539'!$A$127:$C$154,3,1)),0)
*13/3,
0),
""))),
""),
"")</f>
        <v/>
      </c>
      <c r="AZ84" s="118">
        <f>IFERROR(
HLOOKUP(VLOOKUP($C84,'Employee information'!$B:$M,COLUMNS('Employee information'!$B:$M),0),'PAYG worksheet'!$AO$68:$AY$87,COUNTA($C$69:$C84)+1,0),
0)</f>
        <v>0</v>
      </c>
      <c r="BA84" s="118"/>
      <c r="BB84" s="118">
        <f t="shared" si="77"/>
        <v>0</v>
      </c>
      <c r="BC84" s="119">
        <f>IFERROR(
IF(OR($AE84=1,$AE84=""),SUM($P84,$AA84,$AC84,$AK84)*VLOOKUP($C84,'Employee information'!$B:$Q,COLUMNS('Employee information'!$B:$H),0),
IF($AE84=0,SUM($P84,$AA84,$AK84)*VLOOKUP($C84,'Employee information'!$B:$Q,COLUMNS('Employee information'!$B:$H),0),
0)),
0)</f>
        <v>0</v>
      </c>
      <c r="BE84" s="114">
        <f t="shared" si="62"/>
        <v>0</v>
      </c>
      <c r="BF84" s="114">
        <f t="shared" si="63"/>
        <v>0</v>
      </c>
      <c r="BG84" s="114">
        <f t="shared" si="64"/>
        <v>0</v>
      </c>
      <c r="BH84" s="114">
        <f t="shared" si="65"/>
        <v>0</v>
      </c>
      <c r="BI84" s="114">
        <f t="shared" si="66"/>
        <v>0</v>
      </c>
      <c r="BJ84" s="114">
        <f t="shared" si="67"/>
        <v>0</v>
      </c>
      <c r="BK84" s="114">
        <f t="shared" si="68"/>
        <v>0</v>
      </c>
      <c r="BL84" s="114">
        <f t="shared" si="78"/>
        <v>0</v>
      </c>
      <c r="BM84" s="114">
        <f t="shared" si="69"/>
        <v>0</v>
      </c>
    </row>
    <row r="85" spans="1:65" x14ac:dyDescent="0.25">
      <c r="A85" s="228">
        <f t="shared" si="57"/>
        <v>3</v>
      </c>
      <c r="C85" s="278"/>
      <c r="E85" s="103">
        <f>IF($C85="",0,
IF(AND($E$2="Monthly",$A85&gt;12),0,
IF($E$2="Monthly",VLOOKUP($C85,'Employee information'!$B:$AM,COLUMNS('Employee information'!$B:S),0),
IF($E$2="Fortnightly",VLOOKUP($C85,'Employee information'!$B:$AM,COLUMNS('Employee information'!$B:R),0),
0))))</f>
        <v>0</v>
      </c>
      <c r="F85" s="106"/>
      <c r="G85" s="106"/>
      <c r="H85" s="106"/>
      <c r="I85" s="106"/>
      <c r="J85" s="103">
        <f t="shared" si="70"/>
        <v>0</v>
      </c>
      <c r="L85" s="113">
        <f>IF(AND($E$2="Monthly",$A85&gt;12),"",
IFERROR($J85*VLOOKUP($C85,'Employee information'!$B:$AI,COLUMNS('Employee information'!$B:$P),0),0))</f>
        <v>0</v>
      </c>
      <c r="M85" s="114">
        <f t="shared" si="71"/>
        <v>0</v>
      </c>
      <c r="O85" s="103">
        <f t="shared" si="72"/>
        <v>0</v>
      </c>
      <c r="P85" s="113">
        <f>IFERROR(
IF(AND($E$2="Monthly",$A85&gt;12),0,
$O85*VLOOKUP($C85,'Employee information'!$B:$AI,COLUMNS('Employee information'!$B:$P),0)),
0)</f>
        <v>0</v>
      </c>
      <c r="R85" s="114">
        <f t="shared" si="58"/>
        <v>0</v>
      </c>
      <c r="T85" s="103"/>
      <c r="U85" s="103"/>
      <c r="V85" s="282" t="str">
        <f>IF($C85="","",
IF(AND($E$2="Monthly",$A85&gt;12),"",
$T85*VLOOKUP($C85,'Employee information'!$B:$P,COLUMNS('Employee information'!$B:$P),0)))</f>
        <v/>
      </c>
      <c r="W85" s="282" t="str">
        <f>IF($C85="","",
IF(AND($E$2="Monthly",$A85&gt;12),"",
$U85*VLOOKUP($C85,'Employee information'!$B:$P,COLUMNS('Employee information'!$B:$P),0)))</f>
        <v/>
      </c>
      <c r="X85" s="114">
        <f t="shared" si="59"/>
        <v>0</v>
      </c>
      <c r="Y85" s="114">
        <f t="shared" si="60"/>
        <v>0</v>
      </c>
      <c r="AA85" s="118">
        <f>IFERROR(
IF(OR('Basic payroll data'!$D$12="",'Basic payroll data'!$D$12="No"),0,
$T85*VLOOKUP($C85,'Employee information'!$B:$P,COLUMNS('Employee information'!$B:$P),0)*AL_loading_perc),
0)</f>
        <v>0</v>
      </c>
      <c r="AC85" s="118"/>
      <c r="AD85" s="118"/>
      <c r="AE85" s="283" t="str">
        <f t="shared" si="73"/>
        <v/>
      </c>
      <c r="AF85" s="283" t="str">
        <f t="shared" si="74"/>
        <v/>
      </c>
      <c r="AG85" s="118"/>
      <c r="AH85" s="118"/>
      <c r="AI85" s="283" t="str">
        <f t="shared" si="75"/>
        <v/>
      </c>
      <c r="AJ85" s="118"/>
      <c r="AK85" s="118"/>
      <c r="AM85" s="118">
        <f t="shared" si="76"/>
        <v>0</v>
      </c>
      <c r="AN85" s="118">
        <f t="shared" si="61"/>
        <v>0</v>
      </c>
      <c r="AO85" s="118" t="str">
        <f>IFERROR(
IF(VLOOKUP($C85,'Employee information'!$B:$M,COLUMNS('Employee information'!$B:$M),0)=1,
IF($E$2="Fortnightly",
ROUND(
ROUND((((TRUNC($AN85/2,0)+0.99))*VLOOKUP((TRUNC($AN85/2,0)+0.99),'Tax scales - NAT 1004'!$A$12:$C$18,2,1)-VLOOKUP((TRUNC($AN85/2,0)+0.99),'Tax scales - NAT 1004'!$A$12:$C$18,3,1)),0)
*2,
0),
IF(AND($E$2="Monthly",ROUND($AN85-TRUNC($AN85),2)=0.33),
ROUND(
ROUND(((TRUNC(($AN85+0.01)*3/13,0)+0.99)*VLOOKUP((TRUNC(($AN85+0.01)*3/13,0)+0.99),'Tax scales - NAT 1004'!$A$12:$C$18,2,1)-VLOOKUP((TRUNC(($AN85+0.01)*3/13,0)+0.99),'Tax scales - NAT 1004'!$A$12:$C$18,3,1)),0)
*13/3,
0),
IF($E$2="Monthly",
ROUND(
ROUND(((TRUNC($AN85*3/13,0)+0.99)*VLOOKUP((TRUNC($AN85*3/13,0)+0.99),'Tax scales - NAT 1004'!$A$12:$C$18,2,1)-VLOOKUP((TRUNC($AN85*3/13,0)+0.99),'Tax scales - NAT 1004'!$A$12:$C$18,3,1)),0)
*13/3,
0),
""))),
""),
"")</f>
        <v/>
      </c>
      <c r="AP85" s="118" t="str">
        <f>IFERROR(
IF(VLOOKUP($C85,'Employee information'!$B:$M,COLUMNS('Employee information'!$B:$M),0)=2,
IF($E$2="Fortnightly",
ROUND(
ROUND((((TRUNC($AN85/2,0)+0.99))*VLOOKUP((TRUNC($AN85/2,0)+0.99),'Tax scales - NAT 1004'!$A$25:$C$33,2,1)-VLOOKUP((TRUNC($AN85/2,0)+0.99),'Tax scales - NAT 1004'!$A$25:$C$33,3,1)),0)
*2,
0),
IF(AND($E$2="Monthly",ROUND($AN85-TRUNC($AN85),2)=0.33),
ROUND(
ROUND(((TRUNC(($AN85+0.01)*3/13,0)+0.99)*VLOOKUP((TRUNC(($AN85+0.01)*3/13,0)+0.99),'Tax scales - NAT 1004'!$A$25:$C$33,2,1)-VLOOKUP((TRUNC(($AN85+0.01)*3/13,0)+0.99),'Tax scales - NAT 1004'!$A$25:$C$33,3,1)),0)
*13/3,
0),
IF($E$2="Monthly",
ROUND(
ROUND(((TRUNC($AN85*3/13,0)+0.99)*VLOOKUP((TRUNC($AN85*3/13,0)+0.99),'Tax scales - NAT 1004'!$A$25:$C$33,2,1)-VLOOKUP((TRUNC($AN85*3/13,0)+0.99),'Tax scales - NAT 1004'!$A$25:$C$33,3,1)),0)
*13/3,
0),
""))),
""),
"")</f>
        <v/>
      </c>
      <c r="AQ85" s="118" t="str">
        <f>IFERROR(
IF(VLOOKUP($C85,'Employee information'!$B:$M,COLUMNS('Employee information'!$B:$M),0)=3,
IF($E$2="Fortnightly",
ROUND(
ROUND((((TRUNC($AN85/2,0)+0.99))*VLOOKUP((TRUNC($AN85/2,0)+0.99),'Tax scales - NAT 1004'!$A$39:$C$41,2,1)-VLOOKUP((TRUNC($AN85/2,0)+0.99),'Tax scales - NAT 1004'!$A$39:$C$41,3,1)),0)
*2,
0),
IF(AND($E$2="Monthly",ROUND($AN85-TRUNC($AN85),2)=0.33),
ROUND(
ROUND(((TRUNC(($AN85+0.01)*3/13,0)+0.99)*VLOOKUP((TRUNC(($AN85+0.01)*3/13,0)+0.99),'Tax scales - NAT 1004'!$A$39:$C$41,2,1)-VLOOKUP((TRUNC(($AN85+0.01)*3/13,0)+0.99),'Tax scales - NAT 1004'!$A$39:$C$41,3,1)),0)
*13/3,
0),
IF($E$2="Monthly",
ROUND(
ROUND(((TRUNC($AN85*3/13,0)+0.99)*VLOOKUP((TRUNC($AN85*3/13,0)+0.99),'Tax scales - NAT 1004'!$A$39:$C$41,2,1)-VLOOKUP((TRUNC($AN85*3/13,0)+0.99),'Tax scales - NAT 1004'!$A$39:$C$41,3,1)),0)
*13/3,
0),
""))),
""),
"")</f>
        <v/>
      </c>
      <c r="AR85" s="118" t="str">
        <f>IFERROR(
IF(AND(VLOOKUP($C85,'Employee information'!$B:$M,COLUMNS('Employee information'!$B:$M),0)=4,
VLOOKUP($C85,'Employee information'!$B:$J,COLUMNS('Employee information'!$B:$J),0)="Resident"),
TRUNC(TRUNC($AN85)*'Tax scales - NAT 1004'!$B$47),
IF(AND(VLOOKUP($C85,'Employee information'!$B:$M,COLUMNS('Employee information'!$B:$M),0)=4,
VLOOKUP($C85,'Employee information'!$B:$J,COLUMNS('Employee information'!$B:$J),0)="Foreign resident"),
TRUNC(TRUNC($AN85)*'Tax scales - NAT 1004'!$B$48),
"")),
"")</f>
        <v/>
      </c>
      <c r="AS85" s="118" t="str">
        <f>IFERROR(
IF(VLOOKUP($C85,'Employee information'!$B:$M,COLUMNS('Employee information'!$B:$M),0)=5,
IF($E$2="Fortnightly",
ROUND(
ROUND((((TRUNC($AN85/2,0)+0.99))*VLOOKUP((TRUNC($AN85/2,0)+0.99),'Tax scales - NAT 1004'!$A$53:$C$59,2,1)-VLOOKUP((TRUNC($AN85/2,0)+0.99),'Tax scales - NAT 1004'!$A$53:$C$59,3,1)),0)
*2,
0),
IF(AND($E$2="Monthly",ROUND($AN85-TRUNC($AN85),2)=0.33),
ROUND(
ROUND(((TRUNC(($AN85+0.01)*3/13,0)+0.99)*VLOOKUP((TRUNC(($AN85+0.01)*3/13,0)+0.99),'Tax scales - NAT 1004'!$A$53:$C$59,2,1)-VLOOKUP((TRUNC(($AN85+0.01)*3/13,0)+0.99),'Tax scales - NAT 1004'!$A$53:$C$59,3,1)),0)
*13/3,
0),
IF($E$2="Monthly",
ROUND(
ROUND(((TRUNC($AN85*3/13,0)+0.99)*VLOOKUP((TRUNC($AN85*3/13,0)+0.99),'Tax scales - NAT 1004'!$A$53:$C$59,2,1)-VLOOKUP((TRUNC($AN85*3/13,0)+0.99),'Tax scales - NAT 1004'!$A$53:$C$59,3,1)),0)
*13/3,
0),
""))),
""),
"")</f>
        <v/>
      </c>
      <c r="AT85" s="118" t="str">
        <f>IFERROR(
IF(VLOOKUP($C85,'Employee information'!$B:$M,COLUMNS('Employee information'!$B:$M),0)=6,
IF($E$2="Fortnightly",
ROUND(
ROUND((((TRUNC($AN85/2,0)+0.99))*VLOOKUP((TRUNC($AN85/2,0)+0.99),'Tax scales - NAT 1004'!$A$65:$C$73,2,1)-VLOOKUP((TRUNC($AN85/2,0)+0.99),'Tax scales - NAT 1004'!$A$65:$C$73,3,1)),0)
*2,
0),
IF(AND($E$2="Monthly",ROUND($AN85-TRUNC($AN85),2)=0.33),
ROUND(
ROUND(((TRUNC(($AN85+0.01)*3/13,0)+0.99)*VLOOKUP((TRUNC(($AN85+0.01)*3/13,0)+0.99),'Tax scales - NAT 1004'!$A$65:$C$73,2,1)-VLOOKUP((TRUNC(($AN85+0.01)*3/13,0)+0.99),'Tax scales - NAT 1004'!$A$65:$C$73,3,1)),0)
*13/3,
0),
IF($E$2="Monthly",
ROUND(
ROUND(((TRUNC($AN85*3/13,0)+0.99)*VLOOKUP((TRUNC($AN85*3/13,0)+0.99),'Tax scales - NAT 1004'!$A$65:$C$73,2,1)-VLOOKUP((TRUNC($AN85*3/13,0)+0.99),'Tax scales - NAT 1004'!$A$65:$C$73,3,1)),0)
*13/3,
0),
""))),
""),
"")</f>
        <v/>
      </c>
      <c r="AU85" s="118" t="str">
        <f>IFERROR(
IF(VLOOKUP($C85,'Employee information'!$B:$M,COLUMNS('Employee information'!$B:$M),0)=11,
IF($E$2="Fortnightly",
ROUND(
ROUND((((TRUNC($AN85/2,0)+0.99))*VLOOKUP((TRUNC($AN85/2,0)+0.99),'Tax scales - NAT 3539'!$A$14:$C$38,2,1)-VLOOKUP((TRUNC($AN85/2,0)+0.99),'Tax scales - NAT 3539'!$A$14:$C$38,3,1)),0)
*2,
0),
IF(AND($E$2="Monthly",ROUND($AN85-TRUNC($AN85),2)=0.33),
ROUND(
ROUND(((TRUNC(($AN85+0.01)*3/13,0)+0.99)*VLOOKUP((TRUNC(($AN85+0.01)*3/13,0)+0.99),'Tax scales - NAT 3539'!$A$14:$C$38,2,1)-VLOOKUP((TRUNC(($AN85+0.01)*3/13,0)+0.99),'Tax scales - NAT 3539'!$A$14:$C$38,3,1)),0)
*13/3,
0),
IF($E$2="Monthly",
ROUND(
ROUND(((TRUNC($AN85*3/13,0)+0.99)*VLOOKUP((TRUNC($AN85*3/13,0)+0.99),'Tax scales - NAT 3539'!$A$14:$C$38,2,1)-VLOOKUP((TRUNC($AN85*3/13,0)+0.99),'Tax scales - NAT 3539'!$A$14:$C$38,3,1)),0)
*13/3,
0),
""))),
""),
"")</f>
        <v/>
      </c>
      <c r="AV85" s="118" t="str">
        <f>IFERROR(
IF(VLOOKUP($C85,'Employee information'!$B:$M,COLUMNS('Employee information'!$B:$M),0)=22,
IF($E$2="Fortnightly",
ROUND(
ROUND((((TRUNC($AN85/2,0)+0.99))*VLOOKUP((TRUNC($AN85/2,0)+0.99),'Tax scales - NAT 3539'!$A$43:$C$69,2,1)-VLOOKUP((TRUNC($AN85/2,0)+0.99),'Tax scales - NAT 3539'!$A$43:$C$69,3,1)),0)
*2,
0),
IF(AND($E$2="Monthly",ROUND($AN85-TRUNC($AN85),2)=0.33),
ROUND(
ROUND(((TRUNC(($AN85+0.01)*3/13,0)+0.99)*VLOOKUP((TRUNC(($AN85+0.01)*3/13,0)+0.99),'Tax scales - NAT 3539'!$A$43:$C$69,2,1)-VLOOKUP((TRUNC(($AN85+0.01)*3/13,0)+0.99),'Tax scales - NAT 3539'!$A$43:$C$69,3,1)),0)
*13/3,
0),
IF($E$2="Monthly",
ROUND(
ROUND(((TRUNC($AN85*3/13,0)+0.99)*VLOOKUP((TRUNC($AN85*3/13,0)+0.99),'Tax scales - NAT 3539'!$A$43:$C$69,2,1)-VLOOKUP((TRUNC($AN85*3/13,0)+0.99),'Tax scales - NAT 3539'!$A$43:$C$69,3,1)),0)
*13/3,
0),
""))),
""),
"")</f>
        <v/>
      </c>
      <c r="AW85" s="118" t="str">
        <f>IFERROR(
IF(VLOOKUP($C85,'Employee information'!$B:$M,COLUMNS('Employee information'!$B:$M),0)=33,
IF($E$2="Fortnightly",
ROUND(
ROUND((((TRUNC($AN85/2,0)+0.99))*VLOOKUP((TRUNC($AN85/2,0)+0.99),'Tax scales - NAT 3539'!$A$74:$C$94,2,1)-VLOOKUP((TRUNC($AN85/2,0)+0.99),'Tax scales - NAT 3539'!$A$74:$C$94,3,1)),0)
*2,
0),
IF(AND($E$2="Monthly",ROUND($AN85-TRUNC($AN85),2)=0.33),
ROUND(
ROUND(((TRUNC(($AN85+0.01)*3/13,0)+0.99)*VLOOKUP((TRUNC(($AN85+0.01)*3/13,0)+0.99),'Tax scales - NAT 3539'!$A$74:$C$94,2,1)-VLOOKUP((TRUNC(($AN85+0.01)*3/13,0)+0.99),'Tax scales - NAT 3539'!$A$74:$C$94,3,1)),0)
*13/3,
0),
IF($E$2="Monthly",
ROUND(
ROUND(((TRUNC($AN85*3/13,0)+0.99)*VLOOKUP((TRUNC($AN85*3/13,0)+0.99),'Tax scales - NAT 3539'!$A$74:$C$94,2,1)-VLOOKUP((TRUNC($AN85*3/13,0)+0.99),'Tax scales - NAT 3539'!$A$74:$C$94,3,1)),0)
*13/3,
0),
""))),
""),
"")</f>
        <v/>
      </c>
      <c r="AX85" s="118" t="str">
        <f>IFERROR(
IF(VLOOKUP($C85,'Employee information'!$B:$M,COLUMNS('Employee information'!$B:$M),0)=55,
IF($E$2="Fortnightly",
ROUND(
ROUND((((TRUNC($AN85/2,0)+0.99))*VLOOKUP((TRUNC($AN85/2,0)+0.99),'Tax scales - NAT 3539'!$A$99:$C$123,2,1)-VLOOKUP((TRUNC($AN85/2,0)+0.99),'Tax scales - NAT 3539'!$A$99:$C$123,3,1)),0)
*2,
0),
IF(AND($E$2="Monthly",ROUND($AN85-TRUNC($AN85),2)=0.33),
ROUND(
ROUND(((TRUNC(($AN85+0.01)*3/13,0)+0.99)*VLOOKUP((TRUNC(($AN85+0.01)*3/13,0)+0.99),'Tax scales - NAT 3539'!$A$99:$C$123,2,1)-VLOOKUP((TRUNC(($AN85+0.01)*3/13,0)+0.99),'Tax scales - NAT 3539'!$A$99:$C$123,3,1)),0)
*13/3,
0),
IF($E$2="Monthly",
ROUND(
ROUND(((TRUNC($AN85*3/13,0)+0.99)*VLOOKUP((TRUNC($AN85*3/13,0)+0.99),'Tax scales - NAT 3539'!$A$99:$C$123,2,1)-VLOOKUP((TRUNC($AN85*3/13,0)+0.99),'Tax scales - NAT 3539'!$A$99:$C$123,3,1)),0)
*13/3,
0),
""))),
""),
"")</f>
        <v/>
      </c>
      <c r="AY85" s="118" t="str">
        <f>IFERROR(
IF(VLOOKUP($C85,'Employee information'!$B:$M,COLUMNS('Employee information'!$B:$M),0)=66,
IF($E$2="Fortnightly",
ROUND(
ROUND((((TRUNC($AN85/2,0)+0.99))*VLOOKUP((TRUNC($AN85/2,0)+0.99),'Tax scales - NAT 3539'!$A$127:$C$154,2,1)-VLOOKUP((TRUNC($AN85/2,0)+0.99),'Tax scales - NAT 3539'!$A$127:$C$154,3,1)),0)
*2,
0),
IF(AND($E$2="Monthly",ROUND($AN85-TRUNC($AN85),2)=0.33),
ROUND(
ROUND(((TRUNC(($AN85+0.01)*3/13,0)+0.99)*VLOOKUP((TRUNC(($AN85+0.01)*3/13,0)+0.99),'Tax scales - NAT 3539'!$A$127:$C$154,2,1)-VLOOKUP((TRUNC(($AN85+0.01)*3/13,0)+0.99),'Tax scales - NAT 3539'!$A$127:$C$154,3,1)),0)
*13/3,
0),
IF($E$2="Monthly",
ROUND(
ROUND(((TRUNC($AN85*3/13,0)+0.99)*VLOOKUP((TRUNC($AN85*3/13,0)+0.99),'Tax scales - NAT 3539'!$A$127:$C$154,2,1)-VLOOKUP((TRUNC($AN85*3/13,0)+0.99),'Tax scales - NAT 3539'!$A$127:$C$154,3,1)),0)
*13/3,
0),
""))),
""),
"")</f>
        <v/>
      </c>
      <c r="AZ85" s="118">
        <f>IFERROR(
HLOOKUP(VLOOKUP($C85,'Employee information'!$B:$M,COLUMNS('Employee information'!$B:$M),0),'PAYG worksheet'!$AO$68:$AY$87,COUNTA($C$69:$C85)+1,0),
0)</f>
        <v>0</v>
      </c>
      <c r="BA85" s="118"/>
      <c r="BB85" s="118">
        <f t="shared" si="77"/>
        <v>0</v>
      </c>
      <c r="BC85" s="119">
        <f>IFERROR(
IF(OR($AE85=1,$AE85=""),SUM($P85,$AA85,$AC85,$AK85)*VLOOKUP($C85,'Employee information'!$B:$Q,COLUMNS('Employee information'!$B:$H),0),
IF($AE85=0,SUM($P85,$AA85,$AK85)*VLOOKUP($C85,'Employee information'!$B:$Q,COLUMNS('Employee information'!$B:$H),0),
0)),
0)</f>
        <v>0</v>
      </c>
      <c r="BE85" s="114">
        <f t="shared" si="62"/>
        <v>0</v>
      </c>
      <c r="BF85" s="114">
        <f t="shared" si="63"/>
        <v>0</v>
      </c>
      <c r="BG85" s="114">
        <f t="shared" si="64"/>
        <v>0</v>
      </c>
      <c r="BH85" s="114">
        <f t="shared" si="65"/>
        <v>0</v>
      </c>
      <c r="BI85" s="114">
        <f t="shared" si="66"/>
        <v>0</v>
      </c>
      <c r="BJ85" s="114">
        <f t="shared" si="67"/>
        <v>0</v>
      </c>
      <c r="BK85" s="114">
        <f t="shared" si="68"/>
        <v>0</v>
      </c>
      <c r="BL85" s="114">
        <f t="shared" si="78"/>
        <v>0</v>
      </c>
      <c r="BM85" s="114">
        <f t="shared" si="69"/>
        <v>0</v>
      </c>
    </row>
    <row r="86" spans="1:65" x14ac:dyDescent="0.25">
      <c r="A86" s="228">
        <f t="shared" si="57"/>
        <v>3</v>
      </c>
      <c r="C86" s="278"/>
      <c r="E86" s="103">
        <f>IF($C86="",0,
IF(AND($E$2="Monthly",$A86&gt;12),0,
IF($E$2="Monthly",VLOOKUP($C86,'Employee information'!$B:$AM,COLUMNS('Employee information'!$B:S),0),
IF($E$2="Fortnightly",VLOOKUP($C86,'Employee information'!$B:$AM,COLUMNS('Employee information'!$B:R),0),
0))))</f>
        <v>0</v>
      </c>
      <c r="F86" s="106"/>
      <c r="G86" s="106"/>
      <c r="H86" s="106"/>
      <c r="I86" s="106"/>
      <c r="J86" s="103">
        <f t="shared" si="70"/>
        <v>0</v>
      </c>
      <c r="L86" s="113">
        <f>IF(AND($E$2="Monthly",$A86&gt;12),"",
IFERROR($J86*VLOOKUP($C86,'Employee information'!$B:$AI,COLUMNS('Employee information'!$B:$P),0),0))</f>
        <v>0</v>
      </c>
      <c r="M86" s="114">
        <f t="shared" si="71"/>
        <v>0</v>
      </c>
      <c r="O86" s="103">
        <f t="shared" si="72"/>
        <v>0</v>
      </c>
      <c r="P86" s="113">
        <f>IFERROR(
IF(AND($E$2="Monthly",$A86&gt;12),0,
$O86*VLOOKUP($C86,'Employee information'!$B:$AI,COLUMNS('Employee information'!$B:$P),0)),
0)</f>
        <v>0</v>
      </c>
      <c r="R86" s="114">
        <f t="shared" si="58"/>
        <v>0</v>
      </c>
      <c r="T86" s="103"/>
      <c r="U86" s="103"/>
      <c r="V86" s="282" t="str">
        <f>IF($C86="","",
IF(AND($E$2="Monthly",$A86&gt;12),"",
$T86*VLOOKUP($C86,'Employee information'!$B:$P,COLUMNS('Employee information'!$B:$P),0)))</f>
        <v/>
      </c>
      <c r="W86" s="282" t="str">
        <f>IF($C86="","",
IF(AND($E$2="Monthly",$A86&gt;12),"",
$U86*VLOOKUP($C86,'Employee information'!$B:$P,COLUMNS('Employee information'!$B:$P),0)))</f>
        <v/>
      </c>
      <c r="X86" s="114">
        <f t="shared" si="59"/>
        <v>0</v>
      </c>
      <c r="Y86" s="114">
        <f t="shared" si="60"/>
        <v>0</v>
      </c>
      <c r="AA86" s="118">
        <f>IFERROR(
IF(OR('Basic payroll data'!$D$12="",'Basic payroll data'!$D$12="No"),0,
$T86*VLOOKUP($C86,'Employee information'!$B:$P,COLUMNS('Employee information'!$B:$P),0)*AL_loading_perc),
0)</f>
        <v>0</v>
      </c>
      <c r="AC86" s="118"/>
      <c r="AD86" s="118"/>
      <c r="AE86" s="283" t="str">
        <f t="shared" si="73"/>
        <v/>
      </c>
      <c r="AF86" s="283" t="str">
        <f t="shared" si="74"/>
        <v/>
      </c>
      <c r="AG86" s="118"/>
      <c r="AH86" s="118"/>
      <c r="AI86" s="283" t="str">
        <f t="shared" si="75"/>
        <v/>
      </c>
      <c r="AJ86" s="118"/>
      <c r="AK86" s="118"/>
      <c r="AM86" s="118">
        <f t="shared" si="76"/>
        <v>0</v>
      </c>
      <c r="AN86" s="118">
        <f t="shared" si="61"/>
        <v>0</v>
      </c>
      <c r="AO86" s="118" t="str">
        <f>IFERROR(
IF(VLOOKUP($C86,'Employee information'!$B:$M,COLUMNS('Employee information'!$B:$M),0)=1,
IF($E$2="Fortnightly",
ROUND(
ROUND((((TRUNC($AN86/2,0)+0.99))*VLOOKUP((TRUNC($AN86/2,0)+0.99),'Tax scales - NAT 1004'!$A$12:$C$18,2,1)-VLOOKUP((TRUNC($AN86/2,0)+0.99),'Tax scales - NAT 1004'!$A$12:$C$18,3,1)),0)
*2,
0),
IF(AND($E$2="Monthly",ROUND($AN86-TRUNC($AN86),2)=0.33),
ROUND(
ROUND(((TRUNC(($AN86+0.01)*3/13,0)+0.99)*VLOOKUP((TRUNC(($AN86+0.01)*3/13,0)+0.99),'Tax scales - NAT 1004'!$A$12:$C$18,2,1)-VLOOKUP((TRUNC(($AN86+0.01)*3/13,0)+0.99),'Tax scales - NAT 1004'!$A$12:$C$18,3,1)),0)
*13/3,
0),
IF($E$2="Monthly",
ROUND(
ROUND(((TRUNC($AN86*3/13,0)+0.99)*VLOOKUP((TRUNC($AN86*3/13,0)+0.99),'Tax scales - NAT 1004'!$A$12:$C$18,2,1)-VLOOKUP((TRUNC($AN86*3/13,0)+0.99),'Tax scales - NAT 1004'!$A$12:$C$18,3,1)),0)
*13/3,
0),
""))),
""),
"")</f>
        <v/>
      </c>
      <c r="AP86" s="118" t="str">
        <f>IFERROR(
IF(VLOOKUP($C86,'Employee information'!$B:$M,COLUMNS('Employee information'!$B:$M),0)=2,
IF($E$2="Fortnightly",
ROUND(
ROUND((((TRUNC($AN86/2,0)+0.99))*VLOOKUP((TRUNC($AN86/2,0)+0.99),'Tax scales - NAT 1004'!$A$25:$C$33,2,1)-VLOOKUP((TRUNC($AN86/2,0)+0.99),'Tax scales - NAT 1004'!$A$25:$C$33,3,1)),0)
*2,
0),
IF(AND($E$2="Monthly",ROUND($AN86-TRUNC($AN86),2)=0.33),
ROUND(
ROUND(((TRUNC(($AN86+0.01)*3/13,0)+0.99)*VLOOKUP((TRUNC(($AN86+0.01)*3/13,0)+0.99),'Tax scales - NAT 1004'!$A$25:$C$33,2,1)-VLOOKUP((TRUNC(($AN86+0.01)*3/13,0)+0.99),'Tax scales - NAT 1004'!$A$25:$C$33,3,1)),0)
*13/3,
0),
IF($E$2="Monthly",
ROUND(
ROUND(((TRUNC($AN86*3/13,0)+0.99)*VLOOKUP((TRUNC($AN86*3/13,0)+0.99),'Tax scales - NAT 1004'!$A$25:$C$33,2,1)-VLOOKUP((TRUNC($AN86*3/13,0)+0.99),'Tax scales - NAT 1004'!$A$25:$C$33,3,1)),0)
*13/3,
0),
""))),
""),
"")</f>
        <v/>
      </c>
      <c r="AQ86" s="118" t="str">
        <f>IFERROR(
IF(VLOOKUP($C86,'Employee information'!$B:$M,COLUMNS('Employee information'!$B:$M),0)=3,
IF($E$2="Fortnightly",
ROUND(
ROUND((((TRUNC($AN86/2,0)+0.99))*VLOOKUP((TRUNC($AN86/2,0)+0.99),'Tax scales - NAT 1004'!$A$39:$C$41,2,1)-VLOOKUP((TRUNC($AN86/2,0)+0.99),'Tax scales - NAT 1004'!$A$39:$C$41,3,1)),0)
*2,
0),
IF(AND($E$2="Monthly",ROUND($AN86-TRUNC($AN86),2)=0.33),
ROUND(
ROUND(((TRUNC(($AN86+0.01)*3/13,0)+0.99)*VLOOKUP((TRUNC(($AN86+0.01)*3/13,0)+0.99),'Tax scales - NAT 1004'!$A$39:$C$41,2,1)-VLOOKUP((TRUNC(($AN86+0.01)*3/13,0)+0.99),'Tax scales - NAT 1004'!$A$39:$C$41,3,1)),0)
*13/3,
0),
IF($E$2="Monthly",
ROUND(
ROUND(((TRUNC($AN86*3/13,0)+0.99)*VLOOKUP((TRUNC($AN86*3/13,0)+0.99),'Tax scales - NAT 1004'!$A$39:$C$41,2,1)-VLOOKUP((TRUNC($AN86*3/13,0)+0.99),'Tax scales - NAT 1004'!$A$39:$C$41,3,1)),0)
*13/3,
0),
""))),
""),
"")</f>
        <v/>
      </c>
      <c r="AR86" s="118" t="str">
        <f>IFERROR(
IF(AND(VLOOKUP($C86,'Employee information'!$B:$M,COLUMNS('Employee information'!$B:$M),0)=4,
VLOOKUP($C86,'Employee information'!$B:$J,COLUMNS('Employee information'!$B:$J),0)="Resident"),
TRUNC(TRUNC($AN86)*'Tax scales - NAT 1004'!$B$47),
IF(AND(VLOOKUP($C86,'Employee information'!$B:$M,COLUMNS('Employee information'!$B:$M),0)=4,
VLOOKUP($C86,'Employee information'!$B:$J,COLUMNS('Employee information'!$B:$J),0)="Foreign resident"),
TRUNC(TRUNC($AN86)*'Tax scales - NAT 1004'!$B$48),
"")),
"")</f>
        <v/>
      </c>
      <c r="AS86" s="118" t="str">
        <f>IFERROR(
IF(VLOOKUP($C86,'Employee information'!$B:$M,COLUMNS('Employee information'!$B:$M),0)=5,
IF($E$2="Fortnightly",
ROUND(
ROUND((((TRUNC($AN86/2,0)+0.99))*VLOOKUP((TRUNC($AN86/2,0)+0.99),'Tax scales - NAT 1004'!$A$53:$C$59,2,1)-VLOOKUP((TRUNC($AN86/2,0)+0.99),'Tax scales - NAT 1004'!$A$53:$C$59,3,1)),0)
*2,
0),
IF(AND($E$2="Monthly",ROUND($AN86-TRUNC($AN86),2)=0.33),
ROUND(
ROUND(((TRUNC(($AN86+0.01)*3/13,0)+0.99)*VLOOKUP((TRUNC(($AN86+0.01)*3/13,0)+0.99),'Tax scales - NAT 1004'!$A$53:$C$59,2,1)-VLOOKUP((TRUNC(($AN86+0.01)*3/13,0)+0.99),'Tax scales - NAT 1004'!$A$53:$C$59,3,1)),0)
*13/3,
0),
IF($E$2="Monthly",
ROUND(
ROUND(((TRUNC($AN86*3/13,0)+0.99)*VLOOKUP((TRUNC($AN86*3/13,0)+0.99),'Tax scales - NAT 1004'!$A$53:$C$59,2,1)-VLOOKUP((TRUNC($AN86*3/13,0)+0.99),'Tax scales - NAT 1004'!$A$53:$C$59,3,1)),0)
*13/3,
0),
""))),
""),
"")</f>
        <v/>
      </c>
      <c r="AT86" s="118" t="str">
        <f>IFERROR(
IF(VLOOKUP($C86,'Employee information'!$B:$M,COLUMNS('Employee information'!$B:$M),0)=6,
IF($E$2="Fortnightly",
ROUND(
ROUND((((TRUNC($AN86/2,0)+0.99))*VLOOKUP((TRUNC($AN86/2,0)+0.99),'Tax scales - NAT 1004'!$A$65:$C$73,2,1)-VLOOKUP((TRUNC($AN86/2,0)+0.99),'Tax scales - NAT 1004'!$A$65:$C$73,3,1)),0)
*2,
0),
IF(AND($E$2="Monthly",ROUND($AN86-TRUNC($AN86),2)=0.33),
ROUND(
ROUND(((TRUNC(($AN86+0.01)*3/13,0)+0.99)*VLOOKUP((TRUNC(($AN86+0.01)*3/13,0)+0.99),'Tax scales - NAT 1004'!$A$65:$C$73,2,1)-VLOOKUP((TRUNC(($AN86+0.01)*3/13,0)+0.99),'Tax scales - NAT 1004'!$A$65:$C$73,3,1)),0)
*13/3,
0),
IF($E$2="Monthly",
ROUND(
ROUND(((TRUNC($AN86*3/13,0)+0.99)*VLOOKUP((TRUNC($AN86*3/13,0)+0.99),'Tax scales - NAT 1004'!$A$65:$C$73,2,1)-VLOOKUP((TRUNC($AN86*3/13,0)+0.99),'Tax scales - NAT 1004'!$A$65:$C$73,3,1)),0)
*13/3,
0),
""))),
""),
"")</f>
        <v/>
      </c>
      <c r="AU86" s="118" t="str">
        <f>IFERROR(
IF(VLOOKUP($C86,'Employee information'!$B:$M,COLUMNS('Employee information'!$B:$M),0)=11,
IF($E$2="Fortnightly",
ROUND(
ROUND((((TRUNC($AN86/2,0)+0.99))*VLOOKUP((TRUNC($AN86/2,0)+0.99),'Tax scales - NAT 3539'!$A$14:$C$38,2,1)-VLOOKUP((TRUNC($AN86/2,0)+0.99),'Tax scales - NAT 3539'!$A$14:$C$38,3,1)),0)
*2,
0),
IF(AND($E$2="Monthly",ROUND($AN86-TRUNC($AN86),2)=0.33),
ROUND(
ROUND(((TRUNC(($AN86+0.01)*3/13,0)+0.99)*VLOOKUP((TRUNC(($AN86+0.01)*3/13,0)+0.99),'Tax scales - NAT 3539'!$A$14:$C$38,2,1)-VLOOKUP((TRUNC(($AN86+0.01)*3/13,0)+0.99),'Tax scales - NAT 3539'!$A$14:$C$38,3,1)),0)
*13/3,
0),
IF($E$2="Monthly",
ROUND(
ROUND(((TRUNC($AN86*3/13,0)+0.99)*VLOOKUP((TRUNC($AN86*3/13,0)+0.99),'Tax scales - NAT 3539'!$A$14:$C$38,2,1)-VLOOKUP((TRUNC($AN86*3/13,0)+0.99),'Tax scales - NAT 3539'!$A$14:$C$38,3,1)),0)
*13/3,
0),
""))),
""),
"")</f>
        <v/>
      </c>
      <c r="AV86" s="118" t="str">
        <f>IFERROR(
IF(VLOOKUP($C86,'Employee information'!$B:$M,COLUMNS('Employee information'!$B:$M),0)=22,
IF($E$2="Fortnightly",
ROUND(
ROUND((((TRUNC($AN86/2,0)+0.99))*VLOOKUP((TRUNC($AN86/2,0)+0.99),'Tax scales - NAT 3539'!$A$43:$C$69,2,1)-VLOOKUP((TRUNC($AN86/2,0)+0.99),'Tax scales - NAT 3539'!$A$43:$C$69,3,1)),0)
*2,
0),
IF(AND($E$2="Monthly",ROUND($AN86-TRUNC($AN86),2)=0.33),
ROUND(
ROUND(((TRUNC(($AN86+0.01)*3/13,0)+0.99)*VLOOKUP((TRUNC(($AN86+0.01)*3/13,0)+0.99),'Tax scales - NAT 3539'!$A$43:$C$69,2,1)-VLOOKUP((TRUNC(($AN86+0.01)*3/13,0)+0.99),'Tax scales - NAT 3539'!$A$43:$C$69,3,1)),0)
*13/3,
0),
IF($E$2="Monthly",
ROUND(
ROUND(((TRUNC($AN86*3/13,0)+0.99)*VLOOKUP((TRUNC($AN86*3/13,0)+0.99),'Tax scales - NAT 3539'!$A$43:$C$69,2,1)-VLOOKUP((TRUNC($AN86*3/13,0)+0.99),'Tax scales - NAT 3539'!$A$43:$C$69,3,1)),0)
*13/3,
0),
""))),
""),
"")</f>
        <v/>
      </c>
      <c r="AW86" s="118" t="str">
        <f>IFERROR(
IF(VLOOKUP($C86,'Employee information'!$B:$M,COLUMNS('Employee information'!$B:$M),0)=33,
IF($E$2="Fortnightly",
ROUND(
ROUND((((TRUNC($AN86/2,0)+0.99))*VLOOKUP((TRUNC($AN86/2,0)+0.99),'Tax scales - NAT 3539'!$A$74:$C$94,2,1)-VLOOKUP((TRUNC($AN86/2,0)+0.99),'Tax scales - NAT 3539'!$A$74:$C$94,3,1)),0)
*2,
0),
IF(AND($E$2="Monthly",ROUND($AN86-TRUNC($AN86),2)=0.33),
ROUND(
ROUND(((TRUNC(($AN86+0.01)*3/13,0)+0.99)*VLOOKUP((TRUNC(($AN86+0.01)*3/13,0)+0.99),'Tax scales - NAT 3539'!$A$74:$C$94,2,1)-VLOOKUP((TRUNC(($AN86+0.01)*3/13,0)+0.99),'Tax scales - NAT 3539'!$A$74:$C$94,3,1)),0)
*13/3,
0),
IF($E$2="Monthly",
ROUND(
ROUND(((TRUNC($AN86*3/13,0)+0.99)*VLOOKUP((TRUNC($AN86*3/13,0)+0.99),'Tax scales - NAT 3539'!$A$74:$C$94,2,1)-VLOOKUP((TRUNC($AN86*3/13,0)+0.99),'Tax scales - NAT 3539'!$A$74:$C$94,3,1)),0)
*13/3,
0),
""))),
""),
"")</f>
        <v/>
      </c>
      <c r="AX86" s="118" t="str">
        <f>IFERROR(
IF(VLOOKUP($C86,'Employee information'!$B:$M,COLUMNS('Employee information'!$B:$M),0)=55,
IF($E$2="Fortnightly",
ROUND(
ROUND((((TRUNC($AN86/2,0)+0.99))*VLOOKUP((TRUNC($AN86/2,0)+0.99),'Tax scales - NAT 3539'!$A$99:$C$123,2,1)-VLOOKUP((TRUNC($AN86/2,0)+0.99),'Tax scales - NAT 3539'!$A$99:$C$123,3,1)),0)
*2,
0),
IF(AND($E$2="Monthly",ROUND($AN86-TRUNC($AN86),2)=0.33),
ROUND(
ROUND(((TRUNC(($AN86+0.01)*3/13,0)+0.99)*VLOOKUP((TRUNC(($AN86+0.01)*3/13,0)+0.99),'Tax scales - NAT 3539'!$A$99:$C$123,2,1)-VLOOKUP((TRUNC(($AN86+0.01)*3/13,0)+0.99),'Tax scales - NAT 3539'!$A$99:$C$123,3,1)),0)
*13/3,
0),
IF($E$2="Monthly",
ROUND(
ROUND(((TRUNC($AN86*3/13,0)+0.99)*VLOOKUP((TRUNC($AN86*3/13,0)+0.99),'Tax scales - NAT 3539'!$A$99:$C$123,2,1)-VLOOKUP((TRUNC($AN86*3/13,0)+0.99),'Tax scales - NAT 3539'!$A$99:$C$123,3,1)),0)
*13/3,
0),
""))),
""),
"")</f>
        <v/>
      </c>
      <c r="AY86" s="118" t="str">
        <f>IFERROR(
IF(VLOOKUP($C86,'Employee information'!$B:$M,COLUMNS('Employee information'!$B:$M),0)=66,
IF($E$2="Fortnightly",
ROUND(
ROUND((((TRUNC($AN86/2,0)+0.99))*VLOOKUP((TRUNC($AN86/2,0)+0.99),'Tax scales - NAT 3539'!$A$127:$C$154,2,1)-VLOOKUP((TRUNC($AN86/2,0)+0.99),'Tax scales - NAT 3539'!$A$127:$C$154,3,1)),0)
*2,
0),
IF(AND($E$2="Monthly",ROUND($AN86-TRUNC($AN86),2)=0.33),
ROUND(
ROUND(((TRUNC(($AN86+0.01)*3/13,0)+0.99)*VLOOKUP((TRUNC(($AN86+0.01)*3/13,0)+0.99),'Tax scales - NAT 3539'!$A$127:$C$154,2,1)-VLOOKUP((TRUNC(($AN86+0.01)*3/13,0)+0.99),'Tax scales - NAT 3539'!$A$127:$C$154,3,1)),0)
*13/3,
0),
IF($E$2="Monthly",
ROUND(
ROUND(((TRUNC($AN86*3/13,0)+0.99)*VLOOKUP((TRUNC($AN86*3/13,0)+0.99),'Tax scales - NAT 3539'!$A$127:$C$154,2,1)-VLOOKUP((TRUNC($AN86*3/13,0)+0.99),'Tax scales - NAT 3539'!$A$127:$C$154,3,1)),0)
*13/3,
0),
""))),
""),
"")</f>
        <v/>
      </c>
      <c r="AZ86" s="118">
        <f>IFERROR(
HLOOKUP(VLOOKUP($C86,'Employee information'!$B:$M,COLUMNS('Employee information'!$B:$M),0),'PAYG worksheet'!$AO$68:$AY$87,COUNTA($C$69:$C86)+1,0),
0)</f>
        <v>0</v>
      </c>
      <c r="BA86" s="118"/>
      <c r="BB86" s="118">
        <f t="shared" si="77"/>
        <v>0</v>
      </c>
      <c r="BC86" s="119">
        <f>IFERROR(
IF(OR($AE86=1,$AE86=""),SUM($P86,$AA86,$AC86,$AK86)*VLOOKUP($C86,'Employee information'!$B:$Q,COLUMNS('Employee information'!$B:$H),0),
IF($AE86=0,SUM($P86,$AA86,$AK86)*VLOOKUP($C86,'Employee information'!$B:$Q,COLUMNS('Employee information'!$B:$H),0),
0)),
0)</f>
        <v>0</v>
      </c>
      <c r="BE86" s="114">
        <f t="shared" si="62"/>
        <v>0</v>
      </c>
      <c r="BF86" s="114">
        <f t="shared" si="63"/>
        <v>0</v>
      </c>
      <c r="BG86" s="114">
        <f t="shared" si="64"/>
        <v>0</v>
      </c>
      <c r="BH86" s="114">
        <f t="shared" si="65"/>
        <v>0</v>
      </c>
      <c r="BI86" s="114">
        <f t="shared" si="66"/>
        <v>0</v>
      </c>
      <c r="BJ86" s="114">
        <f t="shared" si="67"/>
        <v>0</v>
      </c>
      <c r="BK86" s="114">
        <f t="shared" si="68"/>
        <v>0</v>
      </c>
      <c r="BL86" s="114">
        <f t="shared" si="78"/>
        <v>0</v>
      </c>
      <c r="BM86" s="114">
        <f t="shared" si="69"/>
        <v>0</v>
      </c>
    </row>
    <row r="87" spans="1:65" x14ac:dyDescent="0.25">
      <c r="A87" s="228">
        <f t="shared" si="57"/>
        <v>3</v>
      </c>
      <c r="C87" s="278"/>
      <c r="E87" s="103">
        <f>IF($C87="",0,
IF(AND($E$2="Monthly",$A87&gt;12),0,
IF($E$2="Monthly",VLOOKUP($C87,'Employee information'!$B:$AM,COLUMNS('Employee information'!$B:S),0),
IF($E$2="Fortnightly",VLOOKUP($C87,'Employee information'!$B:$AM,COLUMNS('Employee information'!$B:R),0),
0))))</f>
        <v>0</v>
      </c>
      <c r="F87" s="106"/>
      <c r="G87" s="106"/>
      <c r="H87" s="106"/>
      <c r="I87" s="106"/>
      <c r="J87" s="103">
        <f t="shared" si="70"/>
        <v>0</v>
      </c>
      <c r="L87" s="113">
        <f>IF(AND($E$2="Monthly",$A87&gt;12),"",
IFERROR($J87*VLOOKUP($C87,'Employee information'!$B:$AI,COLUMNS('Employee information'!$B:$P),0),0))</f>
        <v>0</v>
      </c>
      <c r="M87" s="114">
        <f t="shared" si="71"/>
        <v>0</v>
      </c>
      <c r="O87" s="103">
        <f t="shared" si="72"/>
        <v>0</v>
      </c>
      <c r="P87" s="113">
        <f>IFERROR(
IF(AND($E$2="Monthly",$A87&gt;12),0,
$O87*VLOOKUP($C87,'Employee information'!$B:$AI,COLUMNS('Employee information'!$B:$P),0)),
0)</f>
        <v>0</v>
      </c>
      <c r="R87" s="114">
        <f t="shared" si="58"/>
        <v>0</v>
      </c>
      <c r="T87" s="103"/>
      <c r="U87" s="103"/>
      <c r="V87" s="282" t="str">
        <f>IF($C87="","",
IF(AND($E$2="Monthly",$A87&gt;12),"",
$T87*VLOOKUP($C87,'Employee information'!$B:$P,COLUMNS('Employee information'!$B:$P),0)))</f>
        <v/>
      </c>
      <c r="W87" s="282" t="str">
        <f>IF($C87="","",
IF(AND($E$2="Monthly",$A87&gt;12),"",
$U87*VLOOKUP($C87,'Employee information'!$B:$P,COLUMNS('Employee information'!$B:$P),0)))</f>
        <v/>
      </c>
      <c r="X87" s="114">
        <f t="shared" si="59"/>
        <v>0</v>
      </c>
      <c r="Y87" s="114">
        <f t="shared" si="60"/>
        <v>0</v>
      </c>
      <c r="AA87" s="118">
        <f>IFERROR(
IF(OR('Basic payroll data'!$D$12="",'Basic payroll data'!$D$12="No"),0,
$T87*VLOOKUP($C87,'Employee information'!$B:$P,COLUMNS('Employee information'!$B:$P),0)*AL_loading_perc),
0)</f>
        <v>0</v>
      </c>
      <c r="AC87" s="118"/>
      <c r="AD87" s="118"/>
      <c r="AE87" s="283" t="str">
        <f t="shared" si="73"/>
        <v/>
      </c>
      <c r="AF87" s="283" t="str">
        <f t="shared" si="74"/>
        <v/>
      </c>
      <c r="AG87" s="118"/>
      <c r="AH87" s="118"/>
      <c r="AI87" s="283" t="str">
        <f t="shared" si="75"/>
        <v/>
      </c>
      <c r="AJ87" s="118"/>
      <c r="AK87" s="118"/>
      <c r="AM87" s="118">
        <f t="shared" si="76"/>
        <v>0</v>
      </c>
      <c r="AN87" s="118">
        <f t="shared" si="61"/>
        <v>0</v>
      </c>
      <c r="AO87" s="118" t="str">
        <f>IFERROR(
IF(VLOOKUP($C87,'Employee information'!$B:$M,COLUMNS('Employee information'!$B:$M),0)=1,
IF($E$2="Fortnightly",
ROUND(
ROUND((((TRUNC($AN87/2,0)+0.99))*VLOOKUP((TRUNC($AN87/2,0)+0.99),'Tax scales - NAT 1004'!$A$12:$C$18,2,1)-VLOOKUP((TRUNC($AN87/2,0)+0.99),'Tax scales - NAT 1004'!$A$12:$C$18,3,1)),0)
*2,
0),
IF(AND($E$2="Monthly",ROUND($AN87-TRUNC($AN87),2)=0.33),
ROUND(
ROUND(((TRUNC(($AN87+0.01)*3/13,0)+0.99)*VLOOKUP((TRUNC(($AN87+0.01)*3/13,0)+0.99),'Tax scales - NAT 1004'!$A$12:$C$18,2,1)-VLOOKUP((TRUNC(($AN87+0.01)*3/13,0)+0.99),'Tax scales - NAT 1004'!$A$12:$C$18,3,1)),0)
*13/3,
0),
IF($E$2="Monthly",
ROUND(
ROUND(((TRUNC($AN87*3/13,0)+0.99)*VLOOKUP((TRUNC($AN87*3/13,0)+0.99),'Tax scales - NAT 1004'!$A$12:$C$18,2,1)-VLOOKUP((TRUNC($AN87*3/13,0)+0.99),'Tax scales - NAT 1004'!$A$12:$C$18,3,1)),0)
*13/3,
0),
""))),
""),
"")</f>
        <v/>
      </c>
      <c r="AP87" s="118" t="str">
        <f>IFERROR(
IF(VLOOKUP($C87,'Employee information'!$B:$M,COLUMNS('Employee information'!$B:$M),0)=2,
IF($E$2="Fortnightly",
ROUND(
ROUND((((TRUNC($AN87/2,0)+0.99))*VLOOKUP((TRUNC($AN87/2,0)+0.99),'Tax scales - NAT 1004'!$A$25:$C$33,2,1)-VLOOKUP((TRUNC($AN87/2,0)+0.99),'Tax scales - NAT 1004'!$A$25:$C$33,3,1)),0)
*2,
0),
IF(AND($E$2="Monthly",ROUND($AN87-TRUNC($AN87),2)=0.33),
ROUND(
ROUND(((TRUNC(($AN87+0.01)*3/13,0)+0.99)*VLOOKUP((TRUNC(($AN87+0.01)*3/13,0)+0.99),'Tax scales - NAT 1004'!$A$25:$C$33,2,1)-VLOOKUP((TRUNC(($AN87+0.01)*3/13,0)+0.99),'Tax scales - NAT 1004'!$A$25:$C$33,3,1)),0)
*13/3,
0),
IF($E$2="Monthly",
ROUND(
ROUND(((TRUNC($AN87*3/13,0)+0.99)*VLOOKUP((TRUNC($AN87*3/13,0)+0.99),'Tax scales - NAT 1004'!$A$25:$C$33,2,1)-VLOOKUP((TRUNC($AN87*3/13,0)+0.99),'Tax scales - NAT 1004'!$A$25:$C$33,3,1)),0)
*13/3,
0),
""))),
""),
"")</f>
        <v/>
      </c>
      <c r="AQ87" s="118" t="str">
        <f>IFERROR(
IF(VLOOKUP($C87,'Employee information'!$B:$M,COLUMNS('Employee information'!$B:$M),0)=3,
IF($E$2="Fortnightly",
ROUND(
ROUND((((TRUNC($AN87/2,0)+0.99))*VLOOKUP((TRUNC($AN87/2,0)+0.99),'Tax scales - NAT 1004'!$A$39:$C$41,2,1)-VLOOKUP((TRUNC($AN87/2,0)+0.99),'Tax scales - NAT 1004'!$A$39:$C$41,3,1)),0)
*2,
0),
IF(AND($E$2="Monthly",ROUND($AN87-TRUNC($AN87),2)=0.33),
ROUND(
ROUND(((TRUNC(($AN87+0.01)*3/13,0)+0.99)*VLOOKUP((TRUNC(($AN87+0.01)*3/13,0)+0.99),'Tax scales - NAT 1004'!$A$39:$C$41,2,1)-VLOOKUP((TRUNC(($AN87+0.01)*3/13,0)+0.99),'Tax scales - NAT 1004'!$A$39:$C$41,3,1)),0)
*13/3,
0),
IF($E$2="Monthly",
ROUND(
ROUND(((TRUNC($AN87*3/13,0)+0.99)*VLOOKUP((TRUNC($AN87*3/13,0)+0.99),'Tax scales - NAT 1004'!$A$39:$C$41,2,1)-VLOOKUP((TRUNC($AN87*3/13,0)+0.99),'Tax scales - NAT 1004'!$A$39:$C$41,3,1)),0)
*13/3,
0),
""))),
""),
"")</f>
        <v/>
      </c>
      <c r="AR87" s="118" t="str">
        <f>IFERROR(
IF(AND(VLOOKUP($C87,'Employee information'!$B:$M,COLUMNS('Employee information'!$B:$M),0)=4,
VLOOKUP($C87,'Employee information'!$B:$J,COLUMNS('Employee information'!$B:$J),0)="Resident"),
TRUNC(TRUNC($AN87)*'Tax scales - NAT 1004'!$B$47),
IF(AND(VLOOKUP($C87,'Employee information'!$B:$M,COLUMNS('Employee information'!$B:$M),0)=4,
VLOOKUP($C87,'Employee information'!$B:$J,COLUMNS('Employee information'!$B:$J),0)="Foreign resident"),
TRUNC(TRUNC($AN87)*'Tax scales - NAT 1004'!$B$48),
"")),
"")</f>
        <v/>
      </c>
      <c r="AS87" s="118" t="str">
        <f>IFERROR(
IF(VLOOKUP($C87,'Employee information'!$B:$M,COLUMNS('Employee information'!$B:$M),0)=5,
IF($E$2="Fortnightly",
ROUND(
ROUND((((TRUNC($AN87/2,0)+0.99))*VLOOKUP((TRUNC($AN87/2,0)+0.99),'Tax scales - NAT 1004'!$A$53:$C$59,2,1)-VLOOKUP((TRUNC($AN87/2,0)+0.99),'Tax scales - NAT 1004'!$A$53:$C$59,3,1)),0)
*2,
0),
IF(AND($E$2="Monthly",ROUND($AN87-TRUNC($AN87),2)=0.33),
ROUND(
ROUND(((TRUNC(($AN87+0.01)*3/13,0)+0.99)*VLOOKUP((TRUNC(($AN87+0.01)*3/13,0)+0.99),'Tax scales - NAT 1004'!$A$53:$C$59,2,1)-VLOOKUP((TRUNC(($AN87+0.01)*3/13,0)+0.99),'Tax scales - NAT 1004'!$A$53:$C$59,3,1)),0)
*13/3,
0),
IF($E$2="Monthly",
ROUND(
ROUND(((TRUNC($AN87*3/13,0)+0.99)*VLOOKUP((TRUNC($AN87*3/13,0)+0.99),'Tax scales - NAT 1004'!$A$53:$C$59,2,1)-VLOOKUP((TRUNC($AN87*3/13,0)+0.99),'Tax scales - NAT 1004'!$A$53:$C$59,3,1)),0)
*13/3,
0),
""))),
""),
"")</f>
        <v/>
      </c>
      <c r="AT87" s="118" t="str">
        <f>IFERROR(
IF(VLOOKUP($C87,'Employee information'!$B:$M,COLUMNS('Employee information'!$B:$M),0)=6,
IF($E$2="Fortnightly",
ROUND(
ROUND((((TRUNC($AN87/2,0)+0.99))*VLOOKUP((TRUNC($AN87/2,0)+0.99),'Tax scales - NAT 1004'!$A$65:$C$73,2,1)-VLOOKUP((TRUNC($AN87/2,0)+0.99),'Tax scales - NAT 1004'!$A$65:$C$73,3,1)),0)
*2,
0),
IF(AND($E$2="Monthly",ROUND($AN87-TRUNC($AN87),2)=0.33),
ROUND(
ROUND(((TRUNC(($AN87+0.01)*3/13,0)+0.99)*VLOOKUP((TRUNC(($AN87+0.01)*3/13,0)+0.99),'Tax scales - NAT 1004'!$A$65:$C$73,2,1)-VLOOKUP((TRUNC(($AN87+0.01)*3/13,0)+0.99),'Tax scales - NAT 1004'!$A$65:$C$73,3,1)),0)
*13/3,
0),
IF($E$2="Monthly",
ROUND(
ROUND(((TRUNC($AN87*3/13,0)+0.99)*VLOOKUP((TRUNC($AN87*3/13,0)+0.99),'Tax scales - NAT 1004'!$A$65:$C$73,2,1)-VLOOKUP((TRUNC($AN87*3/13,0)+0.99),'Tax scales - NAT 1004'!$A$65:$C$73,3,1)),0)
*13/3,
0),
""))),
""),
"")</f>
        <v/>
      </c>
      <c r="AU87" s="118" t="str">
        <f>IFERROR(
IF(VLOOKUP($C87,'Employee information'!$B:$M,COLUMNS('Employee information'!$B:$M),0)=11,
IF($E$2="Fortnightly",
ROUND(
ROUND((((TRUNC($AN87/2,0)+0.99))*VLOOKUP((TRUNC($AN87/2,0)+0.99),'Tax scales - NAT 3539'!$A$14:$C$38,2,1)-VLOOKUP((TRUNC($AN87/2,0)+0.99),'Tax scales - NAT 3539'!$A$14:$C$38,3,1)),0)
*2,
0),
IF(AND($E$2="Monthly",ROUND($AN87-TRUNC($AN87),2)=0.33),
ROUND(
ROUND(((TRUNC(($AN87+0.01)*3/13,0)+0.99)*VLOOKUP((TRUNC(($AN87+0.01)*3/13,0)+0.99),'Tax scales - NAT 3539'!$A$14:$C$38,2,1)-VLOOKUP((TRUNC(($AN87+0.01)*3/13,0)+0.99),'Tax scales - NAT 3539'!$A$14:$C$38,3,1)),0)
*13/3,
0),
IF($E$2="Monthly",
ROUND(
ROUND(((TRUNC($AN87*3/13,0)+0.99)*VLOOKUP((TRUNC($AN87*3/13,0)+0.99),'Tax scales - NAT 3539'!$A$14:$C$38,2,1)-VLOOKUP((TRUNC($AN87*3/13,0)+0.99),'Tax scales - NAT 3539'!$A$14:$C$38,3,1)),0)
*13/3,
0),
""))),
""),
"")</f>
        <v/>
      </c>
      <c r="AV87" s="118" t="str">
        <f>IFERROR(
IF(VLOOKUP($C87,'Employee information'!$B:$M,COLUMNS('Employee information'!$B:$M),0)=22,
IF($E$2="Fortnightly",
ROUND(
ROUND((((TRUNC($AN87/2,0)+0.99))*VLOOKUP((TRUNC($AN87/2,0)+0.99),'Tax scales - NAT 3539'!$A$43:$C$69,2,1)-VLOOKUP((TRUNC($AN87/2,0)+0.99),'Tax scales - NAT 3539'!$A$43:$C$69,3,1)),0)
*2,
0),
IF(AND($E$2="Monthly",ROUND($AN87-TRUNC($AN87),2)=0.33),
ROUND(
ROUND(((TRUNC(($AN87+0.01)*3/13,0)+0.99)*VLOOKUP((TRUNC(($AN87+0.01)*3/13,0)+0.99),'Tax scales - NAT 3539'!$A$43:$C$69,2,1)-VLOOKUP((TRUNC(($AN87+0.01)*3/13,0)+0.99),'Tax scales - NAT 3539'!$A$43:$C$69,3,1)),0)
*13/3,
0),
IF($E$2="Monthly",
ROUND(
ROUND(((TRUNC($AN87*3/13,0)+0.99)*VLOOKUP((TRUNC($AN87*3/13,0)+0.99),'Tax scales - NAT 3539'!$A$43:$C$69,2,1)-VLOOKUP((TRUNC($AN87*3/13,0)+0.99),'Tax scales - NAT 3539'!$A$43:$C$69,3,1)),0)
*13/3,
0),
""))),
""),
"")</f>
        <v/>
      </c>
      <c r="AW87" s="118" t="str">
        <f>IFERROR(
IF(VLOOKUP($C87,'Employee information'!$B:$M,COLUMNS('Employee information'!$B:$M),0)=33,
IF($E$2="Fortnightly",
ROUND(
ROUND((((TRUNC($AN87/2,0)+0.99))*VLOOKUP((TRUNC($AN87/2,0)+0.99),'Tax scales - NAT 3539'!$A$74:$C$94,2,1)-VLOOKUP((TRUNC($AN87/2,0)+0.99),'Tax scales - NAT 3539'!$A$74:$C$94,3,1)),0)
*2,
0),
IF(AND($E$2="Monthly",ROUND($AN87-TRUNC($AN87),2)=0.33),
ROUND(
ROUND(((TRUNC(($AN87+0.01)*3/13,0)+0.99)*VLOOKUP((TRUNC(($AN87+0.01)*3/13,0)+0.99),'Tax scales - NAT 3539'!$A$74:$C$94,2,1)-VLOOKUP((TRUNC(($AN87+0.01)*3/13,0)+0.99),'Tax scales - NAT 3539'!$A$74:$C$94,3,1)),0)
*13/3,
0),
IF($E$2="Monthly",
ROUND(
ROUND(((TRUNC($AN87*3/13,0)+0.99)*VLOOKUP((TRUNC($AN87*3/13,0)+0.99),'Tax scales - NAT 3539'!$A$74:$C$94,2,1)-VLOOKUP((TRUNC($AN87*3/13,0)+0.99),'Tax scales - NAT 3539'!$A$74:$C$94,3,1)),0)
*13/3,
0),
""))),
""),
"")</f>
        <v/>
      </c>
      <c r="AX87" s="118" t="str">
        <f>IFERROR(
IF(VLOOKUP($C87,'Employee information'!$B:$M,COLUMNS('Employee information'!$B:$M),0)=55,
IF($E$2="Fortnightly",
ROUND(
ROUND((((TRUNC($AN87/2,0)+0.99))*VLOOKUP((TRUNC($AN87/2,0)+0.99),'Tax scales - NAT 3539'!$A$99:$C$123,2,1)-VLOOKUP((TRUNC($AN87/2,0)+0.99),'Tax scales - NAT 3539'!$A$99:$C$123,3,1)),0)
*2,
0),
IF(AND($E$2="Monthly",ROUND($AN87-TRUNC($AN87),2)=0.33),
ROUND(
ROUND(((TRUNC(($AN87+0.01)*3/13,0)+0.99)*VLOOKUP((TRUNC(($AN87+0.01)*3/13,0)+0.99),'Tax scales - NAT 3539'!$A$99:$C$123,2,1)-VLOOKUP((TRUNC(($AN87+0.01)*3/13,0)+0.99),'Tax scales - NAT 3539'!$A$99:$C$123,3,1)),0)
*13/3,
0),
IF($E$2="Monthly",
ROUND(
ROUND(((TRUNC($AN87*3/13,0)+0.99)*VLOOKUP((TRUNC($AN87*3/13,0)+0.99),'Tax scales - NAT 3539'!$A$99:$C$123,2,1)-VLOOKUP((TRUNC($AN87*3/13,0)+0.99),'Tax scales - NAT 3539'!$A$99:$C$123,3,1)),0)
*13/3,
0),
""))),
""),
"")</f>
        <v/>
      </c>
      <c r="AY87" s="118" t="str">
        <f>IFERROR(
IF(VLOOKUP($C87,'Employee information'!$B:$M,COLUMNS('Employee information'!$B:$M),0)=66,
IF($E$2="Fortnightly",
ROUND(
ROUND((((TRUNC($AN87/2,0)+0.99))*VLOOKUP((TRUNC($AN87/2,0)+0.99),'Tax scales - NAT 3539'!$A$127:$C$154,2,1)-VLOOKUP((TRUNC($AN87/2,0)+0.99),'Tax scales - NAT 3539'!$A$127:$C$154,3,1)),0)
*2,
0),
IF(AND($E$2="Monthly",ROUND($AN87-TRUNC($AN87),2)=0.33),
ROUND(
ROUND(((TRUNC(($AN87+0.01)*3/13,0)+0.99)*VLOOKUP((TRUNC(($AN87+0.01)*3/13,0)+0.99),'Tax scales - NAT 3539'!$A$127:$C$154,2,1)-VLOOKUP((TRUNC(($AN87+0.01)*3/13,0)+0.99),'Tax scales - NAT 3539'!$A$127:$C$154,3,1)),0)
*13/3,
0),
IF($E$2="Monthly",
ROUND(
ROUND(((TRUNC($AN87*3/13,0)+0.99)*VLOOKUP((TRUNC($AN87*3/13,0)+0.99),'Tax scales - NAT 3539'!$A$127:$C$154,2,1)-VLOOKUP((TRUNC($AN87*3/13,0)+0.99),'Tax scales - NAT 3539'!$A$127:$C$154,3,1)),0)
*13/3,
0),
""))),
""),
"")</f>
        <v/>
      </c>
      <c r="AZ87" s="118">
        <f>IFERROR(
HLOOKUP(VLOOKUP($C87,'Employee information'!$B:$M,COLUMNS('Employee information'!$B:$M),0),'PAYG worksheet'!$AO$68:$AY$87,COUNTA($C$69:$C87)+1,0),
0)</f>
        <v>0</v>
      </c>
      <c r="BA87" s="118"/>
      <c r="BB87" s="118">
        <f t="shared" si="77"/>
        <v>0</v>
      </c>
      <c r="BC87" s="119">
        <f>IFERROR(
IF(OR($AE87=1,$AE87=""),SUM($P87,$AA87,$AC87,$AK87)*VLOOKUP($C87,'Employee information'!$B:$Q,COLUMNS('Employee information'!$B:$H),0),
IF($AE87=0,SUM($P87,$AA87,$AK87)*VLOOKUP($C87,'Employee information'!$B:$Q,COLUMNS('Employee information'!$B:$H),0),
0)),
0)</f>
        <v>0</v>
      </c>
      <c r="BE87" s="114">
        <f t="shared" si="62"/>
        <v>0</v>
      </c>
      <c r="BF87" s="114">
        <f t="shared" si="63"/>
        <v>0</v>
      </c>
      <c r="BG87" s="114">
        <f t="shared" si="64"/>
        <v>0</v>
      </c>
      <c r="BH87" s="114">
        <f t="shared" si="65"/>
        <v>0</v>
      </c>
      <c r="BI87" s="114">
        <f t="shared" si="66"/>
        <v>0</v>
      </c>
      <c r="BJ87" s="114">
        <f t="shared" si="67"/>
        <v>0</v>
      </c>
      <c r="BK87" s="114">
        <f t="shared" si="68"/>
        <v>0</v>
      </c>
      <c r="BL87" s="114">
        <f t="shared" si="78"/>
        <v>0</v>
      </c>
      <c r="BM87" s="114">
        <f t="shared" si="69"/>
        <v>0</v>
      </c>
    </row>
    <row r="88" spans="1:65" x14ac:dyDescent="0.25">
      <c r="C88" s="284" t="s">
        <v>39</v>
      </c>
      <c r="D88" s="223"/>
      <c r="E88" s="111">
        <f>SUM(E69:E87)</f>
        <v>345</v>
      </c>
      <c r="F88" s="112">
        <f t="shared" ref="F88:H88" si="79">SUM(F69:F87)</f>
        <v>0</v>
      </c>
      <c r="G88" s="112">
        <f t="shared" si="79"/>
        <v>0</v>
      </c>
      <c r="H88" s="112">
        <f t="shared" si="79"/>
        <v>0</v>
      </c>
      <c r="I88" s="112"/>
      <c r="J88" s="111">
        <f t="shared" ref="J88" si="80">SUM(J69:J87)</f>
        <v>345</v>
      </c>
      <c r="K88" s="223"/>
      <c r="L88" s="115">
        <f>SUM(L69:L87)</f>
        <v>19122.576396206536</v>
      </c>
      <c r="M88" s="115">
        <f>SUM(M69:M87)</f>
        <v>59883.113804004213</v>
      </c>
      <c r="N88" s="223"/>
      <c r="O88" s="116">
        <f>SUM(O69:O87)</f>
        <v>345</v>
      </c>
      <c r="P88" s="117">
        <f>SUM(P69:P87)</f>
        <v>19122.576396206536</v>
      </c>
      <c r="R88" s="117">
        <f>SUM(R69:R87)</f>
        <v>59883.113804004213</v>
      </c>
      <c r="S88" s="223"/>
      <c r="T88" s="116">
        <f>SUM(T69:T87)</f>
        <v>0</v>
      </c>
      <c r="U88" s="116">
        <f t="shared" ref="U88:Y88" si="81">SUM(U69:U87)</f>
        <v>0</v>
      </c>
      <c r="V88" s="285">
        <f t="shared" si="81"/>
        <v>0</v>
      </c>
      <c r="W88" s="285">
        <f t="shared" si="81"/>
        <v>0</v>
      </c>
      <c r="X88" s="285">
        <f t="shared" si="81"/>
        <v>1538.4615384615386</v>
      </c>
      <c r="Y88" s="285">
        <f t="shared" si="81"/>
        <v>801.28205128205127</v>
      </c>
      <c r="Z88" s="223"/>
      <c r="AA88" s="117">
        <f t="shared" ref="AA88" si="82">SUM(AA69:AA87)</f>
        <v>0</v>
      </c>
      <c r="AC88" s="117">
        <f t="shared" ref="AC88" si="83">SUM(AC69:AC87)</f>
        <v>0</v>
      </c>
      <c r="AD88" s="117"/>
      <c r="AE88" s="117"/>
      <c r="AF88" s="117"/>
      <c r="AG88" s="117">
        <f t="shared" ref="AG88" si="84">SUM(AG69:AG87)</f>
        <v>0</v>
      </c>
      <c r="AH88" s="117"/>
      <c r="AI88" s="117"/>
      <c r="AJ88" s="117">
        <f>SUM(AJ69:AJ87)</f>
        <v>0</v>
      </c>
      <c r="AK88" s="117">
        <f>SUM(AK69:AK87)</f>
        <v>0</v>
      </c>
      <c r="AM88" s="117">
        <f t="shared" ref="AM88:AN88" si="85">SUM(AM69:AM87)</f>
        <v>19122.576396206536</v>
      </c>
      <c r="AN88" s="117">
        <f t="shared" si="85"/>
        <v>19122.576396206536</v>
      </c>
      <c r="AO88" s="117"/>
      <c r="AP88" s="117"/>
      <c r="AQ88" s="117"/>
      <c r="AR88" s="117"/>
      <c r="AS88" s="117"/>
      <c r="AT88" s="117"/>
      <c r="AU88" s="117"/>
      <c r="AV88" s="117"/>
      <c r="AW88" s="117"/>
      <c r="AX88" s="117"/>
      <c r="AY88" s="117"/>
      <c r="AZ88" s="117">
        <f>SUM(AZ69:AZ87)</f>
        <v>7481</v>
      </c>
      <c r="BA88" s="117">
        <f>SUM(BA69:BA87)</f>
        <v>0</v>
      </c>
      <c r="BB88" s="117">
        <f>SUM(BB69:BB87)</f>
        <v>11641.576396206534</v>
      </c>
      <c r="BC88" s="117">
        <f t="shared" ref="BC88" si="86">SUM(BC69:BC87)</f>
        <v>1816.6447576396208</v>
      </c>
      <c r="BD88" s="136"/>
      <c r="BE88" s="117">
        <f t="shared" ref="BE88:BM88" si="87">SUM(BE69:BE87)</f>
        <v>60123.113804004213</v>
      </c>
      <c r="BF88" s="117">
        <f t="shared" si="87"/>
        <v>59983.113804004213</v>
      </c>
      <c r="BG88" s="117">
        <f t="shared" si="87"/>
        <v>0</v>
      </c>
      <c r="BH88" s="117">
        <f t="shared" si="87"/>
        <v>140</v>
      </c>
      <c r="BI88" s="117">
        <f t="shared" si="87"/>
        <v>23257</v>
      </c>
      <c r="BJ88" s="117">
        <f t="shared" si="87"/>
        <v>0</v>
      </c>
      <c r="BK88" s="117">
        <f t="shared" si="87"/>
        <v>0</v>
      </c>
      <c r="BL88" s="117">
        <f t="shared" si="87"/>
        <v>100</v>
      </c>
      <c r="BM88" s="117">
        <f t="shared" si="87"/>
        <v>5698.395811380401</v>
      </c>
    </row>
    <row r="90" spans="1:65" x14ac:dyDescent="0.25">
      <c r="B90" s="228">
        <v>4</v>
      </c>
      <c r="C90" s="230" t="s">
        <v>2</v>
      </c>
      <c r="E90" s="232">
        <v>44105</v>
      </c>
      <c r="F90" s="148" t="s">
        <v>91</v>
      </c>
      <c r="L90" s="286"/>
      <c r="T90" s="127"/>
      <c r="U90" s="127"/>
      <c r="V90" s="127"/>
      <c r="W90" s="127"/>
      <c r="X90" s="127"/>
      <c r="Y90" s="127"/>
    </row>
    <row r="91" spans="1:65" x14ac:dyDescent="0.25">
      <c r="C91" s="230" t="s">
        <v>3</v>
      </c>
      <c r="E91" s="232">
        <v>44135</v>
      </c>
      <c r="F91" s="148" t="s">
        <v>90</v>
      </c>
      <c r="G91" s="229"/>
      <c r="H91" s="229"/>
      <c r="I91" s="229"/>
      <c r="J91" s="229"/>
      <c r="L91" s="164"/>
      <c r="T91" s="127"/>
      <c r="U91" s="127"/>
      <c r="V91" s="127"/>
      <c r="W91" s="127"/>
      <c r="X91" s="127"/>
      <c r="Y91" s="127"/>
    </row>
    <row r="92" spans="1:65" x14ac:dyDescent="0.25">
      <c r="C92" s="233"/>
    </row>
    <row r="93" spans="1:65" ht="34.5" customHeight="1" x14ac:dyDescent="0.25">
      <c r="C93" s="234"/>
      <c r="D93" s="235"/>
      <c r="E93" s="441" t="s">
        <v>4</v>
      </c>
      <c r="F93" s="442"/>
      <c r="G93" s="442"/>
      <c r="H93" s="442"/>
      <c r="I93" s="442"/>
      <c r="J93" s="443"/>
      <c r="L93" s="444" t="s">
        <v>253</v>
      </c>
      <c r="M93" s="445"/>
      <c r="N93" s="235"/>
      <c r="O93" s="444" t="s">
        <v>148</v>
      </c>
      <c r="P93" s="445"/>
      <c r="R93" s="235"/>
      <c r="T93" s="446" t="s">
        <v>269</v>
      </c>
      <c r="U93" s="447"/>
      <c r="V93" s="447"/>
      <c r="W93" s="447"/>
      <c r="X93" s="447"/>
      <c r="Y93" s="447"/>
      <c r="Z93" s="447"/>
      <c r="AA93" s="447"/>
      <c r="AC93" s="438" t="s">
        <v>274</v>
      </c>
      <c r="AD93" s="438"/>
      <c r="AE93" s="438"/>
      <c r="AF93" s="438"/>
      <c r="AG93" s="438"/>
      <c r="AH93" s="438"/>
      <c r="AI93" s="438"/>
      <c r="AJ93" s="438"/>
      <c r="AK93" s="438"/>
      <c r="AM93" s="439" t="s">
        <v>270</v>
      </c>
      <c r="AN93" s="439"/>
      <c r="AO93" s="439"/>
      <c r="AP93" s="439"/>
      <c r="AQ93" s="439"/>
      <c r="AR93" s="439"/>
      <c r="AS93" s="439"/>
      <c r="AT93" s="439"/>
      <c r="AU93" s="439"/>
      <c r="AV93" s="439"/>
      <c r="AW93" s="439"/>
      <c r="AX93" s="439"/>
      <c r="AY93" s="439"/>
      <c r="AZ93" s="439"/>
      <c r="BA93" s="439"/>
      <c r="BB93" s="439"/>
      <c r="BC93" s="440"/>
      <c r="BE93" s="439" t="s">
        <v>246</v>
      </c>
      <c r="BF93" s="439"/>
      <c r="BG93" s="439"/>
      <c r="BH93" s="439"/>
      <c r="BI93" s="439"/>
      <c r="BJ93" s="439"/>
      <c r="BK93" s="439"/>
      <c r="BL93" s="439"/>
      <c r="BM93" s="439"/>
    </row>
    <row r="94" spans="1:65" x14ac:dyDescent="0.25">
      <c r="C94" s="236"/>
      <c r="E94" s="229"/>
      <c r="F94" s="229"/>
      <c r="G94" s="229"/>
      <c r="H94" s="229"/>
      <c r="I94" s="229"/>
      <c r="J94" s="229"/>
      <c r="L94" s="164"/>
      <c r="O94" s="229"/>
      <c r="P94" s="164"/>
      <c r="T94" s="127"/>
      <c r="U94" s="127"/>
      <c r="V94" s="127"/>
      <c r="W94" s="127"/>
      <c r="X94" s="127"/>
      <c r="Y94" s="127"/>
      <c r="AA94" s="229"/>
      <c r="AC94" s="229"/>
      <c r="AD94" s="229"/>
      <c r="AE94" s="229"/>
      <c r="AF94" s="229"/>
      <c r="AG94" s="229"/>
      <c r="AH94" s="229"/>
      <c r="AI94" s="229"/>
      <c r="AJ94" s="229"/>
      <c r="AK94" s="127"/>
      <c r="AM94" s="229"/>
      <c r="AN94" s="229"/>
      <c r="AO94" s="229"/>
      <c r="AP94" s="229"/>
      <c r="AQ94" s="229"/>
      <c r="AR94" s="229"/>
      <c r="AS94" s="229"/>
      <c r="AT94" s="229"/>
      <c r="AU94" s="229"/>
      <c r="AV94" s="229"/>
      <c r="AW94" s="229"/>
      <c r="AX94" s="229"/>
      <c r="AY94" s="229"/>
      <c r="AZ94" s="229"/>
      <c r="BA94" s="229"/>
      <c r="BB94" s="229"/>
      <c r="BC94" s="229"/>
    </row>
    <row r="95" spans="1:65" ht="60" x14ac:dyDescent="0.25">
      <c r="C95" s="238" t="s">
        <v>5</v>
      </c>
      <c r="D95" s="239"/>
      <c r="E95" s="240" t="s">
        <v>268</v>
      </c>
      <c r="F95" s="241" t="s">
        <v>271</v>
      </c>
      <c r="G95" s="242" t="s">
        <v>267</v>
      </c>
      <c r="H95" s="243" t="s">
        <v>266</v>
      </c>
      <c r="I95" s="242" t="s">
        <v>265</v>
      </c>
      <c r="J95" s="244" t="s">
        <v>6</v>
      </c>
      <c r="L95" s="245" t="s">
        <v>7</v>
      </c>
      <c r="M95" s="246" t="s">
        <v>254</v>
      </c>
      <c r="N95" s="247"/>
      <c r="O95" s="248" t="s">
        <v>272</v>
      </c>
      <c r="P95" s="249" t="s">
        <v>200</v>
      </c>
      <c r="R95" s="250" t="s">
        <v>151</v>
      </c>
      <c r="T95" s="251" t="s">
        <v>8</v>
      </c>
      <c r="U95" s="252" t="s">
        <v>9</v>
      </c>
      <c r="V95" s="252" t="s">
        <v>120</v>
      </c>
      <c r="W95" s="252" t="s">
        <v>121</v>
      </c>
      <c r="X95" s="253" t="s">
        <v>118</v>
      </c>
      <c r="Y95" s="254" t="s">
        <v>119</v>
      </c>
      <c r="AA95" s="255" t="s">
        <v>84</v>
      </c>
      <c r="AC95" s="256" t="s">
        <v>142</v>
      </c>
      <c r="AD95" s="256" t="s">
        <v>138</v>
      </c>
      <c r="AE95" s="257" t="s">
        <v>147</v>
      </c>
      <c r="AF95" s="257" t="s">
        <v>149</v>
      </c>
      <c r="AG95" s="256" t="s">
        <v>305</v>
      </c>
      <c r="AH95" s="256" t="s">
        <v>306</v>
      </c>
      <c r="AI95" s="257" t="s">
        <v>150</v>
      </c>
      <c r="AJ95" s="258" t="s">
        <v>250</v>
      </c>
      <c r="AK95" s="259" t="s">
        <v>373</v>
      </c>
      <c r="AM95" s="260" t="s">
        <v>256</v>
      </c>
      <c r="AN95" s="261" t="s">
        <v>372</v>
      </c>
      <c r="AO95" s="253" t="s">
        <v>170</v>
      </c>
      <c r="AP95" s="253" t="s">
        <v>171</v>
      </c>
      <c r="AQ95" s="253" t="s">
        <v>172</v>
      </c>
      <c r="AR95" s="253" t="s">
        <v>173</v>
      </c>
      <c r="AS95" s="253" t="s">
        <v>174</v>
      </c>
      <c r="AT95" s="253" t="s">
        <v>175</v>
      </c>
      <c r="AU95" s="262" t="s">
        <v>210</v>
      </c>
      <c r="AV95" s="262" t="s">
        <v>211</v>
      </c>
      <c r="AW95" s="262" t="s">
        <v>212</v>
      </c>
      <c r="AX95" s="262" t="s">
        <v>213</v>
      </c>
      <c r="AY95" s="263" t="s">
        <v>214</v>
      </c>
      <c r="AZ95" s="264" t="s">
        <v>111</v>
      </c>
      <c r="BA95" s="265" t="s">
        <v>199</v>
      </c>
      <c r="BB95" s="252" t="s">
        <v>223</v>
      </c>
      <c r="BC95" s="260" t="s">
        <v>112</v>
      </c>
      <c r="BE95" s="260" t="s">
        <v>257</v>
      </c>
      <c r="BF95" s="266" t="s">
        <v>255</v>
      </c>
      <c r="BG95" s="262" t="s">
        <v>247</v>
      </c>
      <c r="BH95" s="262" t="s">
        <v>248</v>
      </c>
      <c r="BI95" s="260" t="s">
        <v>249</v>
      </c>
      <c r="BJ95" s="253" t="s">
        <v>199</v>
      </c>
      <c r="BK95" s="262" t="s">
        <v>251</v>
      </c>
      <c r="BL95" s="259" t="s">
        <v>373</v>
      </c>
      <c r="BM95" s="260" t="s">
        <v>252</v>
      </c>
    </row>
    <row r="96" spans="1:65" x14ac:dyDescent="0.25">
      <c r="T96" s="120"/>
      <c r="U96" s="120"/>
      <c r="V96" s="120"/>
      <c r="W96" s="120"/>
      <c r="X96" s="120"/>
      <c r="Y96" s="120"/>
      <c r="AM96" s="267" t="s">
        <v>322</v>
      </c>
      <c r="AN96" s="237"/>
      <c r="AO96" s="237"/>
      <c r="AP96" s="237"/>
      <c r="AQ96" s="237"/>
      <c r="AR96" s="237"/>
      <c r="AS96" s="237"/>
      <c r="AT96" s="237"/>
      <c r="AU96" s="237"/>
      <c r="AV96" s="237"/>
      <c r="AW96" s="237"/>
      <c r="AX96" s="237"/>
      <c r="AY96" s="237"/>
      <c r="AZ96" s="436" t="s">
        <v>320</v>
      </c>
      <c r="BA96" s="437"/>
      <c r="BB96" s="237"/>
      <c r="BC96" s="267" t="s">
        <v>321</v>
      </c>
    </row>
    <row r="97" spans="1:65" x14ac:dyDescent="0.25">
      <c r="A97" s="228">
        <f t="shared" ref="A97:A116" si="88">IF($E$91="","",$B$90)</f>
        <v>4</v>
      </c>
      <c r="C97" s="268"/>
      <c r="D97" s="239"/>
      <c r="E97" s="269"/>
      <c r="F97" s="270"/>
      <c r="G97" s="271"/>
      <c r="H97" s="272"/>
      <c r="I97" s="271"/>
      <c r="J97" s="273"/>
      <c r="O97" s="274"/>
      <c r="P97" s="247"/>
      <c r="T97" s="271"/>
      <c r="U97" s="271"/>
      <c r="V97" s="275"/>
      <c r="W97" s="269"/>
      <c r="X97" s="269"/>
      <c r="Y97" s="269"/>
      <c r="AA97" s="271"/>
      <c r="AC97" s="271"/>
      <c r="AD97" s="271"/>
      <c r="AE97" s="271"/>
      <c r="AF97" s="271"/>
      <c r="AG97" s="271"/>
      <c r="AH97" s="271"/>
      <c r="AI97" s="271"/>
      <c r="AJ97" s="271"/>
      <c r="AK97" s="275"/>
      <c r="AM97" s="271"/>
      <c r="AN97" s="271"/>
      <c r="AO97" s="276">
        <v>1</v>
      </c>
      <c r="AP97" s="276">
        <v>2</v>
      </c>
      <c r="AQ97" s="276">
        <v>3</v>
      </c>
      <c r="AR97" s="277">
        <v>4</v>
      </c>
      <c r="AS97" s="276">
        <v>5</v>
      </c>
      <c r="AT97" s="276">
        <v>6</v>
      </c>
      <c r="AU97" s="276">
        <v>11</v>
      </c>
      <c r="AV97" s="276">
        <v>22</v>
      </c>
      <c r="AW97" s="276">
        <v>33</v>
      </c>
      <c r="AX97" s="276">
        <v>55</v>
      </c>
      <c r="AY97" s="276">
        <v>66</v>
      </c>
      <c r="AZ97" s="271"/>
      <c r="BA97" s="271"/>
      <c r="BB97" s="271"/>
      <c r="BC97" s="273"/>
    </row>
    <row r="98" spans="1:65" x14ac:dyDescent="0.25">
      <c r="A98" s="228">
        <f t="shared" si="88"/>
        <v>4</v>
      </c>
      <c r="C98" s="278" t="s">
        <v>12</v>
      </c>
      <c r="E98" s="103">
        <f>IF($C98="",0,
IF(AND($E$2="Monthly",$A98&gt;12),0,
IF($E$2="Monthly",VLOOKUP($C98,'Employee information'!$B:$AM,COLUMNS('Employee information'!$B:S),0),
IF($E$2="Fortnightly",VLOOKUP($C98,'Employee information'!$B:$AM,COLUMNS('Employee information'!$B:R),0),
0))))</f>
        <v>75</v>
      </c>
      <c r="F98" s="279"/>
      <c r="G98" s="106"/>
      <c r="H98" s="280"/>
      <c r="I98" s="106"/>
      <c r="J98" s="103">
        <f>IF($E$2="Monthly",
IF(AND($E$2="Monthly",$H98&lt;&gt;""),$H98,
IF(AND($E$2="Monthly",$E98=0),SUM($F98:$G98),
$E98)),
IF($E$2="Fortnightly",
IF(AND($E$2="Fortnightly",$H98&lt;&gt;""),$H98,
IF(AND($E$2="Fortnightly",$F98&lt;&gt;"",$E98&lt;&gt;0),$F98,
IF(AND($E$2="Fortnightly",$E98=0),SUM($F98:$G98),
$E98)))))</f>
        <v>75</v>
      </c>
      <c r="L98" s="113">
        <f>IF(AND($E$2="Monthly",$A98&gt;12),"",
IFERROR($J98*VLOOKUP($C98,'Employee information'!$B:$AI,COLUMNS('Employee information'!$B:$P),0),0))</f>
        <v>3697.576396206533</v>
      </c>
      <c r="M98" s="114">
        <f>IF(AND($E$2="Monthly",$A98&gt;12),"",
SUMIFS($L:$L,$C:$C,$C98,$A:$A,"&lt;="&amp;$A98)
)</f>
        <v>14790.305584826132</v>
      </c>
      <c r="O98" s="103">
        <f>IF($E$2="Monthly",
IF(AND($E$2="Monthly",$H98&lt;&gt;""),$H98,
IF(AND($E$2="Monthly",$E98=0),$F98,
$E98)),
IF($E$2="Fortnightly",
IF(AND($E$2="Fortnightly",$H98&lt;&gt;""),$H98,
IF(AND($E$2="Fortnightly",$F98&lt;&gt;"",$E98&lt;&gt;0),$F98,
IF(AND($E$2="Fortnightly",$E98=0),$F98,
$E98)))))</f>
        <v>75</v>
      </c>
      <c r="P98" s="113">
        <f>IFERROR(
IF(AND($E$2="Monthly",$A98&gt;12),0,
$O98*VLOOKUP($C98,'Employee information'!$B:$AI,COLUMNS('Employee information'!$B:$P),0)),
0)</f>
        <v>3697.576396206533</v>
      </c>
      <c r="R98" s="114">
        <f t="shared" ref="R98:R116" si="89">IF(AND($E$2="Monthly",$A98&gt;12),"",
SUMIFS($P:$P,$C:$C,$C98,$A:$A,"&lt;="&amp;$A98)
)</f>
        <v>14790.305584826132</v>
      </c>
      <c r="T98" s="281"/>
      <c r="U98" s="103"/>
      <c r="V98" s="282">
        <f>IF($C98="","",
IF(AND($E$2="Monthly",$A98&gt;12),"",
$T98*VLOOKUP($C98,'Employee information'!$B:$P,COLUMNS('Employee information'!$B:$P),0)))</f>
        <v>0</v>
      </c>
      <c r="W98" s="282">
        <f>IF($C98="","",
IF(AND($E$2="Monthly",$A98&gt;12),"",
$U98*VLOOKUP($C98,'Employee information'!$B:$P,COLUMNS('Employee information'!$B:$P),0)))</f>
        <v>0</v>
      </c>
      <c r="X98" s="114">
        <f t="shared" ref="X98:X116" si="90">IF(AND($E$2="Monthly",$A98&gt;12),"",
SUMIFS($V:$V,$C:$C,$C98,$A:$A,"&lt;="&amp;$A98)
)</f>
        <v>0</v>
      </c>
      <c r="Y98" s="114">
        <f t="shared" ref="Y98:Y116" si="91">IF(AND($E$2="Monthly",$A98&gt;12),"",
SUMIFS($W:$W,$C:$C,$C98,$A:$A,"&lt;="&amp;$A98)
)</f>
        <v>0</v>
      </c>
      <c r="AA98" s="118">
        <f>IFERROR(
IF(OR('Basic payroll data'!$D$12="",'Basic payroll data'!$D$12="No"),0,
$T98*VLOOKUP($C98,'Employee information'!$B:$P,COLUMNS('Employee information'!$B:$P),0)*AL_loading_perc),
0)</f>
        <v>0</v>
      </c>
      <c r="AC98" s="118"/>
      <c r="AD98" s="118"/>
      <c r="AE98" s="283" t="str">
        <f>IF(LEFT($AD98,6)="Is OTE",1,
IF(LEFT($AD98,10)="Is not OTE",0,
""))</f>
        <v/>
      </c>
      <c r="AF98" s="283" t="str">
        <f>IF(RIGHT($AD98,12)="tax withheld",1,
IF(RIGHT($AD98,16)="tax not withheld",0,
""))</f>
        <v/>
      </c>
      <c r="AG98" s="118"/>
      <c r="AH98" s="118"/>
      <c r="AI98" s="283" t="str">
        <f>IF($AH98="FBT",0,
IF($AH98="Not FBT",1,
""))</f>
        <v/>
      </c>
      <c r="AJ98" s="118"/>
      <c r="AK98" s="118"/>
      <c r="AM98" s="118">
        <f>SUM($L98,$AA98,$AC98,$AG98,$AK98)-$AJ98</f>
        <v>3697.576396206533</v>
      </c>
      <c r="AN98" s="118">
        <f t="shared" ref="AN98:AN116" si="92">IF(AND(OR($AF98=1,$AF98=""),OR($AI98=1,$AI98="")),SUM($L98,$AA98,$AC98,$AG98,$AK98)-$AJ98,
IF(AND(OR($AF98=1,$AF98=""),$AI98=0),SUM($L98,$AA98,$AC98,$AK98)-$AJ98,
IF(AND($AF98=0,OR($AI98=1,$AI98="")),SUM($L98,$AA98,$AG98,$AK98)-$AJ98,
IF(AND($AF98=0,$AI98=0),SUM($L98,$AA98,$AK98)-$AJ98,
""))))</f>
        <v>3697.576396206533</v>
      </c>
      <c r="AO98" s="118" t="str">
        <f>IFERROR(
IF(VLOOKUP($C98,'Employee information'!$B:$M,COLUMNS('Employee information'!$B:$M),0)=1,
IF($E$2="Fortnightly",
ROUND(
ROUND((((TRUNC($AN98/2,0)+0.99))*VLOOKUP((TRUNC($AN98/2,0)+0.99),'Tax scales - NAT 1004'!$A$12:$C$18,2,1)-VLOOKUP((TRUNC($AN98/2,0)+0.99),'Tax scales - NAT 1004'!$A$12:$C$18,3,1)),0)
*2,
0),
IF(AND($E$2="Monthly",ROUND($AN98-TRUNC($AN98),2)=0.33),
ROUND(
ROUND(((TRUNC(($AN98+0.01)*3/13,0)+0.99)*VLOOKUP((TRUNC(($AN98+0.01)*3/13,0)+0.99),'Tax scales - NAT 1004'!$A$12:$C$18,2,1)-VLOOKUP((TRUNC(($AN98+0.01)*3/13,0)+0.99),'Tax scales - NAT 1004'!$A$12:$C$18,3,1)),0)
*13/3,
0),
IF($E$2="Monthly",
ROUND(
ROUND(((TRUNC($AN98*3/13,0)+0.99)*VLOOKUP((TRUNC($AN98*3/13,0)+0.99),'Tax scales - NAT 1004'!$A$12:$C$18,2,1)-VLOOKUP((TRUNC($AN98*3/13,0)+0.99),'Tax scales - NAT 1004'!$A$12:$C$18,3,1)),0)
*13/3,
0),
""))),
""),
"")</f>
        <v/>
      </c>
      <c r="AP98" s="118" t="str">
        <f>IFERROR(
IF(VLOOKUP($C98,'Employee information'!$B:$M,COLUMNS('Employee information'!$B:$M),0)=2,
IF($E$2="Fortnightly",
ROUND(
ROUND((((TRUNC($AN98/2,0)+0.99))*VLOOKUP((TRUNC($AN98/2,0)+0.99),'Tax scales - NAT 1004'!$A$25:$C$33,2,1)-VLOOKUP((TRUNC($AN98/2,0)+0.99),'Tax scales - NAT 1004'!$A$25:$C$33,3,1)),0)
*2,
0),
IF(AND($E$2="Monthly",ROUND($AN98-TRUNC($AN98),2)=0.33),
ROUND(
ROUND(((TRUNC(($AN98+0.01)*3/13,0)+0.99)*VLOOKUP((TRUNC(($AN98+0.01)*3/13,0)+0.99),'Tax scales - NAT 1004'!$A$25:$C$33,2,1)-VLOOKUP((TRUNC(($AN98+0.01)*3/13,0)+0.99),'Tax scales - NAT 1004'!$A$25:$C$33,3,1)),0)
*13/3,
0),
IF($E$2="Monthly",
ROUND(
ROUND(((TRUNC($AN98*3/13,0)+0.99)*VLOOKUP((TRUNC($AN98*3/13,0)+0.99),'Tax scales - NAT 1004'!$A$25:$C$33,2,1)-VLOOKUP((TRUNC($AN98*3/13,0)+0.99),'Tax scales - NAT 1004'!$A$25:$C$33,3,1)),0)
*13/3,
0),
""))),
""),
"")</f>
        <v/>
      </c>
      <c r="AQ98" s="118" t="str">
        <f>IFERROR(
IF(VLOOKUP($C98,'Employee information'!$B:$M,COLUMNS('Employee information'!$B:$M),0)=3,
IF($E$2="Fortnightly",
ROUND(
ROUND((((TRUNC($AN98/2,0)+0.99))*VLOOKUP((TRUNC($AN98/2,0)+0.99),'Tax scales - NAT 1004'!$A$39:$C$41,2,1)-VLOOKUP((TRUNC($AN98/2,0)+0.99),'Tax scales - NAT 1004'!$A$39:$C$41,3,1)),0)
*2,
0),
IF(AND($E$2="Monthly",ROUND($AN98-TRUNC($AN98),2)=0.33),
ROUND(
ROUND(((TRUNC(($AN98+0.01)*3/13,0)+0.99)*VLOOKUP((TRUNC(($AN98+0.01)*3/13,0)+0.99),'Tax scales - NAT 1004'!$A$39:$C$41,2,1)-VLOOKUP((TRUNC(($AN98+0.01)*3/13,0)+0.99),'Tax scales - NAT 1004'!$A$39:$C$41,3,1)),0)
*13/3,
0),
IF($E$2="Monthly",
ROUND(
ROUND(((TRUNC($AN98*3/13,0)+0.99)*VLOOKUP((TRUNC($AN98*3/13,0)+0.99),'Tax scales - NAT 1004'!$A$39:$C$41,2,1)-VLOOKUP((TRUNC($AN98*3/13,0)+0.99),'Tax scales - NAT 1004'!$A$39:$C$41,3,1)),0)
*13/3,
0),
""))),
""),
"")</f>
        <v/>
      </c>
      <c r="AR98" s="118" t="str">
        <f>IFERROR(
IF(AND(VLOOKUP($C98,'Employee information'!$B:$M,COLUMNS('Employee information'!$B:$M),0)=4,
VLOOKUP($C98,'Employee information'!$B:$J,COLUMNS('Employee information'!$B:$J),0)="Resident"),
TRUNC(TRUNC($AN98)*'Tax scales - NAT 1004'!$B$47),
IF(AND(VLOOKUP($C98,'Employee information'!$B:$M,COLUMNS('Employee information'!$B:$M),0)=4,
VLOOKUP($C98,'Employee information'!$B:$J,COLUMNS('Employee information'!$B:$J),0)="Foreign resident"),
TRUNC(TRUNC($AN98)*'Tax scales - NAT 1004'!$B$48),
"")),
"")</f>
        <v/>
      </c>
      <c r="AS98" s="118" t="str">
        <f>IFERROR(
IF(VLOOKUP($C98,'Employee information'!$B:$M,COLUMNS('Employee information'!$B:$M),0)=5,
IF($E$2="Fortnightly",
ROUND(
ROUND((((TRUNC($AN98/2,0)+0.99))*VLOOKUP((TRUNC($AN98/2,0)+0.99),'Tax scales - NAT 1004'!$A$53:$C$59,2,1)-VLOOKUP((TRUNC($AN98/2,0)+0.99),'Tax scales - NAT 1004'!$A$53:$C$59,3,1)),0)
*2,
0),
IF(AND($E$2="Monthly",ROUND($AN98-TRUNC($AN98),2)=0.33),
ROUND(
ROUND(((TRUNC(($AN98+0.01)*3/13,0)+0.99)*VLOOKUP((TRUNC(($AN98+0.01)*3/13,0)+0.99),'Tax scales - NAT 1004'!$A$53:$C$59,2,1)-VLOOKUP((TRUNC(($AN98+0.01)*3/13,0)+0.99),'Tax scales - NAT 1004'!$A$53:$C$59,3,1)),0)
*13/3,
0),
IF($E$2="Monthly",
ROUND(
ROUND(((TRUNC($AN98*3/13,0)+0.99)*VLOOKUP((TRUNC($AN98*3/13,0)+0.99),'Tax scales - NAT 1004'!$A$53:$C$59,2,1)-VLOOKUP((TRUNC($AN98*3/13,0)+0.99),'Tax scales - NAT 1004'!$A$53:$C$59,3,1)),0)
*13/3,
0),
""))),
""),
"")</f>
        <v/>
      </c>
      <c r="AT98" s="118" t="str">
        <f>IFERROR(
IF(VLOOKUP($C98,'Employee information'!$B:$M,COLUMNS('Employee information'!$B:$M),0)=6,
IF($E$2="Fortnightly",
ROUND(
ROUND((((TRUNC($AN98/2,0)+0.99))*VLOOKUP((TRUNC($AN98/2,0)+0.99),'Tax scales - NAT 1004'!$A$65:$C$73,2,1)-VLOOKUP((TRUNC($AN98/2,0)+0.99),'Tax scales - NAT 1004'!$A$65:$C$73,3,1)),0)
*2,
0),
IF(AND($E$2="Monthly",ROUND($AN98-TRUNC($AN98),2)=0.33),
ROUND(
ROUND(((TRUNC(($AN98+0.01)*3/13,0)+0.99)*VLOOKUP((TRUNC(($AN98+0.01)*3/13,0)+0.99),'Tax scales - NAT 1004'!$A$65:$C$73,2,1)-VLOOKUP((TRUNC(($AN98+0.01)*3/13,0)+0.99),'Tax scales - NAT 1004'!$A$65:$C$73,3,1)),0)
*13/3,
0),
IF($E$2="Monthly",
ROUND(
ROUND(((TRUNC($AN98*3/13,0)+0.99)*VLOOKUP((TRUNC($AN98*3/13,0)+0.99),'Tax scales - NAT 1004'!$A$65:$C$73,2,1)-VLOOKUP((TRUNC($AN98*3/13,0)+0.99),'Tax scales - NAT 1004'!$A$65:$C$73,3,1)),0)
*13/3,
0),
""))),
""),
"")</f>
        <v/>
      </c>
      <c r="AU98" s="118">
        <f>IFERROR(
IF(VLOOKUP($C98,'Employee information'!$B:$M,COLUMNS('Employee information'!$B:$M),0)=11,
IF($E$2="Fortnightly",
ROUND(
ROUND((((TRUNC($AN98/2,0)+0.99))*VLOOKUP((TRUNC($AN98/2,0)+0.99),'Tax scales - NAT 3539'!$A$14:$C$38,2,1)-VLOOKUP((TRUNC($AN98/2,0)+0.99),'Tax scales - NAT 3539'!$A$14:$C$38,3,1)),0)
*2,
0),
IF(AND($E$2="Monthly",ROUND($AN98-TRUNC($AN98),2)=0.33),
ROUND(
ROUND(((TRUNC(($AN98+0.01)*3/13,0)+0.99)*VLOOKUP((TRUNC(($AN98+0.01)*3/13,0)+0.99),'Tax scales - NAT 3539'!$A$14:$C$38,2,1)-VLOOKUP((TRUNC(($AN98+0.01)*3/13,0)+0.99),'Tax scales - NAT 3539'!$A$14:$C$38,3,1)),0)
*13/3,
0),
IF($E$2="Monthly",
ROUND(
ROUND(((TRUNC($AN98*3/13,0)+0.99)*VLOOKUP((TRUNC($AN98*3/13,0)+0.99),'Tax scales - NAT 3539'!$A$14:$C$38,2,1)-VLOOKUP((TRUNC($AN98*3/13,0)+0.99),'Tax scales - NAT 3539'!$A$14:$C$38,3,1)),0)
*13/3,
0),
""))),
""),
"")</f>
        <v>1448</v>
      </c>
      <c r="AV98" s="118" t="str">
        <f>IFERROR(
IF(VLOOKUP($C98,'Employee information'!$B:$M,COLUMNS('Employee information'!$B:$M),0)=22,
IF($E$2="Fortnightly",
ROUND(
ROUND((((TRUNC($AN98/2,0)+0.99))*VLOOKUP((TRUNC($AN98/2,0)+0.99),'Tax scales - NAT 3539'!$A$43:$C$69,2,1)-VLOOKUP((TRUNC($AN98/2,0)+0.99),'Tax scales - NAT 3539'!$A$43:$C$69,3,1)),0)
*2,
0),
IF(AND($E$2="Monthly",ROUND($AN98-TRUNC($AN98),2)=0.33),
ROUND(
ROUND(((TRUNC(($AN98+0.01)*3/13,0)+0.99)*VLOOKUP((TRUNC(($AN98+0.01)*3/13,0)+0.99),'Tax scales - NAT 3539'!$A$43:$C$69,2,1)-VLOOKUP((TRUNC(($AN98+0.01)*3/13,0)+0.99),'Tax scales - NAT 3539'!$A$43:$C$69,3,1)),0)
*13/3,
0),
IF($E$2="Monthly",
ROUND(
ROUND(((TRUNC($AN98*3/13,0)+0.99)*VLOOKUP((TRUNC($AN98*3/13,0)+0.99),'Tax scales - NAT 3539'!$A$43:$C$69,2,1)-VLOOKUP((TRUNC($AN98*3/13,0)+0.99),'Tax scales - NAT 3539'!$A$43:$C$69,3,1)),0)
*13/3,
0),
""))),
""),
"")</f>
        <v/>
      </c>
      <c r="AW98" s="118" t="str">
        <f>IFERROR(
IF(VLOOKUP($C98,'Employee information'!$B:$M,COLUMNS('Employee information'!$B:$M),0)=33,
IF($E$2="Fortnightly",
ROUND(
ROUND((((TRUNC($AN98/2,0)+0.99))*VLOOKUP((TRUNC($AN98/2,0)+0.99),'Tax scales - NAT 3539'!$A$74:$C$94,2,1)-VLOOKUP((TRUNC($AN98/2,0)+0.99),'Tax scales - NAT 3539'!$A$74:$C$94,3,1)),0)
*2,
0),
IF(AND($E$2="Monthly",ROUND($AN98-TRUNC($AN98),2)=0.33),
ROUND(
ROUND(((TRUNC(($AN98+0.01)*3/13,0)+0.99)*VLOOKUP((TRUNC(($AN98+0.01)*3/13,0)+0.99),'Tax scales - NAT 3539'!$A$74:$C$94,2,1)-VLOOKUP((TRUNC(($AN98+0.01)*3/13,0)+0.99),'Tax scales - NAT 3539'!$A$74:$C$94,3,1)),0)
*13/3,
0),
IF($E$2="Monthly",
ROUND(
ROUND(((TRUNC($AN98*3/13,0)+0.99)*VLOOKUP((TRUNC($AN98*3/13,0)+0.99),'Tax scales - NAT 3539'!$A$74:$C$94,2,1)-VLOOKUP((TRUNC($AN98*3/13,0)+0.99),'Tax scales - NAT 3539'!$A$74:$C$94,3,1)),0)
*13/3,
0),
""))),
""),
"")</f>
        <v/>
      </c>
      <c r="AX98" s="118" t="str">
        <f>IFERROR(
IF(VLOOKUP($C98,'Employee information'!$B:$M,COLUMNS('Employee information'!$B:$M),0)=55,
IF($E$2="Fortnightly",
ROUND(
ROUND((((TRUNC($AN98/2,0)+0.99))*VLOOKUP((TRUNC($AN98/2,0)+0.99),'Tax scales - NAT 3539'!$A$99:$C$123,2,1)-VLOOKUP((TRUNC($AN98/2,0)+0.99),'Tax scales - NAT 3539'!$A$99:$C$123,3,1)),0)
*2,
0),
IF(AND($E$2="Monthly",ROUND($AN98-TRUNC($AN98),2)=0.33),
ROUND(
ROUND(((TRUNC(($AN98+0.01)*3/13,0)+0.99)*VLOOKUP((TRUNC(($AN98+0.01)*3/13,0)+0.99),'Tax scales - NAT 3539'!$A$99:$C$123,2,1)-VLOOKUP((TRUNC(($AN98+0.01)*3/13,0)+0.99),'Tax scales - NAT 3539'!$A$99:$C$123,3,1)),0)
*13/3,
0),
IF($E$2="Monthly",
ROUND(
ROUND(((TRUNC($AN98*3/13,0)+0.99)*VLOOKUP((TRUNC($AN98*3/13,0)+0.99),'Tax scales - NAT 3539'!$A$99:$C$123,2,1)-VLOOKUP((TRUNC($AN98*3/13,0)+0.99),'Tax scales - NAT 3539'!$A$99:$C$123,3,1)),0)
*13/3,
0),
""))),
""),
"")</f>
        <v/>
      </c>
      <c r="AY98" s="118" t="str">
        <f>IFERROR(
IF(VLOOKUP($C98,'Employee information'!$B:$M,COLUMNS('Employee information'!$B:$M),0)=66,
IF($E$2="Fortnightly",
ROUND(
ROUND((((TRUNC($AN98/2,0)+0.99))*VLOOKUP((TRUNC($AN98/2,0)+0.99),'Tax scales - NAT 3539'!$A$127:$C$154,2,1)-VLOOKUP((TRUNC($AN98/2,0)+0.99),'Tax scales - NAT 3539'!$A$127:$C$154,3,1)),0)
*2,
0),
IF(AND($E$2="Monthly",ROUND($AN98-TRUNC($AN98),2)=0.33),
ROUND(
ROUND(((TRUNC(($AN98+0.01)*3/13,0)+0.99)*VLOOKUP((TRUNC(($AN98+0.01)*3/13,0)+0.99),'Tax scales - NAT 3539'!$A$127:$C$154,2,1)-VLOOKUP((TRUNC(($AN98+0.01)*3/13,0)+0.99),'Tax scales - NAT 3539'!$A$127:$C$154,3,1)),0)
*13/3,
0),
IF($E$2="Monthly",
ROUND(
ROUND(((TRUNC($AN98*3/13,0)+0.99)*VLOOKUP((TRUNC($AN98*3/13,0)+0.99),'Tax scales - NAT 3539'!$A$127:$C$154,2,1)-VLOOKUP((TRUNC($AN98*3/13,0)+0.99),'Tax scales - NAT 3539'!$A$127:$C$154,3,1)),0)
*13/3,
0),
""))),
""),
"")</f>
        <v/>
      </c>
      <c r="AZ98" s="118">
        <f>IFERROR(
HLOOKUP(VLOOKUP($C98,'Employee information'!$B:$M,COLUMNS('Employee information'!$B:$M),0),'PAYG worksheet'!$AO$97:$AY$116,COUNTA($C$98:$C98)+1,0),
0)</f>
        <v>1448</v>
      </c>
      <c r="BA98" s="118"/>
      <c r="BB98" s="118">
        <f>IFERROR($AM98-$AZ98-$BA98,"")</f>
        <v>2249.576396206533</v>
      </c>
      <c r="BC98" s="119">
        <f>IFERROR(
IF(OR($AE98=1,$AE98=""),SUM($P98,$AA98,$AC98,$AK98)*VLOOKUP($C98,'Employee information'!$B:$Q,COLUMNS('Employee information'!$B:$H),0),
IF($AE98=0,SUM($P98,$AA98,$AK98)*VLOOKUP($C98,'Employee information'!$B:$Q,COLUMNS('Employee information'!$B:$H),0),
0)),
0)</f>
        <v>351.26975763962065</v>
      </c>
      <c r="BE98" s="114">
        <f t="shared" ref="BE98:BE116" si="93">IF(AND($E$2="Monthly",$A98&gt;12),"",
SUMIFS($AM:$AM,$C:$C,$C98,$A:$A,"&lt;="&amp;$A98)
)</f>
        <v>14790.305584826132</v>
      </c>
      <c r="BF98" s="114">
        <f t="shared" ref="BF98:BF116" si="94">IF(AND($E$2="Monthly",$A98&gt;12),"",
SUMIFS($AN:$AN,$C:$C,$C98,$A:$A,"&lt;="&amp;$A98)
)</f>
        <v>14790.305584826132</v>
      </c>
      <c r="BG98" s="114">
        <f t="shared" ref="BG98:BG116" si="95">IF(AND($E$2="Monthly",$A98&gt;12),"",
SUMIFS($AC:$AC,$C:$C,$C98,$A:$A,"&lt;="&amp;$A98)
)</f>
        <v>0</v>
      </c>
      <c r="BH98" s="114">
        <f t="shared" ref="BH98:BH116" si="96">IF(AND($E$2="Monthly",$A98&gt;12),"",
SUMIFS($AG:$AG,$C:$C,$C98,$A:$A,"&lt;="&amp;$A98)
)</f>
        <v>0</v>
      </c>
      <c r="BI98" s="114">
        <f t="shared" ref="BI98:BI116" si="97">IF(AND($E$2="Monthly",$A98&gt;12),"",
SUMIFS($AZ:$AZ,$C:$C,$C98,$A:$A,"&lt;="&amp;$A98)
)</f>
        <v>5792</v>
      </c>
      <c r="BJ98" s="114">
        <f t="shared" ref="BJ98:BJ116" si="98">IF(AND($E$2="Monthly",$A98&gt;12),"",
SUMIFS($BA:$BA,$C:$C,$C98,$A:$A,"&lt;="&amp;$A98)
)</f>
        <v>0</v>
      </c>
      <c r="BK98" s="114">
        <f t="shared" ref="BK98:BK116" si="99">IF(AND($E$2="Monthly",$A98&gt;12),"",
SUMIFS($AJ:$AJ,$C:$C,$C98,$A:$A,"&lt;="&amp;$A98)
)</f>
        <v>0</v>
      </c>
      <c r="BL98" s="114">
        <f>IF(AND($E$2="Monthly",$A98&gt;12),"",
SUMIFS($AK:$AK,$C:$C,$C98,$A:$A,"&lt;="&amp;$A98)
)</f>
        <v>0</v>
      </c>
      <c r="BM98" s="114">
        <f t="shared" ref="BM98:BM116" si="100">IF(AND($E$2="Monthly",$A98&gt;12),"",
SUMIFS($BC:$BC,$C:$C,$C98,$A:$A,"&lt;="&amp;$A98)
)</f>
        <v>1405.0790305584826</v>
      </c>
    </row>
    <row r="99" spans="1:65" x14ac:dyDescent="0.25">
      <c r="A99" s="228">
        <f t="shared" si="88"/>
        <v>4</v>
      </c>
      <c r="C99" s="278" t="s">
        <v>13</v>
      </c>
      <c r="E99" s="103">
        <f>IF($C99="",0,
IF(AND($E$2="Monthly",$A99&gt;12),0,
IF($E$2="Monthly",VLOOKUP($C99,'Employee information'!$B:$AM,COLUMNS('Employee information'!$B:S),0),
IF($E$2="Fortnightly",VLOOKUP($C99,'Employee information'!$B:$AM,COLUMNS('Employee information'!$B:R),0),
0))))</f>
        <v>0</v>
      </c>
      <c r="F99" s="106"/>
      <c r="G99" s="106"/>
      <c r="H99" s="106"/>
      <c r="I99" s="106"/>
      <c r="J99" s="103">
        <f t="shared" ref="J99:J116" si="101">IF($E$2="Monthly",
IF(AND($E$2="Monthly",$H99&lt;&gt;""),$H99,
IF(AND($E$2="Monthly",$E99=0),SUM($F99:$G99),
$E99)),
IF($E$2="Fortnightly",
IF(AND($E$2="Fortnightly",$H99&lt;&gt;""),$H99,
IF(AND($E$2="Fortnightly",$F99&lt;&gt;"",$E99&lt;&gt;0),$F99,
IF(AND($E$2="Fortnightly",$E99=0),SUM($F99:$G99),
$E99)))))</f>
        <v>0</v>
      </c>
      <c r="L99" s="113">
        <f>IF(AND($E$2="Monthly",$A99&gt;12),"",
IFERROR($J99*VLOOKUP($C99,'Employee information'!$B:$AI,COLUMNS('Employee information'!$B:$P),0),0))</f>
        <v>0</v>
      </c>
      <c r="M99" s="114">
        <f t="shared" ref="M99:M116" si="102">IF(AND($E$2="Monthly",$A99&gt;12),"",
SUMIFS($L:$L,$C:$C,$C99,$A:$A,"&lt;="&amp;$A99)
)</f>
        <v>1615.3846153846152</v>
      </c>
      <c r="O99" s="103">
        <f t="shared" ref="O99:O116" si="103">IF($E$2="Monthly",
IF(AND($E$2="Monthly",$H99&lt;&gt;""),$H99,
IF(AND($E$2="Monthly",$E99=0),$F99,
$E99)),
IF($E$2="Fortnightly",
IF(AND($E$2="Fortnightly",$H99&lt;&gt;""),$H99,
IF(AND($E$2="Fortnightly",$F99&lt;&gt;"",$E99&lt;&gt;0),$F99,
IF(AND($E$2="Fortnightly",$E99=0),$F99,
$E99)))))</f>
        <v>0</v>
      </c>
      <c r="P99" s="113">
        <f>IFERROR(
IF(AND($E$2="Monthly",$A99&gt;12),0,
$O99*VLOOKUP($C99,'Employee information'!$B:$AI,COLUMNS('Employee information'!$B:$P),0)),
0)</f>
        <v>0</v>
      </c>
      <c r="R99" s="114">
        <f t="shared" si="89"/>
        <v>1615.3846153846152</v>
      </c>
      <c r="T99" s="103"/>
      <c r="U99" s="103"/>
      <c r="V99" s="282">
        <f>IF($C99="","",
IF(AND($E$2="Monthly",$A99&gt;12),"",
$T99*VLOOKUP($C99,'Employee information'!$B:$P,COLUMNS('Employee information'!$B:$P),0)))</f>
        <v>0</v>
      </c>
      <c r="W99" s="282">
        <f>IF($C99="","",
IF(AND($E$2="Monthly",$A99&gt;12),"",
$U99*VLOOKUP($C99,'Employee information'!$B:$P,COLUMNS('Employee information'!$B:$P),0)))</f>
        <v>0</v>
      </c>
      <c r="X99" s="114">
        <f t="shared" si="90"/>
        <v>0</v>
      </c>
      <c r="Y99" s="114">
        <f t="shared" si="91"/>
        <v>288.46153846153845</v>
      </c>
      <c r="AA99" s="118">
        <f>IFERROR(
IF(OR('Basic payroll data'!$D$12="",'Basic payroll data'!$D$12="No"),0,
$T99*VLOOKUP($C99,'Employee information'!$B:$P,COLUMNS('Employee information'!$B:$P),0)*AL_loading_perc),
0)</f>
        <v>0</v>
      </c>
      <c r="AC99" s="118"/>
      <c r="AD99" s="118"/>
      <c r="AE99" s="283" t="str">
        <f t="shared" ref="AE99:AE116" si="104">IF(LEFT($AD99,6)="Is OTE",1,
IF(LEFT($AD99,10)="Is not OTE",0,
""))</f>
        <v/>
      </c>
      <c r="AF99" s="283" t="str">
        <f t="shared" ref="AF99:AF116" si="105">IF(RIGHT($AD99,12)="tax withheld",1,
IF(RIGHT($AD99,16)="tax not withheld",0,
""))</f>
        <v/>
      </c>
      <c r="AG99" s="118"/>
      <c r="AH99" s="118"/>
      <c r="AI99" s="283" t="str">
        <f t="shared" ref="AI99:AI116" si="106">IF($AH99="FBT",0,
IF($AH99="Not FBT",1,
""))</f>
        <v/>
      </c>
      <c r="AJ99" s="118"/>
      <c r="AK99" s="118"/>
      <c r="AM99" s="118">
        <f t="shared" ref="AM99:AM116" si="107">SUM($L99,$AA99,$AC99,$AG99,$AK99)-$AJ99</f>
        <v>0</v>
      </c>
      <c r="AN99" s="118">
        <f t="shared" si="92"/>
        <v>0</v>
      </c>
      <c r="AO99" s="118" t="str">
        <f>IFERROR(
IF(VLOOKUP($C99,'Employee information'!$B:$M,COLUMNS('Employee information'!$B:$M),0)=1,
IF($E$2="Fortnightly",
ROUND(
ROUND((((TRUNC($AN99/2,0)+0.99))*VLOOKUP((TRUNC($AN99/2,0)+0.99),'Tax scales - NAT 1004'!$A$12:$C$18,2,1)-VLOOKUP((TRUNC($AN99/2,0)+0.99),'Tax scales - NAT 1004'!$A$12:$C$18,3,1)),0)
*2,
0),
IF(AND($E$2="Monthly",ROUND($AN99-TRUNC($AN99),2)=0.33),
ROUND(
ROUND(((TRUNC(($AN99+0.01)*3/13,0)+0.99)*VLOOKUP((TRUNC(($AN99+0.01)*3/13,0)+0.99),'Tax scales - NAT 1004'!$A$12:$C$18,2,1)-VLOOKUP((TRUNC(($AN99+0.01)*3/13,0)+0.99),'Tax scales - NAT 1004'!$A$12:$C$18,3,1)),0)
*13/3,
0),
IF($E$2="Monthly",
ROUND(
ROUND(((TRUNC($AN99*3/13,0)+0.99)*VLOOKUP((TRUNC($AN99*3/13,0)+0.99),'Tax scales - NAT 1004'!$A$12:$C$18,2,1)-VLOOKUP((TRUNC($AN99*3/13,0)+0.99),'Tax scales - NAT 1004'!$A$12:$C$18,3,1)),0)
*13/3,
0),
""))),
""),
"")</f>
        <v/>
      </c>
      <c r="AP99" s="118" t="str">
        <f>IFERROR(
IF(VLOOKUP($C99,'Employee information'!$B:$M,COLUMNS('Employee information'!$B:$M),0)=2,
IF($E$2="Fortnightly",
ROUND(
ROUND((((TRUNC($AN99/2,0)+0.99))*VLOOKUP((TRUNC($AN99/2,0)+0.99),'Tax scales - NAT 1004'!$A$25:$C$33,2,1)-VLOOKUP((TRUNC($AN99/2,0)+0.99),'Tax scales - NAT 1004'!$A$25:$C$33,3,1)),0)
*2,
0),
IF(AND($E$2="Monthly",ROUND($AN99-TRUNC($AN99),2)=0.33),
ROUND(
ROUND(((TRUNC(($AN99+0.01)*3/13,0)+0.99)*VLOOKUP((TRUNC(($AN99+0.01)*3/13,0)+0.99),'Tax scales - NAT 1004'!$A$25:$C$33,2,1)-VLOOKUP((TRUNC(($AN99+0.01)*3/13,0)+0.99),'Tax scales - NAT 1004'!$A$25:$C$33,3,1)),0)
*13/3,
0),
IF($E$2="Monthly",
ROUND(
ROUND(((TRUNC($AN99*3/13,0)+0.99)*VLOOKUP((TRUNC($AN99*3/13,0)+0.99),'Tax scales - NAT 1004'!$A$25:$C$33,2,1)-VLOOKUP((TRUNC($AN99*3/13,0)+0.99),'Tax scales - NAT 1004'!$A$25:$C$33,3,1)),0)
*13/3,
0),
""))),
""),
"")</f>
        <v/>
      </c>
      <c r="AQ99" s="118" t="str">
        <f>IFERROR(
IF(VLOOKUP($C99,'Employee information'!$B:$M,COLUMNS('Employee information'!$B:$M),0)=3,
IF($E$2="Fortnightly",
ROUND(
ROUND((((TRUNC($AN99/2,0)+0.99))*VLOOKUP((TRUNC($AN99/2,0)+0.99),'Tax scales - NAT 1004'!$A$39:$C$41,2,1)-VLOOKUP((TRUNC($AN99/2,0)+0.99),'Tax scales - NAT 1004'!$A$39:$C$41,3,1)),0)
*2,
0),
IF(AND($E$2="Monthly",ROUND($AN99-TRUNC($AN99),2)=0.33),
ROUND(
ROUND(((TRUNC(($AN99+0.01)*3/13,0)+0.99)*VLOOKUP((TRUNC(($AN99+0.01)*3/13,0)+0.99),'Tax scales - NAT 1004'!$A$39:$C$41,2,1)-VLOOKUP((TRUNC(($AN99+0.01)*3/13,0)+0.99),'Tax scales - NAT 1004'!$A$39:$C$41,3,1)),0)
*13/3,
0),
IF($E$2="Monthly",
ROUND(
ROUND(((TRUNC($AN99*3/13,0)+0.99)*VLOOKUP((TRUNC($AN99*3/13,0)+0.99),'Tax scales - NAT 1004'!$A$39:$C$41,2,1)-VLOOKUP((TRUNC($AN99*3/13,0)+0.99),'Tax scales - NAT 1004'!$A$39:$C$41,3,1)),0)
*13/3,
0),
""))),
""),
"")</f>
        <v/>
      </c>
      <c r="AR99" s="118" t="str">
        <f>IFERROR(
IF(AND(VLOOKUP($C99,'Employee information'!$B:$M,COLUMNS('Employee information'!$B:$M),0)=4,
VLOOKUP($C99,'Employee information'!$B:$J,COLUMNS('Employee information'!$B:$J),0)="Resident"),
TRUNC(TRUNC($AN99)*'Tax scales - NAT 1004'!$B$47),
IF(AND(VLOOKUP($C99,'Employee information'!$B:$M,COLUMNS('Employee information'!$B:$M),0)=4,
VLOOKUP($C99,'Employee information'!$B:$J,COLUMNS('Employee information'!$B:$J),0)="Foreign resident"),
TRUNC(TRUNC($AN99)*'Tax scales - NAT 1004'!$B$48),
"")),
"")</f>
        <v/>
      </c>
      <c r="AS99" s="118" t="str">
        <f>IFERROR(
IF(VLOOKUP($C99,'Employee information'!$B:$M,COLUMNS('Employee information'!$B:$M),0)=5,
IF($E$2="Fortnightly",
ROUND(
ROUND((((TRUNC($AN99/2,0)+0.99))*VLOOKUP((TRUNC($AN99/2,0)+0.99),'Tax scales - NAT 1004'!$A$53:$C$59,2,1)-VLOOKUP((TRUNC($AN99/2,0)+0.99),'Tax scales - NAT 1004'!$A$53:$C$59,3,1)),0)
*2,
0),
IF(AND($E$2="Monthly",ROUND($AN99-TRUNC($AN99),2)=0.33),
ROUND(
ROUND(((TRUNC(($AN99+0.01)*3/13,0)+0.99)*VLOOKUP((TRUNC(($AN99+0.01)*3/13,0)+0.99),'Tax scales - NAT 1004'!$A$53:$C$59,2,1)-VLOOKUP((TRUNC(($AN99+0.01)*3/13,0)+0.99),'Tax scales - NAT 1004'!$A$53:$C$59,3,1)),0)
*13/3,
0),
IF($E$2="Monthly",
ROUND(
ROUND(((TRUNC($AN99*3/13,0)+0.99)*VLOOKUP((TRUNC($AN99*3/13,0)+0.99),'Tax scales - NAT 1004'!$A$53:$C$59,2,1)-VLOOKUP((TRUNC($AN99*3/13,0)+0.99),'Tax scales - NAT 1004'!$A$53:$C$59,3,1)),0)
*13/3,
0),
""))),
""),
"")</f>
        <v/>
      </c>
      <c r="AT99" s="118" t="str">
        <f>IFERROR(
IF(VLOOKUP($C99,'Employee information'!$B:$M,COLUMNS('Employee information'!$B:$M),0)=6,
IF($E$2="Fortnightly",
ROUND(
ROUND((((TRUNC($AN99/2,0)+0.99))*VLOOKUP((TRUNC($AN99/2,0)+0.99),'Tax scales - NAT 1004'!$A$65:$C$73,2,1)-VLOOKUP((TRUNC($AN99/2,0)+0.99),'Tax scales - NAT 1004'!$A$65:$C$73,3,1)),0)
*2,
0),
IF(AND($E$2="Monthly",ROUND($AN99-TRUNC($AN99),2)=0.33),
ROUND(
ROUND(((TRUNC(($AN99+0.01)*3/13,0)+0.99)*VLOOKUP((TRUNC(($AN99+0.01)*3/13,0)+0.99),'Tax scales - NAT 1004'!$A$65:$C$73,2,1)-VLOOKUP((TRUNC(($AN99+0.01)*3/13,0)+0.99),'Tax scales - NAT 1004'!$A$65:$C$73,3,1)),0)
*13/3,
0),
IF($E$2="Monthly",
ROUND(
ROUND(((TRUNC($AN99*3/13,0)+0.99)*VLOOKUP((TRUNC($AN99*3/13,0)+0.99),'Tax scales - NAT 1004'!$A$65:$C$73,2,1)-VLOOKUP((TRUNC($AN99*3/13,0)+0.99),'Tax scales - NAT 1004'!$A$65:$C$73,3,1)),0)
*13/3,
0),
""))),
""),
"")</f>
        <v/>
      </c>
      <c r="AU99" s="118">
        <f>IFERROR(
IF(VLOOKUP($C99,'Employee information'!$B:$M,COLUMNS('Employee information'!$B:$M),0)=11,
IF($E$2="Fortnightly",
ROUND(
ROUND((((TRUNC($AN99/2,0)+0.99))*VLOOKUP((TRUNC($AN99/2,0)+0.99),'Tax scales - NAT 3539'!$A$14:$C$38,2,1)-VLOOKUP((TRUNC($AN99/2,0)+0.99),'Tax scales - NAT 3539'!$A$14:$C$38,3,1)),0)
*2,
0),
IF(AND($E$2="Monthly",ROUND($AN99-TRUNC($AN99),2)=0.33),
ROUND(
ROUND(((TRUNC(($AN99+0.01)*3/13,0)+0.99)*VLOOKUP((TRUNC(($AN99+0.01)*3/13,0)+0.99),'Tax scales - NAT 3539'!$A$14:$C$38,2,1)-VLOOKUP((TRUNC(($AN99+0.01)*3/13,0)+0.99),'Tax scales - NAT 3539'!$A$14:$C$38,3,1)),0)
*13/3,
0),
IF($E$2="Monthly",
ROUND(
ROUND(((TRUNC($AN99*3/13,0)+0.99)*VLOOKUP((TRUNC($AN99*3/13,0)+0.99),'Tax scales - NAT 3539'!$A$14:$C$38,2,1)-VLOOKUP((TRUNC($AN99*3/13,0)+0.99),'Tax scales - NAT 3539'!$A$14:$C$38,3,1)),0)
*13/3,
0),
""))),
""),
"")</f>
        <v>0</v>
      </c>
      <c r="AV99" s="118" t="str">
        <f>IFERROR(
IF(VLOOKUP($C99,'Employee information'!$B:$M,COLUMNS('Employee information'!$B:$M),0)=22,
IF($E$2="Fortnightly",
ROUND(
ROUND((((TRUNC($AN99/2,0)+0.99))*VLOOKUP((TRUNC($AN99/2,0)+0.99),'Tax scales - NAT 3539'!$A$43:$C$69,2,1)-VLOOKUP((TRUNC($AN99/2,0)+0.99),'Tax scales - NAT 3539'!$A$43:$C$69,3,1)),0)
*2,
0),
IF(AND($E$2="Monthly",ROUND($AN99-TRUNC($AN99),2)=0.33),
ROUND(
ROUND(((TRUNC(($AN99+0.01)*3/13,0)+0.99)*VLOOKUP((TRUNC(($AN99+0.01)*3/13,0)+0.99),'Tax scales - NAT 3539'!$A$43:$C$69,2,1)-VLOOKUP((TRUNC(($AN99+0.01)*3/13,0)+0.99),'Tax scales - NAT 3539'!$A$43:$C$69,3,1)),0)
*13/3,
0),
IF($E$2="Monthly",
ROUND(
ROUND(((TRUNC($AN99*3/13,0)+0.99)*VLOOKUP((TRUNC($AN99*3/13,0)+0.99),'Tax scales - NAT 3539'!$A$43:$C$69,2,1)-VLOOKUP((TRUNC($AN99*3/13,0)+0.99),'Tax scales - NAT 3539'!$A$43:$C$69,3,1)),0)
*13/3,
0),
""))),
""),
"")</f>
        <v/>
      </c>
      <c r="AW99" s="118" t="str">
        <f>IFERROR(
IF(VLOOKUP($C99,'Employee information'!$B:$M,COLUMNS('Employee information'!$B:$M),0)=33,
IF($E$2="Fortnightly",
ROUND(
ROUND((((TRUNC($AN99/2,0)+0.99))*VLOOKUP((TRUNC($AN99/2,0)+0.99),'Tax scales - NAT 3539'!$A$74:$C$94,2,1)-VLOOKUP((TRUNC($AN99/2,0)+0.99),'Tax scales - NAT 3539'!$A$74:$C$94,3,1)),0)
*2,
0),
IF(AND($E$2="Monthly",ROUND($AN99-TRUNC($AN99),2)=0.33),
ROUND(
ROUND(((TRUNC(($AN99+0.01)*3/13,0)+0.99)*VLOOKUP((TRUNC(($AN99+0.01)*3/13,0)+0.99),'Tax scales - NAT 3539'!$A$74:$C$94,2,1)-VLOOKUP((TRUNC(($AN99+0.01)*3/13,0)+0.99),'Tax scales - NAT 3539'!$A$74:$C$94,3,1)),0)
*13/3,
0),
IF($E$2="Monthly",
ROUND(
ROUND(((TRUNC($AN99*3/13,0)+0.99)*VLOOKUP((TRUNC($AN99*3/13,0)+0.99),'Tax scales - NAT 3539'!$A$74:$C$94,2,1)-VLOOKUP((TRUNC($AN99*3/13,0)+0.99),'Tax scales - NAT 3539'!$A$74:$C$94,3,1)),0)
*13/3,
0),
""))),
""),
"")</f>
        <v/>
      </c>
      <c r="AX99" s="118" t="str">
        <f>IFERROR(
IF(VLOOKUP($C99,'Employee information'!$B:$M,COLUMNS('Employee information'!$B:$M),0)=55,
IF($E$2="Fortnightly",
ROUND(
ROUND((((TRUNC($AN99/2,0)+0.99))*VLOOKUP((TRUNC($AN99/2,0)+0.99),'Tax scales - NAT 3539'!$A$99:$C$123,2,1)-VLOOKUP((TRUNC($AN99/2,0)+0.99),'Tax scales - NAT 3539'!$A$99:$C$123,3,1)),0)
*2,
0),
IF(AND($E$2="Monthly",ROUND($AN99-TRUNC($AN99),2)=0.33),
ROUND(
ROUND(((TRUNC(($AN99+0.01)*3/13,0)+0.99)*VLOOKUP((TRUNC(($AN99+0.01)*3/13,0)+0.99),'Tax scales - NAT 3539'!$A$99:$C$123,2,1)-VLOOKUP((TRUNC(($AN99+0.01)*3/13,0)+0.99),'Tax scales - NAT 3539'!$A$99:$C$123,3,1)),0)
*13/3,
0),
IF($E$2="Monthly",
ROUND(
ROUND(((TRUNC($AN99*3/13,0)+0.99)*VLOOKUP((TRUNC($AN99*3/13,0)+0.99),'Tax scales - NAT 3539'!$A$99:$C$123,2,1)-VLOOKUP((TRUNC($AN99*3/13,0)+0.99),'Tax scales - NAT 3539'!$A$99:$C$123,3,1)),0)
*13/3,
0),
""))),
""),
"")</f>
        <v/>
      </c>
      <c r="AY99" s="118" t="str">
        <f>IFERROR(
IF(VLOOKUP($C99,'Employee information'!$B:$M,COLUMNS('Employee information'!$B:$M),0)=66,
IF($E$2="Fortnightly",
ROUND(
ROUND((((TRUNC($AN99/2,0)+0.99))*VLOOKUP((TRUNC($AN99/2,0)+0.99),'Tax scales - NAT 3539'!$A$127:$C$154,2,1)-VLOOKUP((TRUNC($AN99/2,0)+0.99),'Tax scales - NAT 3539'!$A$127:$C$154,3,1)),0)
*2,
0),
IF(AND($E$2="Monthly",ROUND($AN99-TRUNC($AN99),2)=0.33),
ROUND(
ROUND(((TRUNC(($AN99+0.01)*3/13,0)+0.99)*VLOOKUP((TRUNC(($AN99+0.01)*3/13,0)+0.99),'Tax scales - NAT 3539'!$A$127:$C$154,2,1)-VLOOKUP((TRUNC(($AN99+0.01)*3/13,0)+0.99),'Tax scales - NAT 3539'!$A$127:$C$154,3,1)),0)
*13/3,
0),
IF($E$2="Monthly",
ROUND(
ROUND(((TRUNC($AN99*3/13,0)+0.99)*VLOOKUP((TRUNC($AN99*3/13,0)+0.99),'Tax scales - NAT 3539'!$A$127:$C$154,2,1)-VLOOKUP((TRUNC($AN99*3/13,0)+0.99),'Tax scales - NAT 3539'!$A$127:$C$154,3,1)),0)
*13/3,
0),
""))),
""),
"")</f>
        <v/>
      </c>
      <c r="AZ99" s="118">
        <f>IFERROR(
HLOOKUP(VLOOKUP($C99,'Employee information'!$B:$M,COLUMNS('Employee information'!$B:$M),0),'PAYG worksheet'!$AO$97:$AY$116,COUNTA($C$98:$C99)+1,0),
0)</f>
        <v>0</v>
      </c>
      <c r="BA99" s="118"/>
      <c r="BB99" s="118">
        <f t="shared" ref="BB99:BB116" si="108">IFERROR($AM99-$AZ99-$BA99,"")</f>
        <v>0</v>
      </c>
      <c r="BC99" s="119">
        <f>IFERROR(
IF(OR($AE99=1,$AE99=""),SUM($P99,$AA99,$AC99,$AK99)*VLOOKUP($C99,'Employee information'!$B:$Q,COLUMNS('Employee information'!$B:$H),0),
IF($AE99=0,SUM($P99,$AA99,$AK99)*VLOOKUP($C99,'Employee information'!$B:$Q,COLUMNS('Employee information'!$B:$H),0),
0)),
0)</f>
        <v>0</v>
      </c>
      <c r="BE99" s="114">
        <f t="shared" si="93"/>
        <v>1615.3846153846152</v>
      </c>
      <c r="BF99" s="114">
        <f t="shared" si="94"/>
        <v>1615.3846153846152</v>
      </c>
      <c r="BG99" s="114">
        <f t="shared" si="95"/>
        <v>0</v>
      </c>
      <c r="BH99" s="114">
        <f t="shared" si="96"/>
        <v>0</v>
      </c>
      <c r="BI99" s="114">
        <f t="shared" si="97"/>
        <v>474</v>
      </c>
      <c r="BJ99" s="114">
        <f t="shared" si="98"/>
        <v>0</v>
      </c>
      <c r="BK99" s="114">
        <f t="shared" si="99"/>
        <v>0</v>
      </c>
      <c r="BL99" s="114">
        <f t="shared" ref="BL99:BL116" si="109">IF(AND($E$2="Monthly",$A99&gt;12),"",
SUMIFS($AK:$AK,$C:$C,$C99,$A:$A,"&lt;="&amp;$A99)
)</f>
        <v>0</v>
      </c>
      <c r="BM99" s="114">
        <f t="shared" si="100"/>
        <v>153.46153846153845</v>
      </c>
    </row>
    <row r="100" spans="1:65" x14ac:dyDescent="0.25">
      <c r="A100" s="228">
        <f t="shared" si="88"/>
        <v>4</v>
      </c>
      <c r="C100" s="278" t="s">
        <v>14</v>
      </c>
      <c r="E100" s="103">
        <f>IF($C100="",0,
IF(AND($E$2="Monthly",$A100&gt;12),0,
IF($E$2="Monthly",VLOOKUP($C100,'Employee information'!$B:$AM,COLUMNS('Employee information'!$B:S),0),
IF($E$2="Fortnightly",VLOOKUP($C100,'Employee information'!$B:$AM,COLUMNS('Employee information'!$B:R),0),
0))))</f>
        <v>0</v>
      </c>
      <c r="F100" s="106"/>
      <c r="G100" s="106"/>
      <c r="H100" s="106"/>
      <c r="I100" s="106"/>
      <c r="J100" s="103">
        <f t="shared" si="101"/>
        <v>0</v>
      </c>
      <c r="L100" s="113">
        <f>IF(AND($E$2="Monthly",$A100&gt;12),"",
IFERROR($J100*VLOOKUP($C100,'Employee information'!$B:$AI,COLUMNS('Employee information'!$B:$P),0),0))</f>
        <v>0</v>
      </c>
      <c r="M100" s="114">
        <f t="shared" si="102"/>
        <v>900</v>
      </c>
      <c r="O100" s="103">
        <f t="shared" si="103"/>
        <v>0</v>
      </c>
      <c r="P100" s="113">
        <f>IFERROR(
IF(AND($E$2="Monthly",$A100&gt;12),0,
$O100*VLOOKUP($C100,'Employee information'!$B:$AI,COLUMNS('Employee information'!$B:$P),0)),
0)</f>
        <v>0</v>
      </c>
      <c r="R100" s="114">
        <f t="shared" si="89"/>
        <v>900</v>
      </c>
      <c r="T100" s="103"/>
      <c r="U100" s="103"/>
      <c r="V100" s="282">
        <f>IF($C100="","",
IF(AND($E$2="Monthly",$A100&gt;12),"",
$T100*VLOOKUP($C100,'Employee information'!$B:$P,COLUMNS('Employee information'!$B:$P),0)))</f>
        <v>0</v>
      </c>
      <c r="W100" s="282">
        <f>IF($C100="","",
IF(AND($E$2="Monthly",$A100&gt;12),"",
$U100*VLOOKUP($C100,'Employee information'!$B:$P,COLUMNS('Employee information'!$B:$P),0)))</f>
        <v>0</v>
      </c>
      <c r="X100" s="114">
        <f t="shared" si="90"/>
        <v>0</v>
      </c>
      <c r="Y100" s="114">
        <f t="shared" si="91"/>
        <v>0</v>
      </c>
      <c r="AA100" s="118">
        <f>IFERROR(
IF(OR('Basic payroll data'!$D$12="",'Basic payroll data'!$D$12="No"),0,
$T100*VLOOKUP($C100,'Employee information'!$B:$P,COLUMNS('Employee information'!$B:$P),0)*AL_loading_perc),
0)</f>
        <v>0</v>
      </c>
      <c r="AC100" s="118"/>
      <c r="AD100" s="118"/>
      <c r="AE100" s="283" t="str">
        <f t="shared" si="104"/>
        <v/>
      </c>
      <c r="AF100" s="283" t="str">
        <f t="shared" si="105"/>
        <v/>
      </c>
      <c r="AG100" s="118"/>
      <c r="AH100" s="118"/>
      <c r="AI100" s="283" t="str">
        <f t="shared" si="106"/>
        <v/>
      </c>
      <c r="AJ100" s="118"/>
      <c r="AK100" s="118"/>
      <c r="AM100" s="118">
        <f t="shared" si="107"/>
        <v>0</v>
      </c>
      <c r="AN100" s="118">
        <f t="shared" si="92"/>
        <v>0</v>
      </c>
      <c r="AO100" s="118" t="str">
        <f>IFERROR(
IF(VLOOKUP($C100,'Employee information'!$B:$M,COLUMNS('Employee information'!$B:$M),0)=1,
IF($E$2="Fortnightly",
ROUND(
ROUND((((TRUNC($AN100/2,0)+0.99))*VLOOKUP((TRUNC($AN100/2,0)+0.99),'Tax scales - NAT 1004'!$A$12:$C$18,2,1)-VLOOKUP((TRUNC($AN100/2,0)+0.99),'Tax scales - NAT 1004'!$A$12:$C$18,3,1)),0)
*2,
0),
IF(AND($E$2="Monthly",ROUND($AN100-TRUNC($AN100),2)=0.33),
ROUND(
ROUND(((TRUNC(($AN100+0.01)*3/13,0)+0.99)*VLOOKUP((TRUNC(($AN100+0.01)*3/13,0)+0.99),'Tax scales - NAT 1004'!$A$12:$C$18,2,1)-VLOOKUP((TRUNC(($AN100+0.01)*3/13,0)+0.99),'Tax scales - NAT 1004'!$A$12:$C$18,3,1)),0)
*13/3,
0),
IF($E$2="Monthly",
ROUND(
ROUND(((TRUNC($AN100*3/13,0)+0.99)*VLOOKUP((TRUNC($AN100*3/13,0)+0.99),'Tax scales - NAT 1004'!$A$12:$C$18,2,1)-VLOOKUP((TRUNC($AN100*3/13,0)+0.99),'Tax scales - NAT 1004'!$A$12:$C$18,3,1)),0)
*13/3,
0),
""))),
""),
"")</f>
        <v/>
      </c>
      <c r="AP100" s="118" t="str">
        <f>IFERROR(
IF(VLOOKUP($C100,'Employee information'!$B:$M,COLUMNS('Employee information'!$B:$M),0)=2,
IF($E$2="Fortnightly",
ROUND(
ROUND((((TRUNC($AN100/2,0)+0.99))*VLOOKUP((TRUNC($AN100/2,0)+0.99),'Tax scales - NAT 1004'!$A$25:$C$33,2,1)-VLOOKUP((TRUNC($AN100/2,0)+0.99),'Tax scales - NAT 1004'!$A$25:$C$33,3,1)),0)
*2,
0),
IF(AND($E$2="Monthly",ROUND($AN100-TRUNC($AN100),2)=0.33),
ROUND(
ROUND(((TRUNC(($AN100+0.01)*3/13,0)+0.99)*VLOOKUP((TRUNC(($AN100+0.01)*3/13,0)+0.99),'Tax scales - NAT 1004'!$A$25:$C$33,2,1)-VLOOKUP((TRUNC(($AN100+0.01)*3/13,0)+0.99),'Tax scales - NAT 1004'!$A$25:$C$33,3,1)),0)
*13/3,
0),
IF($E$2="Monthly",
ROUND(
ROUND(((TRUNC($AN100*3/13,0)+0.99)*VLOOKUP((TRUNC($AN100*3/13,0)+0.99),'Tax scales - NAT 1004'!$A$25:$C$33,2,1)-VLOOKUP((TRUNC($AN100*3/13,0)+0.99),'Tax scales - NAT 1004'!$A$25:$C$33,3,1)),0)
*13/3,
0),
""))),
""),
"")</f>
        <v/>
      </c>
      <c r="AQ100" s="118" t="str">
        <f>IFERROR(
IF(VLOOKUP($C100,'Employee information'!$B:$M,COLUMNS('Employee information'!$B:$M),0)=3,
IF($E$2="Fortnightly",
ROUND(
ROUND((((TRUNC($AN100/2,0)+0.99))*VLOOKUP((TRUNC($AN100/2,0)+0.99),'Tax scales - NAT 1004'!$A$39:$C$41,2,1)-VLOOKUP((TRUNC($AN100/2,0)+0.99),'Tax scales - NAT 1004'!$A$39:$C$41,3,1)),0)
*2,
0),
IF(AND($E$2="Monthly",ROUND($AN100-TRUNC($AN100),2)=0.33),
ROUND(
ROUND(((TRUNC(($AN100+0.01)*3/13,0)+0.99)*VLOOKUP((TRUNC(($AN100+0.01)*3/13,0)+0.99),'Tax scales - NAT 1004'!$A$39:$C$41,2,1)-VLOOKUP((TRUNC(($AN100+0.01)*3/13,0)+0.99),'Tax scales - NAT 1004'!$A$39:$C$41,3,1)),0)
*13/3,
0),
IF($E$2="Monthly",
ROUND(
ROUND(((TRUNC($AN100*3/13,0)+0.99)*VLOOKUP((TRUNC($AN100*3/13,0)+0.99),'Tax scales - NAT 1004'!$A$39:$C$41,2,1)-VLOOKUP((TRUNC($AN100*3/13,0)+0.99),'Tax scales - NAT 1004'!$A$39:$C$41,3,1)),0)
*13/3,
0),
""))),
""),
"")</f>
        <v/>
      </c>
      <c r="AR100" s="118" t="str">
        <f>IFERROR(
IF(AND(VLOOKUP($C100,'Employee information'!$B:$M,COLUMNS('Employee information'!$B:$M),0)=4,
VLOOKUP($C100,'Employee information'!$B:$J,COLUMNS('Employee information'!$B:$J),0)="Resident"),
TRUNC(TRUNC($AN100)*'Tax scales - NAT 1004'!$B$47),
IF(AND(VLOOKUP($C100,'Employee information'!$B:$M,COLUMNS('Employee information'!$B:$M),0)=4,
VLOOKUP($C100,'Employee information'!$B:$J,COLUMNS('Employee information'!$B:$J),0)="Foreign resident"),
TRUNC(TRUNC($AN100)*'Tax scales - NAT 1004'!$B$48),
"")),
"")</f>
        <v/>
      </c>
      <c r="AS100" s="118" t="str">
        <f>IFERROR(
IF(VLOOKUP($C100,'Employee information'!$B:$M,COLUMNS('Employee information'!$B:$M),0)=5,
IF($E$2="Fortnightly",
ROUND(
ROUND((((TRUNC($AN100/2,0)+0.99))*VLOOKUP((TRUNC($AN100/2,0)+0.99),'Tax scales - NAT 1004'!$A$53:$C$59,2,1)-VLOOKUP((TRUNC($AN100/2,0)+0.99),'Tax scales - NAT 1004'!$A$53:$C$59,3,1)),0)
*2,
0),
IF(AND($E$2="Monthly",ROUND($AN100-TRUNC($AN100),2)=0.33),
ROUND(
ROUND(((TRUNC(($AN100+0.01)*3/13,0)+0.99)*VLOOKUP((TRUNC(($AN100+0.01)*3/13,0)+0.99),'Tax scales - NAT 1004'!$A$53:$C$59,2,1)-VLOOKUP((TRUNC(($AN100+0.01)*3/13,0)+0.99),'Tax scales - NAT 1004'!$A$53:$C$59,3,1)),0)
*13/3,
0),
IF($E$2="Monthly",
ROUND(
ROUND(((TRUNC($AN100*3/13,0)+0.99)*VLOOKUP((TRUNC($AN100*3/13,0)+0.99),'Tax scales - NAT 1004'!$A$53:$C$59,2,1)-VLOOKUP((TRUNC($AN100*3/13,0)+0.99),'Tax scales - NAT 1004'!$A$53:$C$59,3,1)),0)
*13/3,
0),
""))),
""),
"")</f>
        <v/>
      </c>
      <c r="AT100" s="118" t="str">
        <f>IFERROR(
IF(VLOOKUP($C100,'Employee information'!$B:$M,COLUMNS('Employee information'!$B:$M),0)=6,
IF($E$2="Fortnightly",
ROUND(
ROUND((((TRUNC($AN100/2,0)+0.99))*VLOOKUP((TRUNC($AN100/2,0)+0.99),'Tax scales - NAT 1004'!$A$65:$C$73,2,1)-VLOOKUP((TRUNC($AN100/2,0)+0.99),'Tax scales - NAT 1004'!$A$65:$C$73,3,1)),0)
*2,
0),
IF(AND($E$2="Monthly",ROUND($AN100-TRUNC($AN100),2)=0.33),
ROUND(
ROUND(((TRUNC(($AN100+0.01)*3/13,0)+0.99)*VLOOKUP((TRUNC(($AN100+0.01)*3/13,0)+0.99),'Tax scales - NAT 1004'!$A$65:$C$73,2,1)-VLOOKUP((TRUNC(($AN100+0.01)*3/13,0)+0.99),'Tax scales - NAT 1004'!$A$65:$C$73,3,1)),0)
*13/3,
0),
IF($E$2="Monthly",
ROUND(
ROUND(((TRUNC($AN100*3/13,0)+0.99)*VLOOKUP((TRUNC($AN100*3/13,0)+0.99),'Tax scales - NAT 1004'!$A$65:$C$73,2,1)-VLOOKUP((TRUNC($AN100*3/13,0)+0.99),'Tax scales - NAT 1004'!$A$65:$C$73,3,1)),0)
*13/3,
0),
""))),
""),
"")</f>
        <v/>
      </c>
      <c r="AU100" s="118" t="str">
        <f>IFERROR(
IF(VLOOKUP($C100,'Employee information'!$B:$M,COLUMNS('Employee information'!$B:$M),0)=11,
IF($E$2="Fortnightly",
ROUND(
ROUND((((TRUNC($AN100/2,0)+0.99))*VLOOKUP((TRUNC($AN100/2,0)+0.99),'Tax scales - NAT 3539'!$A$14:$C$38,2,1)-VLOOKUP((TRUNC($AN100/2,0)+0.99),'Tax scales - NAT 3539'!$A$14:$C$38,3,1)),0)
*2,
0),
IF(AND($E$2="Monthly",ROUND($AN100-TRUNC($AN100),2)=0.33),
ROUND(
ROUND(((TRUNC(($AN100+0.01)*3/13,0)+0.99)*VLOOKUP((TRUNC(($AN100+0.01)*3/13,0)+0.99),'Tax scales - NAT 3539'!$A$14:$C$38,2,1)-VLOOKUP((TRUNC(($AN100+0.01)*3/13,0)+0.99),'Tax scales - NAT 3539'!$A$14:$C$38,3,1)),0)
*13/3,
0),
IF($E$2="Monthly",
ROUND(
ROUND(((TRUNC($AN100*3/13,0)+0.99)*VLOOKUP((TRUNC($AN100*3/13,0)+0.99),'Tax scales - NAT 3539'!$A$14:$C$38,2,1)-VLOOKUP((TRUNC($AN100*3/13,0)+0.99),'Tax scales - NAT 3539'!$A$14:$C$38,3,1)),0)
*13/3,
0),
""))),
""),
"")</f>
        <v/>
      </c>
      <c r="AV100" s="118" t="str">
        <f>IFERROR(
IF(VLOOKUP($C100,'Employee information'!$B:$M,COLUMNS('Employee information'!$B:$M),0)=22,
IF($E$2="Fortnightly",
ROUND(
ROUND((((TRUNC($AN100/2,0)+0.99))*VLOOKUP((TRUNC($AN100/2,0)+0.99),'Tax scales - NAT 3539'!$A$43:$C$69,2,1)-VLOOKUP((TRUNC($AN100/2,0)+0.99),'Tax scales - NAT 3539'!$A$43:$C$69,3,1)),0)
*2,
0),
IF(AND($E$2="Monthly",ROUND($AN100-TRUNC($AN100),2)=0.33),
ROUND(
ROUND(((TRUNC(($AN100+0.01)*3/13,0)+0.99)*VLOOKUP((TRUNC(($AN100+0.01)*3/13,0)+0.99),'Tax scales - NAT 3539'!$A$43:$C$69,2,1)-VLOOKUP((TRUNC(($AN100+0.01)*3/13,0)+0.99),'Tax scales - NAT 3539'!$A$43:$C$69,3,1)),0)
*13/3,
0),
IF($E$2="Monthly",
ROUND(
ROUND(((TRUNC($AN100*3/13,0)+0.99)*VLOOKUP((TRUNC($AN100*3/13,0)+0.99),'Tax scales - NAT 3539'!$A$43:$C$69,2,1)-VLOOKUP((TRUNC($AN100*3/13,0)+0.99),'Tax scales - NAT 3539'!$A$43:$C$69,3,1)),0)
*13/3,
0),
""))),
""),
"")</f>
        <v/>
      </c>
      <c r="AW100" s="118">
        <f>IFERROR(
IF(VLOOKUP($C100,'Employee information'!$B:$M,COLUMNS('Employee information'!$B:$M),0)=33,
IF($E$2="Fortnightly",
ROUND(
ROUND((((TRUNC($AN100/2,0)+0.99))*VLOOKUP((TRUNC($AN100/2,0)+0.99),'Tax scales - NAT 3539'!$A$74:$C$94,2,1)-VLOOKUP((TRUNC($AN100/2,0)+0.99),'Tax scales - NAT 3539'!$A$74:$C$94,3,1)),0)
*2,
0),
IF(AND($E$2="Monthly",ROUND($AN100-TRUNC($AN100),2)=0.33),
ROUND(
ROUND(((TRUNC(($AN100+0.01)*3/13,0)+0.99)*VLOOKUP((TRUNC(($AN100+0.01)*3/13,0)+0.99),'Tax scales - NAT 3539'!$A$74:$C$94,2,1)-VLOOKUP((TRUNC(($AN100+0.01)*3/13,0)+0.99),'Tax scales - NAT 3539'!$A$74:$C$94,3,1)),0)
*13/3,
0),
IF($E$2="Monthly",
ROUND(
ROUND(((TRUNC($AN100*3/13,0)+0.99)*VLOOKUP((TRUNC($AN100*3/13,0)+0.99),'Tax scales - NAT 3539'!$A$74:$C$94,2,1)-VLOOKUP((TRUNC($AN100*3/13,0)+0.99),'Tax scales - NAT 3539'!$A$74:$C$94,3,1)),0)
*13/3,
0),
""))),
""),
"")</f>
        <v>0</v>
      </c>
      <c r="AX100" s="118" t="str">
        <f>IFERROR(
IF(VLOOKUP($C100,'Employee information'!$B:$M,COLUMNS('Employee information'!$B:$M),0)=55,
IF($E$2="Fortnightly",
ROUND(
ROUND((((TRUNC($AN100/2,0)+0.99))*VLOOKUP((TRUNC($AN100/2,0)+0.99),'Tax scales - NAT 3539'!$A$99:$C$123,2,1)-VLOOKUP((TRUNC($AN100/2,0)+0.99),'Tax scales - NAT 3539'!$A$99:$C$123,3,1)),0)
*2,
0),
IF(AND($E$2="Monthly",ROUND($AN100-TRUNC($AN100),2)=0.33),
ROUND(
ROUND(((TRUNC(($AN100+0.01)*3/13,0)+0.99)*VLOOKUP((TRUNC(($AN100+0.01)*3/13,0)+0.99),'Tax scales - NAT 3539'!$A$99:$C$123,2,1)-VLOOKUP((TRUNC(($AN100+0.01)*3/13,0)+0.99),'Tax scales - NAT 3539'!$A$99:$C$123,3,1)),0)
*13/3,
0),
IF($E$2="Monthly",
ROUND(
ROUND(((TRUNC($AN100*3/13,0)+0.99)*VLOOKUP((TRUNC($AN100*3/13,0)+0.99),'Tax scales - NAT 3539'!$A$99:$C$123,2,1)-VLOOKUP((TRUNC($AN100*3/13,0)+0.99),'Tax scales - NAT 3539'!$A$99:$C$123,3,1)),0)
*13/3,
0),
""))),
""),
"")</f>
        <v/>
      </c>
      <c r="AY100" s="118" t="str">
        <f>IFERROR(
IF(VLOOKUP($C100,'Employee information'!$B:$M,COLUMNS('Employee information'!$B:$M),0)=66,
IF($E$2="Fortnightly",
ROUND(
ROUND((((TRUNC($AN100/2,0)+0.99))*VLOOKUP((TRUNC($AN100/2,0)+0.99),'Tax scales - NAT 3539'!$A$127:$C$154,2,1)-VLOOKUP((TRUNC($AN100/2,0)+0.99),'Tax scales - NAT 3539'!$A$127:$C$154,3,1)),0)
*2,
0),
IF(AND($E$2="Monthly",ROUND($AN100-TRUNC($AN100),2)=0.33),
ROUND(
ROUND(((TRUNC(($AN100+0.01)*3/13,0)+0.99)*VLOOKUP((TRUNC(($AN100+0.01)*3/13,0)+0.99),'Tax scales - NAT 3539'!$A$127:$C$154,2,1)-VLOOKUP((TRUNC(($AN100+0.01)*3/13,0)+0.99),'Tax scales - NAT 3539'!$A$127:$C$154,3,1)),0)
*13/3,
0),
IF($E$2="Monthly",
ROUND(
ROUND(((TRUNC($AN100*3/13,0)+0.99)*VLOOKUP((TRUNC($AN100*3/13,0)+0.99),'Tax scales - NAT 3539'!$A$127:$C$154,2,1)-VLOOKUP((TRUNC($AN100*3/13,0)+0.99),'Tax scales - NAT 3539'!$A$127:$C$154,3,1)),0)
*13/3,
0),
""))),
""),
"")</f>
        <v/>
      </c>
      <c r="AZ100" s="118">
        <f>IFERROR(
HLOOKUP(VLOOKUP($C100,'Employee information'!$B:$M,COLUMNS('Employee information'!$B:$M),0),'PAYG worksheet'!$AO$97:$AY$116,COUNTA($C$98:$C100)+1,0),
0)</f>
        <v>0</v>
      </c>
      <c r="BA100" s="118"/>
      <c r="BB100" s="118">
        <f t="shared" si="108"/>
        <v>0</v>
      </c>
      <c r="BC100" s="119">
        <f>IFERROR(
IF(OR($AE100=1,$AE100=""),SUM($P100,$AA100,$AC100,$AK100)*VLOOKUP($C100,'Employee information'!$B:$Q,COLUMNS('Employee information'!$B:$H),0),
IF($AE100=0,SUM($P100,$AA100,$AK100)*VLOOKUP($C100,'Employee information'!$B:$Q,COLUMNS('Employee information'!$B:$H),0),
0)),
0)</f>
        <v>0</v>
      </c>
      <c r="BE100" s="114">
        <f t="shared" si="93"/>
        <v>900</v>
      </c>
      <c r="BF100" s="114">
        <f t="shared" si="94"/>
        <v>900</v>
      </c>
      <c r="BG100" s="114">
        <f t="shared" si="95"/>
        <v>0</v>
      </c>
      <c r="BH100" s="114">
        <f t="shared" si="96"/>
        <v>0</v>
      </c>
      <c r="BI100" s="114">
        <f t="shared" si="97"/>
        <v>292</v>
      </c>
      <c r="BJ100" s="114">
        <f t="shared" si="98"/>
        <v>0</v>
      </c>
      <c r="BK100" s="114">
        <f t="shared" si="99"/>
        <v>0</v>
      </c>
      <c r="BL100" s="114">
        <f t="shared" si="109"/>
        <v>0</v>
      </c>
      <c r="BM100" s="114">
        <f t="shared" si="100"/>
        <v>85.5</v>
      </c>
    </row>
    <row r="101" spans="1:65" x14ac:dyDescent="0.25">
      <c r="A101" s="228">
        <f t="shared" si="88"/>
        <v>4</v>
      </c>
      <c r="C101" s="278" t="s">
        <v>15</v>
      </c>
      <c r="E101" s="103">
        <f>IF($C101="",0,
IF(AND($E$2="Monthly",$A101&gt;12),0,
IF($E$2="Monthly",VLOOKUP($C101,'Employee information'!$B:$AM,COLUMNS('Employee information'!$B:S),0),
IF($E$2="Fortnightly",VLOOKUP($C101,'Employee information'!$B:$AM,COLUMNS('Employee information'!$B:R),0),
0))))</f>
        <v>75</v>
      </c>
      <c r="F101" s="106"/>
      <c r="G101" s="106"/>
      <c r="H101" s="106"/>
      <c r="I101" s="106"/>
      <c r="J101" s="103">
        <f t="shared" si="101"/>
        <v>75</v>
      </c>
      <c r="L101" s="113">
        <f>IF(AND($E$2="Monthly",$A101&gt;12),"",
IFERROR($J101*VLOOKUP($C101,'Employee information'!$B:$AI,COLUMNS('Employee information'!$B:$P),0),0))</f>
        <v>7692.3076923076924</v>
      </c>
      <c r="M101" s="114">
        <f t="shared" si="102"/>
        <v>30769.23076923077</v>
      </c>
      <c r="O101" s="103">
        <f t="shared" si="103"/>
        <v>75</v>
      </c>
      <c r="P101" s="113">
        <f>IFERROR(
IF(AND($E$2="Monthly",$A101&gt;12),0,
$O101*VLOOKUP($C101,'Employee information'!$B:$AI,COLUMNS('Employee information'!$B:$P),0)),
0)</f>
        <v>7692.3076923076924</v>
      </c>
      <c r="R101" s="114">
        <f t="shared" si="89"/>
        <v>30769.23076923077</v>
      </c>
      <c r="T101" s="103"/>
      <c r="U101" s="103"/>
      <c r="V101" s="282">
        <f>IF($C101="","",
IF(AND($E$2="Monthly",$A101&gt;12),"",
$T101*VLOOKUP($C101,'Employee information'!$B:$P,COLUMNS('Employee information'!$B:$P),0)))</f>
        <v>0</v>
      </c>
      <c r="W101" s="282">
        <f>IF($C101="","",
IF(AND($E$2="Monthly",$A101&gt;12),"",
$U101*VLOOKUP($C101,'Employee information'!$B:$P,COLUMNS('Employee information'!$B:$P),0)))</f>
        <v>0</v>
      </c>
      <c r="X101" s="114">
        <f t="shared" si="90"/>
        <v>1538.4615384615386</v>
      </c>
      <c r="Y101" s="114">
        <f t="shared" si="91"/>
        <v>512.82051282051282</v>
      </c>
      <c r="AA101" s="118">
        <f>IFERROR(
IF(OR('Basic payroll data'!$D$12="",'Basic payroll data'!$D$12="No"),0,
$T101*VLOOKUP($C101,'Employee information'!$B:$P,COLUMNS('Employee information'!$B:$P),0)*AL_loading_perc),
0)</f>
        <v>0</v>
      </c>
      <c r="AC101" s="118"/>
      <c r="AD101" s="118"/>
      <c r="AE101" s="283" t="str">
        <f t="shared" si="104"/>
        <v/>
      </c>
      <c r="AF101" s="283" t="str">
        <f t="shared" si="105"/>
        <v/>
      </c>
      <c r="AG101" s="118"/>
      <c r="AH101" s="118"/>
      <c r="AI101" s="283" t="str">
        <f t="shared" si="106"/>
        <v/>
      </c>
      <c r="AJ101" s="118"/>
      <c r="AK101" s="118"/>
      <c r="AM101" s="118">
        <f t="shared" si="107"/>
        <v>7692.3076923076924</v>
      </c>
      <c r="AN101" s="118">
        <f t="shared" si="92"/>
        <v>7692.3076923076924</v>
      </c>
      <c r="AO101" s="118" t="str">
        <f>IFERROR(
IF(VLOOKUP($C101,'Employee information'!$B:$M,COLUMNS('Employee information'!$B:$M),0)=1,
IF($E$2="Fortnightly",
ROUND(
ROUND((((TRUNC($AN101/2,0)+0.99))*VLOOKUP((TRUNC($AN101/2,0)+0.99),'Tax scales - NAT 1004'!$A$12:$C$18,2,1)-VLOOKUP((TRUNC($AN101/2,0)+0.99),'Tax scales - NAT 1004'!$A$12:$C$18,3,1)),0)
*2,
0),
IF(AND($E$2="Monthly",ROUND($AN101-TRUNC($AN101),2)=0.33),
ROUND(
ROUND(((TRUNC(($AN101+0.01)*3/13,0)+0.99)*VLOOKUP((TRUNC(($AN101+0.01)*3/13,0)+0.99),'Tax scales - NAT 1004'!$A$12:$C$18,2,1)-VLOOKUP((TRUNC(($AN101+0.01)*3/13,0)+0.99),'Tax scales - NAT 1004'!$A$12:$C$18,3,1)),0)
*13/3,
0),
IF($E$2="Monthly",
ROUND(
ROUND(((TRUNC($AN101*3/13,0)+0.99)*VLOOKUP((TRUNC($AN101*3/13,0)+0.99),'Tax scales - NAT 1004'!$A$12:$C$18,2,1)-VLOOKUP((TRUNC($AN101*3/13,0)+0.99),'Tax scales - NAT 1004'!$A$12:$C$18,3,1)),0)
*13/3,
0),
""))),
""),
"")</f>
        <v/>
      </c>
      <c r="AP101" s="118" t="str">
        <f>IFERROR(
IF(VLOOKUP($C101,'Employee information'!$B:$M,COLUMNS('Employee information'!$B:$M),0)=2,
IF($E$2="Fortnightly",
ROUND(
ROUND((((TRUNC($AN101/2,0)+0.99))*VLOOKUP((TRUNC($AN101/2,0)+0.99),'Tax scales - NAT 1004'!$A$25:$C$33,2,1)-VLOOKUP((TRUNC($AN101/2,0)+0.99),'Tax scales - NAT 1004'!$A$25:$C$33,3,1)),0)
*2,
0),
IF(AND($E$2="Monthly",ROUND($AN101-TRUNC($AN101),2)=0.33),
ROUND(
ROUND(((TRUNC(($AN101+0.01)*3/13,0)+0.99)*VLOOKUP((TRUNC(($AN101+0.01)*3/13,0)+0.99),'Tax scales - NAT 1004'!$A$25:$C$33,2,1)-VLOOKUP((TRUNC(($AN101+0.01)*3/13,0)+0.99),'Tax scales - NAT 1004'!$A$25:$C$33,3,1)),0)
*13/3,
0),
IF($E$2="Monthly",
ROUND(
ROUND(((TRUNC($AN101*3/13,0)+0.99)*VLOOKUP((TRUNC($AN101*3/13,0)+0.99),'Tax scales - NAT 1004'!$A$25:$C$33,2,1)-VLOOKUP((TRUNC($AN101*3/13,0)+0.99),'Tax scales - NAT 1004'!$A$25:$C$33,3,1)),0)
*13/3,
0),
""))),
""),
"")</f>
        <v/>
      </c>
      <c r="AQ101" s="118" t="str">
        <f>IFERROR(
IF(VLOOKUP($C101,'Employee information'!$B:$M,COLUMNS('Employee information'!$B:$M),0)=3,
IF($E$2="Fortnightly",
ROUND(
ROUND((((TRUNC($AN101/2,0)+0.99))*VLOOKUP((TRUNC($AN101/2,0)+0.99),'Tax scales - NAT 1004'!$A$39:$C$41,2,1)-VLOOKUP((TRUNC($AN101/2,0)+0.99),'Tax scales - NAT 1004'!$A$39:$C$41,3,1)),0)
*2,
0),
IF(AND($E$2="Monthly",ROUND($AN101-TRUNC($AN101),2)=0.33),
ROUND(
ROUND(((TRUNC(($AN101+0.01)*3/13,0)+0.99)*VLOOKUP((TRUNC(($AN101+0.01)*3/13,0)+0.99),'Tax scales - NAT 1004'!$A$39:$C$41,2,1)-VLOOKUP((TRUNC(($AN101+0.01)*3/13,0)+0.99),'Tax scales - NAT 1004'!$A$39:$C$41,3,1)),0)
*13/3,
0),
IF($E$2="Monthly",
ROUND(
ROUND(((TRUNC($AN101*3/13,0)+0.99)*VLOOKUP((TRUNC($AN101*3/13,0)+0.99),'Tax scales - NAT 1004'!$A$39:$C$41,2,1)-VLOOKUP((TRUNC($AN101*3/13,0)+0.99),'Tax scales - NAT 1004'!$A$39:$C$41,3,1)),0)
*13/3,
0),
""))),
""),
"")</f>
        <v/>
      </c>
      <c r="AR101" s="118" t="str">
        <f>IFERROR(
IF(AND(VLOOKUP($C101,'Employee information'!$B:$M,COLUMNS('Employee information'!$B:$M),0)=4,
VLOOKUP($C101,'Employee information'!$B:$J,COLUMNS('Employee information'!$B:$J),0)="Resident"),
TRUNC(TRUNC($AN101)*'Tax scales - NAT 1004'!$B$47),
IF(AND(VLOOKUP($C101,'Employee information'!$B:$M,COLUMNS('Employee information'!$B:$M),0)=4,
VLOOKUP($C101,'Employee information'!$B:$J,COLUMNS('Employee information'!$B:$J),0)="Foreign resident"),
TRUNC(TRUNC($AN101)*'Tax scales - NAT 1004'!$B$48),
"")),
"")</f>
        <v/>
      </c>
      <c r="AS101" s="118" t="str">
        <f>IFERROR(
IF(VLOOKUP($C101,'Employee information'!$B:$M,COLUMNS('Employee information'!$B:$M),0)=5,
IF($E$2="Fortnightly",
ROUND(
ROUND((((TRUNC($AN101/2,0)+0.99))*VLOOKUP((TRUNC($AN101/2,0)+0.99),'Tax scales - NAT 1004'!$A$53:$C$59,2,1)-VLOOKUP((TRUNC($AN101/2,0)+0.99),'Tax scales - NAT 1004'!$A$53:$C$59,3,1)),0)
*2,
0),
IF(AND($E$2="Monthly",ROUND($AN101-TRUNC($AN101),2)=0.33),
ROUND(
ROUND(((TRUNC(($AN101+0.01)*3/13,0)+0.99)*VLOOKUP((TRUNC(($AN101+0.01)*3/13,0)+0.99),'Tax scales - NAT 1004'!$A$53:$C$59,2,1)-VLOOKUP((TRUNC(($AN101+0.01)*3/13,0)+0.99),'Tax scales - NAT 1004'!$A$53:$C$59,3,1)),0)
*13/3,
0),
IF($E$2="Monthly",
ROUND(
ROUND(((TRUNC($AN101*3/13,0)+0.99)*VLOOKUP((TRUNC($AN101*3/13,0)+0.99),'Tax scales - NAT 1004'!$A$53:$C$59,2,1)-VLOOKUP((TRUNC($AN101*3/13,0)+0.99),'Tax scales - NAT 1004'!$A$53:$C$59,3,1)),0)
*13/3,
0),
""))),
""),
"")</f>
        <v/>
      </c>
      <c r="AT101" s="118" t="str">
        <f>IFERROR(
IF(VLOOKUP($C101,'Employee information'!$B:$M,COLUMNS('Employee information'!$B:$M),0)=6,
IF($E$2="Fortnightly",
ROUND(
ROUND((((TRUNC($AN101/2,0)+0.99))*VLOOKUP((TRUNC($AN101/2,0)+0.99),'Tax scales - NAT 1004'!$A$65:$C$73,2,1)-VLOOKUP((TRUNC($AN101/2,0)+0.99),'Tax scales - NAT 1004'!$A$65:$C$73,3,1)),0)
*2,
0),
IF(AND($E$2="Monthly",ROUND($AN101-TRUNC($AN101),2)=0.33),
ROUND(
ROUND(((TRUNC(($AN101+0.01)*3/13,0)+0.99)*VLOOKUP((TRUNC(($AN101+0.01)*3/13,0)+0.99),'Tax scales - NAT 1004'!$A$65:$C$73,2,1)-VLOOKUP((TRUNC(($AN101+0.01)*3/13,0)+0.99),'Tax scales - NAT 1004'!$A$65:$C$73,3,1)),0)
*13/3,
0),
IF($E$2="Monthly",
ROUND(
ROUND(((TRUNC($AN101*3/13,0)+0.99)*VLOOKUP((TRUNC($AN101*3/13,0)+0.99),'Tax scales - NAT 1004'!$A$65:$C$73,2,1)-VLOOKUP((TRUNC($AN101*3/13,0)+0.99),'Tax scales - NAT 1004'!$A$65:$C$73,3,1)),0)
*13/3,
0),
""))),
""),
"")</f>
        <v/>
      </c>
      <c r="AU101" s="118" t="str">
        <f>IFERROR(
IF(VLOOKUP($C101,'Employee information'!$B:$M,COLUMNS('Employee information'!$B:$M),0)=11,
IF($E$2="Fortnightly",
ROUND(
ROUND((((TRUNC($AN101/2,0)+0.99))*VLOOKUP((TRUNC($AN101/2,0)+0.99),'Tax scales - NAT 3539'!$A$14:$C$38,2,1)-VLOOKUP((TRUNC($AN101/2,0)+0.99),'Tax scales - NAT 3539'!$A$14:$C$38,3,1)),0)
*2,
0),
IF(AND($E$2="Monthly",ROUND($AN101-TRUNC($AN101),2)=0.33),
ROUND(
ROUND(((TRUNC(($AN101+0.01)*3/13,0)+0.99)*VLOOKUP((TRUNC(($AN101+0.01)*3/13,0)+0.99),'Tax scales - NAT 3539'!$A$14:$C$38,2,1)-VLOOKUP((TRUNC(($AN101+0.01)*3/13,0)+0.99),'Tax scales - NAT 3539'!$A$14:$C$38,3,1)),0)
*13/3,
0),
IF($E$2="Monthly",
ROUND(
ROUND(((TRUNC($AN101*3/13,0)+0.99)*VLOOKUP((TRUNC($AN101*3/13,0)+0.99),'Tax scales - NAT 3539'!$A$14:$C$38,2,1)-VLOOKUP((TRUNC($AN101*3/13,0)+0.99),'Tax scales - NAT 3539'!$A$14:$C$38,3,1)),0)
*13/3,
0),
""))),
""),
"")</f>
        <v/>
      </c>
      <c r="AV101" s="118" t="str">
        <f>IFERROR(
IF(VLOOKUP($C101,'Employee information'!$B:$M,COLUMNS('Employee information'!$B:$M),0)=22,
IF($E$2="Fortnightly",
ROUND(
ROUND((((TRUNC($AN101/2,0)+0.99))*VLOOKUP((TRUNC($AN101/2,0)+0.99),'Tax scales - NAT 3539'!$A$43:$C$69,2,1)-VLOOKUP((TRUNC($AN101/2,0)+0.99),'Tax scales - NAT 3539'!$A$43:$C$69,3,1)),0)
*2,
0),
IF(AND($E$2="Monthly",ROUND($AN101-TRUNC($AN101),2)=0.33),
ROUND(
ROUND(((TRUNC(($AN101+0.01)*3/13,0)+0.99)*VLOOKUP((TRUNC(($AN101+0.01)*3/13,0)+0.99),'Tax scales - NAT 3539'!$A$43:$C$69,2,1)-VLOOKUP((TRUNC(($AN101+0.01)*3/13,0)+0.99),'Tax scales - NAT 3539'!$A$43:$C$69,3,1)),0)
*13/3,
0),
IF($E$2="Monthly",
ROUND(
ROUND(((TRUNC($AN101*3/13,0)+0.99)*VLOOKUP((TRUNC($AN101*3/13,0)+0.99),'Tax scales - NAT 3539'!$A$43:$C$69,2,1)-VLOOKUP((TRUNC($AN101*3/13,0)+0.99),'Tax scales - NAT 3539'!$A$43:$C$69,3,1)),0)
*13/3,
0),
""))),
""),
"")</f>
        <v/>
      </c>
      <c r="AW101" s="118" t="str">
        <f>IFERROR(
IF(VLOOKUP($C101,'Employee information'!$B:$M,COLUMNS('Employee information'!$B:$M),0)=33,
IF($E$2="Fortnightly",
ROUND(
ROUND((((TRUNC($AN101/2,0)+0.99))*VLOOKUP((TRUNC($AN101/2,0)+0.99),'Tax scales - NAT 3539'!$A$74:$C$94,2,1)-VLOOKUP((TRUNC($AN101/2,0)+0.99),'Tax scales - NAT 3539'!$A$74:$C$94,3,1)),0)
*2,
0),
IF(AND($E$2="Monthly",ROUND($AN101-TRUNC($AN101),2)=0.33),
ROUND(
ROUND(((TRUNC(($AN101+0.01)*3/13,0)+0.99)*VLOOKUP((TRUNC(($AN101+0.01)*3/13,0)+0.99),'Tax scales - NAT 3539'!$A$74:$C$94,2,1)-VLOOKUP((TRUNC(($AN101+0.01)*3/13,0)+0.99),'Tax scales - NAT 3539'!$A$74:$C$94,3,1)),0)
*13/3,
0),
IF($E$2="Monthly",
ROUND(
ROUND(((TRUNC($AN101*3/13,0)+0.99)*VLOOKUP((TRUNC($AN101*3/13,0)+0.99),'Tax scales - NAT 3539'!$A$74:$C$94,2,1)-VLOOKUP((TRUNC($AN101*3/13,0)+0.99),'Tax scales - NAT 3539'!$A$74:$C$94,3,1)),0)
*13/3,
0),
""))),
""),
"")</f>
        <v/>
      </c>
      <c r="AX101" s="118">
        <f>IFERROR(
IF(VLOOKUP($C101,'Employee information'!$B:$M,COLUMNS('Employee information'!$B:$M),0)=55,
IF($E$2="Fortnightly",
ROUND(
ROUND((((TRUNC($AN101/2,0)+0.99))*VLOOKUP((TRUNC($AN101/2,0)+0.99),'Tax scales - NAT 3539'!$A$99:$C$123,2,1)-VLOOKUP((TRUNC($AN101/2,0)+0.99),'Tax scales - NAT 3539'!$A$99:$C$123,3,1)),0)
*2,
0),
IF(AND($E$2="Monthly",ROUND($AN101-TRUNC($AN101),2)=0.33),
ROUND(
ROUND(((TRUNC(($AN101+0.01)*3/13,0)+0.99)*VLOOKUP((TRUNC(($AN101+0.01)*3/13,0)+0.99),'Tax scales - NAT 3539'!$A$99:$C$123,2,1)-VLOOKUP((TRUNC(($AN101+0.01)*3/13,0)+0.99),'Tax scales - NAT 3539'!$A$99:$C$123,3,1)),0)
*13/3,
0),
IF($E$2="Monthly",
ROUND(
ROUND(((TRUNC($AN101*3/13,0)+0.99)*VLOOKUP((TRUNC($AN101*3/13,0)+0.99),'Tax scales - NAT 3539'!$A$99:$C$123,2,1)-VLOOKUP((TRUNC($AN101*3/13,0)+0.99),'Tax scales - NAT 3539'!$A$99:$C$123,3,1)),0)
*13/3,
0),
""))),
""),
"")</f>
        <v>3104</v>
      </c>
      <c r="AY101" s="118" t="str">
        <f>IFERROR(
IF(VLOOKUP($C101,'Employee information'!$B:$M,COLUMNS('Employee information'!$B:$M),0)=66,
IF($E$2="Fortnightly",
ROUND(
ROUND((((TRUNC($AN101/2,0)+0.99))*VLOOKUP((TRUNC($AN101/2,0)+0.99),'Tax scales - NAT 3539'!$A$127:$C$154,2,1)-VLOOKUP((TRUNC($AN101/2,0)+0.99),'Tax scales - NAT 3539'!$A$127:$C$154,3,1)),0)
*2,
0),
IF(AND($E$2="Monthly",ROUND($AN101-TRUNC($AN101),2)=0.33),
ROUND(
ROUND(((TRUNC(($AN101+0.01)*3/13,0)+0.99)*VLOOKUP((TRUNC(($AN101+0.01)*3/13,0)+0.99),'Tax scales - NAT 3539'!$A$127:$C$154,2,1)-VLOOKUP((TRUNC(($AN101+0.01)*3/13,0)+0.99),'Tax scales - NAT 3539'!$A$127:$C$154,3,1)),0)
*13/3,
0),
IF($E$2="Monthly",
ROUND(
ROUND(((TRUNC($AN101*3/13,0)+0.99)*VLOOKUP((TRUNC($AN101*3/13,0)+0.99),'Tax scales - NAT 3539'!$A$127:$C$154,2,1)-VLOOKUP((TRUNC($AN101*3/13,0)+0.99),'Tax scales - NAT 3539'!$A$127:$C$154,3,1)),0)
*13/3,
0),
""))),
""),
"")</f>
        <v/>
      </c>
      <c r="AZ101" s="118">
        <f>IFERROR(
HLOOKUP(VLOOKUP($C101,'Employee information'!$B:$M,COLUMNS('Employee information'!$B:$M),0),'PAYG worksheet'!$AO$97:$AY$116,COUNTA($C$98:$C101)+1,0),
0)</f>
        <v>3104</v>
      </c>
      <c r="BA101" s="118"/>
      <c r="BB101" s="118">
        <f t="shared" si="108"/>
        <v>4588.3076923076924</v>
      </c>
      <c r="BC101" s="119">
        <f>IFERROR(
IF(OR($AE101=1,$AE101=""),SUM($P101,$AA101,$AC101,$AK101)*VLOOKUP($C101,'Employee information'!$B:$Q,COLUMNS('Employee information'!$B:$H),0),
IF($AE101=0,SUM($P101,$AA101,$AK101)*VLOOKUP($C101,'Employee information'!$B:$Q,COLUMNS('Employee information'!$B:$H),0),
0)),
0)</f>
        <v>730.76923076923083</v>
      </c>
      <c r="BE101" s="114">
        <f t="shared" si="93"/>
        <v>30909.23076923077</v>
      </c>
      <c r="BF101" s="114">
        <f t="shared" si="94"/>
        <v>30769.23076923077</v>
      </c>
      <c r="BG101" s="114">
        <f t="shared" si="95"/>
        <v>0</v>
      </c>
      <c r="BH101" s="114">
        <f t="shared" si="96"/>
        <v>140</v>
      </c>
      <c r="BI101" s="114">
        <f t="shared" si="97"/>
        <v>12416</v>
      </c>
      <c r="BJ101" s="114">
        <f t="shared" si="98"/>
        <v>0</v>
      </c>
      <c r="BK101" s="114">
        <f t="shared" si="99"/>
        <v>0</v>
      </c>
      <c r="BL101" s="114">
        <f t="shared" si="109"/>
        <v>0</v>
      </c>
      <c r="BM101" s="114">
        <f t="shared" si="100"/>
        <v>2923.0769230769233</v>
      </c>
    </row>
    <row r="102" spans="1:65" x14ac:dyDescent="0.25">
      <c r="A102" s="228">
        <f t="shared" si="88"/>
        <v>4</v>
      </c>
      <c r="C102" s="278" t="s">
        <v>16</v>
      </c>
      <c r="E102" s="103">
        <f>IF($C102="",0,
IF(AND($E$2="Monthly",$A102&gt;12),0,
IF($E$2="Monthly",VLOOKUP($C102,'Employee information'!$B:$AM,COLUMNS('Employee information'!$B:S),0),
IF($E$2="Fortnightly",VLOOKUP($C102,'Employee information'!$B:$AM,COLUMNS('Employee information'!$B:R),0),
0))))</f>
        <v>75</v>
      </c>
      <c r="F102" s="106"/>
      <c r="G102" s="106"/>
      <c r="H102" s="106"/>
      <c r="I102" s="106"/>
      <c r="J102" s="103">
        <f t="shared" si="101"/>
        <v>75</v>
      </c>
      <c r="L102" s="113">
        <f>IF(AND($E$2="Monthly",$A102&gt;12),"",
IFERROR($J102*VLOOKUP($C102,'Employee information'!$B:$AI,COLUMNS('Employee information'!$B:$P),0),0))</f>
        <v>4125</v>
      </c>
      <c r="M102" s="114">
        <f t="shared" si="102"/>
        <v>16500</v>
      </c>
      <c r="O102" s="103">
        <f t="shared" si="103"/>
        <v>75</v>
      </c>
      <c r="P102" s="113">
        <f>IFERROR(
IF(AND($E$2="Monthly",$A102&gt;12),0,
$O102*VLOOKUP($C102,'Employee information'!$B:$AI,COLUMNS('Employee information'!$B:$P),0)),
0)</f>
        <v>4125</v>
      </c>
      <c r="R102" s="114">
        <f t="shared" si="89"/>
        <v>16500</v>
      </c>
      <c r="T102" s="103"/>
      <c r="U102" s="103"/>
      <c r="V102" s="282">
        <f>IF($C102="","",
IF(AND($E$2="Monthly",$A102&gt;12),"",
$T102*VLOOKUP($C102,'Employee information'!$B:$P,COLUMNS('Employee information'!$B:$P),0)))</f>
        <v>0</v>
      </c>
      <c r="W102" s="282">
        <f>IF($C102="","",
IF(AND($E$2="Monthly",$A102&gt;12),"",
$U102*VLOOKUP($C102,'Employee information'!$B:$P,COLUMNS('Employee information'!$B:$P),0)))</f>
        <v>0</v>
      </c>
      <c r="X102" s="114">
        <f t="shared" si="90"/>
        <v>0</v>
      </c>
      <c r="Y102" s="114">
        <f t="shared" si="91"/>
        <v>0</v>
      </c>
      <c r="AA102" s="118">
        <f>IFERROR(
IF(OR('Basic payroll data'!$D$12="",'Basic payroll data'!$D$12="No"),0,
$T102*VLOOKUP($C102,'Employee information'!$B:$P,COLUMNS('Employee information'!$B:$P),0)*AL_loading_perc),
0)</f>
        <v>0</v>
      </c>
      <c r="AC102" s="118"/>
      <c r="AD102" s="118"/>
      <c r="AE102" s="283" t="str">
        <f t="shared" si="104"/>
        <v/>
      </c>
      <c r="AF102" s="283" t="str">
        <f t="shared" si="105"/>
        <v/>
      </c>
      <c r="AG102" s="118"/>
      <c r="AH102" s="118"/>
      <c r="AI102" s="283" t="str">
        <f t="shared" si="106"/>
        <v/>
      </c>
      <c r="AJ102" s="118"/>
      <c r="AK102" s="118"/>
      <c r="AM102" s="118">
        <f t="shared" si="107"/>
        <v>4125</v>
      </c>
      <c r="AN102" s="118">
        <f t="shared" si="92"/>
        <v>4125</v>
      </c>
      <c r="AO102" s="118" t="str">
        <f>IFERROR(
IF(VLOOKUP($C102,'Employee information'!$B:$M,COLUMNS('Employee information'!$B:$M),0)=1,
IF($E$2="Fortnightly",
ROUND(
ROUND((((TRUNC($AN102/2,0)+0.99))*VLOOKUP((TRUNC($AN102/2,0)+0.99),'Tax scales - NAT 1004'!$A$12:$C$18,2,1)-VLOOKUP((TRUNC($AN102/2,0)+0.99),'Tax scales - NAT 1004'!$A$12:$C$18,3,1)),0)
*2,
0),
IF(AND($E$2="Monthly",ROUND($AN102-TRUNC($AN102),2)=0.33),
ROUND(
ROUND(((TRUNC(($AN102+0.01)*3/13,0)+0.99)*VLOOKUP((TRUNC(($AN102+0.01)*3/13,0)+0.99),'Tax scales - NAT 1004'!$A$12:$C$18,2,1)-VLOOKUP((TRUNC(($AN102+0.01)*3/13,0)+0.99),'Tax scales - NAT 1004'!$A$12:$C$18,3,1)),0)
*13/3,
0),
IF($E$2="Monthly",
ROUND(
ROUND(((TRUNC($AN102*3/13,0)+0.99)*VLOOKUP((TRUNC($AN102*3/13,0)+0.99),'Tax scales - NAT 1004'!$A$12:$C$18,2,1)-VLOOKUP((TRUNC($AN102*3/13,0)+0.99),'Tax scales - NAT 1004'!$A$12:$C$18,3,1)),0)
*13/3,
0),
""))),
""),
"")</f>
        <v/>
      </c>
      <c r="AP102" s="118" t="str">
        <f>IFERROR(
IF(VLOOKUP($C102,'Employee information'!$B:$M,COLUMNS('Employee information'!$B:$M),0)=2,
IF($E$2="Fortnightly",
ROUND(
ROUND((((TRUNC($AN102/2,0)+0.99))*VLOOKUP((TRUNC($AN102/2,0)+0.99),'Tax scales - NAT 1004'!$A$25:$C$33,2,1)-VLOOKUP((TRUNC($AN102/2,0)+0.99),'Tax scales - NAT 1004'!$A$25:$C$33,3,1)),0)
*2,
0),
IF(AND($E$2="Monthly",ROUND($AN102-TRUNC($AN102),2)=0.33),
ROUND(
ROUND(((TRUNC(($AN102+0.01)*3/13,0)+0.99)*VLOOKUP((TRUNC(($AN102+0.01)*3/13,0)+0.99),'Tax scales - NAT 1004'!$A$25:$C$33,2,1)-VLOOKUP((TRUNC(($AN102+0.01)*3/13,0)+0.99),'Tax scales - NAT 1004'!$A$25:$C$33,3,1)),0)
*13/3,
0),
IF($E$2="Monthly",
ROUND(
ROUND(((TRUNC($AN102*3/13,0)+0.99)*VLOOKUP((TRUNC($AN102*3/13,0)+0.99),'Tax scales - NAT 1004'!$A$25:$C$33,2,1)-VLOOKUP((TRUNC($AN102*3/13,0)+0.99),'Tax scales - NAT 1004'!$A$25:$C$33,3,1)),0)
*13/3,
0),
""))),
""),
"")</f>
        <v/>
      </c>
      <c r="AQ102" s="118" t="str">
        <f>IFERROR(
IF(VLOOKUP($C102,'Employee information'!$B:$M,COLUMNS('Employee information'!$B:$M),0)=3,
IF($E$2="Fortnightly",
ROUND(
ROUND((((TRUNC($AN102/2,0)+0.99))*VLOOKUP((TRUNC($AN102/2,0)+0.99),'Tax scales - NAT 1004'!$A$39:$C$41,2,1)-VLOOKUP((TRUNC($AN102/2,0)+0.99),'Tax scales - NAT 1004'!$A$39:$C$41,3,1)),0)
*2,
0),
IF(AND($E$2="Monthly",ROUND($AN102-TRUNC($AN102),2)=0.33),
ROUND(
ROUND(((TRUNC(($AN102+0.01)*3/13,0)+0.99)*VLOOKUP((TRUNC(($AN102+0.01)*3/13,0)+0.99),'Tax scales - NAT 1004'!$A$39:$C$41,2,1)-VLOOKUP((TRUNC(($AN102+0.01)*3/13,0)+0.99),'Tax scales - NAT 1004'!$A$39:$C$41,3,1)),0)
*13/3,
0),
IF($E$2="Monthly",
ROUND(
ROUND(((TRUNC($AN102*3/13,0)+0.99)*VLOOKUP((TRUNC($AN102*3/13,0)+0.99),'Tax scales - NAT 1004'!$A$39:$C$41,2,1)-VLOOKUP((TRUNC($AN102*3/13,0)+0.99),'Tax scales - NAT 1004'!$A$39:$C$41,3,1)),0)
*13/3,
0),
""))),
""),
"")</f>
        <v/>
      </c>
      <c r="AR102" s="118" t="str">
        <f>IFERROR(
IF(AND(VLOOKUP($C102,'Employee information'!$B:$M,COLUMNS('Employee information'!$B:$M),0)=4,
VLOOKUP($C102,'Employee information'!$B:$J,COLUMNS('Employee information'!$B:$J),0)="Resident"),
TRUNC(TRUNC($AN102)*'Tax scales - NAT 1004'!$B$47),
IF(AND(VLOOKUP($C102,'Employee information'!$B:$M,COLUMNS('Employee information'!$B:$M),0)=4,
VLOOKUP($C102,'Employee information'!$B:$J,COLUMNS('Employee information'!$B:$J),0)="Foreign resident"),
TRUNC(TRUNC($AN102)*'Tax scales - NAT 1004'!$B$48),
"")),
"")</f>
        <v/>
      </c>
      <c r="AS102" s="118" t="str">
        <f>IFERROR(
IF(VLOOKUP($C102,'Employee information'!$B:$M,COLUMNS('Employee information'!$B:$M),0)=5,
IF($E$2="Fortnightly",
ROUND(
ROUND((((TRUNC($AN102/2,0)+0.99))*VLOOKUP((TRUNC($AN102/2,0)+0.99),'Tax scales - NAT 1004'!$A$53:$C$59,2,1)-VLOOKUP((TRUNC($AN102/2,0)+0.99),'Tax scales - NAT 1004'!$A$53:$C$59,3,1)),0)
*2,
0),
IF(AND($E$2="Monthly",ROUND($AN102-TRUNC($AN102),2)=0.33),
ROUND(
ROUND(((TRUNC(($AN102+0.01)*3/13,0)+0.99)*VLOOKUP((TRUNC(($AN102+0.01)*3/13,0)+0.99),'Tax scales - NAT 1004'!$A$53:$C$59,2,1)-VLOOKUP((TRUNC(($AN102+0.01)*3/13,0)+0.99),'Tax scales - NAT 1004'!$A$53:$C$59,3,1)),0)
*13/3,
0),
IF($E$2="Monthly",
ROUND(
ROUND(((TRUNC($AN102*3/13,0)+0.99)*VLOOKUP((TRUNC($AN102*3/13,0)+0.99),'Tax scales - NAT 1004'!$A$53:$C$59,2,1)-VLOOKUP((TRUNC($AN102*3/13,0)+0.99),'Tax scales - NAT 1004'!$A$53:$C$59,3,1)),0)
*13/3,
0),
""))),
""),
"")</f>
        <v/>
      </c>
      <c r="AT102" s="118" t="str">
        <f>IFERROR(
IF(VLOOKUP($C102,'Employee information'!$B:$M,COLUMNS('Employee information'!$B:$M),0)=6,
IF($E$2="Fortnightly",
ROUND(
ROUND((((TRUNC($AN102/2,0)+0.99))*VLOOKUP((TRUNC($AN102/2,0)+0.99),'Tax scales - NAT 1004'!$A$65:$C$73,2,1)-VLOOKUP((TRUNC($AN102/2,0)+0.99),'Tax scales - NAT 1004'!$A$65:$C$73,3,1)),0)
*2,
0),
IF(AND($E$2="Monthly",ROUND($AN102-TRUNC($AN102),2)=0.33),
ROUND(
ROUND(((TRUNC(($AN102+0.01)*3/13,0)+0.99)*VLOOKUP((TRUNC(($AN102+0.01)*3/13,0)+0.99),'Tax scales - NAT 1004'!$A$65:$C$73,2,1)-VLOOKUP((TRUNC(($AN102+0.01)*3/13,0)+0.99),'Tax scales - NAT 1004'!$A$65:$C$73,3,1)),0)
*13/3,
0),
IF($E$2="Monthly",
ROUND(
ROUND(((TRUNC($AN102*3/13,0)+0.99)*VLOOKUP((TRUNC($AN102*3/13,0)+0.99),'Tax scales - NAT 1004'!$A$65:$C$73,2,1)-VLOOKUP((TRUNC($AN102*3/13,0)+0.99),'Tax scales - NAT 1004'!$A$65:$C$73,3,1)),0)
*13/3,
0),
""))),
""),
"")</f>
        <v/>
      </c>
      <c r="AU102" s="118">
        <f>IFERROR(
IF(VLOOKUP($C102,'Employee information'!$B:$M,COLUMNS('Employee information'!$B:$M),0)=11,
IF($E$2="Fortnightly",
ROUND(
ROUND((((TRUNC($AN102/2,0)+0.99))*VLOOKUP((TRUNC($AN102/2,0)+0.99),'Tax scales - NAT 3539'!$A$14:$C$38,2,1)-VLOOKUP((TRUNC($AN102/2,0)+0.99),'Tax scales - NAT 3539'!$A$14:$C$38,3,1)),0)
*2,
0),
IF(AND($E$2="Monthly",ROUND($AN102-TRUNC($AN102),2)=0.33),
ROUND(
ROUND(((TRUNC(($AN102+0.01)*3/13,0)+0.99)*VLOOKUP((TRUNC(($AN102+0.01)*3/13,0)+0.99),'Tax scales - NAT 3539'!$A$14:$C$38,2,1)-VLOOKUP((TRUNC(($AN102+0.01)*3/13,0)+0.99),'Tax scales - NAT 3539'!$A$14:$C$38,3,1)),0)
*13/3,
0),
IF($E$2="Monthly",
ROUND(
ROUND(((TRUNC($AN102*3/13,0)+0.99)*VLOOKUP((TRUNC($AN102*3/13,0)+0.99),'Tax scales - NAT 3539'!$A$14:$C$38,2,1)-VLOOKUP((TRUNC($AN102*3/13,0)+0.99),'Tax scales - NAT 3539'!$A$14:$C$38,3,1)),0)
*13/3,
0),
""))),
""),
"")</f>
        <v>1680</v>
      </c>
      <c r="AV102" s="118" t="str">
        <f>IFERROR(
IF(VLOOKUP($C102,'Employee information'!$B:$M,COLUMNS('Employee information'!$B:$M),0)=22,
IF($E$2="Fortnightly",
ROUND(
ROUND((((TRUNC($AN102/2,0)+0.99))*VLOOKUP((TRUNC($AN102/2,0)+0.99),'Tax scales - NAT 3539'!$A$43:$C$69,2,1)-VLOOKUP((TRUNC($AN102/2,0)+0.99),'Tax scales - NAT 3539'!$A$43:$C$69,3,1)),0)
*2,
0),
IF(AND($E$2="Monthly",ROUND($AN102-TRUNC($AN102),2)=0.33),
ROUND(
ROUND(((TRUNC(($AN102+0.01)*3/13,0)+0.99)*VLOOKUP((TRUNC(($AN102+0.01)*3/13,0)+0.99),'Tax scales - NAT 3539'!$A$43:$C$69,2,1)-VLOOKUP((TRUNC(($AN102+0.01)*3/13,0)+0.99),'Tax scales - NAT 3539'!$A$43:$C$69,3,1)),0)
*13/3,
0),
IF($E$2="Monthly",
ROUND(
ROUND(((TRUNC($AN102*3/13,0)+0.99)*VLOOKUP((TRUNC($AN102*3/13,0)+0.99),'Tax scales - NAT 3539'!$A$43:$C$69,2,1)-VLOOKUP((TRUNC($AN102*3/13,0)+0.99),'Tax scales - NAT 3539'!$A$43:$C$69,3,1)),0)
*13/3,
0),
""))),
""),
"")</f>
        <v/>
      </c>
      <c r="AW102" s="118" t="str">
        <f>IFERROR(
IF(VLOOKUP($C102,'Employee information'!$B:$M,COLUMNS('Employee information'!$B:$M),0)=33,
IF($E$2="Fortnightly",
ROUND(
ROUND((((TRUNC($AN102/2,0)+0.99))*VLOOKUP((TRUNC($AN102/2,0)+0.99),'Tax scales - NAT 3539'!$A$74:$C$94,2,1)-VLOOKUP((TRUNC($AN102/2,0)+0.99),'Tax scales - NAT 3539'!$A$74:$C$94,3,1)),0)
*2,
0),
IF(AND($E$2="Monthly",ROUND($AN102-TRUNC($AN102),2)=0.33),
ROUND(
ROUND(((TRUNC(($AN102+0.01)*3/13,0)+0.99)*VLOOKUP((TRUNC(($AN102+0.01)*3/13,0)+0.99),'Tax scales - NAT 3539'!$A$74:$C$94,2,1)-VLOOKUP((TRUNC(($AN102+0.01)*3/13,0)+0.99),'Tax scales - NAT 3539'!$A$74:$C$94,3,1)),0)
*13/3,
0),
IF($E$2="Monthly",
ROUND(
ROUND(((TRUNC($AN102*3/13,0)+0.99)*VLOOKUP((TRUNC($AN102*3/13,0)+0.99),'Tax scales - NAT 3539'!$A$74:$C$94,2,1)-VLOOKUP((TRUNC($AN102*3/13,0)+0.99),'Tax scales - NAT 3539'!$A$74:$C$94,3,1)),0)
*13/3,
0),
""))),
""),
"")</f>
        <v/>
      </c>
      <c r="AX102" s="118" t="str">
        <f>IFERROR(
IF(VLOOKUP($C102,'Employee information'!$B:$M,COLUMNS('Employee information'!$B:$M),0)=55,
IF($E$2="Fortnightly",
ROUND(
ROUND((((TRUNC($AN102/2,0)+0.99))*VLOOKUP((TRUNC($AN102/2,0)+0.99),'Tax scales - NAT 3539'!$A$99:$C$123,2,1)-VLOOKUP((TRUNC($AN102/2,0)+0.99),'Tax scales - NAT 3539'!$A$99:$C$123,3,1)),0)
*2,
0),
IF(AND($E$2="Monthly",ROUND($AN102-TRUNC($AN102),2)=0.33),
ROUND(
ROUND(((TRUNC(($AN102+0.01)*3/13,0)+0.99)*VLOOKUP((TRUNC(($AN102+0.01)*3/13,0)+0.99),'Tax scales - NAT 3539'!$A$99:$C$123,2,1)-VLOOKUP((TRUNC(($AN102+0.01)*3/13,0)+0.99),'Tax scales - NAT 3539'!$A$99:$C$123,3,1)),0)
*13/3,
0),
IF($E$2="Monthly",
ROUND(
ROUND(((TRUNC($AN102*3/13,0)+0.99)*VLOOKUP((TRUNC($AN102*3/13,0)+0.99),'Tax scales - NAT 3539'!$A$99:$C$123,2,1)-VLOOKUP((TRUNC($AN102*3/13,0)+0.99),'Tax scales - NAT 3539'!$A$99:$C$123,3,1)),0)
*13/3,
0),
""))),
""),
"")</f>
        <v/>
      </c>
      <c r="AY102" s="118" t="str">
        <f>IFERROR(
IF(VLOOKUP($C102,'Employee information'!$B:$M,COLUMNS('Employee information'!$B:$M),0)=66,
IF($E$2="Fortnightly",
ROUND(
ROUND((((TRUNC($AN102/2,0)+0.99))*VLOOKUP((TRUNC($AN102/2,0)+0.99),'Tax scales - NAT 3539'!$A$127:$C$154,2,1)-VLOOKUP((TRUNC($AN102/2,0)+0.99),'Tax scales - NAT 3539'!$A$127:$C$154,3,1)),0)
*2,
0),
IF(AND($E$2="Monthly",ROUND($AN102-TRUNC($AN102),2)=0.33),
ROUND(
ROUND(((TRUNC(($AN102+0.01)*3/13,0)+0.99)*VLOOKUP((TRUNC(($AN102+0.01)*3/13,0)+0.99),'Tax scales - NAT 3539'!$A$127:$C$154,2,1)-VLOOKUP((TRUNC(($AN102+0.01)*3/13,0)+0.99),'Tax scales - NAT 3539'!$A$127:$C$154,3,1)),0)
*13/3,
0),
IF($E$2="Monthly",
ROUND(
ROUND(((TRUNC($AN102*3/13,0)+0.99)*VLOOKUP((TRUNC($AN102*3/13,0)+0.99),'Tax scales - NAT 3539'!$A$127:$C$154,2,1)-VLOOKUP((TRUNC($AN102*3/13,0)+0.99),'Tax scales - NAT 3539'!$A$127:$C$154,3,1)),0)
*13/3,
0),
""))),
""),
"")</f>
        <v/>
      </c>
      <c r="AZ102" s="118">
        <f>IFERROR(
HLOOKUP(VLOOKUP($C102,'Employee information'!$B:$M,COLUMNS('Employee information'!$B:$M),0),'PAYG worksheet'!$AO$97:$AY$116,COUNTA($C$98:$C102)+1,0),
0)</f>
        <v>1680</v>
      </c>
      <c r="BA102" s="118"/>
      <c r="BB102" s="118">
        <f t="shared" si="108"/>
        <v>2445</v>
      </c>
      <c r="BC102" s="119">
        <f>IFERROR(
IF(OR($AE102=1,$AE102=""),SUM($P102,$AA102,$AC102,$AK102)*VLOOKUP($C102,'Employee information'!$B:$Q,COLUMNS('Employee information'!$B:$H),0),
IF($AE102=0,SUM($P102,$AA102,$AK102)*VLOOKUP($C102,'Employee information'!$B:$Q,COLUMNS('Employee information'!$B:$H),0),
0)),
0)</f>
        <v>391.875</v>
      </c>
      <c r="BE102" s="114">
        <f t="shared" si="93"/>
        <v>16600</v>
      </c>
      <c r="BF102" s="114">
        <f t="shared" si="94"/>
        <v>16600</v>
      </c>
      <c r="BG102" s="114">
        <f t="shared" si="95"/>
        <v>0</v>
      </c>
      <c r="BH102" s="114">
        <f t="shared" si="96"/>
        <v>0</v>
      </c>
      <c r="BI102" s="114">
        <f t="shared" si="97"/>
        <v>6768</v>
      </c>
      <c r="BJ102" s="114">
        <f t="shared" si="98"/>
        <v>0</v>
      </c>
      <c r="BK102" s="114">
        <f t="shared" si="99"/>
        <v>0</v>
      </c>
      <c r="BL102" s="114">
        <f t="shared" si="109"/>
        <v>100</v>
      </c>
      <c r="BM102" s="114">
        <f t="shared" si="100"/>
        <v>1577</v>
      </c>
    </row>
    <row r="103" spans="1:65" x14ac:dyDescent="0.25">
      <c r="A103" s="228">
        <f t="shared" si="88"/>
        <v>4</v>
      </c>
      <c r="C103" s="278" t="s">
        <v>17</v>
      </c>
      <c r="E103" s="103">
        <f>IF($C103="",0,
IF(AND($E$2="Monthly",$A103&gt;12),0,
IF($E$2="Monthly",VLOOKUP($C103,'Employee information'!$B:$AM,COLUMNS('Employee information'!$B:S),0),
IF($E$2="Fortnightly",VLOOKUP($C103,'Employee information'!$B:$AM,COLUMNS('Employee information'!$B:R),0),
0))))</f>
        <v>75</v>
      </c>
      <c r="F103" s="106"/>
      <c r="G103" s="106"/>
      <c r="H103" s="106"/>
      <c r="I103" s="106"/>
      <c r="J103" s="103">
        <f t="shared" si="101"/>
        <v>75</v>
      </c>
      <c r="L103" s="113">
        <f>IF(AND($E$2="Monthly",$A103&gt;12),"",
IFERROR($J103*VLOOKUP($C103,'Employee information'!$B:$AI,COLUMNS('Employee information'!$B:$P),0),0))</f>
        <v>2500</v>
      </c>
      <c r="M103" s="114">
        <f t="shared" si="102"/>
        <v>10000</v>
      </c>
      <c r="O103" s="103">
        <f t="shared" si="103"/>
        <v>75</v>
      </c>
      <c r="P103" s="113">
        <f>IFERROR(
IF(AND($E$2="Monthly",$A103&gt;12),0,
$O103*VLOOKUP($C103,'Employee information'!$B:$AI,COLUMNS('Employee information'!$B:$P),0)),
0)</f>
        <v>2500</v>
      </c>
      <c r="R103" s="114">
        <f t="shared" si="89"/>
        <v>10000</v>
      </c>
      <c r="T103" s="103"/>
      <c r="U103" s="103"/>
      <c r="V103" s="282">
        <f>IF($C103="","",
IF(AND($E$2="Monthly",$A103&gt;12),"",
$T103*VLOOKUP($C103,'Employee information'!$B:$P,COLUMNS('Employee information'!$B:$P),0)))</f>
        <v>0</v>
      </c>
      <c r="W103" s="282">
        <f>IF($C103="","",
IF(AND($E$2="Monthly",$A103&gt;12),"",
$U103*VLOOKUP($C103,'Employee information'!$B:$P,COLUMNS('Employee information'!$B:$P),0)))</f>
        <v>0</v>
      </c>
      <c r="X103" s="114">
        <f t="shared" si="90"/>
        <v>0</v>
      </c>
      <c r="Y103" s="114">
        <f t="shared" si="91"/>
        <v>0</v>
      </c>
      <c r="AA103" s="118">
        <f>IFERROR(
IF(OR('Basic payroll data'!$D$12="",'Basic payroll data'!$D$12="No"),0,
$T103*VLOOKUP($C103,'Employee information'!$B:$P,COLUMNS('Employee information'!$B:$P),0)*AL_loading_perc),
0)</f>
        <v>0</v>
      </c>
      <c r="AC103" s="118"/>
      <c r="AD103" s="118"/>
      <c r="AE103" s="283" t="str">
        <f t="shared" si="104"/>
        <v/>
      </c>
      <c r="AF103" s="283" t="str">
        <f t="shared" si="105"/>
        <v/>
      </c>
      <c r="AG103" s="118"/>
      <c r="AH103" s="118"/>
      <c r="AI103" s="283" t="str">
        <f t="shared" si="106"/>
        <v/>
      </c>
      <c r="AJ103" s="118"/>
      <c r="AK103" s="118"/>
      <c r="AM103" s="118">
        <f t="shared" si="107"/>
        <v>2500</v>
      </c>
      <c r="AN103" s="118">
        <f t="shared" si="92"/>
        <v>2500</v>
      </c>
      <c r="AO103" s="118" t="str">
        <f>IFERROR(
IF(VLOOKUP($C103,'Employee information'!$B:$M,COLUMNS('Employee information'!$B:$M),0)=1,
IF($E$2="Fortnightly",
ROUND(
ROUND((((TRUNC($AN103/2,0)+0.99))*VLOOKUP((TRUNC($AN103/2,0)+0.99),'Tax scales - NAT 1004'!$A$12:$C$18,2,1)-VLOOKUP((TRUNC($AN103/2,0)+0.99),'Tax scales - NAT 1004'!$A$12:$C$18,3,1)),0)
*2,
0),
IF(AND($E$2="Monthly",ROUND($AN103-TRUNC($AN103),2)=0.33),
ROUND(
ROUND(((TRUNC(($AN103+0.01)*3/13,0)+0.99)*VLOOKUP((TRUNC(($AN103+0.01)*3/13,0)+0.99),'Tax scales - NAT 1004'!$A$12:$C$18,2,1)-VLOOKUP((TRUNC(($AN103+0.01)*3/13,0)+0.99),'Tax scales - NAT 1004'!$A$12:$C$18,3,1)),0)
*13/3,
0),
IF($E$2="Monthly",
ROUND(
ROUND(((TRUNC($AN103*3/13,0)+0.99)*VLOOKUP((TRUNC($AN103*3/13,0)+0.99),'Tax scales - NAT 1004'!$A$12:$C$18,2,1)-VLOOKUP((TRUNC($AN103*3/13,0)+0.99),'Tax scales - NAT 1004'!$A$12:$C$18,3,1)),0)
*13/3,
0),
""))),
""),
"")</f>
        <v/>
      </c>
      <c r="AP103" s="118" t="str">
        <f>IFERROR(
IF(VLOOKUP($C103,'Employee information'!$B:$M,COLUMNS('Employee information'!$B:$M),0)=2,
IF($E$2="Fortnightly",
ROUND(
ROUND((((TRUNC($AN103/2,0)+0.99))*VLOOKUP((TRUNC($AN103/2,0)+0.99),'Tax scales - NAT 1004'!$A$25:$C$33,2,1)-VLOOKUP((TRUNC($AN103/2,0)+0.99),'Tax scales - NAT 1004'!$A$25:$C$33,3,1)),0)
*2,
0),
IF(AND($E$2="Monthly",ROUND($AN103-TRUNC($AN103),2)=0.33),
ROUND(
ROUND(((TRUNC(($AN103+0.01)*3/13,0)+0.99)*VLOOKUP((TRUNC(($AN103+0.01)*3/13,0)+0.99),'Tax scales - NAT 1004'!$A$25:$C$33,2,1)-VLOOKUP((TRUNC(($AN103+0.01)*3/13,0)+0.99),'Tax scales - NAT 1004'!$A$25:$C$33,3,1)),0)
*13/3,
0),
IF($E$2="Monthly",
ROUND(
ROUND(((TRUNC($AN103*3/13,0)+0.99)*VLOOKUP((TRUNC($AN103*3/13,0)+0.99),'Tax scales - NAT 1004'!$A$25:$C$33,2,1)-VLOOKUP((TRUNC($AN103*3/13,0)+0.99),'Tax scales - NAT 1004'!$A$25:$C$33,3,1)),0)
*13/3,
0),
""))),
""),
"")</f>
        <v/>
      </c>
      <c r="AQ103" s="118" t="str">
        <f>IFERROR(
IF(VLOOKUP($C103,'Employee information'!$B:$M,COLUMNS('Employee information'!$B:$M),0)=3,
IF($E$2="Fortnightly",
ROUND(
ROUND((((TRUNC($AN103/2,0)+0.99))*VLOOKUP((TRUNC($AN103/2,0)+0.99),'Tax scales - NAT 1004'!$A$39:$C$41,2,1)-VLOOKUP((TRUNC($AN103/2,0)+0.99),'Tax scales - NAT 1004'!$A$39:$C$41,3,1)),0)
*2,
0),
IF(AND($E$2="Monthly",ROUND($AN103-TRUNC($AN103),2)=0.33),
ROUND(
ROUND(((TRUNC(($AN103+0.01)*3/13,0)+0.99)*VLOOKUP((TRUNC(($AN103+0.01)*3/13,0)+0.99),'Tax scales - NAT 1004'!$A$39:$C$41,2,1)-VLOOKUP((TRUNC(($AN103+0.01)*3/13,0)+0.99),'Tax scales - NAT 1004'!$A$39:$C$41,3,1)),0)
*13/3,
0),
IF($E$2="Monthly",
ROUND(
ROUND(((TRUNC($AN103*3/13,0)+0.99)*VLOOKUP((TRUNC($AN103*3/13,0)+0.99),'Tax scales - NAT 1004'!$A$39:$C$41,2,1)-VLOOKUP((TRUNC($AN103*3/13,0)+0.99),'Tax scales - NAT 1004'!$A$39:$C$41,3,1)),0)
*13/3,
0),
""))),
""),
"")</f>
        <v/>
      </c>
      <c r="AR103" s="118">
        <f>IFERROR(
IF(AND(VLOOKUP($C103,'Employee information'!$B:$M,COLUMNS('Employee information'!$B:$M),0)=4,
VLOOKUP($C103,'Employee information'!$B:$J,COLUMNS('Employee information'!$B:$J),0)="Resident"),
TRUNC(TRUNC($AN103)*'Tax scales - NAT 1004'!$B$47),
IF(AND(VLOOKUP($C103,'Employee information'!$B:$M,COLUMNS('Employee information'!$B:$M),0)=4,
VLOOKUP($C103,'Employee information'!$B:$J,COLUMNS('Employee information'!$B:$J),0)="Foreign resident"),
TRUNC(TRUNC($AN103)*'Tax scales - NAT 1004'!$B$48),
"")),
"")</f>
        <v>1175</v>
      </c>
      <c r="AS103" s="118" t="str">
        <f>IFERROR(
IF(VLOOKUP($C103,'Employee information'!$B:$M,COLUMNS('Employee information'!$B:$M),0)=5,
IF($E$2="Fortnightly",
ROUND(
ROUND((((TRUNC($AN103/2,0)+0.99))*VLOOKUP((TRUNC($AN103/2,0)+0.99),'Tax scales - NAT 1004'!$A$53:$C$59,2,1)-VLOOKUP((TRUNC($AN103/2,0)+0.99),'Tax scales - NAT 1004'!$A$53:$C$59,3,1)),0)
*2,
0),
IF(AND($E$2="Monthly",ROUND($AN103-TRUNC($AN103),2)=0.33),
ROUND(
ROUND(((TRUNC(($AN103+0.01)*3/13,0)+0.99)*VLOOKUP((TRUNC(($AN103+0.01)*3/13,0)+0.99),'Tax scales - NAT 1004'!$A$53:$C$59,2,1)-VLOOKUP((TRUNC(($AN103+0.01)*3/13,0)+0.99),'Tax scales - NAT 1004'!$A$53:$C$59,3,1)),0)
*13/3,
0),
IF($E$2="Monthly",
ROUND(
ROUND(((TRUNC($AN103*3/13,0)+0.99)*VLOOKUP((TRUNC($AN103*3/13,0)+0.99),'Tax scales - NAT 1004'!$A$53:$C$59,2,1)-VLOOKUP((TRUNC($AN103*3/13,0)+0.99),'Tax scales - NAT 1004'!$A$53:$C$59,3,1)),0)
*13/3,
0),
""))),
""),
"")</f>
        <v/>
      </c>
      <c r="AT103" s="118" t="str">
        <f>IFERROR(
IF(VLOOKUP($C103,'Employee information'!$B:$M,COLUMNS('Employee information'!$B:$M),0)=6,
IF($E$2="Fortnightly",
ROUND(
ROUND((((TRUNC($AN103/2,0)+0.99))*VLOOKUP((TRUNC($AN103/2,0)+0.99),'Tax scales - NAT 1004'!$A$65:$C$73,2,1)-VLOOKUP((TRUNC($AN103/2,0)+0.99),'Tax scales - NAT 1004'!$A$65:$C$73,3,1)),0)
*2,
0),
IF(AND($E$2="Monthly",ROUND($AN103-TRUNC($AN103),2)=0.33),
ROUND(
ROUND(((TRUNC(($AN103+0.01)*3/13,0)+0.99)*VLOOKUP((TRUNC(($AN103+0.01)*3/13,0)+0.99),'Tax scales - NAT 1004'!$A$65:$C$73,2,1)-VLOOKUP((TRUNC(($AN103+0.01)*3/13,0)+0.99),'Tax scales - NAT 1004'!$A$65:$C$73,3,1)),0)
*13/3,
0),
IF($E$2="Monthly",
ROUND(
ROUND(((TRUNC($AN103*3/13,0)+0.99)*VLOOKUP((TRUNC($AN103*3/13,0)+0.99),'Tax scales - NAT 1004'!$A$65:$C$73,2,1)-VLOOKUP((TRUNC($AN103*3/13,0)+0.99),'Tax scales - NAT 1004'!$A$65:$C$73,3,1)),0)
*13/3,
0),
""))),
""),
"")</f>
        <v/>
      </c>
      <c r="AU103" s="118" t="str">
        <f>IFERROR(
IF(VLOOKUP($C103,'Employee information'!$B:$M,COLUMNS('Employee information'!$B:$M),0)=11,
IF($E$2="Fortnightly",
ROUND(
ROUND((((TRUNC($AN103/2,0)+0.99))*VLOOKUP((TRUNC($AN103/2,0)+0.99),'Tax scales - NAT 3539'!$A$14:$C$38,2,1)-VLOOKUP((TRUNC($AN103/2,0)+0.99),'Tax scales - NAT 3539'!$A$14:$C$38,3,1)),0)
*2,
0),
IF(AND($E$2="Monthly",ROUND($AN103-TRUNC($AN103),2)=0.33),
ROUND(
ROUND(((TRUNC(($AN103+0.01)*3/13,0)+0.99)*VLOOKUP((TRUNC(($AN103+0.01)*3/13,0)+0.99),'Tax scales - NAT 3539'!$A$14:$C$38,2,1)-VLOOKUP((TRUNC(($AN103+0.01)*3/13,0)+0.99),'Tax scales - NAT 3539'!$A$14:$C$38,3,1)),0)
*13/3,
0),
IF($E$2="Monthly",
ROUND(
ROUND(((TRUNC($AN103*3/13,0)+0.99)*VLOOKUP((TRUNC($AN103*3/13,0)+0.99),'Tax scales - NAT 3539'!$A$14:$C$38,2,1)-VLOOKUP((TRUNC($AN103*3/13,0)+0.99),'Tax scales - NAT 3539'!$A$14:$C$38,3,1)),0)
*13/3,
0),
""))),
""),
"")</f>
        <v/>
      </c>
      <c r="AV103" s="118" t="str">
        <f>IFERROR(
IF(VLOOKUP($C103,'Employee information'!$B:$M,COLUMNS('Employee information'!$B:$M),0)=22,
IF($E$2="Fortnightly",
ROUND(
ROUND((((TRUNC($AN103/2,0)+0.99))*VLOOKUP((TRUNC($AN103/2,0)+0.99),'Tax scales - NAT 3539'!$A$43:$C$69,2,1)-VLOOKUP((TRUNC($AN103/2,0)+0.99),'Tax scales - NAT 3539'!$A$43:$C$69,3,1)),0)
*2,
0),
IF(AND($E$2="Monthly",ROUND($AN103-TRUNC($AN103),2)=0.33),
ROUND(
ROUND(((TRUNC(($AN103+0.01)*3/13,0)+0.99)*VLOOKUP((TRUNC(($AN103+0.01)*3/13,0)+0.99),'Tax scales - NAT 3539'!$A$43:$C$69,2,1)-VLOOKUP((TRUNC(($AN103+0.01)*3/13,0)+0.99),'Tax scales - NAT 3539'!$A$43:$C$69,3,1)),0)
*13/3,
0),
IF($E$2="Monthly",
ROUND(
ROUND(((TRUNC($AN103*3/13,0)+0.99)*VLOOKUP((TRUNC($AN103*3/13,0)+0.99),'Tax scales - NAT 3539'!$A$43:$C$69,2,1)-VLOOKUP((TRUNC($AN103*3/13,0)+0.99),'Tax scales - NAT 3539'!$A$43:$C$69,3,1)),0)
*13/3,
0),
""))),
""),
"")</f>
        <v/>
      </c>
      <c r="AW103" s="118" t="str">
        <f>IFERROR(
IF(VLOOKUP($C103,'Employee information'!$B:$M,COLUMNS('Employee information'!$B:$M),0)=33,
IF($E$2="Fortnightly",
ROUND(
ROUND((((TRUNC($AN103/2,0)+0.99))*VLOOKUP((TRUNC($AN103/2,0)+0.99),'Tax scales - NAT 3539'!$A$74:$C$94,2,1)-VLOOKUP((TRUNC($AN103/2,0)+0.99),'Tax scales - NAT 3539'!$A$74:$C$94,3,1)),0)
*2,
0),
IF(AND($E$2="Monthly",ROUND($AN103-TRUNC($AN103),2)=0.33),
ROUND(
ROUND(((TRUNC(($AN103+0.01)*3/13,0)+0.99)*VLOOKUP((TRUNC(($AN103+0.01)*3/13,0)+0.99),'Tax scales - NAT 3539'!$A$74:$C$94,2,1)-VLOOKUP((TRUNC(($AN103+0.01)*3/13,0)+0.99),'Tax scales - NAT 3539'!$A$74:$C$94,3,1)),0)
*13/3,
0),
IF($E$2="Monthly",
ROUND(
ROUND(((TRUNC($AN103*3/13,0)+0.99)*VLOOKUP((TRUNC($AN103*3/13,0)+0.99),'Tax scales - NAT 3539'!$A$74:$C$94,2,1)-VLOOKUP((TRUNC($AN103*3/13,0)+0.99),'Tax scales - NAT 3539'!$A$74:$C$94,3,1)),0)
*13/3,
0),
""))),
""),
"")</f>
        <v/>
      </c>
      <c r="AX103" s="118" t="str">
        <f>IFERROR(
IF(VLOOKUP($C103,'Employee information'!$B:$M,COLUMNS('Employee information'!$B:$M),0)=55,
IF($E$2="Fortnightly",
ROUND(
ROUND((((TRUNC($AN103/2,0)+0.99))*VLOOKUP((TRUNC($AN103/2,0)+0.99),'Tax scales - NAT 3539'!$A$99:$C$123,2,1)-VLOOKUP((TRUNC($AN103/2,0)+0.99),'Tax scales - NAT 3539'!$A$99:$C$123,3,1)),0)
*2,
0),
IF(AND($E$2="Monthly",ROUND($AN103-TRUNC($AN103),2)=0.33),
ROUND(
ROUND(((TRUNC(($AN103+0.01)*3/13,0)+0.99)*VLOOKUP((TRUNC(($AN103+0.01)*3/13,0)+0.99),'Tax scales - NAT 3539'!$A$99:$C$123,2,1)-VLOOKUP((TRUNC(($AN103+0.01)*3/13,0)+0.99),'Tax scales - NAT 3539'!$A$99:$C$123,3,1)),0)
*13/3,
0),
IF($E$2="Monthly",
ROUND(
ROUND(((TRUNC($AN103*3/13,0)+0.99)*VLOOKUP((TRUNC($AN103*3/13,0)+0.99),'Tax scales - NAT 3539'!$A$99:$C$123,2,1)-VLOOKUP((TRUNC($AN103*3/13,0)+0.99),'Tax scales - NAT 3539'!$A$99:$C$123,3,1)),0)
*13/3,
0),
""))),
""),
"")</f>
        <v/>
      </c>
      <c r="AY103" s="118" t="str">
        <f>IFERROR(
IF(VLOOKUP($C103,'Employee information'!$B:$M,COLUMNS('Employee information'!$B:$M),0)=66,
IF($E$2="Fortnightly",
ROUND(
ROUND((((TRUNC($AN103/2,0)+0.99))*VLOOKUP((TRUNC($AN103/2,0)+0.99),'Tax scales - NAT 3539'!$A$127:$C$154,2,1)-VLOOKUP((TRUNC($AN103/2,0)+0.99),'Tax scales - NAT 3539'!$A$127:$C$154,3,1)),0)
*2,
0),
IF(AND($E$2="Monthly",ROUND($AN103-TRUNC($AN103),2)=0.33),
ROUND(
ROUND(((TRUNC(($AN103+0.01)*3/13,0)+0.99)*VLOOKUP((TRUNC(($AN103+0.01)*3/13,0)+0.99),'Tax scales - NAT 3539'!$A$127:$C$154,2,1)-VLOOKUP((TRUNC(($AN103+0.01)*3/13,0)+0.99),'Tax scales - NAT 3539'!$A$127:$C$154,3,1)),0)
*13/3,
0),
IF($E$2="Monthly",
ROUND(
ROUND(((TRUNC($AN103*3/13,0)+0.99)*VLOOKUP((TRUNC($AN103*3/13,0)+0.99),'Tax scales - NAT 3539'!$A$127:$C$154,2,1)-VLOOKUP((TRUNC($AN103*3/13,0)+0.99),'Tax scales - NAT 3539'!$A$127:$C$154,3,1)),0)
*13/3,
0),
""))),
""),
"")</f>
        <v/>
      </c>
      <c r="AZ103" s="118">
        <f>IFERROR(
HLOOKUP(VLOOKUP($C103,'Employee information'!$B:$M,COLUMNS('Employee information'!$B:$M),0),'PAYG worksheet'!$AO$97:$AY$116,COUNTA($C$98:$C103)+1,0),
0)</f>
        <v>1175</v>
      </c>
      <c r="BA103" s="118"/>
      <c r="BB103" s="118">
        <f t="shared" si="108"/>
        <v>1325</v>
      </c>
      <c r="BC103" s="119">
        <f>IFERROR(
IF(OR($AE103=1,$AE103=""),SUM($P103,$AA103,$AC103,$AK103)*VLOOKUP($C103,'Employee information'!$B:$Q,COLUMNS('Employee information'!$B:$H),0),
IF($AE103=0,SUM($P103,$AA103,$AK103)*VLOOKUP($C103,'Employee information'!$B:$Q,COLUMNS('Employee information'!$B:$H),0),
0)),
0)</f>
        <v>237.5</v>
      </c>
      <c r="BE103" s="114">
        <f t="shared" si="93"/>
        <v>10000</v>
      </c>
      <c r="BF103" s="114">
        <f t="shared" si="94"/>
        <v>10000</v>
      </c>
      <c r="BG103" s="114">
        <f t="shared" si="95"/>
        <v>0</v>
      </c>
      <c r="BH103" s="114">
        <f t="shared" si="96"/>
        <v>0</v>
      </c>
      <c r="BI103" s="114">
        <f t="shared" si="97"/>
        <v>4700</v>
      </c>
      <c r="BJ103" s="114">
        <f t="shared" si="98"/>
        <v>0</v>
      </c>
      <c r="BK103" s="114">
        <f t="shared" si="99"/>
        <v>0</v>
      </c>
      <c r="BL103" s="114">
        <f t="shared" si="109"/>
        <v>0</v>
      </c>
      <c r="BM103" s="114">
        <f t="shared" si="100"/>
        <v>950</v>
      </c>
    </row>
    <row r="104" spans="1:65" x14ac:dyDescent="0.25">
      <c r="A104" s="228">
        <f t="shared" si="88"/>
        <v>4</v>
      </c>
      <c r="C104" s="278" t="s">
        <v>95</v>
      </c>
      <c r="E104" s="103">
        <f>IF($C104="",0,
IF(AND($E$2="Monthly",$A104&gt;12),0,
IF($E$2="Monthly",VLOOKUP($C104,'Employee information'!$B:$AM,COLUMNS('Employee information'!$B:S),0),
IF($E$2="Fortnightly",VLOOKUP($C104,'Employee information'!$B:$AM,COLUMNS('Employee information'!$B:R),0),
0))))</f>
        <v>45</v>
      </c>
      <c r="F104" s="106"/>
      <c r="G104" s="106"/>
      <c r="H104" s="106"/>
      <c r="I104" s="106"/>
      <c r="J104" s="103">
        <f t="shared" si="101"/>
        <v>45</v>
      </c>
      <c r="L104" s="113">
        <f>IF(AND($E$2="Monthly",$A104&gt;12),"",
IFERROR($J104*VLOOKUP($C104,'Employee information'!$B:$AI,COLUMNS('Employee information'!$B:$P),0),0))</f>
        <v>1107.6923076923078</v>
      </c>
      <c r="M104" s="114">
        <f t="shared" si="102"/>
        <v>4430.7692307692314</v>
      </c>
      <c r="O104" s="103">
        <f t="shared" si="103"/>
        <v>45</v>
      </c>
      <c r="P104" s="113">
        <f>IFERROR(
IF(AND($E$2="Monthly",$A104&gt;12),0,
$O104*VLOOKUP($C104,'Employee information'!$B:$AI,COLUMNS('Employee information'!$B:$P),0)),
0)</f>
        <v>1107.6923076923078</v>
      </c>
      <c r="R104" s="114">
        <f t="shared" si="89"/>
        <v>4430.7692307692314</v>
      </c>
      <c r="T104" s="103"/>
      <c r="U104" s="103"/>
      <c r="V104" s="282">
        <f>IF($C104="","",
IF(AND($E$2="Monthly",$A104&gt;12),"",
$T104*VLOOKUP($C104,'Employee information'!$B:$P,COLUMNS('Employee information'!$B:$P),0)))</f>
        <v>0</v>
      </c>
      <c r="W104" s="282">
        <f>IF($C104="","",
IF(AND($E$2="Monthly",$A104&gt;12),"",
$U104*VLOOKUP($C104,'Employee information'!$B:$P,COLUMNS('Employee information'!$B:$P),0)))</f>
        <v>0</v>
      </c>
      <c r="X104" s="114">
        <f t="shared" si="90"/>
        <v>0</v>
      </c>
      <c r="Y104" s="114">
        <f t="shared" si="91"/>
        <v>0</v>
      </c>
      <c r="AA104" s="118">
        <f>IFERROR(
IF(OR('Basic payroll data'!$D$12="",'Basic payroll data'!$D$12="No"),0,
$T104*VLOOKUP($C104,'Employee information'!$B:$P,COLUMNS('Employee information'!$B:$P),0)*AL_loading_perc),
0)</f>
        <v>0</v>
      </c>
      <c r="AC104" s="118"/>
      <c r="AD104" s="118"/>
      <c r="AE104" s="283" t="str">
        <f t="shared" si="104"/>
        <v/>
      </c>
      <c r="AF104" s="283" t="str">
        <f t="shared" si="105"/>
        <v/>
      </c>
      <c r="AG104" s="118"/>
      <c r="AH104" s="118"/>
      <c r="AI104" s="283" t="str">
        <f t="shared" si="106"/>
        <v/>
      </c>
      <c r="AJ104" s="118"/>
      <c r="AK104" s="118"/>
      <c r="AM104" s="118">
        <f t="shared" si="107"/>
        <v>1107.6923076923078</v>
      </c>
      <c r="AN104" s="118">
        <f t="shared" si="92"/>
        <v>1107.6923076923078</v>
      </c>
      <c r="AO104" s="118" t="str">
        <f>IFERROR(
IF(VLOOKUP($C104,'Employee information'!$B:$M,COLUMNS('Employee information'!$B:$M),0)=1,
IF($E$2="Fortnightly",
ROUND(
ROUND((((TRUNC($AN104/2,0)+0.99))*VLOOKUP((TRUNC($AN104/2,0)+0.99),'Tax scales - NAT 1004'!$A$12:$C$18,2,1)-VLOOKUP((TRUNC($AN104/2,0)+0.99),'Tax scales - NAT 1004'!$A$12:$C$18,3,1)),0)
*2,
0),
IF(AND($E$2="Monthly",ROUND($AN104-TRUNC($AN104),2)=0.33),
ROUND(
ROUND(((TRUNC(($AN104+0.01)*3/13,0)+0.99)*VLOOKUP((TRUNC(($AN104+0.01)*3/13,0)+0.99),'Tax scales - NAT 1004'!$A$12:$C$18,2,1)-VLOOKUP((TRUNC(($AN104+0.01)*3/13,0)+0.99),'Tax scales - NAT 1004'!$A$12:$C$18,3,1)),0)
*13/3,
0),
IF($E$2="Monthly",
ROUND(
ROUND(((TRUNC($AN104*3/13,0)+0.99)*VLOOKUP((TRUNC($AN104*3/13,0)+0.99),'Tax scales - NAT 1004'!$A$12:$C$18,2,1)-VLOOKUP((TRUNC($AN104*3/13,0)+0.99),'Tax scales - NAT 1004'!$A$12:$C$18,3,1)),0)
*13/3,
0),
""))),
""),
"")</f>
        <v/>
      </c>
      <c r="AP104" s="118" t="str">
        <f>IFERROR(
IF(VLOOKUP($C104,'Employee information'!$B:$M,COLUMNS('Employee information'!$B:$M),0)=2,
IF($E$2="Fortnightly",
ROUND(
ROUND((((TRUNC($AN104/2,0)+0.99))*VLOOKUP((TRUNC($AN104/2,0)+0.99),'Tax scales - NAT 1004'!$A$25:$C$33,2,1)-VLOOKUP((TRUNC($AN104/2,0)+0.99),'Tax scales - NAT 1004'!$A$25:$C$33,3,1)),0)
*2,
0),
IF(AND($E$2="Monthly",ROUND($AN104-TRUNC($AN104),2)=0.33),
ROUND(
ROUND(((TRUNC(($AN104+0.01)*3/13,0)+0.99)*VLOOKUP((TRUNC(($AN104+0.01)*3/13,0)+0.99),'Tax scales - NAT 1004'!$A$25:$C$33,2,1)-VLOOKUP((TRUNC(($AN104+0.01)*3/13,0)+0.99),'Tax scales - NAT 1004'!$A$25:$C$33,3,1)),0)
*13/3,
0),
IF($E$2="Monthly",
ROUND(
ROUND(((TRUNC($AN104*3/13,0)+0.99)*VLOOKUP((TRUNC($AN104*3/13,0)+0.99),'Tax scales - NAT 1004'!$A$25:$C$33,2,1)-VLOOKUP((TRUNC($AN104*3/13,0)+0.99),'Tax scales - NAT 1004'!$A$25:$C$33,3,1)),0)
*13/3,
0),
""))),
""),
"")</f>
        <v/>
      </c>
      <c r="AQ104" s="118" t="str">
        <f>IFERROR(
IF(VLOOKUP($C104,'Employee information'!$B:$M,COLUMNS('Employee information'!$B:$M),0)=3,
IF($E$2="Fortnightly",
ROUND(
ROUND((((TRUNC($AN104/2,0)+0.99))*VLOOKUP((TRUNC($AN104/2,0)+0.99),'Tax scales - NAT 1004'!$A$39:$C$41,2,1)-VLOOKUP((TRUNC($AN104/2,0)+0.99),'Tax scales - NAT 1004'!$A$39:$C$41,3,1)),0)
*2,
0),
IF(AND($E$2="Monthly",ROUND($AN104-TRUNC($AN104),2)=0.33),
ROUND(
ROUND(((TRUNC(($AN104+0.01)*3/13,0)+0.99)*VLOOKUP((TRUNC(($AN104+0.01)*3/13,0)+0.99),'Tax scales - NAT 1004'!$A$39:$C$41,2,1)-VLOOKUP((TRUNC(($AN104+0.01)*3/13,0)+0.99),'Tax scales - NAT 1004'!$A$39:$C$41,3,1)),0)
*13/3,
0),
IF($E$2="Monthly",
ROUND(
ROUND(((TRUNC($AN104*3/13,0)+0.99)*VLOOKUP((TRUNC($AN104*3/13,0)+0.99),'Tax scales - NAT 1004'!$A$39:$C$41,2,1)-VLOOKUP((TRUNC($AN104*3/13,0)+0.99),'Tax scales - NAT 1004'!$A$39:$C$41,3,1)),0)
*13/3,
0),
""))),
""),
"")</f>
        <v/>
      </c>
      <c r="AR104" s="118" t="str">
        <f>IFERROR(
IF(AND(VLOOKUP($C104,'Employee information'!$B:$M,COLUMNS('Employee information'!$B:$M),0)=4,
VLOOKUP($C104,'Employee information'!$B:$J,COLUMNS('Employee information'!$B:$J),0)="Resident"),
TRUNC(TRUNC($AN104)*'Tax scales - NAT 1004'!$B$47),
IF(AND(VLOOKUP($C104,'Employee information'!$B:$M,COLUMNS('Employee information'!$B:$M),0)=4,
VLOOKUP($C104,'Employee information'!$B:$J,COLUMNS('Employee information'!$B:$J),0)="Foreign resident"),
TRUNC(TRUNC($AN104)*'Tax scales - NAT 1004'!$B$48),
"")),
"")</f>
        <v/>
      </c>
      <c r="AS104" s="118" t="str">
        <f>IFERROR(
IF(VLOOKUP($C104,'Employee information'!$B:$M,COLUMNS('Employee information'!$B:$M),0)=5,
IF($E$2="Fortnightly",
ROUND(
ROUND((((TRUNC($AN104/2,0)+0.99))*VLOOKUP((TRUNC($AN104/2,0)+0.99),'Tax scales - NAT 1004'!$A$53:$C$59,2,1)-VLOOKUP((TRUNC($AN104/2,0)+0.99),'Tax scales - NAT 1004'!$A$53:$C$59,3,1)),0)
*2,
0),
IF(AND($E$2="Monthly",ROUND($AN104-TRUNC($AN104),2)=0.33),
ROUND(
ROUND(((TRUNC(($AN104+0.01)*3/13,0)+0.99)*VLOOKUP((TRUNC(($AN104+0.01)*3/13,0)+0.99),'Tax scales - NAT 1004'!$A$53:$C$59,2,1)-VLOOKUP((TRUNC(($AN104+0.01)*3/13,0)+0.99),'Tax scales - NAT 1004'!$A$53:$C$59,3,1)),0)
*13/3,
0),
IF($E$2="Monthly",
ROUND(
ROUND(((TRUNC($AN104*3/13,0)+0.99)*VLOOKUP((TRUNC($AN104*3/13,0)+0.99),'Tax scales - NAT 1004'!$A$53:$C$59,2,1)-VLOOKUP((TRUNC($AN104*3/13,0)+0.99),'Tax scales - NAT 1004'!$A$53:$C$59,3,1)),0)
*13/3,
0),
""))),
""),
"")</f>
        <v/>
      </c>
      <c r="AT104" s="118" t="str">
        <f>IFERROR(
IF(VLOOKUP($C104,'Employee information'!$B:$M,COLUMNS('Employee information'!$B:$M),0)=6,
IF($E$2="Fortnightly",
ROUND(
ROUND((((TRUNC($AN104/2,0)+0.99))*VLOOKUP((TRUNC($AN104/2,0)+0.99),'Tax scales - NAT 1004'!$A$65:$C$73,2,1)-VLOOKUP((TRUNC($AN104/2,0)+0.99),'Tax scales - NAT 1004'!$A$65:$C$73,3,1)),0)
*2,
0),
IF(AND($E$2="Monthly",ROUND($AN104-TRUNC($AN104),2)=0.33),
ROUND(
ROUND(((TRUNC(($AN104+0.01)*3/13,0)+0.99)*VLOOKUP((TRUNC(($AN104+0.01)*3/13,0)+0.99),'Tax scales - NAT 1004'!$A$65:$C$73,2,1)-VLOOKUP((TRUNC(($AN104+0.01)*3/13,0)+0.99),'Tax scales - NAT 1004'!$A$65:$C$73,3,1)),0)
*13/3,
0),
IF($E$2="Monthly",
ROUND(
ROUND(((TRUNC($AN104*3/13,0)+0.99)*VLOOKUP((TRUNC($AN104*3/13,0)+0.99),'Tax scales - NAT 1004'!$A$65:$C$73,2,1)-VLOOKUP((TRUNC($AN104*3/13,0)+0.99),'Tax scales - NAT 1004'!$A$65:$C$73,3,1)),0)
*13/3,
0),
""))),
""),
"")</f>
        <v/>
      </c>
      <c r="AU104" s="118" t="str">
        <f>IFERROR(
IF(VLOOKUP($C104,'Employee information'!$B:$M,COLUMNS('Employee information'!$B:$M),0)=11,
IF($E$2="Fortnightly",
ROUND(
ROUND((((TRUNC($AN104/2,0)+0.99))*VLOOKUP((TRUNC($AN104/2,0)+0.99),'Tax scales - NAT 3539'!$A$14:$C$38,2,1)-VLOOKUP((TRUNC($AN104/2,0)+0.99),'Tax scales - NAT 3539'!$A$14:$C$38,3,1)),0)
*2,
0),
IF(AND($E$2="Monthly",ROUND($AN104-TRUNC($AN104),2)=0.33),
ROUND(
ROUND(((TRUNC(($AN104+0.01)*3/13,0)+0.99)*VLOOKUP((TRUNC(($AN104+0.01)*3/13,0)+0.99),'Tax scales - NAT 3539'!$A$14:$C$38,2,1)-VLOOKUP((TRUNC(($AN104+0.01)*3/13,0)+0.99),'Tax scales - NAT 3539'!$A$14:$C$38,3,1)),0)
*13/3,
0),
IF($E$2="Monthly",
ROUND(
ROUND(((TRUNC($AN104*3/13,0)+0.99)*VLOOKUP((TRUNC($AN104*3/13,0)+0.99),'Tax scales - NAT 3539'!$A$14:$C$38,2,1)-VLOOKUP((TRUNC($AN104*3/13,0)+0.99),'Tax scales - NAT 3539'!$A$14:$C$38,3,1)),0)
*13/3,
0),
""))),
""),
"")</f>
        <v/>
      </c>
      <c r="AV104" s="118" t="str">
        <f>IFERROR(
IF(VLOOKUP($C104,'Employee information'!$B:$M,COLUMNS('Employee information'!$B:$M),0)=22,
IF($E$2="Fortnightly",
ROUND(
ROUND((((TRUNC($AN104/2,0)+0.99))*VLOOKUP((TRUNC($AN104/2,0)+0.99),'Tax scales - NAT 3539'!$A$43:$C$69,2,1)-VLOOKUP((TRUNC($AN104/2,0)+0.99),'Tax scales - NAT 3539'!$A$43:$C$69,3,1)),0)
*2,
0),
IF(AND($E$2="Monthly",ROUND($AN104-TRUNC($AN104),2)=0.33),
ROUND(
ROUND(((TRUNC(($AN104+0.01)*3/13,0)+0.99)*VLOOKUP((TRUNC(($AN104+0.01)*3/13,0)+0.99),'Tax scales - NAT 3539'!$A$43:$C$69,2,1)-VLOOKUP((TRUNC(($AN104+0.01)*3/13,0)+0.99),'Tax scales - NAT 3539'!$A$43:$C$69,3,1)),0)
*13/3,
0),
IF($E$2="Monthly",
ROUND(
ROUND(((TRUNC($AN104*3/13,0)+0.99)*VLOOKUP((TRUNC($AN104*3/13,0)+0.99),'Tax scales - NAT 3539'!$A$43:$C$69,2,1)-VLOOKUP((TRUNC($AN104*3/13,0)+0.99),'Tax scales - NAT 3539'!$A$43:$C$69,3,1)),0)
*13/3,
0),
""))),
""),
"")</f>
        <v/>
      </c>
      <c r="AW104" s="118" t="str">
        <f>IFERROR(
IF(VLOOKUP($C104,'Employee information'!$B:$M,COLUMNS('Employee information'!$B:$M),0)=33,
IF($E$2="Fortnightly",
ROUND(
ROUND((((TRUNC($AN104/2,0)+0.99))*VLOOKUP((TRUNC($AN104/2,0)+0.99),'Tax scales - NAT 3539'!$A$74:$C$94,2,1)-VLOOKUP((TRUNC($AN104/2,0)+0.99),'Tax scales - NAT 3539'!$A$74:$C$94,3,1)),0)
*2,
0),
IF(AND($E$2="Monthly",ROUND($AN104-TRUNC($AN104),2)=0.33),
ROUND(
ROUND(((TRUNC(($AN104+0.01)*3/13,0)+0.99)*VLOOKUP((TRUNC(($AN104+0.01)*3/13,0)+0.99),'Tax scales - NAT 3539'!$A$74:$C$94,2,1)-VLOOKUP((TRUNC(($AN104+0.01)*3/13,0)+0.99),'Tax scales - NAT 3539'!$A$74:$C$94,3,1)),0)
*13/3,
0),
IF($E$2="Monthly",
ROUND(
ROUND(((TRUNC($AN104*3/13,0)+0.99)*VLOOKUP((TRUNC($AN104*3/13,0)+0.99),'Tax scales - NAT 3539'!$A$74:$C$94,2,1)-VLOOKUP((TRUNC($AN104*3/13,0)+0.99),'Tax scales - NAT 3539'!$A$74:$C$94,3,1)),0)
*13/3,
0),
""))),
""),
"")</f>
        <v/>
      </c>
      <c r="AX104" s="118" t="str">
        <f>IFERROR(
IF(VLOOKUP($C104,'Employee information'!$B:$M,COLUMNS('Employee information'!$B:$M),0)=55,
IF($E$2="Fortnightly",
ROUND(
ROUND((((TRUNC($AN104/2,0)+0.99))*VLOOKUP((TRUNC($AN104/2,0)+0.99),'Tax scales - NAT 3539'!$A$99:$C$123,2,1)-VLOOKUP((TRUNC($AN104/2,0)+0.99),'Tax scales - NAT 3539'!$A$99:$C$123,3,1)),0)
*2,
0),
IF(AND($E$2="Monthly",ROUND($AN104-TRUNC($AN104),2)=0.33),
ROUND(
ROUND(((TRUNC(($AN104+0.01)*3/13,0)+0.99)*VLOOKUP((TRUNC(($AN104+0.01)*3/13,0)+0.99),'Tax scales - NAT 3539'!$A$99:$C$123,2,1)-VLOOKUP((TRUNC(($AN104+0.01)*3/13,0)+0.99),'Tax scales - NAT 3539'!$A$99:$C$123,3,1)),0)
*13/3,
0),
IF($E$2="Monthly",
ROUND(
ROUND(((TRUNC($AN104*3/13,0)+0.99)*VLOOKUP((TRUNC($AN104*3/13,0)+0.99),'Tax scales - NAT 3539'!$A$99:$C$123,2,1)-VLOOKUP((TRUNC($AN104*3/13,0)+0.99),'Tax scales - NAT 3539'!$A$99:$C$123,3,1)),0)
*13/3,
0),
""))),
""),
"")</f>
        <v/>
      </c>
      <c r="AY104" s="118">
        <f>IFERROR(
IF(VLOOKUP($C104,'Employee information'!$B:$M,COLUMNS('Employee information'!$B:$M),0)=66,
IF($E$2="Fortnightly",
ROUND(
ROUND((((TRUNC($AN104/2,0)+0.99))*VLOOKUP((TRUNC($AN104/2,0)+0.99),'Tax scales - NAT 3539'!$A$127:$C$154,2,1)-VLOOKUP((TRUNC($AN104/2,0)+0.99),'Tax scales - NAT 3539'!$A$127:$C$154,3,1)),0)
*2,
0),
IF(AND($E$2="Monthly",ROUND($AN104-TRUNC($AN104),2)=0.33),
ROUND(
ROUND(((TRUNC(($AN104+0.01)*3/13,0)+0.99)*VLOOKUP((TRUNC(($AN104+0.01)*3/13,0)+0.99),'Tax scales - NAT 3539'!$A$127:$C$154,2,1)-VLOOKUP((TRUNC(($AN104+0.01)*3/13,0)+0.99),'Tax scales - NAT 3539'!$A$127:$C$154,3,1)),0)
*13/3,
0),
IF($E$2="Monthly",
ROUND(
ROUND(((TRUNC($AN104*3/13,0)+0.99)*VLOOKUP((TRUNC($AN104*3/13,0)+0.99),'Tax scales - NAT 3539'!$A$127:$C$154,2,1)-VLOOKUP((TRUNC($AN104*3/13,0)+0.99),'Tax scales - NAT 3539'!$A$127:$C$154,3,1)),0)
*13/3,
0),
""))),
""),
"")</f>
        <v>74</v>
      </c>
      <c r="AZ104" s="118">
        <f>IFERROR(
HLOOKUP(VLOOKUP($C104,'Employee information'!$B:$M,COLUMNS('Employee information'!$B:$M),0),'PAYG worksheet'!$AO$97:$AY$116,COUNTA($C$98:$C104)+1,0),
0)</f>
        <v>74</v>
      </c>
      <c r="BA104" s="118"/>
      <c r="BB104" s="118">
        <f t="shared" si="108"/>
        <v>1033.6923076923078</v>
      </c>
      <c r="BC104" s="119">
        <f>IFERROR(
IF(OR($AE104=1,$AE104=""),SUM($P104,$AA104,$AC104,$AK104)*VLOOKUP($C104,'Employee information'!$B:$Q,COLUMNS('Employee information'!$B:$H),0),
IF($AE104=0,SUM($P104,$AA104,$AK104)*VLOOKUP($C104,'Employee information'!$B:$Q,COLUMNS('Employee information'!$B:$H),0),
0)),
0)</f>
        <v>105.23076923076924</v>
      </c>
      <c r="BE104" s="114">
        <f t="shared" si="93"/>
        <v>4430.7692307692314</v>
      </c>
      <c r="BF104" s="114">
        <f t="shared" si="94"/>
        <v>4430.7692307692314</v>
      </c>
      <c r="BG104" s="114">
        <f t="shared" si="95"/>
        <v>0</v>
      </c>
      <c r="BH104" s="114">
        <f t="shared" si="96"/>
        <v>0</v>
      </c>
      <c r="BI104" s="114">
        <f t="shared" si="97"/>
        <v>296</v>
      </c>
      <c r="BJ104" s="114">
        <f t="shared" si="98"/>
        <v>0</v>
      </c>
      <c r="BK104" s="114">
        <f t="shared" si="99"/>
        <v>0</v>
      </c>
      <c r="BL104" s="114">
        <f t="shared" si="109"/>
        <v>0</v>
      </c>
      <c r="BM104" s="114">
        <f t="shared" si="100"/>
        <v>420.92307692307696</v>
      </c>
    </row>
    <row r="105" spans="1:65" x14ac:dyDescent="0.25">
      <c r="A105" s="228">
        <f t="shared" si="88"/>
        <v>4</v>
      </c>
      <c r="C105" s="278"/>
      <c r="E105" s="103">
        <f>IF($C105="",0,
IF(AND($E$2="Monthly",$A105&gt;12),0,
IF($E$2="Monthly",VLOOKUP($C105,'Employee information'!$B:$AM,COLUMNS('Employee information'!$B:S),0),
IF($E$2="Fortnightly",VLOOKUP($C105,'Employee information'!$B:$AM,COLUMNS('Employee information'!$B:R),0),
0))))</f>
        <v>0</v>
      </c>
      <c r="F105" s="106"/>
      <c r="G105" s="106"/>
      <c r="H105" s="106"/>
      <c r="I105" s="106"/>
      <c r="J105" s="103">
        <f>IF($E$2="Monthly",
IF(AND($E$2="Monthly",$H105&lt;&gt;""),$H105,
IF(AND($E$2="Monthly",$E105=0),SUM($F105:$G105),
$E105)),
IF($E$2="Fortnightly",
IF(AND($E$2="Fortnightly",$H105&lt;&gt;""),$H105,
IF(AND($E$2="Fortnightly",$F105&lt;&gt;"",$E105&lt;&gt;0),$F105,
IF(AND($E$2="Fortnightly",$E105=0),SUM($F105:$G105),
$E105)))))</f>
        <v>0</v>
      </c>
      <c r="L105" s="113">
        <f>IF(AND($E$2="Monthly",$A105&gt;12),"",
IFERROR($J105*VLOOKUP($C105,'Employee information'!$B:$AI,COLUMNS('Employee information'!$B:$P),0),0))</f>
        <v>0</v>
      </c>
      <c r="M105" s="114">
        <f t="shared" si="102"/>
        <v>0</v>
      </c>
      <c r="O105" s="103">
        <f t="shared" si="103"/>
        <v>0</v>
      </c>
      <c r="P105" s="113">
        <f>IFERROR(
IF(AND($E$2="Monthly",$A105&gt;12),0,
$O105*VLOOKUP($C105,'Employee information'!$B:$AI,COLUMNS('Employee information'!$B:$P),0)),
0)</f>
        <v>0</v>
      </c>
      <c r="R105" s="114">
        <f t="shared" si="89"/>
        <v>0</v>
      </c>
      <c r="T105" s="103"/>
      <c r="U105" s="103"/>
      <c r="V105" s="282" t="str">
        <f>IF($C105="","",
IF(AND($E$2="Monthly",$A105&gt;12),"",
$T105*VLOOKUP($C105,'Employee information'!$B:$P,COLUMNS('Employee information'!$B:$P),0)))</f>
        <v/>
      </c>
      <c r="W105" s="282" t="str">
        <f>IF($C105="","",
IF(AND($E$2="Monthly",$A105&gt;12),"",
$U105*VLOOKUP($C105,'Employee information'!$B:$P,COLUMNS('Employee information'!$B:$P),0)))</f>
        <v/>
      </c>
      <c r="X105" s="114">
        <f t="shared" si="90"/>
        <v>0</v>
      </c>
      <c r="Y105" s="114">
        <f t="shared" si="91"/>
        <v>0</v>
      </c>
      <c r="AA105" s="118">
        <f>IFERROR(
IF(OR('Basic payroll data'!$D$12="",'Basic payroll data'!$D$12="No"),0,
$T105*VLOOKUP($C105,'Employee information'!$B:$P,COLUMNS('Employee information'!$B:$P),0)*AL_loading_perc),
0)</f>
        <v>0</v>
      </c>
      <c r="AC105" s="118"/>
      <c r="AD105" s="118"/>
      <c r="AE105" s="283" t="str">
        <f t="shared" si="104"/>
        <v/>
      </c>
      <c r="AF105" s="283" t="str">
        <f t="shared" si="105"/>
        <v/>
      </c>
      <c r="AG105" s="118"/>
      <c r="AH105" s="118"/>
      <c r="AI105" s="283" t="str">
        <f t="shared" si="106"/>
        <v/>
      </c>
      <c r="AJ105" s="118"/>
      <c r="AK105" s="118"/>
      <c r="AM105" s="118">
        <f t="shared" si="107"/>
        <v>0</v>
      </c>
      <c r="AN105" s="118">
        <f t="shared" si="92"/>
        <v>0</v>
      </c>
      <c r="AO105" s="118" t="str">
        <f>IFERROR(
IF(VLOOKUP($C105,'Employee information'!$B:$M,COLUMNS('Employee information'!$B:$M),0)=1,
IF($E$2="Fortnightly",
ROUND(
ROUND((((TRUNC($AN105/2,0)+0.99))*VLOOKUP((TRUNC($AN105/2,0)+0.99),'Tax scales - NAT 1004'!$A$12:$C$18,2,1)-VLOOKUP((TRUNC($AN105/2,0)+0.99),'Tax scales - NAT 1004'!$A$12:$C$18,3,1)),0)
*2,
0),
IF(AND($E$2="Monthly",ROUND($AN105-TRUNC($AN105),2)=0.33),
ROUND(
ROUND(((TRUNC(($AN105+0.01)*3/13,0)+0.99)*VLOOKUP((TRUNC(($AN105+0.01)*3/13,0)+0.99),'Tax scales - NAT 1004'!$A$12:$C$18,2,1)-VLOOKUP((TRUNC(($AN105+0.01)*3/13,0)+0.99),'Tax scales - NAT 1004'!$A$12:$C$18,3,1)),0)
*13/3,
0),
IF($E$2="Monthly",
ROUND(
ROUND(((TRUNC($AN105*3/13,0)+0.99)*VLOOKUP((TRUNC($AN105*3/13,0)+0.99),'Tax scales - NAT 1004'!$A$12:$C$18,2,1)-VLOOKUP((TRUNC($AN105*3/13,0)+0.99),'Tax scales - NAT 1004'!$A$12:$C$18,3,1)),0)
*13/3,
0),
""))),
""),
"")</f>
        <v/>
      </c>
      <c r="AP105" s="118" t="str">
        <f>IFERROR(
IF(VLOOKUP($C105,'Employee information'!$B:$M,COLUMNS('Employee information'!$B:$M),0)=2,
IF($E$2="Fortnightly",
ROUND(
ROUND((((TRUNC($AN105/2,0)+0.99))*VLOOKUP((TRUNC($AN105/2,0)+0.99),'Tax scales - NAT 1004'!$A$25:$C$33,2,1)-VLOOKUP((TRUNC($AN105/2,0)+0.99),'Tax scales - NAT 1004'!$A$25:$C$33,3,1)),0)
*2,
0),
IF(AND($E$2="Monthly",ROUND($AN105-TRUNC($AN105),2)=0.33),
ROUND(
ROUND(((TRUNC(($AN105+0.01)*3/13,0)+0.99)*VLOOKUP((TRUNC(($AN105+0.01)*3/13,0)+0.99),'Tax scales - NAT 1004'!$A$25:$C$33,2,1)-VLOOKUP((TRUNC(($AN105+0.01)*3/13,0)+0.99),'Tax scales - NAT 1004'!$A$25:$C$33,3,1)),0)
*13/3,
0),
IF($E$2="Monthly",
ROUND(
ROUND(((TRUNC($AN105*3/13,0)+0.99)*VLOOKUP((TRUNC($AN105*3/13,0)+0.99),'Tax scales - NAT 1004'!$A$25:$C$33,2,1)-VLOOKUP((TRUNC($AN105*3/13,0)+0.99),'Tax scales - NAT 1004'!$A$25:$C$33,3,1)),0)
*13/3,
0),
""))),
""),
"")</f>
        <v/>
      </c>
      <c r="AQ105" s="118" t="str">
        <f>IFERROR(
IF(VLOOKUP($C105,'Employee information'!$B:$M,COLUMNS('Employee information'!$B:$M),0)=3,
IF($E$2="Fortnightly",
ROUND(
ROUND((((TRUNC($AN105/2,0)+0.99))*VLOOKUP((TRUNC($AN105/2,0)+0.99),'Tax scales - NAT 1004'!$A$39:$C$41,2,1)-VLOOKUP((TRUNC($AN105/2,0)+0.99),'Tax scales - NAT 1004'!$A$39:$C$41,3,1)),0)
*2,
0),
IF(AND($E$2="Monthly",ROUND($AN105-TRUNC($AN105),2)=0.33),
ROUND(
ROUND(((TRUNC(($AN105+0.01)*3/13,0)+0.99)*VLOOKUP((TRUNC(($AN105+0.01)*3/13,0)+0.99),'Tax scales - NAT 1004'!$A$39:$C$41,2,1)-VLOOKUP((TRUNC(($AN105+0.01)*3/13,0)+0.99),'Tax scales - NAT 1004'!$A$39:$C$41,3,1)),0)
*13/3,
0),
IF($E$2="Monthly",
ROUND(
ROUND(((TRUNC($AN105*3/13,0)+0.99)*VLOOKUP((TRUNC($AN105*3/13,0)+0.99),'Tax scales - NAT 1004'!$A$39:$C$41,2,1)-VLOOKUP((TRUNC($AN105*3/13,0)+0.99),'Tax scales - NAT 1004'!$A$39:$C$41,3,1)),0)
*13/3,
0),
""))),
""),
"")</f>
        <v/>
      </c>
      <c r="AR105" s="118" t="str">
        <f>IFERROR(
IF(AND(VLOOKUP($C105,'Employee information'!$B:$M,COLUMNS('Employee information'!$B:$M),0)=4,
VLOOKUP($C105,'Employee information'!$B:$J,COLUMNS('Employee information'!$B:$J),0)="Resident"),
TRUNC(TRUNC($AN105)*'Tax scales - NAT 1004'!$B$47),
IF(AND(VLOOKUP($C105,'Employee information'!$B:$M,COLUMNS('Employee information'!$B:$M),0)=4,
VLOOKUP($C105,'Employee information'!$B:$J,COLUMNS('Employee information'!$B:$J),0)="Foreign resident"),
TRUNC(TRUNC($AN105)*'Tax scales - NAT 1004'!$B$48),
"")),
"")</f>
        <v/>
      </c>
      <c r="AS105" s="118" t="str">
        <f>IFERROR(
IF(VLOOKUP($C105,'Employee information'!$B:$M,COLUMNS('Employee information'!$B:$M),0)=5,
IF($E$2="Fortnightly",
ROUND(
ROUND((((TRUNC($AN105/2,0)+0.99))*VLOOKUP((TRUNC($AN105/2,0)+0.99),'Tax scales - NAT 1004'!$A$53:$C$59,2,1)-VLOOKUP((TRUNC($AN105/2,0)+0.99),'Tax scales - NAT 1004'!$A$53:$C$59,3,1)),0)
*2,
0),
IF(AND($E$2="Monthly",ROUND($AN105-TRUNC($AN105),2)=0.33),
ROUND(
ROUND(((TRUNC(($AN105+0.01)*3/13,0)+0.99)*VLOOKUP((TRUNC(($AN105+0.01)*3/13,0)+0.99),'Tax scales - NAT 1004'!$A$53:$C$59,2,1)-VLOOKUP((TRUNC(($AN105+0.01)*3/13,0)+0.99),'Tax scales - NAT 1004'!$A$53:$C$59,3,1)),0)
*13/3,
0),
IF($E$2="Monthly",
ROUND(
ROUND(((TRUNC($AN105*3/13,0)+0.99)*VLOOKUP((TRUNC($AN105*3/13,0)+0.99),'Tax scales - NAT 1004'!$A$53:$C$59,2,1)-VLOOKUP((TRUNC($AN105*3/13,0)+0.99),'Tax scales - NAT 1004'!$A$53:$C$59,3,1)),0)
*13/3,
0),
""))),
""),
"")</f>
        <v/>
      </c>
      <c r="AT105" s="118" t="str">
        <f>IFERROR(
IF(VLOOKUP($C105,'Employee information'!$B:$M,COLUMNS('Employee information'!$B:$M),0)=6,
IF($E$2="Fortnightly",
ROUND(
ROUND((((TRUNC($AN105/2,0)+0.99))*VLOOKUP((TRUNC($AN105/2,0)+0.99),'Tax scales - NAT 1004'!$A$65:$C$73,2,1)-VLOOKUP((TRUNC($AN105/2,0)+0.99),'Tax scales - NAT 1004'!$A$65:$C$73,3,1)),0)
*2,
0),
IF(AND($E$2="Monthly",ROUND($AN105-TRUNC($AN105),2)=0.33),
ROUND(
ROUND(((TRUNC(($AN105+0.01)*3/13,0)+0.99)*VLOOKUP((TRUNC(($AN105+0.01)*3/13,0)+0.99),'Tax scales - NAT 1004'!$A$65:$C$73,2,1)-VLOOKUP((TRUNC(($AN105+0.01)*3/13,0)+0.99),'Tax scales - NAT 1004'!$A$65:$C$73,3,1)),0)
*13/3,
0),
IF($E$2="Monthly",
ROUND(
ROUND(((TRUNC($AN105*3/13,0)+0.99)*VLOOKUP((TRUNC($AN105*3/13,0)+0.99),'Tax scales - NAT 1004'!$A$65:$C$73,2,1)-VLOOKUP((TRUNC($AN105*3/13,0)+0.99),'Tax scales - NAT 1004'!$A$65:$C$73,3,1)),0)
*13/3,
0),
""))),
""),
"")</f>
        <v/>
      </c>
      <c r="AU105" s="118" t="str">
        <f>IFERROR(
IF(VLOOKUP($C105,'Employee information'!$B:$M,COLUMNS('Employee information'!$B:$M),0)=11,
IF($E$2="Fortnightly",
ROUND(
ROUND((((TRUNC($AN105/2,0)+0.99))*VLOOKUP((TRUNC($AN105/2,0)+0.99),'Tax scales - NAT 3539'!$A$14:$C$38,2,1)-VLOOKUP((TRUNC($AN105/2,0)+0.99),'Tax scales - NAT 3539'!$A$14:$C$38,3,1)),0)
*2,
0),
IF(AND($E$2="Monthly",ROUND($AN105-TRUNC($AN105),2)=0.33),
ROUND(
ROUND(((TRUNC(($AN105+0.01)*3/13,0)+0.99)*VLOOKUP((TRUNC(($AN105+0.01)*3/13,0)+0.99),'Tax scales - NAT 3539'!$A$14:$C$38,2,1)-VLOOKUP((TRUNC(($AN105+0.01)*3/13,0)+0.99),'Tax scales - NAT 3539'!$A$14:$C$38,3,1)),0)
*13/3,
0),
IF($E$2="Monthly",
ROUND(
ROUND(((TRUNC($AN105*3/13,0)+0.99)*VLOOKUP((TRUNC($AN105*3/13,0)+0.99),'Tax scales - NAT 3539'!$A$14:$C$38,2,1)-VLOOKUP((TRUNC($AN105*3/13,0)+0.99),'Tax scales - NAT 3539'!$A$14:$C$38,3,1)),0)
*13/3,
0),
""))),
""),
"")</f>
        <v/>
      </c>
      <c r="AV105" s="118" t="str">
        <f>IFERROR(
IF(VLOOKUP($C105,'Employee information'!$B:$M,COLUMNS('Employee information'!$B:$M),0)=22,
IF($E$2="Fortnightly",
ROUND(
ROUND((((TRUNC($AN105/2,0)+0.99))*VLOOKUP((TRUNC($AN105/2,0)+0.99),'Tax scales - NAT 3539'!$A$43:$C$69,2,1)-VLOOKUP((TRUNC($AN105/2,0)+0.99),'Tax scales - NAT 3539'!$A$43:$C$69,3,1)),0)
*2,
0),
IF(AND($E$2="Monthly",ROUND($AN105-TRUNC($AN105),2)=0.33),
ROUND(
ROUND(((TRUNC(($AN105+0.01)*3/13,0)+0.99)*VLOOKUP((TRUNC(($AN105+0.01)*3/13,0)+0.99),'Tax scales - NAT 3539'!$A$43:$C$69,2,1)-VLOOKUP((TRUNC(($AN105+0.01)*3/13,0)+0.99),'Tax scales - NAT 3539'!$A$43:$C$69,3,1)),0)
*13/3,
0),
IF($E$2="Monthly",
ROUND(
ROUND(((TRUNC($AN105*3/13,0)+0.99)*VLOOKUP((TRUNC($AN105*3/13,0)+0.99),'Tax scales - NAT 3539'!$A$43:$C$69,2,1)-VLOOKUP((TRUNC($AN105*3/13,0)+0.99),'Tax scales - NAT 3539'!$A$43:$C$69,3,1)),0)
*13/3,
0),
""))),
""),
"")</f>
        <v/>
      </c>
      <c r="AW105" s="118" t="str">
        <f>IFERROR(
IF(VLOOKUP($C105,'Employee information'!$B:$M,COLUMNS('Employee information'!$B:$M),0)=33,
IF($E$2="Fortnightly",
ROUND(
ROUND((((TRUNC($AN105/2,0)+0.99))*VLOOKUP((TRUNC($AN105/2,0)+0.99),'Tax scales - NAT 3539'!$A$74:$C$94,2,1)-VLOOKUP((TRUNC($AN105/2,0)+0.99),'Tax scales - NAT 3539'!$A$74:$C$94,3,1)),0)
*2,
0),
IF(AND($E$2="Monthly",ROUND($AN105-TRUNC($AN105),2)=0.33),
ROUND(
ROUND(((TRUNC(($AN105+0.01)*3/13,0)+0.99)*VLOOKUP((TRUNC(($AN105+0.01)*3/13,0)+0.99),'Tax scales - NAT 3539'!$A$74:$C$94,2,1)-VLOOKUP((TRUNC(($AN105+0.01)*3/13,0)+0.99),'Tax scales - NAT 3539'!$A$74:$C$94,3,1)),0)
*13/3,
0),
IF($E$2="Monthly",
ROUND(
ROUND(((TRUNC($AN105*3/13,0)+0.99)*VLOOKUP((TRUNC($AN105*3/13,0)+0.99),'Tax scales - NAT 3539'!$A$74:$C$94,2,1)-VLOOKUP((TRUNC($AN105*3/13,0)+0.99),'Tax scales - NAT 3539'!$A$74:$C$94,3,1)),0)
*13/3,
0),
""))),
""),
"")</f>
        <v/>
      </c>
      <c r="AX105" s="118" t="str">
        <f>IFERROR(
IF(VLOOKUP($C105,'Employee information'!$B:$M,COLUMNS('Employee information'!$B:$M),0)=55,
IF($E$2="Fortnightly",
ROUND(
ROUND((((TRUNC($AN105/2,0)+0.99))*VLOOKUP((TRUNC($AN105/2,0)+0.99),'Tax scales - NAT 3539'!$A$99:$C$123,2,1)-VLOOKUP((TRUNC($AN105/2,0)+0.99),'Tax scales - NAT 3539'!$A$99:$C$123,3,1)),0)
*2,
0),
IF(AND($E$2="Monthly",ROUND($AN105-TRUNC($AN105),2)=0.33),
ROUND(
ROUND(((TRUNC(($AN105+0.01)*3/13,0)+0.99)*VLOOKUP((TRUNC(($AN105+0.01)*3/13,0)+0.99),'Tax scales - NAT 3539'!$A$99:$C$123,2,1)-VLOOKUP((TRUNC(($AN105+0.01)*3/13,0)+0.99),'Tax scales - NAT 3539'!$A$99:$C$123,3,1)),0)
*13/3,
0),
IF($E$2="Monthly",
ROUND(
ROUND(((TRUNC($AN105*3/13,0)+0.99)*VLOOKUP((TRUNC($AN105*3/13,0)+0.99),'Tax scales - NAT 3539'!$A$99:$C$123,2,1)-VLOOKUP((TRUNC($AN105*3/13,0)+0.99),'Tax scales - NAT 3539'!$A$99:$C$123,3,1)),0)
*13/3,
0),
""))),
""),
"")</f>
        <v/>
      </c>
      <c r="AY105" s="118" t="str">
        <f>IFERROR(
IF(VLOOKUP($C105,'Employee information'!$B:$M,COLUMNS('Employee information'!$B:$M),0)=66,
IF($E$2="Fortnightly",
ROUND(
ROUND((((TRUNC($AN105/2,0)+0.99))*VLOOKUP((TRUNC($AN105/2,0)+0.99),'Tax scales - NAT 3539'!$A$127:$C$154,2,1)-VLOOKUP((TRUNC($AN105/2,0)+0.99),'Tax scales - NAT 3539'!$A$127:$C$154,3,1)),0)
*2,
0),
IF(AND($E$2="Monthly",ROUND($AN105-TRUNC($AN105),2)=0.33),
ROUND(
ROUND(((TRUNC(($AN105+0.01)*3/13,0)+0.99)*VLOOKUP((TRUNC(($AN105+0.01)*3/13,0)+0.99),'Tax scales - NAT 3539'!$A$127:$C$154,2,1)-VLOOKUP((TRUNC(($AN105+0.01)*3/13,0)+0.99),'Tax scales - NAT 3539'!$A$127:$C$154,3,1)),0)
*13/3,
0),
IF($E$2="Monthly",
ROUND(
ROUND(((TRUNC($AN105*3/13,0)+0.99)*VLOOKUP((TRUNC($AN105*3/13,0)+0.99),'Tax scales - NAT 3539'!$A$127:$C$154,2,1)-VLOOKUP((TRUNC($AN105*3/13,0)+0.99),'Tax scales - NAT 3539'!$A$127:$C$154,3,1)),0)
*13/3,
0),
""))),
""),
"")</f>
        <v/>
      </c>
      <c r="AZ105" s="118">
        <f>IFERROR(
HLOOKUP(VLOOKUP($C105,'Employee information'!$B:$M,COLUMNS('Employee information'!$B:$M),0),'PAYG worksheet'!$AO$97:$AY$116,COUNTA($C$98:$C105)+1,0),
0)</f>
        <v>0</v>
      </c>
      <c r="BA105" s="118"/>
      <c r="BB105" s="118">
        <f t="shared" si="108"/>
        <v>0</v>
      </c>
      <c r="BC105" s="119">
        <f>IFERROR(
IF(OR($AE105=1,$AE105=""),SUM($P105,$AA105,$AC105,$AK105)*VLOOKUP($C105,'Employee information'!$B:$Q,COLUMNS('Employee information'!$B:$H),0),
IF($AE105=0,SUM($P105,$AA105,$AK105)*VLOOKUP($C105,'Employee information'!$B:$Q,COLUMNS('Employee information'!$B:$H),0),
0)),
0)</f>
        <v>0</v>
      </c>
      <c r="BE105" s="114">
        <f t="shared" si="93"/>
        <v>0</v>
      </c>
      <c r="BF105" s="114">
        <f t="shared" si="94"/>
        <v>0</v>
      </c>
      <c r="BG105" s="114">
        <f t="shared" si="95"/>
        <v>0</v>
      </c>
      <c r="BH105" s="114">
        <f t="shared" si="96"/>
        <v>0</v>
      </c>
      <c r="BI105" s="114">
        <f t="shared" si="97"/>
        <v>0</v>
      </c>
      <c r="BJ105" s="114">
        <f t="shared" si="98"/>
        <v>0</v>
      </c>
      <c r="BK105" s="114">
        <f t="shared" si="99"/>
        <v>0</v>
      </c>
      <c r="BL105" s="114">
        <f t="shared" si="109"/>
        <v>0</v>
      </c>
      <c r="BM105" s="114">
        <f t="shared" si="100"/>
        <v>0</v>
      </c>
    </row>
    <row r="106" spans="1:65" x14ac:dyDescent="0.25">
      <c r="A106" s="228">
        <f t="shared" si="88"/>
        <v>4</v>
      </c>
      <c r="C106" s="278"/>
      <c r="E106" s="103">
        <f>IF($C106="",0,
IF(AND($E$2="Monthly",$A106&gt;12),0,
IF($E$2="Monthly",VLOOKUP($C106,'Employee information'!$B:$AM,COLUMNS('Employee information'!$B:S),0),
IF($E$2="Fortnightly",VLOOKUP($C106,'Employee information'!$B:$AM,COLUMNS('Employee information'!$B:R),0),
0))))</f>
        <v>0</v>
      </c>
      <c r="F106" s="106"/>
      <c r="G106" s="106"/>
      <c r="H106" s="106"/>
      <c r="I106" s="106"/>
      <c r="J106" s="103">
        <f t="shared" si="101"/>
        <v>0</v>
      </c>
      <c r="L106" s="113">
        <f>IF(AND($E$2="Monthly",$A106&gt;12),"",
IFERROR($J106*VLOOKUP($C106,'Employee information'!$B:$AI,COLUMNS('Employee information'!$B:$P),0),0))</f>
        <v>0</v>
      </c>
      <c r="M106" s="114">
        <f t="shared" si="102"/>
        <v>0</v>
      </c>
      <c r="O106" s="103">
        <f t="shared" si="103"/>
        <v>0</v>
      </c>
      <c r="P106" s="113">
        <f>IFERROR(
IF(AND($E$2="Monthly",$A106&gt;12),0,
$O106*VLOOKUP($C106,'Employee information'!$B:$AI,COLUMNS('Employee information'!$B:$P),0)),
0)</f>
        <v>0</v>
      </c>
      <c r="R106" s="114">
        <f t="shared" si="89"/>
        <v>0</v>
      </c>
      <c r="T106" s="103"/>
      <c r="U106" s="103"/>
      <c r="V106" s="282" t="str">
        <f>IF($C106="","",
IF(AND($E$2="Monthly",$A106&gt;12),"",
$T106*VLOOKUP($C106,'Employee information'!$B:$P,COLUMNS('Employee information'!$B:$P),0)))</f>
        <v/>
      </c>
      <c r="W106" s="282" t="str">
        <f>IF($C106="","",
IF(AND($E$2="Monthly",$A106&gt;12),"",
$U106*VLOOKUP($C106,'Employee information'!$B:$P,COLUMNS('Employee information'!$B:$P),0)))</f>
        <v/>
      </c>
      <c r="X106" s="114">
        <f t="shared" si="90"/>
        <v>0</v>
      </c>
      <c r="Y106" s="114">
        <f t="shared" si="91"/>
        <v>0</v>
      </c>
      <c r="AA106" s="118">
        <f>IFERROR(
IF(OR('Basic payroll data'!$D$12="",'Basic payroll data'!$D$12="No"),0,
$T106*VLOOKUP($C106,'Employee information'!$B:$P,COLUMNS('Employee information'!$B:$P),0)*AL_loading_perc),
0)</f>
        <v>0</v>
      </c>
      <c r="AC106" s="118"/>
      <c r="AD106" s="118"/>
      <c r="AE106" s="283" t="str">
        <f t="shared" si="104"/>
        <v/>
      </c>
      <c r="AF106" s="283" t="str">
        <f t="shared" si="105"/>
        <v/>
      </c>
      <c r="AG106" s="118"/>
      <c r="AH106" s="118"/>
      <c r="AI106" s="283" t="str">
        <f t="shared" si="106"/>
        <v/>
      </c>
      <c r="AJ106" s="118"/>
      <c r="AK106" s="118"/>
      <c r="AM106" s="118">
        <f t="shared" si="107"/>
        <v>0</v>
      </c>
      <c r="AN106" s="118">
        <f t="shared" si="92"/>
        <v>0</v>
      </c>
      <c r="AO106" s="118" t="str">
        <f>IFERROR(
IF(VLOOKUP($C106,'Employee information'!$B:$M,COLUMNS('Employee information'!$B:$M),0)=1,
IF($E$2="Fortnightly",
ROUND(
ROUND((((TRUNC($AN106/2,0)+0.99))*VLOOKUP((TRUNC($AN106/2,0)+0.99),'Tax scales - NAT 1004'!$A$12:$C$18,2,1)-VLOOKUP((TRUNC($AN106/2,0)+0.99),'Tax scales - NAT 1004'!$A$12:$C$18,3,1)),0)
*2,
0),
IF(AND($E$2="Monthly",ROUND($AN106-TRUNC($AN106),2)=0.33),
ROUND(
ROUND(((TRUNC(($AN106+0.01)*3/13,0)+0.99)*VLOOKUP((TRUNC(($AN106+0.01)*3/13,0)+0.99),'Tax scales - NAT 1004'!$A$12:$C$18,2,1)-VLOOKUP((TRUNC(($AN106+0.01)*3/13,0)+0.99),'Tax scales - NAT 1004'!$A$12:$C$18,3,1)),0)
*13/3,
0),
IF($E$2="Monthly",
ROUND(
ROUND(((TRUNC($AN106*3/13,0)+0.99)*VLOOKUP((TRUNC($AN106*3/13,0)+0.99),'Tax scales - NAT 1004'!$A$12:$C$18,2,1)-VLOOKUP((TRUNC($AN106*3/13,0)+0.99),'Tax scales - NAT 1004'!$A$12:$C$18,3,1)),0)
*13/3,
0),
""))),
""),
"")</f>
        <v/>
      </c>
      <c r="AP106" s="118" t="str">
        <f>IFERROR(
IF(VLOOKUP($C106,'Employee information'!$B:$M,COLUMNS('Employee information'!$B:$M),0)=2,
IF($E$2="Fortnightly",
ROUND(
ROUND((((TRUNC($AN106/2,0)+0.99))*VLOOKUP((TRUNC($AN106/2,0)+0.99),'Tax scales - NAT 1004'!$A$25:$C$33,2,1)-VLOOKUP((TRUNC($AN106/2,0)+0.99),'Tax scales - NAT 1004'!$A$25:$C$33,3,1)),0)
*2,
0),
IF(AND($E$2="Monthly",ROUND($AN106-TRUNC($AN106),2)=0.33),
ROUND(
ROUND(((TRUNC(($AN106+0.01)*3/13,0)+0.99)*VLOOKUP((TRUNC(($AN106+0.01)*3/13,0)+0.99),'Tax scales - NAT 1004'!$A$25:$C$33,2,1)-VLOOKUP((TRUNC(($AN106+0.01)*3/13,0)+0.99),'Tax scales - NAT 1004'!$A$25:$C$33,3,1)),0)
*13/3,
0),
IF($E$2="Monthly",
ROUND(
ROUND(((TRUNC($AN106*3/13,0)+0.99)*VLOOKUP((TRUNC($AN106*3/13,0)+0.99),'Tax scales - NAT 1004'!$A$25:$C$33,2,1)-VLOOKUP((TRUNC($AN106*3/13,0)+0.99),'Tax scales - NAT 1004'!$A$25:$C$33,3,1)),0)
*13/3,
0),
""))),
""),
"")</f>
        <v/>
      </c>
      <c r="AQ106" s="118" t="str">
        <f>IFERROR(
IF(VLOOKUP($C106,'Employee information'!$B:$M,COLUMNS('Employee information'!$B:$M),0)=3,
IF($E$2="Fortnightly",
ROUND(
ROUND((((TRUNC($AN106/2,0)+0.99))*VLOOKUP((TRUNC($AN106/2,0)+0.99),'Tax scales - NAT 1004'!$A$39:$C$41,2,1)-VLOOKUP((TRUNC($AN106/2,0)+0.99),'Tax scales - NAT 1004'!$A$39:$C$41,3,1)),0)
*2,
0),
IF(AND($E$2="Monthly",ROUND($AN106-TRUNC($AN106),2)=0.33),
ROUND(
ROUND(((TRUNC(($AN106+0.01)*3/13,0)+0.99)*VLOOKUP((TRUNC(($AN106+0.01)*3/13,0)+0.99),'Tax scales - NAT 1004'!$A$39:$C$41,2,1)-VLOOKUP((TRUNC(($AN106+0.01)*3/13,0)+0.99),'Tax scales - NAT 1004'!$A$39:$C$41,3,1)),0)
*13/3,
0),
IF($E$2="Monthly",
ROUND(
ROUND(((TRUNC($AN106*3/13,0)+0.99)*VLOOKUP((TRUNC($AN106*3/13,0)+0.99),'Tax scales - NAT 1004'!$A$39:$C$41,2,1)-VLOOKUP((TRUNC($AN106*3/13,0)+0.99),'Tax scales - NAT 1004'!$A$39:$C$41,3,1)),0)
*13/3,
0),
""))),
""),
"")</f>
        <v/>
      </c>
      <c r="AR106" s="118" t="str">
        <f>IFERROR(
IF(AND(VLOOKUP($C106,'Employee information'!$B:$M,COLUMNS('Employee information'!$B:$M),0)=4,
VLOOKUP($C106,'Employee information'!$B:$J,COLUMNS('Employee information'!$B:$J),0)="Resident"),
TRUNC(TRUNC($AN106)*'Tax scales - NAT 1004'!$B$47),
IF(AND(VLOOKUP($C106,'Employee information'!$B:$M,COLUMNS('Employee information'!$B:$M),0)=4,
VLOOKUP($C106,'Employee information'!$B:$J,COLUMNS('Employee information'!$B:$J),0)="Foreign resident"),
TRUNC(TRUNC($AN106)*'Tax scales - NAT 1004'!$B$48),
"")),
"")</f>
        <v/>
      </c>
      <c r="AS106" s="118" t="str">
        <f>IFERROR(
IF(VLOOKUP($C106,'Employee information'!$B:$M,COLUMNS('Employee information'!$B:$M),0)=5,
IF($E$2="Fortnightly",
ROUND(
ROUND((((TRUNC($AN106/2,0)+0.99))*VLOOKUP((TRUNC($AN106/2,0)+0.99),'Tax scales - NAT 1004'!$A$53:$C$59,2,1)-VLOOKUP((TRUNC($AN106/2,0)+0.99),'Tax scales - NAT 1004'!$A$53:$C$59,3,1)),0)
*2,
0),
IF(AND($E$2="Monthly",ROUND($AN106-TRUNC($AN106),2)=0.33),
ROUND(
ROUND(((TRUNC(($AN106+0.01)*3/13,0)+0.99)*VLOOKUP((TRUNC(($AN106+0.01)*3/13,0)+0.99),'Tax scales - NAT 1004'!$A$53:$C$59,2,1)-VLOOKUP((TRUNC(($AN106+0.01)*3/13,0)+0.99),'Tax scales - NAT 1004'!$A$53:$C$59,3,1)),0)
*13/3,
0),
IF($E$2="Monthly",
ROUND(
ROUND(((TRUNC($AN106*3/13,0)+0.99)*VLOOKUP((TRUNC($AN106*3/13,0)+0.99),'Tax scales - NAT 1004'!$A$53:$C$59,2,1)-VLOOKUP((TRUNC($AN106*3/13,0)+0.99),'Tax scales - NAT 1004'!$A$53:$C$59,3,1)),0)
*13/3,
0),
""))),
""),
"")</f>
        <v/>
      </c>
      <c r="AT106" s="118" t="str">
        <f>IFERROR(
IF(VLOOKUP($C106,'Employee information'!$B:$M,COLUMNS('Employee information'!$B:$M),0)=6,
IF($E$2="Fortnightly",
ROUND(
ROUND((((TRUNC($AN106/2,0)+0.99))*VLOOKUP((TRUNC($AN106/2,0)+0.99),'Tax scales - NAT 1004'!$A$65:$C$73,2,1)-VLOOKUP((TRUNC($AN106/2,0)+0.99),'Tax scales - NAT 1004'!$A$65:$C$73,3,1)),0)
*2,
0),
IF(AND($E$2="Monthly",ROUND($AN106-TRUNC($AN106),2)=0.33),
ROUND(
ROUND(((TRUNC(($AN106+0.01)*3/13,0)+0.99)*VLOOKUP((TRUNC(($AN106+0.01)*3/13,0)+0.99),'Tax scales - NAT 1004'!$A$65:$C$73,2,1)-VLOOKUP((TRUNC(($AN106+0.01)*3/13,0)+0.99),'Tax scales - NAT 1004'!$A$65:$C$73,3,1)),0)
*13/3,
0),
IF($E$2="Monthly",
ROUND(
ROUND(((TRUNC($AN106*3/13,0)+0.99)*VLOOKUP((TRUNC($AN106*3/13,0)+0.99),'Tax scales - NAT 1004'!$A$65:$C$73,2,1)-VLOOKUP((TRUNC($AN106*3/13,0)+0.99),'Tax scales - NAT 1004'!$A$65:$C$73,3,1)),0)
*13/3,
0),
""))),
""),
"")</f>
        <v/>
      </c>
      <c r="AU106" s="118" t="str">
        <f>IFERROR(
IF(VLOOKUP($C106,'Employee information'!$B:$M,COLUMNS('Employee information'!$B:$M),0)=11,
IF($E$2="Fortnightly",
ROUND(
ROUND((((TRUNC($AN106/2,0)+0.99))*VLOOKUP((TRUNC($AN106/2,0)+0.99),'Tax scales - NAT 3539'!$A$14:$C$38,2,1)-VLOOKUP((TRUNC($AN106/2,0)+0.99),'Tax scales - NAT 3539'!$A$14:$C$38,3,1)),0)
*2,
0),
IF(AND($E$2="Monthly",ROUND($AN106-TRUNC($AN106),2)=0.33),
ROUND(
ROUND(((TRUNC(($AN106+0.01)*3/13,0)+0.99)*VLOOKUP((TRUNC(($AN106+0.01)*3/13,0)+0.99),'Tax scales - NAT 3539'!$A$14:$C$38,2,1)-VLOOKUP((TRUNC(($AN106+0.01)*3/13,0)+0.99),'Tax scales - NAT 3539'!$A$14:$C$38,3,1)),0)
*13/3,
0),
IF($E$2="Monthly",
ROUND(
ROUND(((TRUNC($AN106*3/13,0)+0.99)*VLOOKUP((TRUNC($AN106*3/13,0)+0.99),'Tax scales - NAT 3539'!$A$14:$C$38,2,1)-VLOOKUP((TRUNC($AN106*3/13,0)+0.99),'Tax scales - NAT 3539'!$A$14:$C$38,3,1)),0)
*13/3,
0),
""))),
""),
"")</f>
        <v/>
      </c>
      <c r="AV106" s="118" t="str">
        <f>IFERROR(
IF(VLOOKUP($C106,'Employee information'!$B:$M,COLUMNS('Employee information'!$B:$M),0)=22,
IF($E$2="Fortnightly",
ROUND(
ROUND((((TRUNC($AN106/2,0)+0.99))*VLOOKUP((TRUNC($AN106/2,0)+0.99),'Tax scales - NAT 3539'!$A$43:$C$69,2,1)-VLOOKUP((TRUNC($AN106/2,0)+0.99),'Tax scales - NAT 3539'!$A$43:$C$69,3,1)),0)
*2,
0),
IF(AND($E$2="Monthly",ROUND($AN106-TRUNC($AN106),2)=0.33),
ROUND(
ROUND(((TRUNC(($AN106+0.01)*3/13,0)+0.99)*VLOOKUP((TRUNC(($AN106+0.01)*3/13,0)+0.99),'Tax scales - NAT 3539'!$A$43:$C$69,2,1)-VLOOKUP((TRUNC(($AN106+0.01)*3/13,0)+0.99),'Tax scales - NAT 3539'!$A$43:$C$69,3,1)),0)
*13/3,
0),
IF($E$2="Monthly",
ROUND(
ROUND(((TRUNC($AN106*3/13,0)+0.99)*VLOOKUP((TRUNC($AN106*3/13,0)+0.99),'Tax scales - NAT 3539'!$A$43:$C$69,2,1)-VLOOKUP((TRUNC($AN106*3/13,0)+0.99),'Tax scales - NAT 3539'!$A$43:$C$69,3,1)),0)
*13/3,
0),
""))),
""),
"")</f>
        <v/>
      </c>
      <c r="AW106" s="118" t="str">
        <f>IFERROR(
IF(VLOOKUP($C106,'Employee information'!$B:$M,COLUMNS('Employee information'!$B:$M),0)=33,
IF($E$2="Fortnightly",
ROUND(
ROUND((((TRUNC($AN106/2,0)+0.99))*VLOOKUP((TRUNC($AN106/2,0)+0.99),'Tax scales - NAT 3539'!$A$74:$C$94,2,1)-VLOOKUP((TRUNC($AN106/2,0)+0.99),'Tax scales - NAT 3539'!$A$74:$C$94,3,1)),0)
*2,
0),
IF(AND($E$2="Monthly",ROUND($AN106-TRUNC($AN106),2)=0.33),
ROUND(
ROUND(((TRUNC(($AN106+0.01)*3/13,0)+0.99)*VLOOKUP((TRUNC(($AN106+0.01)*3/13,0)+0.99),'Tax scales - NAT 3539'!$A$74:$C$94,2,1)-VLOOKUP((TRUNC(($AN106+0.01)*3/13,0)+0.99),'Tax scales - NAT 3539'!$A$74:$C$94,3,1)),0)
*13/3,
0),
IF($E$2="Monthly",
ROUND(
ROUND(((TRUNC($AN106*3/13,0)+0.99)*VLOOKUP((TRUNC($AN106*3/13,0)+0.99),'Tax scales - NAT 3539'!$A$74:$C$94,2,1)-VLOOKUP((TRUNC($AN106*3/13,0)+0.99),'Tax scales - NAT 3539'!$A$74:$C$94,3,1)),0)
*13/3,
0),
""))),
""),
"")</f>
        <v/>
      </c>
      <c r="AX106" s="118" t="str">
        <f>IFERROR(
IF(VLOOKUP($C106,'Employee information'!$B:$M,COLUMNS('Employee information'!$B:$M),0)=55,
IF($E$2="Fortnightly",
ROUND(
ROUND((((TRUNC($AN106/2,0)+0.99))*VLOOKUP((TRUNC($AN106/2,0)+0.99),'Tax scales - NAT 3539'!$A$99:$C$123,2,1)-VLOOKUP((TRUNC($AN106/2,0)+0.99),'Tax scales - NAT 3539'!$A$99:$C$123,3,1)),0)
*2,
0),
IF(AND($E$2="Monthly",ROUND($AN106-TRUNC($AN106),2)=0.33),
ROUND(
ROUND(((TRUNC(($AN106+0.01)*3/13,0)+0.99)*VLOOKUP((TRUNC(($AN106+0.01)*3/13,0)+0.99),'Tax scales - NAT 3539'!$A$99:$C$123,2,1)-VLOOKUP((TRUNC(($AN106+0.01)*3/13,0)+0.99),'Tax scales - NAT 3539'!$A$99:$C$123,3,1)),0)
*13/3,
0),
IF($E$2="Monthly",
ROUND(
ROUND(((TRUNC($AN106*3/13,0)+0.99)*VLOOKUP((TRUNC($AN106*3/13,0)+0.99),'Tax scales - NAT 3539'!$A$99:$C$123,2,1)-VLOOKUP((TRUNC($AN106*3/13,0)+0.99),'Tax scales - NAT 3539'!$A$99:$C$123,3,1)),0)
*13/3,
0),
""))),
""),
"")</f>
        <v/>
      </c>
      <c r="AY106" s="118" t="str">
        <f>IFERROR(
IF(VLOOKUP($C106,'Employee information'!$B:$M,COLUMNS('Employee information'!$B:$M),0)=66,
IF($E$2="Fortnightly",
ROUND(
ROUND((((TRUNC($AN106/2,0)+0.99))*VLOOKUP((TRUNC($AN106/2,0)+0.99),'Tax scales - NAT 3539'!$A$127:$C$154,2,1)-VLOOKUP((TRUNC($AN106/2,0)+0.99),'Tax scales - NAT 3539'!$A$127:$C$154,3,1)),0)
*2,
0),
IF(AND($E$2="Monthly",ROUND($AN106-TRUNC($AN106),2)=0.33),
ROUND(
ROUND(((TRUNC(($AN106+0.01)*3/13,0)+0.99)*VLOOKUP((TRUNC(($AN106+0.01)*3/13,0)+0.99),'Tax scales - NAT 3539'!$A$127:$C$154,2,1)-VLOOKUP((TRUNC(($AN106+0.01)*3/13,0)+0.99),'Tax scales - NAT 3539'!$A$127:$C$154,3,1)),0)
*13/3,
0),
IF($E$2="Monthly",
ROUND(
ROUND(((TRUNC($AN106*3/13,0)+0.99)*VLOOKUP((TRUNC($AN106*3/13,0)+0.99),'Tax scales - NAT 3539'!$A$127:$C$154,2,1)-VLOOKUP((TRUNC($AN106*3/13,0)+0.99),'Tax scales - NAT 3539'!$A$127:$C$154,3,1)),0)
*13/3,
0),
""))),
""),
"")</f>
        <v/>
      </c>
      <c r="AZ106" s="118">
        <f>IFERROR(
HLOOKUP(VLOOKUP($C106,'Employee information'!$B:$M,COLUMNS('Employee information'!$B:$M),0),'PAYG worksheet'!$AO$97:$AY$116,COUNTA($C$98:$C106)+1,0),
0)</f>
        <v>0</v>
      </c>
      <c r="BA106" s="118"/>
      <c r="BB106" s="118">
        <f t="shared" si="108"/>
        <v>0</v>
      </c>
      <c r="BC106" s="119">
        <f>IFERROR(
IF(OR($AE106=1,$AE106=""),SUM($P106,$AA106,$AC106,$AK106)*VLOOKUP($C106,'Employee information'!$B:$Q,COLUMNS('Employee information'!$B:$H),0),
IF($AE106=0,SUM($P106,$AA106,$AK106)*VLOOKUP($C106,'Employee information'!$B:$Q,COLUMNS('Employee information'!$B:$H),0),
0)),
0)</f>
        <v>0</v>
      </c>
      <c r="BE106" s="114">
        <f t="shared" si="93"/>
        <v>0</v>
      </c>
      <c r="BF106" s="114">
        <f t="shared" si="94"/>
        <v>0</v>
      </c>
      <c r="BG106" s="114">
        <f t="shared" si="95"/>
        <v>0</v>
      </c>
      <c r="BH106" s="114">
        <f t="shared" si="96"/>
        <v>0</v>
      </c>
      <c r="BI106" s="114">
        <f t="shared" si="97"/>
        <v>0</v>
      </c>
      <c r="BJ106" s="114">
        <f t="shared" si="98"/>
        <v>0</v>
      </c>
      <c r="BK106" s="114">
        <f t="shared" si="99"/>
        <v>0</v>
      </c>
      <c r="BL106" s="114">
        <f t="shared" si="109"/>
        <v>0</v>
      </c>
      <c r="BM106" s="114">
        <f t="shared" si="100"/>
        <v>0</v>
      </c>
    </row>
    <row r="107" spans="1:65" x14ac:dyDescent="0.25">
      <c r="A107" s="228">
        <f t="shared" si="88"/>
        <v>4</v>
      </c>
      <c r="C107" s="278"/>
      <c r="E107" s="103">
        <f>IF($C107="",0,
IF(AND($E$2="Monthly",$A107&gt;12),0,
IF($E$2="Monthly",VLOOKUP($C107,'Employee information'!$B:$AM,COLUMNS('Employee information'!$B:S),0),
IF($E$2="Fortnightly",VLOOKUP($C107,'Employee information'!$B:$AM,COLUMNS('Employee information'!$B:R),0),
0))))</f>
        <v>0</v>
      </c>
      <c r="F107" s="106"/>
      <c r="G107" s="106"/>
      <c r="H107" s="106"/>
      <c r="I107" s="106"/>
      <c r="J107" s="103">
        <f t="shared" si="101"/>
        <v>0</v>
      </c>
      <c r="L107" s="113">
        <f>IF(AND($E$2="Monthly",$A107&gt;12),"",
IFERROR($J107*VLOOKUP($C107,'Employee information'!$B:$AI,COLUMNS('Employee information'!$B:$P),0),0))</f>
        <v>0</v>
      </c>
      <c r="M107" s="114">
        <f t="shared" si="102"/>
        <v>0</v>
      </c>
      <c r="O107" s="103">
        <f>IF($E$2="Monthly",
IF(AND($E$2="Monthly",$H107&lt;&gt;""),$H107,
IF(AND($E$2="Monthly",$E107=0),$F107,
$E107)),
IF($E$2="Fortnightly",
IF(AND($E$2="Fortnightly",$H107&lt;&gt;""),$H107,
IF(AND($E$2="Fortnightly",$F107&lt;&gt;"",$E107&lt;&gt;0),$F107,
IF(AND($E$2="Fortnightly",$E107=0),$F107,
$E107)))))</f>
        <v>0</v>
      </c>
      <c r="P107" s="113">
        <f>IFERROR(
IF(AND($E$2="Monthly",$A107&gt;12),0,
$O107*VLOOKUP($C107,'Employee information'!$B:$AI,COLUMNS('Employee information'!$B:$P),0)),
0)</f>
        <v>0</v>
      </c>
      <c r="R107" s="114">
        <f t="shared" si="89"/>
        <v>0</v>
      </c>
      <c r="T107" s="103"/>
      <c r="U107" s="103"/>
      <c r="V107" s="282" t="str">
        <f>IF($C107="","",
IF(AND($E$2="Monthly",$A107&gt;12),"",
$T107*VLOOKUP($C107,'Employee information'!$B:$P,COLUMNS('Employee information'!$B:$P),0)))</f>
        <v/>
      </c>
      <c r="W107" s="282" t="str">
        <f>IF($C107="","",
IF(AND($E$2="Monthly",$A107&gt;12),"",
$U107*VLOOKUP($C107,'Employee information'!$B:$P,COLUMNS('Employee information'!$B:$P),0)))</f>
        <v/>
      </c>
      <c r="X107" s="114">
        <f t="shared" si="90"/>
        <v>0</v>
      </c>
      <c r="Y107" s="114">
        <f t="shared" si="91"/>
        <v>0</v>
      </c>
      <c r="AA107" s="118">
        <f>IFERROR(
IF(OR('Basic payroll data'!$D$12="",'Basic payroll data'!$D$12="No"),0,
$T107*VLOOKUP($C107,'Employee information'!$B:$P,COLUMNS('Employee information'!$B:$P),0)*AL_loading_perc),
0)</f>
        <v>0</v>
      </c>
      <c r="AC107" s="118"/>
      <c r="AD107" s="118"/>
      <c r="AE107" s="283" t="str">
        <f t="shared" si="104"/>
        <v/>
      </c>
      <c r="AF107" s="283" t="str">
        <f t="shared" si="105"/>
        <v/>
      </c>
      <c r="AG107" s="118"/>
      <c r="AH107" s="118"/>
      <c r="AI107" s="283" t="str">
        <f t="shared" si="106"/>
        <v/>
      </c>
      <c r="AJ107" s="118"/>
      <c r="AK107" s="118"/>
      <c r="AM107" s="118">
        <f t="shared" si="107"/>
        <v>0</v>
      </c>
      <c r="AN107" s="118">
        <f t="shared" si="92"/>
        <v>0</v>
      </c>
      <c r="AO107" s="118" t="str">
        <f>IFERROR(
IF(VLOOKUP($C107,'Employee information'!$B:$M,COLUMNS('Employee information'!$B:$M),0)=1,
IF($E$2="Fortnightly",
ROUND(
ROUND((((TRUNC($AN107/2,0)+0.99))*VLOOKUP((TRUNC($AN107/2,0)+0.99),'Tax scales - NAT 1004'!$A$12:$C$18,2,1)-VLOOKUP((TRUNC($AN107/2,0)+0.99),'Tax scales - NAT 1004'!$A$12:$C$18,3,1)),0)
*2,
0),
IF(AND($E$2="Monthly",ROUND($AN107-TRUNC($AN107),2)=0.33),
ROUND(
ROUND(((TRUNC(($AN107+0.01)*3/13,0)+0.99)*VLOOKUP((TRUNC(($AN107+0.01)*3/13,0)+0.99),'Tax scales - NAT 1004'!$A$12:$C$18,2,1)-VLOOKUP((TRUNC(($AN107+0.01)*3/13,0)+0.99),'Tax scales - NAT 1004'!$A$12:$C$18,3,1)),0)
*13/3,
0),
IF($E$2="Monthly",
ROUND(
ROUND(((TRUNC($AN107*3/13,0)+0.99)*VLOOKUP((TRUNC($AN107*3/13,0)+0.99),'Tax scales - NAT 1004'!$A$12:$C$18,2,1)-VLOOKUP((TRUNC($AN107*3/13,0)+0.99),'Tax scales - NAT 1004'!$A$12:$C$18,3,1)),0)
*13/3,
0),
""))),
""),
"")</f>
        <v/>
      </c>
      <c r="AP107" s="118" t="str">
        <f>IFERROR(
IF(VLOOKUP($C107,'Employee information'!$B:$M,COLUMNS('Employee information'!$B:$M),0)=2,
IF($E$2="Fortnightly",
ROUND(
ROUND((((TRUNC($AN107/2,0)+0.99))*VLOOKUP((TRUNC($AN107/2,0)+0.99),'Tax scales - NAT 1004'!$A$25:$C$33,2,1)-VLOOKUP((TRUNC($AN107/2,0)+0.99),'Tax scales - NAT 1004'!$A$25:$C$33,3,1)),0)
*2,
0),
IF(AND($E$2="Monthly",ROUND($AN107-TRUNC($AN107),2)=0.33),
ROUND(
ROUND(((TRUNC(($AN107+0.01)*3/13,0)+0.99)*VLOOKUP((TRUNC(($AN107+0.01)*3/13,0)+0.99),'Tax scales - NAT 1004'!$A$25:$C$33,2,1)-VLOOKUP((TRUNC(($AN107+0.01)*3/13,0)+0.99),'Tax scales - NAT 1004'!$A$25:$C$33,3,1)),0)
*13/3,
0),
IF($E$2="Monthly",
ROUND(
ROUND(((TRUNC($AN107*3/13,0)+0.99)*VLOOKUP((TRUNC($AN107*3/13,0)+0.99),'Tax scales - NAT 1004'!$A$25:$C$33,2,1)-VLOOKUP((TRUNC($AN107*3/13,0)+0.99),'Tax scales - NAT 1004'!$A$25:$C$33,3,1)),0)
*13/3,
0),
""))),
""),
"")</f>
        <v/>
      </c>
      <c r="AQ107" s="118" t="str">
        <f>IFERROR(
IF(VLOOKUP($C107,'Employee information'!$B:$M,COLUMNS('Employee information'!$B:$M),0)=3,
IF($E$2="Fortnightly",
ROUND(
ROUND((((TRUNC($AN107/2,0)+0.99))*VLOOKUP((TRUNC($AN107/2,0)+0.99),'Tax scales - NAT 1004'!$A$39:$C$41,2,1)-VLOOKUP((TRUNC($AN107/2,0)+0.99),'Tax scales - NAT 1004'!$A$39:$C$41,3,1)),0)
*2,
0),
IF(AND($E$2="Monthly",ROUND($AN107-TRUNC($AN107),2)=0.33),
ROUND(
ROUND(((TRUNC(($AN107+0.01)*3/13,0)+0.99)*VLOOKUP((TRUNC(($AN107+0.01)*3/13,0)+0.99),'Tax scales - NAT 1004'!$A$39:$C$41,2,1)-VLOOKUP((TRUNC(($AN107+0.01)*3/13,0)+0.99),'Tax scales - NAT 1004'!$A$39:$C$41,3,1)),0)
*13/3,
0),
IF($E$2="Monthly",
ROUND(
ROUND(((TRUNC($AN107*3/13,0)+0.99)*VLOOKUP((TRUNC($AN107*3/13,0)+0.99),'Tax scales - NAT 1004'!$A$39:$C$41,2,1)-VLOOKUP((TRUNC($AN107*3/13,0)+0.99),'Tax scales - NAT 1004'!$A$39:$C$41,3,1)),0)
*13/3,
0),
""))),
""),
"")</f>
        <v/>
      </c>
      <c r="AR107" s="118" t="str">
        <f>IFERROR(
IF(AND(VLOOKUP($C107,'Employee information'!$B:$M,COLUMNS('Employee information'!$B:$M),0)=4,
VLOOKUP($C107,'Employee information'!$B:$J,COLUMNS('Employee information'!$B:$J),0)="Resident"),
TRUNC(TRUNC($AN107)*'Tax scales - NAT 1004'!$B$47),
IF(AND(VLOOKUP($C107,'Employee information'!$B:$M,COLUMNS('Employee information'!$B:$M),0)=4,
VLOOKUP($C107,'Employee information'!$B:$J,COLUMNS('Employee information'!$B:$J),0)="Foreign resident"),
TRUNC(TRUNC($AN107)*'Tax scales - NAT 1004'!$B$48),
"")),
"")</f>
        <v/>
      </c>
      <c r="AS107" s="118" t="str">
        <f>IFERROR(
IF(VLOOKUP($C107,'Employee information'!$B:$M,COLUMNS('Employee information'!$B:$M),0)=5,
IF($E$2="Fortnightly",
ROUND(
ROUND((((TRUNC($AN107/2,0)+0.99))*VLOOKUP((TRUNC($AN107/2,0)+0.99),'Tax scales - NAT 1004'!$A$53:$C$59,2,1)-VLOOKUP((TRUNC($AN107/2,0)+0.99),'Tax scales - NAT 1004'!$A$53:$C$59,3,1)),0)
*2,
0),
IF(AND($E$2="Monthly",ROUND($AN107-TRUNC($AN107),2)=0.33),
ROUND(
ROUND(((TRUNC(($AN107+0.01)*3/13,0)+0.99)*VLOOKUP((TRUNC(($AN107+0.01)*3/13,0)+0.99),'Tax scales - NAT 1004'!$A$53:$C$59,2,1)-VLOOKUP((TRUNC(($AN107+0.01)*3/13,0)+0.99),'Tax scales - NAT 1004'!$A$53:$C$59,3,1)),0)
*13/3,
0),
IF($E$2="Monthly",
ROUND(
ROUND(((TRUNC($AN107*3/13,0)+0.99)*VLOOKUP((TRUNC($AN107*3/13,0)+0.99),'Tax scales - NAT 1004'!$A$53:$C$59,2,1)-VLOOKUP((TRUNC($AN107*3/13,0)+0.99),'Tax scales - NAT 1004'!$A$53:$C$59,3,1)),0)
*13/3,
0),
""))),
""),
"")</f>
        <v/>
      </c>
      <c r="AT107" s="118" t="str">
        <f>IFERROR(
IF(VLOOKUP($C107,'Employee information'!$B:$M,COLUMNS('Employee information'!$B:$M),0)=6,
IF($E$2="Fortnightly",
ROUND(
ROUND((((TRUNC($AN107/2,0)+0.99))*VLOOKUP((TRUNC($AN107/2,0)+0.99),'Tax scales - NAT 1004'!$A$65:$C$73,2,1)-VLOOKUP((TRUNC($AN107/2,0)+0.99),'Tax scales - NAT 1004'!$A$65:$C$73,3,1)),0)
*2,
0),
IF(AND($E$2="Monthly",ROUND($AN107-TRUNC($AN107),2)=0.33),
ROUND(
ROUND(((TRUNC(($AN107+0.01)*3/13,0)+0.99)*VLOOKUP((TRUNC(($AN107+0.01)*3/13,0)+0.99),'Tax scales - NAT 1004'!$A$65:$C$73,2,1)-VLOOKUP((TRUNC(($AN107+0.01)*3/13,0)+0.99),'Tax scales - NAT 1004'!$A$65:$C$73,3,1)),0)
*13/3,
0),
IF($E$2="Monthly",
ROUND(
ROUND(((TRUNC($AN107*3/13,0)+0.99)*VLOOKUP((TRUNC($AN107*3/13,0)+0.99),'Tax scales - NAT 1004'!$A$65:$C$73,2,1)-VLOOKUP((TRUNC($AN107*3/13,0)+0.99),'Tax scales - NAT 1004'!$A$65:$C$73,3,1)),0)
*13/3,
0),
""))),
""),
"")</f>
        <v/>
      </c>
      <c r="AU107" s="118" t="str">
        <f>IFERROR(
IF(VLOOKUP($C107,'Employee information'!$B:$M,COLUMNS('Employee information'!$B:$M),0)=11,
IF($E$2="Fortnightly",
ROUND(
ROUND((((TRUNC($AN107/2,0)+0.99))*VLOOKUP((TRUNC($AN107/2,0)+0.99),'Tax scales - NAT 3539'!$A$14:$C$38,2,1)-VLOOKUP((TRUNC($AN107/2,0)+0.99),'Tax scales - NAT 3539'!$A$14:$C$38,3,1)),0)
*2,
0),
IF(AND($E$2="Monthly",ROUND($AN107-TRUNC($AN107),2)=0.33),
ROUND(
ROUND(((TRUNC(($AN107+0.01)*3/13,0)+0.99)*VLOOKUP((TRUNC(($AN107+0.01)*3/13,0)+0.99),'Tax scales - NAT 3539'!$A$14:$C$38,2,1)-VLOOKUP((TRUNC(($AN107+0.01)*3/13,0)+0.99),'Tax scales - NAT 3539'!$A$14:$C$38,3,1)),0)
*13/3,
0),
IF($E$2="Monthly",
ROUND(
ROUND(((TRUNC($AN107*3/13,0)+0.99)*VLOOKUP((TRUNC($AN107*3/13,0)+0.99),'Tax scales - NAT 3539'!$A$14:$C$38,2,1)-VLOOKUP((TRUNC($AN107*3/13,0)+0.99),'Tax scales - NAT 3539'!$A$14:$C$38,3,1)),0)
*13/3,
0),
""))),
""),
"")</f>
        <v/>
      </c>
      <c r="AV107" s="118" t="str">
        <f>IFERROR(
IF(VLOOKUP($C107,'Employee information'!$B:$M,COLUMNS('Employee information'!$B:$M),0)=22,
IF($E$2="Fortnightly",
ROUND(
ROUND((((TRUNC($AN107/2,0)+0.99))*VLOOKUP((TRUNC($AN107/2,0)+0.99),'Tax scales - NAT 3539'!$A$43:$C$69,2,1)-VLOOKUP((TRUNC($AN107/2,0)+0.99),'Tax scales - NAT 3539'!$A$43:$C$69,3,1)),0)
*2,
0),
IF(AND($E$2="Monthly",ROUND($AN107-TRUNC($AN107),2)=0.33),
ROUND(
ROUND(((TRUNC(($AN107+0.01)*3/13,0)+0.99)*VLOOKUP((TRUNC(($AN107+0.01)*3/13,0)+0.99),'Tax scales - NAT 3539'!$A$43:$C$69,2,1)-VLOOKUP((TRUNC(($AN107+0.01)*3/13,0)+0.99),'Tax scales - NAT 3539'!$A$43:$C$69,3,1)),0)
*13/3,
0),
IF($E$2="Monthly",
ROUND(
ROUND(((TRUNC($AN107*3/13,0)+0.99)*VLOOKUP((TRUNC($AN107*3/13,0)+0.99),'Tax scales - NAT 3539'!$A$43:$C$69,2,1)-VLOOKUP((TRUNC($AN107*3/13,0)+0.99),'Tax scales - NAT 3539'!$A$43:$C$69,3,1)),0)
*13/3,
0),
""))),
""),
"")</f>
        <v/>
      </c>
      <c r="AW107" s="118" t="str">
        <f>IFERROR(
IF(VLOOKUP($C107,'Employee information'!$B:$M,COLUMNS('Employee information'!$B:$M),0)=33,
IF($E$2="Fortnightly",
ROUND(
ROUND((((TRUNC($AN107/2,0)+0.99))*VLOOKUP((TRUNC($AN107/2,0)+0.99),'Tax scales - NAT 3539'!$A$74:$C$94,2,1)-VLOOKUP((TRUNC($AN107/2,0)+0.99),'Tax scales - NAT 3539'!$A$74:$C$94,3,1)),0)
*2,
0),
IF(AND($E$2="Monthly",ROUND($AN107-TRUNC($AN107),2)=0.33),
ROUND(
ROUND(((TRUNC(($AN107+0.01)*3/13,0)+0.99)*VLOOKUP((TRUNC(($AN107+0.01)*3/13,0)+0.99),'Tax scales - NAT 3539'!$A$74:$C$94,2,1)-VLOOKUP((TRUNC(($AN107+0.01)*3/13,0)+0.99),'Tax scales - NAT 3539'!$A$74:$C$94,3,1)),0)
*13/3,
0),
IF($E$2="Monthly",
ROUND(
ROUND(((TRUNC($AN107*3/13,0)+0.99)*VLOOKUP((TRUNC($AN107*3/13,0)+0.99),'Tax scales - NAT 3539'!$A$74:$C$94,2,1)-VLOOKUP((TRUNC($AN107*3/13,0)+0.99),'Tax scales - NAT 3539'!$A$74:$C$94,3,1)),0)
*13/3,
0),
""))),
""),
"")</f>
        <v/>
      </c>
      <c r="AX107" s="118" t="str">
        <f>IFERROR(
IF(VLOOKUP($C107,'Employee information'!$B:$M,COLUMNS('Employee information'!$B:$M),0)=55,
IF($E$2="Fortnightly",
ROUND(
ROUND((((TRUNC($AN107/2,0)+0.99))*VLOOKUP((TRUNC($AN107/2,0)+0.99),'Tax scales - NAT 3539'!$A$99:$C$123,2,1)-VLOOKUP((TRUNC($AN107/2,0)+0.99),'Tax scales - NAT 3539'!$A$99:$C$123,3,1)),0)
*2,
0),
IF(AND($E$2="Monthly",ROUND($AN107-TRUNC($AN107),2)=0.33),
ROUND(
ROUND(((TRUNC(($AN107+0.01)*3/13,0)+0.99)*VLOOKUP((TRUNC(($AN107+0.01)*3/13,0)+0.99),'Tax scales - NAT 3539'!$A$99:$C$123,2,1)-VLOOKUP((TRUNC(($AN107+0.01)*3/13,0)+0.99),'Tax scales - NAT 3539'!$A$99:$C$123,3,1)),0)
*13/3,
0),
IF($E$2="Monthly",
ROUND(
ROUND(((TRUNC($AN107*3/13,0)+0.99)*VLOOKUP((TRUNC($AN107*3/13,0)+0.99),'Tax scales - NAT 3539'!$A$99:$C$123,2,1)-VLOOKUP((TRUNC($AN107*3/13,0)+0.99),'Tax scales - NAT 3539'!$A$99:$C$123,3,1)),0)
*13/3,
0),
""))),
""),
"")</f>
        <v/>
      </c>
      <c r="AY107" s="118" t="str">
        <f>IFERROR(
IF(VLOOKUP($C107,'Employee information'!$B:$M,COLUMNS('Employee information'!$B:$M),0)=66,
IF($E$2="Fortnightly",
ROUND(
ROUND((((TRUNC($AN107/2,0)+0.99))*VLOOKUP((TRUNC($AN107/2,0)+0.99),'Tax scales - NAT 3539'!$A$127:$C$154,2,1)-VLOOKUP((TRUNC($AN107/2,0)+0.99),'Tax scales - NAT 3539'!$A$127:$C$154,3,1)),0)
*2,
0),
IF(AND($E$2="Monthly",ROUND($AN107-TRUNC($AN107),2)=0.33),
ROUND(
ROUND(((TRUNC(($AN107+0.01)*3/13,0)+0.99)*VLOOKUP((TRUNC(($AN107+0.01)*3/13,0)+0.99),'Tax scales - NAT 3539'!$A$127:$C$154,2,1)-VLOOKUP((TRUNC(($AN107+0.01)*3/13,0)+0.99),'Tax scales - NAT 3539'!$A$127:$C$154,3,1)),0)
*13/3,
0),
IF($E$2="Monthly",
ROUND(
ROUND(((TRUNC($AN107*3/13,0)+0.99)*VLOOKUP((TRUNC($AN107*3/13,0)+0.99),'Tax scales - NAT 3539'!$A$127:$C$154,2,1)-VLOOKUP((TRUNC($AN107*3/13,0)+0.99),'Tax scales - NAT 3539'!$A$127:$C$154,3,1)),0)
*13/3,
0),
""))),
""),
"")</f>
        <v/>
      </c>
      <c r="AZ107" s="118">
        <f>IFERROR(
HLOOKUP(VLOOKUP($C107,'Employee information'!$B:$M,COLUMNS('Employee information'!$B:$M),0),'PAYG worksheet'!$AO$97:$AY$116,COUNTA($C$98:$C107)+1,0),
0)</f>
        <v>0</v>
      </c>
      <c r="BA107" s="118"/>
      <c r="BB107" s="118">
        <f t="shared" si="108"/>
        <v>0</v>
      </c>
      <c r="BC107" s="119">
        <f>IFERROR(
IF(OR($AE107=1,$AE107=""),SUM($P107,$AA107,$AC107,$AK107)*VLOOKUP($C107,'Employee information'!$B:$Q,COLUMNS('Employee information'!$B:$H),0),
IF($AE107=0,SUM($P107,$AA107,$AK107)*VLOOKUP($C107,'Employee information'!$B:$Q,COLUMNS('Employee information'!$B:$H),0),
0)),
0)</f>
        <v>0</v>
      </c>
      <c r="BE107" s="114">
        <f t="shared" si="93"/>
        <v>0</v>
      </c>
      <c r="BF107" s="114">
        <f t="shared" si="94"/>
        <v>0</v>
      </c>
      <c r="BG107" s="114">
        <f t="shared" si="95"/>
        <v>0</v>
      </c>
      <c r="BH107" s="114">
        <f t="shared" si="96"/>
        <v>0</v>
      </c>
      <c r="BI107" s="114">
        <f t="shared" si="97"/>
        <v>0</v>
      </c>
      <c r="BJ107" s="114">
        <f t="shared" si="98"/>
        <v>0</v>
      </c>
      <c r="BK107" s="114">
        <f t="shared" si="99"/>
        <v>0</v>
      </c>
      <c r="BL107" s="114">
        <f t="shared" si="109"/>
        <v>0</v>
      </c>
      <c r="BM107" s="114">
        <f t="shared" si="100"/>
        <v>0</v>
      </c>
    </row>
    <row r="108" spans="1:65" x14ac:dyDescent="0.25">
      <c r="A108" s="228">
        <f t="shared" si="88"/>
        <v>4</v>
      </c>
      <c r="C108" s="278"/>
      <c r="E108" s="103">
        <f>IF($C108="",0,
IF(AND($E$2="Monthly",$A108&gt;12),0,
IF($E$2="Monthly",VLOOKUP($C108,'Employee information'!$B:$AM,COLUMNS('Employee information'!$B:S),0),
IF($E$2="Fortnightly",VLOOKUP($C108,'Employee information'!$B:$AM,COLUMNS('Employee information'!$B:R),0),
0))))</f>
        <v>0</v>
      </c>
      <c r="F108" s="106"/>
      <c r="G108" s="106"/>
      <c r="H108" s="106"/>
      <c r="I108" s="106"/>
      <c r="J108" s="103">
        <f t="shared" si="101"/>
        <v>0</v>
      </c>
      <c r="L108" s="113">
        <f>IF(AND($E$2="Monthly",$A108&gt;12),"",
IFERROR($J108*VLOOKUP($C108,'Employee information'!$B:$AI,COLUMNS('Employee information'!$B:$P),0),0))</f>
        <v>0</v>
      </c>
      <c r="M108" s="114">
        <f t="shared" si="102"/>
        <v>0</v>
      </c>
      <c r="O108" s="103">
        <f t="shared" si="103"/>
        <v>0</v>
      </c>
      <c r="P108" s="113">
        <f>IFERROR(
IF(AND($E$2="Monthly",$A108&gt;12),0,
$O108*VLOOKUP($C108,'Employee information'!$B:$AI,COLUMNS('Employee information'!$B:$P),0)),
0)</f>
        <v>0</v>
      </c>
      <c r="R108" s="114">
        <f t="shared" si="89"/>
        <v>0</v>
      </c>
      <c r="T108" s="103"/>
      <c r="U108" s="103"/>
      <c r="V108" s="282" t="str">
        <f>IF($C108="","",
IF(AND($E$2="Monthly",$A108&gt;12),"",
$T108*VLOOKUP($C108,'Employee information'!$B:$P,COLUMNS('Employee information'!$B:$P),0)))</f>
        <v/>
      </c>
      <c r="W108" s="282" t="str">
        <f>IF($C108="","",
IF(AND($E$2="Monthly",$A108&gt;12),"",
$U108*VLOOKUP($C108,'Employee information'!$B:$P,COLUMNS('Employee information'!$B:$P),0)))</f>
        <v/>
      </c>
      <c r="X108" s="114">
        <f t="shared" si="90"/>
        <v>0</v>
      </c>
      <c r="Y108" s="114">
        <f t="shared" si="91"/>
        <v>0</v>
      </c>
      <c r="AA108" s="118">
        <f>IFERROR(
IF(OR('Basic payroll data'!$D$12="",'Basic payroll data'!$D$12="No"),0,
$T108*VLOOKUP($C108,'Employee information'!$B:$P,COLUMNS('Employee information'!$B:$P),0)*AL_loading_perc),
0)</f>
        <v>0</v>
      </c>
      <c r="AC108" s="118"/>
      <c r="AD108" s="118"/>
      <c r="AE108" s="283" t="str">
        <f t="shared" si="104"/>
        <v/>
      </c>
      <c r="AF108" s="283" t="str">
        <f t="shared" si="105"/>
        <v/>
      </c>
      <c r="AG108" s="118"/>
      <c r="AH108" s="118"/>
      <c r="AI108" s="283" t="str">
        <f t="shared" si="106"/>
        <v/>
      </c>
      <c r="AJ108" s="118"/>
      <c r="AK108" s="118"/>
      <c r="AM108" s="118">
        <f t="shared" si="107"/>
        <v>0</v>
      </c>
      <c r="AN108" s="118">
        <f t="shared" si="92"/>
        <v>0</v>
      </c>
      <c r="AO108" s="118" t="str">
        <f>IFERROR(
IF(VLOOKUP($C108,'Employee information'!$B:$M,COLUMNS('Employee information'!$B:$M),0)=1,
IF($E$2="Fortnightly",
ROUND(
ROUND((((TRUNC($AN108/2,0)+0.99))*VLOOKUP((TRUNC($AN108/2,0)+0.99),'Tax scales - NAT 1004'!$A$12:$C$18,2,1)-VLOOKUP((TRUNC($AN108/2,0)+0.99),'Tax scales - NAT 1004'!$A$12:$C$18,3,1)),0)
*2,
0),
IF(AND($E$2="Monthly",ROUND($AN108-TRUNC($AN108),2)=0.33),
ROUND(
ROUND(((TRUNC(($AN108+0.01)*3/13,0)+0.99)*VLOOKUP((TRUNC(($AN108+0.01)*3/13,0)+0.99),'Tax scales - NAT 1004'!$A$12:$C$18,2,1)-VLOOKUP((TRUNC(($AN108+0.01)*3/13,0)+0.99),'Tax scales - NAT 1004'!$A$12:$C$18,3,1)),0)
*13/3,
0),
IF($E$2="Monthly",
ROUND(
ROUND(((TRUNC($AN108*3/13,0)+0.99)*VLOOKUP((TRUNC($AN108*3/13,0)+0.99),'Tax scales - NAT 1004'!$A$12:$C$18,2,1)-VLOOKUP((TRUNC($AN108*3/13,0)+0.99),'Tax scales - NAT 1004'!$A$12:$C$18,3,1)),0)
*13/3,
0),
""))),
""),
"")</f>
        <v/>
      </c>
      <c r="AP108" s="118" t="str">
        <f>IFERROR(
IF(VLOOKUP($C108,'Employee information'!$B:$M,COLUMNS('Employee information'!$B:$M),0)=2,
IF($E$2="Fortnightly",
ROUND(
ROUND((((TRUNC($AN108/2,0)+0.99))*VLOOKUP((TRUNC($AN108/2,0)+0.99),'Tax scales - NAT 1004'!$A$25:$C$33,2,1)-VLOOKUP((TRUNC($AN108/2,0)+0.99),'Tax scales - NAT 1004'!$A$25:$C$33,3,1)),0)
*2,
0),
IF(AND($E$2="Monthly",ROUND($AN108-TRUNC($AN108),2)=0.33),
ROUND(
ROUND(((TRUNC(($AN108+0.01)*3/13,0)+0.99)*VLOOKUP((TRUNC(($AN108+0.01)*3/13,0)+0.99),'Tax scales - NAT 1004'!$A$25:$C$33,2,1)-VLOOKUP((TRUNC(($AN108+0.01)*3/13,0)+0.99),'Tax scales - NAT 1004'!$A$25:$C$33,3,1)),0)
*13/3,
0),
IF($E$2="Monthly",
ROUND(
ROUND(((TRUNC($AN108*3/13,0)+0.99)*VLOOKUP((TRUNC($AN108*3/13,0)+0.99),'Tax scales - NAT 1004'!$A$25:$C$33,2,1)-VLOOKUP((TRUNC($AN108*3/13,0)+0.99),'Tax scales - NAT 1004'!$A$25:$C$33,3,1)),0)
*13/3,
0),
""))),
""),
"")</f>
        <v/>
      </c>
      <c r="AQ108" s="118" t="str">
        <f>IFERROR(
IF(VLOOKUP($C108,'Employee information'!$B:$M,COLUMNS('Employee information'!$B:$M),0)=3,
IF($E$2="Fortnightly",
ROUND(
ROUND((((TRUNC($AN108/2,0)+0.99))*VLOOKUP((TRUNC($AN108/2,0)+0.99),'Tax scales - NAT 1004'!$A$39:$C$41,2,1)-VLOOKUP((TRUNC($AN108/2,0)+0.99),'Tax scales - NAT 1004'!$A$39:$C$41,3,1)),0)
*2,
0),
IF(AND($E$2="Monthly",ROUND($AN108-TRUNC($AN108),2)=0.33),
ROUND(
ROUND(((TRUNC(($AN108+0.01)*3/13,0)+0.99)*VLOOKUP((TRUNC(($AN108+0.01)*3/13,0)+0.99),'Tax scales - NAT 1004'!$A$39:$C$41,2,1)-VLOOKUP((TRUNC(($AN108+0.01)*3/13,0)+0.99),'Tax scales - NAT 1004'!$A$39:$C$41,3,1)),0)
*13/3,
0),
IF($E$2="Monthly",
ROUND(
ROUND(((TRUNC($AN108*3/13,0)+0.99)*VLOOKUP((TRUNC($AN108*3/13,0)+0.99),'Tax scales - NAT 1004'!$A$39:$C$41,2,1)-VLOOKUP((TRUNC($AN108*3/13,0)+0.99),'Tax scales - NAT 1004'!$A$39:$C$41,3,1)),0)
*13/3,
0),
""))),
""),
"")</f>
        <v/>
      </c>
      <c r="AR108" s="118" t="str">
        <f>IFERROR(
IF(AND(VLOOKUP($C108,'Employee information'!$B:$M,COLUMNS('Employee information'!$B:$M),0)=4,
VLOOKUP($C108,'Employee information'!$B:$J,COLUMNS('Employee information'!$B:$J),0)="Resident"),
TRUNC(TRUNC($AN108)*'Tax scales - NAT 1004'!$B$47),
IF(AND(VLOOKUP($C108,'Employee information'!$B:$M,COLUMNS('Employee information'!$B:$M),0)=4,
VLOOKUP($C108,'Employee information'!$B:$J,COLUMNS('Employee information'!$B:$J),0)="Foreign resident"),
TRUNC(TRUNC($AN108)*'Tax scales - NAT 1004'!$B$48),
"")),
"")</f>
        <v/>
      </c>
      <c r="AS108" s="118" t="str">
        <f>IFERROR(
IF(VLOOKUP($C108,'Employee information'!$B:$M,COLUMNS('Employee information'!$B:$M),0)=5,
IF($E$2="Fortnightly",
ROUND(
ROUND((((TRUNC($AN108/2,0)+0.99))*VLOOKUP((TRUNC($AN108/2,0)+0.99),'Tax scales - NAT 1004'!$A$53:$C$59,2,1)-VLOOKUP((TRUNC($AN108/2,0)+0.99),'Tax scales - NAT 1004'!$A$53:$C$59,3,1)),0)
*2,
0),
IF(AND($E$2="Monthly",ROUND($AN108-TRUNC($AN108),2)=0.33),
ROUND(
ROUND(((TRUNC(($AN108+0.01)*3/13,0)+0.99)*VLOOKUP((TRUNC(($AN108+0.01)*3/13,0)+0.99),'Tax scales - NAT 1004'!$A$53:$C$59,2,1)-VLOOKUP((TRUNC(($AN108+0.01)*3/13,0)+0.99),'Tax scales - NAT 1004'!$A$53:$C$59,3,1)),0)
*13/3,
0),
IF($E$2="Monthly",
ROUND(
ROUND(((TRUNC($AN108*3/13,0)+0.99)*VLOOKUP((TRUNC($AN108*3/13,0)+0.99),'Tax scales - NAT 1004'!$A$53:$C$59,2,1)-VLOOKUP((TRUNC($AN108*3/13,0)+0.99),'Tax scales - NAT 1004'!$A$53:$C$59,3,1)),0)
*13/3,
0),
""))),
""),
"")</f>
        <v/>
      </c>
      <c r="AT108" s="118" t="str">
        <f>IFERROR(
IF(VLOOKUP($C108,'Employee information'!$B:$M,COLUMNS('Employee information'!$B:$M),0)=6,
IF($E$2="Fortnightly",
ROUND(
ROUND((((TRUNC($AN108/2,0)+0.99))*VLOOKUP((TRUNC($AN108/2,0)+0.99),'Tax scales - NAT 1004'!$A$65:$C$73,2,1)-VLOOKUP((TRUNC($AN108/2,0)+0.99),'Tax scales - NAT 1004'!$A$65:$C$73,3,1)),0)
*2,
0),
IF(AND($E$2="Monthly",ROUND($AN108-TRUNC($AN108),2)=0.33),
ROUND(
ROUND(((TRUNC(($AN108+0.01)*3/13,0)+0.99)*VLOOKUP((TRUNC(($AN108+0.01)*3/13,0)+0.99),'Tax scales - NAT 1004'!$A$65:$C$73,2,1)-VLOOKUP((TRUNC(($AN108+0.01)*3/13,0)+0.99),'Tax scales - NAT 1004'!$A$65:$C$73,3,1)),0)
*13/3,
0),
IF($E$2="Monthly",
ROUND(
ROUND(((TRUNC($AN108*3/13,0)+0.99)*VLOOKUP((TRUNC($AN108*3/13,0)+0.99),'Tax scales - NAT 1004'!$A$65:$C$73,2,1)-VLOOKUP((TRUNC($AN108*3/13,0)+0.99),'Tax scales - NAT 1004'!$A$65:$C$73,3,1)),0)
*13/3,
0),
""))),
""),
"")</f>
        <v/>
      </c>
      <c r="AU108" s="118" t="str">
        <f>IFERROR(
IF(VLOOKUP($C108,'Employee information'!$B:$M,COLUMNS('Employee information'!$B:$M),0)=11,
IF($E$2="Fortnightly",
ROUND(
ROUND((((TRUNC($AN108/2,0)+0.99))*VLOOKUP((TRUNC($AN108/2,0)+0.99),'Tax scales - NAT 3539'!$A$14:$C$38,2,1)-VLOOKUP((TRUNC($AN108/2,0)+0.99),'Tax scales - NAT 3539'!$A$14:$C$38,3,1)),0)
*2,
0),
IF(AND($E$2="Monthly",ROUND($AN108-TRUNC($AN108),2)=0.33),
ROUND(
ROUND(((TRUNC(($AN108+0.01)*3/13,0)+0.99)*VLOOKUP((TRUNC(($AN108+0.01)*3/13,0)+0.99),'Tax scales - NAT 3539'!$A$14:$C$38,2,1)-VLOOKUP((TRUNC(($AN108+0.01)*3/13,0)+0.99),'Tax scales - NAT 3539'!$A$14:$C$38,3,1)),0)
*13/3,
0),
IF($E$2="Monthly",
ROUND(
ROUND(((TRUNC($AN108*3/13,0)+0.99)*VLOOKUP((TRUNC($AN108*3/13,0)+0.99),'Tax scales - NAT 3539'!$A$14:$C$38,2,1)-VLOOKUP((TRUNC($AN108*3/13,0)+0.99),'Tax scales - NAT 3539'!$A$14:$C$38,3,1)),0)
*13/3,
0),
""))),
""),
"")</f>
        <v/>
      </c>
      <c r="AV108" s="118" t="str">
        <f>IFERROR(
IF(VLOOKUP($C108,'Employee information'!$B:$M,COLUMNS('Employee information'!$B:$M),0)=22,
IF($E$2="Fortnightly",
ROUND(
ROUND((((TRUNC($AN108/2,0)+0.99))*VLOOKUP((TRUNC($AN108/2,0)+0.99),'Tax scales - NAT 3539'!$A$43:$C$69,2,1)-VLOOKUP((TRUNC($AN108/2,0)+0.99),'Tax scales - NAT 3539'!$A$43:$C$69,3,1)),0)
*2,
0),
IF(AND($E$2="Monthly",ROUND($AN108-TRUNC($AN108),2)=0.33),
ROUND(
ROUND(((TRUNC(($AN108+0.01)*3/13,0)+0.99)*VLOOKUP((TRUNC(($AN108+0.01)*3/13,0)+0.99),'Tax scales - NAT 3539'!$A$43:$C$69,2,1)-VLOOKUP((TRUNC(($AN108+0.01)*3/13,0)+0.99),'Tax scales - NAT 3539'!$A$43:$C$69,3,1)),0)
*13/3,
0),
IF($E$2="Monthly",
ROUND(
ROUND(((TRUNC($AN108*3/13,0)+0.99)*VLOOKUP((TRUNC($AN108*3/13,0)+0.99),'Tax scales - NAT 3539'!$A$43:$C$69,2,1)-VLOOKUP((TRUNC($AN108*3/13,0)+0.99),'Tax scales - NAT 3539'!$A$43:$C$69,3,1)),0)
*13/3,
0),
""))),
""),
"")</f>
        <v/>
      </c>
      <c r="AW108" s="118" t="str">
        <f>IFERROR(
IF(VLOOKUP($C108,'Employee information'!$B:$M,COLUMNS('Employee information'!$B:$M),0)=33,
IF($E$2="Fortnightly",
ROUND(
ROUND((((TRUNC($AN108/2,0)+0.99))*VLOOKUP((TRUNC($AN108/2,0)+0.99),'Tax scales - NAT 3539'!$A$74:$C$94,2,1)-VLOOKUP((TRUNC($AN108/2,0)+0.99),'Tax scales - NAT 3539'!$A$74:$C$94,3,1)),0)
*2,
0),
IF(AND($E$2="Monthly",ROUND($AN108-TRUNC($AN108),2)=0.33),
ROUND(
ROUND(((TRUNC(($AN108+0.01)*3/13,0)+0.99)*VLOOKUP((TRUNC(($AN108+0.01)*3/13,0)+0.99),'Tax scales - NAT 3539'!$A$74:$C$94,2,1)-VLOOKUP((TRUNC(($AN108+0.01)*3/13,0)+0.99),'Tax scales - NAT 3539'!$A$74:$C$94,3,1)),0)
*13/3,
0),
IF($E$2="Monthly",
ROUND(
ROUND(((TRUNC($AN108*3/13,0)+0.99)*VLOOKUP((TRUNC($AN108*3/13,0)+0.99),'Tax scales - NAT 3539'!$A$74:$C$94,2,1)-VLOOKUP((TRUNC($AN108*3/13,0)+0.99),'Tax scales - NAT 3539'!$A$74:$C$94,3,1)),0)
*13/3,
0),
""))),
""),
"")</f>
        <v/>
      </c>
      <c r="AX108" s="118" t="str">
        <f>IFERROR(
IF(VLOOKUP($C108,'Employee information'!$B:$M,COLUMNS('Employee information'!$B:$M),0)=55,
IF($E$2="Fortnightly",
ROUND(
ROUND((((TRUNC($AN108/2,0)+0.99))*VLOOKUP((TRUNC($AN108/2,0)+0.99),'Tax scales - NAT 3539'!$A$99:$C$123,2,1)-VLOOKUP((TRUNC($AN108/2,0)+0.99),'Tax scales - NAT 3539'!$A$99:$C$123,3,1)),0)
*2,
0),
IF(AND($E$2="Monthly",ROUND($AN108-TRUNC($AN108),2)=0.33),
ROUND(
ROUND(((TRUNC(($AN108+0.01)*3/13,0)+0.99)*VLOOKUP((TRUNC(($AN108+0.01)*3/13,0)+0.99),'Tax scales - NAT 3539'!$A$99:$C$123,2,1)-VLOOKUP((TRUNC(($AN108+0.01)*3/13,0)+0.99),'Tax scales - NAT 3539'!$A$99:$C$123,3,1)),0)
*13/3,
0),
IF($E$2="Monthly",
ROUND(
ROUND(((TRUNC($AN108*3/13,0)+0.99)*VLOOKUP((TRUNC($AN108*3/13,0)+0.99),'Tax scales - NAT 3539'!$A$99:$C$123,2,1)-VLOOKUP((TRUNC($AN108*3/13,0)+0.99),'Tax scales - NAT 3539'!$A$99:$C$123,3,1)),0)
*13/3,
0),
""))),
""),
"")</f>
        <v/>
      </c>
      <c r="AY108" s="118" t="str">
        <f>IFERROR(
IF(VLOOKUP($C108,'Employee information'!$B:$M,COLUMNS('Employee information'!$B:$M),0)=66,
IF($E$2="Fortnightly",
ROUND(
ROUND((((TRUNC($AN108/2,0)+0.99))*VLOOKUP((TRUNC($AN108/2,0)+0.99),'Tax scales - NAT 3539'!$A$127:$C$154,2,1)-VLOOKUP((TRUNC($AN108/2,0)+0.99),'Tax scales - NAT 3539'!$A$127:$C$154,3,1)),0)
*2,
0),
IF(AND($E$2="Monthly",ROUND($AN108-TRUNC($AN108),2)=0.33),
ROUND(
ROUND(((TRUNC(($AN108+0.01)*3/13,0)+0.99)*VLOOKUP((TRUNC(($AN108+0.01)*3/13,0)+0.99),'Tax scales - NAT 3539'!$A$127:$C$154,2,1)-VLOOKUP((TRUNC(($AN108+0.01)*3/13,0)+0.99),'Tax scales - NAT 3539'!$A$127:$C$154,3,1)),0)
*13/3,
0),
IF($E$2="Monthly",
ROUND(
ROUND(((TRUNC($AN108*3/13,0)+0.99)*VLOOKUP((TRUNC($AN108*3/13,0)+0.99),'Tax scales - NAT 3539'!$A$127:$C$154,2,1)-VLOOKUP((TRUNC($AN108*3/13,0)+0.99),'Tax scales - NAT 3539'!$A$127:$C$154,3,1)),0)
*13/3,
0),
""))),
""),
"")</f>
        <v/>
      </c>
      <c r="AZ108" s="118">
        <f>IFERROR(
HLOOKUP(VLOOKUP($C108,'Employee information'!$B:$M,COLUMNS('Employee information'!$B:$M),0),'PAYG worksheet'!$AO$97:$AY$116,COUNTA($C$98:$C108)+1,0),
0)</f>
        <v>0</v>
      </c>
      <c r="BA108" s="118"/>
      <c r="BB108" s="118">
        <f t="shared" si="108"/>
        <v>0</v>
      </c>
      <c r="BC108" s="119">
        <f>IFERROR(
IF(OR($AE108=1,$AE108=""),SUM($P108,$AA108,$AC108,$AK108)*VLOOKUP($C108,'Employee information'!$B:$Q,COLUMNS('Employee information'!$B:$H),0),
IF($AE108=0,SUM($P108,$AA108,$AK108)*VLOOKUP($C108,'Employee information'!$B:$Q,COLUMNS('Employee information'!$B:$H),0),
0)),
0)</f>
        <v>0</v>
      </c>
      <c r="BE108" s="114">
        <f t="shared" si="93"/>
        <v>0</v>
      </c>
      <c r="BF108" s="114">
        <f t="shared" si="94"/>
        <v>0</v>
      </c>
      <c r="BG108" s="114">
        <f t="shared" si="95"/>
        <v>0</v>
      </c>
      <c r="BH108" s="114">
        <f t="shared" si="96"/>
        <v>0</v>
      </c>
      <c r="BI108" s="114">
        <f t="shared" si="97"/>
        <v>0</v>
      </c>
      <c r="BJ108" s="114">
        <f t="shared" si="98"/>
        <v>0</v>
      </c>
      <c r="BK108" s="114">
        <f t="shared" si="99"/>
        <v>0</v>
      </c>
      <c r="BL108" s="114">
        <f t="shared" si="109"/>
        <v>0</v>
      </c>
      <c r="BM108" s="114">
        <f t="shared" si="100"/>
        <v>0</v>
      </c>
    </row>
    <row r="109" spans="1:65" x14ac:dyDescent="0.25">
      <c r="A109" s="228">
        <f t="shared" si="88"/>
        <v>4</v>
      </c>
      <c r="C109" s="278"/>
      <c r="E109" s="103">
        <f>IF($C109="",0,
IF(AND($E$2="Monthly",$A109&gt;12),0,
IF($E$2="Monthly",VLOOKUP($C109,'Employee information'!$B:$AM,COLUMNS('Employee information'!$B:S),0),
IF($E$2="Fortnightly",VLOOKUP($C109,'Employee information'!$B:$AM,COLUMNS('Employee information'!$B:R),0),
0))))</f>
        <v>0</v>
      </c>
      <c r="F109" s="106"/>
      <c r="G109" s="106"/>
      <c r="H109" s="106"/>
      <c r="I109" s="106"/>
      <c r="J109" s="103">
        <f t="shared" si="101"/>
        <v>0</v>
      </c>
      <c r="L109" s="113">
        <f>IF(AND($E$2="Monthly",$A109&gt;12),"",
IFERROR($J109*VLOOKUP($C109,'Employee information'!$B:$AI,COLUMNS('Employee information'!$B:$P),0),0))</f>
        <v>0</v>
      </c>
      <c r="M109" s="114">
        <f t="shared" si="102"/>
        <v>0</v>
      </c>
      <c r="O109" s="103">
        <f t="shared" si="103"/>
        <v>0</v>
      </c>
      <c r="P109" s="113">
        <f>IFERROR(
IF(AND($E$2="Monthly",$A109&gt;12),0,
$O109*VLOOKUP($C109,'Employee information'!$B:$AI,COLUMNS('Employee information'!$B:$P),0)),
0)</f>
        <v>0</v>
      </c>
      <c r="R109" s="114">
        <f t="shared" si="89"/>
        <v>0</v>
      </c>
      <c r="T109" s="103"/>
      <c r="U109" s="103"/>
      <c r="V109" s="282" t="str">
        <f>IF($C109="","",
IF(AND($E$2="Monthly",$A109&gt;12),"",
$T109*VLOOKUP($C109,'Employee information'!$B:$P,COLUMNS('Employee information'!$B:$P),0)))</f>
        <v/>
      </c>
      <c r="W109" s="282" t="str">
        <f>IF($C109="","",
IF(AND($E$2="Monthly",$A109&gt;12),"",
$U109*VLOOKUP($C109,'Employee information'!$B:$P,COLUMNS('Employee information'!$B:$P),0)))</f>
        <v/>
      </c>
      <c r="X109" s="114">
        <f t="shared" si="90"/>
        <v>0</v>
      </c>
      <c r="Y109" s="114">
        <f t="shared" si="91"/>
        <v>0</v>
      </c>
      <c r="AA109" s="118">
        <f>IFERROR(
IF(OR('Basic payroll data'!$D$12="",'Basic payroll data'!$D$12="No"),0,
$T109*VLOOKUP($C109,'Employee information'!$B:$P,COLUMNS('Employee information'!$B:$P),0)*AL_loading_perc),
0)</f>
        <v>0</v>
      </c>
      <c r="AC109" s="118"/>
      <c r="AD109" s="118"/>
      <c r="AE109" s="283" t="str">
        <f t="shared" si="104"/>
        <v/>
      </c>
      <c r="AF109" s="283" t="str">
        <f t="shared" si="105"/>
        <v/>
      </c>
      <c r="AG109" s="118"/>
      <c r="AH109" s="118"/>
      <c r="AI109" s="283" t="str">
        <f t="shared" si="106"/>
        <v/>
      </c>
      <c r="AJ109" s="118"/>
      <c r="AK109" s="118"/>
      <c r="AM109" s="118">
        <f t="shared" si="107"/>
        <v>0</v>
      </c>
      <c r="AN109" s="118">
        <f t="shared" si="92"/>
        <v>0</v>
      </c>
      <c r="AO109" s="118" t="str">
        <f>IFERROR(
IF(VLOOKUP($C109,'Employee information'!$B:$M,COLUMNS('Employee information'!$B:$M),0)=1,
IF($E$2="Fortnightly",
ROUND(
ROUND((((TRUNC($AN109/2,0)+0.99))*VLOOKUP((TRUNC($AN109/2,0)+0.99),'Tax scales - NAT 1004'!$A$12:$C$18,2,1)-VLOOKUP((TRUNC($AN109/2,0)+0.99),'Tax scales - NAT 1004'!$A$12:$C$18,3,1)),0)
*2,
0),
IF(AND($E$2="Monthly",ROUND($AN109-TRUNC($AN109),2)=0.33),
ROUND(
ROUND(((TRUNC(($AN109+0.01)*3/13,0)+0.99)*VLOOKUP((TRUNC(($AN109+0.01)*3/13,0)+0.99),'Tax scales - NAT 1004'!$A$12:$C$18,2,1)-VLOOKUP((TRUNC(($AN109+0.01)*3/13,0)+0.99),'Tax scales - NAT 1004'!$A$12:$C$18,3,1)),0)
*13/3,
0),
IF($E$2="Monthly",
ROUND(
ROUND(((TRUNC($AN109*3/13,0)+0.99)*VLOOKUP((TRUNC($AN109*3/13,0)+0.99),'Tax scales - NAT 1004'!$A$12:$C$18,2,1)-VLOOKUP((TRUNC($AN109*3/13,0)+0.99),'Tax scales - NAT 1004'!$A$12:$C$18,3,1)),0)
*13/3,
0),
""))),
""),
"")</f>
        <v/>
      </c>
      <c r="AP109" s="118" t="str">
        <f>IFERROR(
IF(VLOOKUP($C109,'Employee information'!$B:$M,COLUMNS('Employee information'!$B:$M),0)=2,
IF($E$2="Fortnightly",
ROUND(
ROUND((((TRUNC($AN109/2,0)+0.99))*VLOOKUP((TRUNC($AN109/2,0)+0.99),'Tax scales - NAT 1004'!$A$25:$C$33,2,1)-VLOOKUP((TRUNC($AN109/2,0)+0.99),'Tax scales - NAT 1004'!$A$25:$C$33,3,1)),0)
*2,
0),
IF(AND($E$2="Monthly",ROUND($AN109-TRUNC($AN109),2)=0.33),
ROUND(
ROUND(((TRUNC(($AN109+0.01)*3/13,0)+0.99)*VLOOKUP((TRUNC(($AN109+0.01)*3/13,0)+0.99),'Tax scales - NAT 1004'!$A$25:$C$33,2,1)-VLOOKUP((TRUNC(($AN109+0.01)*3/13,0)+0.99),'Tax scales - NAT 1004'!$A$25:$C$33,3,1)),0)
*13/3,
0),
IF($E$2="Monthly",
ROUND(
ROUND(((TRUNC($AN109*3/13,0)+0.99)*VLOOKUP((TRUNC($AN109*3/13,0)+0.99),'Tax scales - NAT 1004'!$A$25:$C$33,2,1)-VLOOKUP((TRUNC($AN109*3/13,0)+0.99),'Tax scales - NAT 1004'!$A$25:$C$33,3,1)),0)
*13/3,
0),
""))),
""),
"")</f>
        <v/>
      </c>
      <c r="AQ109" s="118" t="str">
        <f>IFERROR(
IF(VLOOKUP($C109,'Employee information'!$B:$M,COLUMNS('Employee information'!$B:$M),0)=3,
IF($E$2="Fortnightly",
ROUND(
ROUND((((TRUNC($AN109/2,0)+0.99))*VLOOKUP((TRUNC($AN109/2,0)+0.99),'Tax scales - NAT 1004'!$A$39:$C$41,2,1)-VLOOKUP((TRUNC($AN109/2,0)+0.99),'Tax scales - NAT 1004'!$A$39:$C$41,3,1)),0)
*2,
0),
IF(AND($E$2="Monthly",ROUND($AN109-TRUNC($AN109),2)=0.33),
ROUND(
ROUND(((TRUNC(($AN109+0.01)*3/13,0)+0.99)*VLOOKUP((TRUNC(($AN109+0.01)*3/13,0)+0.99),'Tax scales - NAT 1004'!$A$39:$C$41,2,1)-VLOOKUP((TRUNC(($AN109+0.01)*3/13,0)+0.99),'Tax scales - NAT 1004'!$A$39:$C$41,3,1)),0)
*13/3,
0),
IF($E$2="Monthly",
ROUND(
ROUND(((TRUNC($AN109*3/13,0)+0.99)*VLOOKUP((TRUNC($AN109*3/13,0)+0.99),'Tax scales - NAT 1004'!$A$39:$C$41,2,1)-VLOOKUP((TRUNC($AN109*3/13,0)+0.99),'Tax scales - NAT 1004'!$A$39:$C$41,3,1)),0)
*13/3,
0),
""))),
""),
"")</f>
        <v/>
      </c>
      <c r="AR109" s="118" t="str">
        <f>IFERROR(
IF(AND(VLOOKUP($C109,'Employee information'!$B:$M,COLUMNS('Employee information'!$B:$M),0)=4,
VLOOKUP($C109,'Employee information'!$B:$J,COLUMNS('Employee information'!$B:$J),0)="Resident"),
TRUNC(TRUNC($AN109)*'Tax scales - NAT 1004'!$B$47),
IF(AND(VLOOKUP($C109,'Employee information'!$B:$M,COLUMNS('Employee information'!$B:$M),0)=4,
VLOOKUP($C109,'Employee information'!$B:$J,COLUMNS('Employee information'!$B:$J),0)="Foreign resident"),
TRUNC(TRUNC($AN109)*'Tax scales - NAT 1004'!$B$48),
"")),
"")</f>
        <v/>
      </c>
      <c r="AS109" s="118" t="str">
        <f>IFERROR(
IF(VLOOKUP($C109,'Employee information'!$B:$M,COLUMNS('Employee information'!$B:$M),0)=5,
IF($E$2="Fortnightly",
ROUND(
ROUND((((TRUNC($AN109/2,0)+0.99))*VLOOKUP((TRUNC($AN109/2,0)+0.99),'Tax scales - NAT 1004'!$A$53:$C$59,2,1)-VLOOKUP((TRUNC($AN109/2,0)+0.99),'Tax scales - NAT 1004'!$A$53:$C$59,3,1)),0)
*2,
0),
IF(AND($E$2="Monthly",ROUND($AN109-TRUNC($AN109),2)=0.33),
ROUND(
ROUND(((TRUNC(($AN109+0.01)*3/13,0)+0.99)*VLOOKUP((TRUNC(($AN109+0.01)*3/13,0)+0.99),'Tax scales - NAT 1004'!$A$53:$C$59,2,1)-VLOOKUP((TRUNC(($AN109+0.01)*3/13,0)+0.99),'Tax scales - NAT 1004'!$A$53:$C$59,3,1)),0)
*13/3,
0),
IF($E$2="Monthly",
ROUND(
ROUND(((TRUNC($AN109*3/13,0)+0.99)*VLOOKUP((TRUNC($AN109*3/13,0)+0.99),'Tax scales - NAT 1004'!$A$53:$C$59,2,1)-VLOOKUP((TRUNC($AN109*3/13,0)+0.99),'Tax scales - NAT 1004'!$A$53:$C$59,3,1)),0)
*13/3,
0),
""))),
""),
"")</f>
        <v/>
      </c>
      <c r="AT109" s="118" t="str">
        <f>IFERROR(
IF(VLOOKUP($C109,'Employee information'!$B:$M,COLUMNS('Employee information'!$B:$M),0)=6,
IF($E$2="Fortnightly",
ROUND(
ROUND((((TRUNC($AN109/2,0)+0.99))*VLOOKUP((TRUNC($AN109/2,0)+0.99),'Tax scales - NAT 1004'!$A$65:$C$73,2,1)-VLOOKUP((TRUNC($AN109/2,0)+0.99),'Tax scales - NAT 1004'!$A$65:$C$73,3,1)),0)
*2,
0),
IF(AND($E$2="Monthly",ROUND($AN109-TRUNC($AN109),2)=0.33),
ROUND(
ROUND(((TRUNC(($AN109+0.01)*3/13,0)+0.99)*VLOOKUP((TRUNC(($AN109+0.01)*3/13,0)+0.99),'Tax scales - NAT 1004'!$A$65:$C$73,2,1)-VLOOKUP((TRUNC(($AN109+0.01)*3/13,0)+0.99),'Tax scales - NAT 1004'!$A$65:$C$73,3,1)),0)
*13/3,
0),
IF($E$2="Monthly",
ROUND(
ROUND(((TRUNC($AN109*3/13,0)+0.99)*VLOOKUP((TRUNC($AN109*3/13,0)+0.99),'Tax scales - NAT 1004'!$A$65:$C$73,2,1)-VLOOKUP((TRUNC($AN109*3/13,0)+0.99),'Tax scales - NAT 1004'!$A$65:$C$73,3,1)),0)
*13/3,
0),
""))),
""),
"")</f>
        <v/>
      </c>
      <c r="AU109" s="118" t="str">
        <f>IFERROR(
IF(VLOOKUP($C109,'Employee information'!$B:$M,COLUMNS('Employee information'!$B:$M),0)=11,
IF($E$2="Fortnightly",
ROUND(
ROUND((((TRUNC($AN109/2,0)+0.99))*VLOOKUP((TRUNC($AN109/2,0)+0.99),'Tax scales - NAT 3539'!$A$14:$C$38,2,1)-VLOOKUP((TRUNC($AN109/2,0)+0.99),'Tax scales - NAT 3539'!$A$14:$C$38,3,1)),0)
*2,
0),
IF(AND($E$2="Monthly",ROUND($AN109-TRUNC($AN109),2)=0.33),
ROUND(
ROUND(((TRUNC(($AN109+0.01)*3/13,0)+0.99)*VLOOKUP((TRUNC(($AN109+0.01)*3/13,0)+0.99),'Tax scales - NAT 3539'!$A$14:$C$38,2,1)-VLOOKUP((TRUNC(($AN109+0.01)*3/13,0)+0.99),'Tax scales - NAT 3539'!$A$14:$C$38,3,1)),0)
*13/3,
0),
IF($E$2="Monthly",
ROUND(
ROUND(((TRUNC($AN109*3/13,0)+0.99)*VLOOKUP((TRUNC($AN109*3/13,0)+0.99),'Tax scales - NAT 3539'!$A$14:$C$38,2,1)-VLOOKUP((TRUNC($AN109*3/13,0)+0.99),'Tax scales - NAT 3539'!$A$14:$C$38,3,1)),0)
*13/3,
0),
""))),
""),
"")</f>
        <v/>
      </c>
      <c r="AV109" s="118" t="str">
        <f>IFERROR(
IF(VLOOKUP($C109,'Employee information'!$B:$M,COLUMNS('Employee information'!$B:$M),0)=22,
IF($E$2="Fortnightly",
ROUND(
ROUND((((TRUNC($AN109/2,0)+0.99))*VLOOKUP((TRUNC($AN109/2,0)+0.99),'Tax scales - NAT 3539'!$A$43:$C$69,2,1)-VLOOKUP((TRUNC($AN109/2,0)+0.99),'Tax scales - NAT 3539'!$A$43:$C$69,3,1)),0)
*2,
0),
IF(AND($E$2="Monthly",ROUND($AN109-TRUNC($AN109),2)=0.33),
ROUND(
ROUND(((TRUNC(($AN109+0.01)*3/13,0)+0.99)*VLOOKUP((TRUNC(($AN109+0.01)*3/13,0)+0.99),'Tax scales - NAT 3539'!$A$43:$C$69,2,1)-VLOOKUP((TRUNC(($AN109+0.01)*3/13,0)+0.99),'Tax scales - NAT 3539'!$A$43:$C$69,3,1)),0)
*13/3,
0),
IF($E$2="Monthly",
ROUND(
ROUND(((TRUNC($AN109*3/13,0)+0.99)*VLOOKUP((TRUNC($AN109*3/13,0)+0.99),'Tax scales - NAT 3539'!$A$43:$C$69,2,1)-VLOOKUP((TRUNC($AN109*3/13,0)+0.99),'Tax scales - NAT 3539'!$A$43:$C$69,3,1)),0)
*13/3,
0),
""))),
""),
"")</f>
        <v/>
      </c>
      <c r="AW109" s="118" t="str">
        <f>IFERROR(
IF(VLOOKUP($C109,'Employee information'!$B:$M,COLUMNS('Employee information'!$B:$M),0)=33,
IF($E$2="Fortnightly",
ROUND(
ROUND((((TRUNC($AN109/2,0)+0.99))*VLOOKUP((TRUNC($AN109/2,0)+0.99),'Tax scales - NAT 3539'!$A$74:$C$94,2,1)-VLOOKUP((TRUNC($AN109/2,0)+0.99),'Tax scales - NAT 3539'!$A$74:$C$94,3,1)),0)
*2,
0),
IF(AND($E$2="Monthly",ROUND($AN109-TRUNC($AN109),2)=0.33),
ROUND(
ROUND(((TRUNC(($AN109+0.01)*3/13,0)+0.99)*VLOOKUP((TRUNC(($AN109+0.01)*3/13,0)+0.99),'Tax scales - NAT 3539'!$A$74:$C$94,2,1)-VLOOKUP((TRUNC(($AN109+0.01)*3/13,0)+0.99),'Tax scales - NAT 3539'!$A$74:$C$94,3,1)),0)
*13/3,
0),
IF($E$2="Monthly",
ROUND(
ROUND(((TRUNC($AN109*3/13,0)+0.99)*VLOOKUP((TRUNC($AN109*3/13,0)+0.99),'Tax scales - NAT 3539'!$A$74:$C$94,2,1)-VLOOKUP((TRUNC($AN109*3/13,0)+0.99),'Tax scales - NAT 3539'!$A$74:$C$94,3,1)),0)
*13/3,
0),
""))),
""),
"")</f>
        <v/>
      </c>
      <c r="AX109" s="118" t="str">
        <f>IFERROR(
IF(VLOOKUP($C109,'Employee information'!$B:$M,COLUMNS('Employee information'!$B:$M),0)=55,
IF($E$2="Fortnightly",
ROUND(
ROUND((((TRUNC($AN109/2,0)+0.99))*VLOOKUP((TRUNC($AN109/2,0)+0.99),'Tax scales - NAT 3539'!$A$99:$C$123,2,1)-VLOOKUP((TRUNC($AN109/2,0)+0.99),'Tax scales - NAT 3539'!$A$99:$C$123,3,1)),0)
*2,
0),
IF(AND($E$2="Monthly",ROUND($AN109-TRUNC($AN109),2)=0.33),
ROUND(
ROUND(((TRUNC(($AN109+0.01)*3/13,0)+0.99)*VLOOKUP((TRUNC(($AN109+0.01)*3/13,0)+0.99),'Tax scales - NAT 3539'!$A$99:$C$123,2,1)-VLOOKUP((TRUNC(($AN109+0.01)*3/13,0)+0.99),'Tax scales - NAT 3539'!$A$99:$C$123,3,1)),0)
*13/3,
0),
IF($E$2="Monthly",
ROUND(
ROUND(((TRUNC($AN109*3/13,0)+0.99)*VLOOKUP((TRUNC($AN109*3/13,0)+0.99),'Tax scales - NAT 3539'!$A$99:$C$123,2,1)-VLOOKUP((TRUNC($AN109*3/13,0)+0.99),'Tax scales - NAT 3539'!$A$99:$C$123,3,1)),0)
*13/3,
0),
""))),
""),
"")</f>
        <v/>
      </c>
      <c r="AY109" s="118" t="str">
        <f>IFERROR(
IF(VLOOKUP($C109,'Employee information'!$B:$M,COLUMNS('Employee information'!$B:$M),0)=66,
IF($E$2="Fortnightly",
ROUND(
ROUND((((TRUNC($AN109/2,0)+0.99))*VLOOKUP((TRUNC($AN109/2,0)+0.99),'Tax scales - NAT 3539'!$A$127:$C$154,2,1)-VLOOKUP((TRUNC($AN109/2,0)+0.99),'Tax scales - NAT 3539'!$A$127:$C$154,3,1)),0)
*2,
0),
IF(AND($E$2="Monthly",ROUND($AN109-TRUNC($AN109),2)=0.33),
ROUND(
ROUND(((TRUNC(($AN109+0.01)*3/13,0)+0.99)*VLOOKUP((TRUNC(($AN109+0.01)*3/13,0)+0.99),'Tax scales - NAT 3539'!$A$127:$C$154,2,1)-VLOOKUP((TRUNC(($AN109+0.01)*3/13,0)+0.99),'Tax scales - NAT 3539'!$A$127:$C$154,3,1)),0)
*13/3,
0),
IF($E$2="Monthly",
ROUND(
ROUND(((TRUNC($AN109*3/13,0)+0.99)*VLOOKUP((TRUNC($AN109*3/13,0)+0.99),'Tax scales - NAT 3539'!$A$127:$C$154,2,1)-VLOOKUP((TRUNC($AN109*3/13,0)+0.99),'Tax scales - NAT 3539'!$A$127:$C$154,3,1)),0)
*13/3,
0),
""))),
""),
"")</f>
        <v/>
      </c>
      <c r="AZ109" s="118">
        <f>IFERROR(
HLOOKUP(VLOOKUP($C109,'Employee information'!$B:$M,COLUMNS('Employee information'!$B:$M),0),'PAYG worksheet'!$AO$97:$AY$116,COUNTA($C$98:$C109)+1,0),
0)</f>
        <v>0</v>
      </c>
      <c r="BA109" s="118"/>
      <c r="BB109" s="118">
        <f t="shared" si="108"/>
        <v>0</v>
      </c>
      <c r="BC109" s="119">
        <f>IFERROR(
IF(OR($AE109=1,$AE109=""),SUM($P109,$AA109,$AC109,$AK109)*VLOOKUP($C109,'Employee information'!$B:$Q,COLUMNS('Employee information'!$B:$H),0),
IF($AE109=0,SUM($P109,$AA109,$AK109)*VLOOKUP($C109,'Employee information'!$B:$Q,COLUMNS('Employee information'!$B:$H),0),
0)),
0)</f>
        <v>0</v>
      </c>
      <c r="BE109" s="114">
        <f t="shared" si="93"/>
        <v>0</v>
      </c>
      <c r="BF109" s="114">
        <f t="shared" si="94"/>
        <v>0</v>
      </c>
      <c r="BG109" s="114">
        <f t="shared" si="95"/>
        <v>0</v>
      </c>
      <c r="BH109" s="114">
        <f t="shared" si="96"/>
        <v>0</v>
      </c>
      <c r="BI109" s="114">
        <f t="shared" si="97"/>
        <v>0</v>
      </c>
      <c r="BJ109" s="114">
        <f t="shared" si="98"/>
        <v>0</v>
      </c>
      <c r="BK109" s="114">
        <f t="shared" si="99"/>
        <v>0</v>
      </c>
      <c r="BL109" s="114">
        <f t="shared" si="109"/>
        <v>0</v>
      </c>
      <c r="BM109" s="114">
        <f t="shared" si="100"/>
        <v>0</v>
      </c>
    </row>
    <row r="110" spans="1:65" x14ac:dyDescent="0.25">
      <c r="A110" s="228">
        <f t="shared" si="88"/>
        <v>4</v>
      </c>
      <c r="C110" s="278"/>
      <c r="E110" s="103">
        <f>IF($C110="",0,
IF(AND($E$2="Monthly",$A110&gt;12),0,
IF($E$2="Monthly",VLOOKUP($C110,'Employee information'!$B:$AM,COLUMNS('Employee information'!$B:S),0),
IF($E$2="Fortnightly",VLOOKUP($C110,'Employee information'!$B:$AM,COLUMNS('Employee information'!$B:R),0),
0))))</f>
        <v>0</v>
      </c>
      <c r="F110" s="106"/>
      <c r="G110" s="106"/>
      <c r="H110" s="106"/>
      <c r="I110" s="106"/>
      <c r="J110" s="103">
        <f t="shared" si="101"/>
        <v>0</v>
      </c>
      <c r="L110" s="113">
        <f>IF(AND($E$2="Monthly",$A110&gt;12),"",
IFERROR($J110*VLOOKUP($C110,'Employee information'!$B:$AI,COLUMNS('Employee information'!$B:$P),0),0))</f>
        <v>0</v>
      </c>
      <c r="M110" s="114">
        <f t="shared" si="102"/>
        <v>0</v>
      </c>
      <c r="O110" s="103">
        <f t="shared" si="103"/>
        <v>0</v>
      </c>
      <c r="P110" s="113">
        <f>IFERROR(
IF(AND($E$2="Monthly",$A110&gt;12),0,
$O110*VLOOKUP($C110,'Employee information'!$B:$AI,COLUMNS('Employee information'!$B:$P),0)),
0)</f>
        <v>0</v>
      </c>
      <c r="R110" s="114">
        <f t="shared" si="89"/>
        <v>0</v>
      </c>
      <c r="T110" s="103"/>
      <c r="U110" s="103"/>
      <c r="V110" s="282" t="str">
        <f>IF($C110="","",
IF(AND($E$2="Monthly",$A110&gt;12),"",
$T110*VLOOKUP($C110,'Employee information'!$B:$P,COLUMNS('Employee information'!$B:$P),0)))</f>
        <v/>
      </c>
      <c r="W110" s="282" t="str">
        <f>IF($C110="","",
IF(AND($E$2="Monthly",$A110&gt;12),"",
$U110*VLOOKUP($C110,'Employee information'!$B:$P,COLUMNS('Employee information'!$B:$P),0)))</f>
        <v/>
      </c>
      <c r="X110" s="114">
        <f t="shared" si="90"/>
        <v>0</v>
      </c>
      <c r="Y110" s="114">
        <f t="shared" si="91"/>
        <v>0</v>
      </c>
      <c r="AA110" s="118">
        <f>IFERROR(
IF(OR('Basic payroll data'!$D$12="",'Basic payroll data'!$D$12="No"),0,
$T110*VLOOKUP($C110,'Employee information'!$B:$P,COLUMNS('Employee information'!$B:$P),0)*AL_loading_perc),
0)</f>
        <v>0</v>
      </c>
      <c r="AC110" s="118"/>
      <c r="AD110" s="118"/>
      <c r="AE110" s="283" t="str">
        <f t="shared" si="104"/>
        <v/>
      </c>
      <c r="AF110" s="283" t="str">
        <f t="shared" si="105"/>
        <v/>
      </c>
      <c r="AG110" s="118"/>
      <c r="AH110" s="118"/>
      <c r="AI110" s="283" t="str">
        <f t="shared" si="106"/>
        <v/>
      </c>
      <c r="AJ110" s="118"/>
      <c r="AK110" s="118"/>
      <c r="AM110" s="118">
        <f t="shared" si="107"/>
        <v>0</v>
      </c>
      <c r="AN110" s="118">
        <f t="shared" si="92"/>
        <v>0</v>
      </c>
      <c r="AO110" s="118" t="str">
        <f>IFERROR(
IF(VLOOKUP($C110,'Employee information'!$B:$M,COLUMNS('Employee information'!$B:$M),0)=1,
IF($E$2="Fortnightly",
ROUND(
ROUND((((TRUNC($AN110/2,0)+0.99))*VLOOKUP((TRUNC($AN110/2,0)+0.99),'Tax scales - NAT 1004'!$A$12:$C$18,2,1)-VLOOKUP((TRUNC($AN110/2,0)+0.99),'Tax scales - NAT 1004'!$A$12:$C$18,3,1)),0)
*2,
0),
IF(AND($E$2="Monthly",ROUND($AN110-TRUNC($AN110),2)=0.33),
ROUND(
ROUND(((TRUNC(($AN110+0.01)*3/13,0)+0.99)*VLOOKUP((TRUNC(($AN110+0.01)*3/13,0)+0.99),'Tax scales - NAT 1004'!$A$12:$C$18,2,1)-VLOOKUP((TRUNC(($AN110+0.01)*3/13,0)+0.99),'Tax scales - NAT 1004'!$A$12:$C$18,3,1)),0)
*13/3,
0),
IF($E$2="Monthly",
ROUND(
ROUND(((TRUNC($AN110*3/13,0)+0.99)*VLOOKUP((TRUNC($AN110*3/13,0)+0.99),'Tax scales - NAT 1004'!$A$12:$C$18,2,1)-VLOOKUP((TRUNC($AN110*3/13,0)+0.99),'Tax scales - NAT 1004'!$A$12:$C$18,3,1)),0)
*13/3,
0),
""))),
""),
"")</f>
        <v/>
      </c>
      <c r="AP110" s="118" t="str">
        <f>IFERROR(
IF(VLOOKUP($C110,'Employee information'!$B:$M,COLUMNS('Employee information'!$B:$M),0)=2,
IF($E$2="Fortnightly",
ROUND(
ROUND((((TRUNC($AN110/2,0)+0.99))*VLOOKUP((TRUNC($AN110/2,0)+0.99),'Tax scales - NAT 1004'!$A$25:$C$33,2,1)-VLOOKUP((TRUNC($AN110/2,0)+0.99),'Tax scales - NAT 1004'!$A$25:$C$33,3,1)),0)
*2,
0),
IF(AND($E$2="Monthly",ROUND($AN110-TRUNC($AN110),2)=0.33),
ROUND(
ROUND(((TRUNC(($AN110+0.01)*3/13,0)+0.99)*VLOOKUP((TRUNC(($AN110+0.01)*3/13,0)+0.99),'Tax scales - NAT 1004'!$A$25:$C$33,2,1)-VLOOKUP((TRUNC(($AN110+0.01)*3/13,0)+0.99),'Tax scales - NAT 1004'!$A$25:$C$33,3,1)),0)
*13/3,
0),
IF($E$2="Monthly",
ROUND(
ROUND(((TRUNC($AN110*3/13,0)+0.99)*VLOOKUP((TRUNC($AN110*3/13,0)+0.99),'Tax scales - NAT 1004'!$A$25:$C$33,2,1)-VLOOKUP((TRUNC($AN110*3/13,0)+0.99),'Tax scales - NAT 1004'!$A$25:$C$33,3,1)),0)
*13/3,
0),
""))),
""),
"")</f>
        <v/>
      </c>
      <c r="AQ110" s="118" t="str">
        <f>IFERROR(
IF(VLOOKUP($C110,'Employee information'!$B:$M,COLUMNS('Employee information'!$B:$M),0)=3,
IF($E$2="Fortnightly",
ROUND(
ROUND((((TRUNC($AN110/2,0)+0.99))*VLOOKUP((TRUNC($AN110/2,0)+0.99),'Tax scales - NAT 1004'!$A$39:$C$41,2,1)-VLOOKUP((TRUNC($AN110/2,0)+0.99),'Tax scales - NAT 1004'!$A$39:$C$41,3,1)),0)
*2,
0),
IF(AND($E$2="Monthly",ROUND($AN110-TRUNC($AN110),2)=0.33),
ROUND(
ROUND(((TRUNC(($AN110+0.01)*3/13,0)+0.99)*VLOOKUP((TRUNC(($AN110+0.01)*3/13,0)+0.99),'Tax scales - NAT 1004'!$A$39:$C$41,2,1)-VLOOKUP((TRUNC(($AN110+0.01)*3/13,0)+0.99),'Tax scales - NAT 1004'!$A$39:$C$41,3,1)),0)
*13/3,
0),
IF($E$2="Monthly",
ROUND(
ROUND(((TRUNC($AN110*3/13,0)+0.99)*VLOOKUP((TRUNC($AN110*3/13,0)+0.99),'Tax scales - NAT 1004'!$A$39:$C$41,2,1)-VLOOKUP((TRUNC($AN110*3/13,0)+0.99),'Tax scales - NAT 1004'!$A$39:$C$41,3,1)),0)
*13/3,
0),
""))),
""),
"")</f>
        <v/>
      </c>
      <c r="AR110" s="118" t="str">
        <f>IFERROR(
IF(AND(VLOOKUP($C110,'Employee information'!$B:$M,COLUMNS('Employee information'!$B:$M),0)=4,
VLOOKUP($C110,'Employee information'!$B:$J,COLUMNS('Employee information'!$B:$J),0)="Resident"),
TRUNC(TRUNC($AN110)*'Tax scales - NAT 1004'!$B$47),
IF(AND(VLOOKUP($C110,'Employee information'!$B:$M,COLUMNS('Employee information'!$B:$M),0)=4,
VLOOKUP($C110,'Employee information'!$B:$J,COLUMNS('Employee information'!$B:$J),0)="Foreign resident"),
TRUNC(TRUNC($AN110)*'Tax scales - NAT 1004'!$B$48),
"")),
"")</f>
        <v/>
      </c>
      <c r="AS110" s="118" t="str">
        <f>IFERROR(
IF(VLOOKUP($C110,'Employee information'!$B:$M,COLUMNS('Employee information'!$B:$M),0)=5,
IF($E$2="Fortnightly",
ROUND(
ROUND((((TRUNC($AN110/2,0)+0.99))*VLOOKUP((TRUNC($AN110/2,0)+0.99),'Tax scales - NAT 1004'!$A$53:$C$59,2,1)-VLOOKUP((TRUNC($AN110/2,0)+0.99),'Tax scales - NAT 1004'!$A$53:$C$59,3,1)),0)
*2,
0),
IF(AND($E$2="Monthly",ROUND($AN110-TRUNC($AN110),2)=0.33),
ROUND(
ROUND(((TRUNC(($AN110+0.01)*3/13,0)+0.99)*VLOOKUP((TRUNC(($AN110+0.01)*3/13,0)+0.99),'Tax scales - NAT 1004'!$A$53:$C$59,2,1)-VLOOKUP((TRUNC(($AN110+0.01)*3/13,0)+0.99),'Tax scales - NAT 1004'!$A$53:$C$59,3,1)),0)
*13/3,
0),
IF($E$2="Monthly",
ROUND(
ROUND(((TRUNC($AN110*3/13,0)+0.99)*VLOOKUP((TRUNC($AN110*3/13,0)+0.99),'Tax scales - NAT 1004'!$A$53:$C$59,2,1)-VLOOKUP((TRUNC($AN110*3/13,0)+0.99),'Tax scales - NAT 1004'!$A$53:$C$59,3,1)),0)
*13/3,
0),
""))),
""),
"")</f>
        <v/>
      </c>
      <c r="AT110" s="118" t="str">
        <f>IFERROR(
IF(VLOOKUP($C110,'Employee information'!$B:$M,COLUMNS('Employee information'!$B:$M),0)=6,
IF($E$2="Fortnightly",
ROUND(
ROUND((((TRUNC($AN110/2,0)+0.99))*VLOOKUP((TRUNC($AN110/2,0)+0.99),'Tax scales - NAT 1004'!$A$65:$C$73,2,1)-VLOOKUP((TRUNC($AN110/2,0)+0.99),'Tax scales - NAT 1004'!$A$65:$C$73,3,1)),0)
*2,
0),
IF(AND($E$2="Monthly",ROUND($AN110-TRUNC($AN110),2)=0.33),
ROUND(
ROUND(((TRUNC(($AN110+0.01)*3/13,0)+0.99)*VLOOKUP((TRUNC(($AN110+0.01)*3/13,0)+0.99),'Tax scales - NAT 1004'!$A$65:$C$73,2,1)-VLOOKUP((TRUNC(($AN110+0.01)*3/13,0)+0.99),'Tax scales - NAT 1004'!$A$65:$C$73,3,1)),0)
*13/3,
0),
IF($E$2="Monthly",
ROUND(
ROUND(((TRUNC($AN110*3/13,0)+0.99)*VLOOKUP((TRUNC($AN110*3/13,0)+0.99),'Tax scales - NAT 1004'!$A$65:$C$73,2,1)-VLOOKUP((TRUNC($AN110*3/13,0)+0.99),'Tax scales - NAT 1004'!$A$65:$C$73,3,1)),0)
*13/3,
0),
""))),
""),
"")</f>
        <v/>
      </c>
      <c r="AU110" s="118" t="str">
        <f>IFERROR(
IF(VLOOKUP($C110,'Employee information'!$B:$M,COLUMNS('Employee information'!$B:$M),0)=11,
IF($E$2="Fortnightly",
ROUND(
ROUND((((TRUNC($AN110/2,0)+0.99))*VLOOKUP((TRUNC($AN110/2,0)+0.99),'Tax scales - NAT 3539'!$A$14:$C$38,2,1)-VLOOKUP((TRUNC($AN110/2,0)+0.99),'Tax scales - NAT 3539'!$A$14:$C$38,3,1)),0)
*2,
0),
IF(AND($E$2="Monthly",ROUND($AN110-TRUNC($AN110),2)=0.33),
ROUND(
ROUND(((TRUNC(($AN110+0.01)*3/13,0)+0.99)*VLOOKUP((TRUNC(($AN110+0.01)*3/13,0)+0.99),'Tax scales - NAT 3539'!$A$14:$C$38,2,1)-VLOOKUP((TRUNC(($AN110+0.01)*3/13,0)+0.99),'Tax scales - NAT 3539'!$A$14:$C$38,3,1)),0)
*13/3,
0),
IF($E$2="Monthly",
ROUND(
ROUND(((TRUNC($AN110*3/13,0)+0.99)*VLOOKUP((TRUNC($AN110*3/13,0)+0.99),'Tax scales - NAT 3539'!$A$14:$C$38,2,1)-VLOOKUP((TRUNC($AN110*3/13,0)+0.99),'Tax scales - NAT 3539'!$A$14:$C$38,3,1)),0)
*13/3,
0),
""))),
""),
"")</f>
        <v/>
      </c>
      <c r="AV110" s="118" t="str">
        <f>IFERROR(
IF(VLOOKUP($C110,'Employee information'!$B:$M,COLUMNS('Employee information'!$B:$M),0)=22,
IF($E$2="Fortnightly",
ROUND(
ROUND((((TRUNC($AN110/2,0)+0.99))*VLOOKUP((TRUNC($AN110/2,0)+0.99),'Tax scales - NAT 3539'!$A$43:$C$69,2,1)-VLOOKUP((TRUNC($AN110/2,0)+0.99),'Tax scales - NAT 3539'!$A$43:$C$69,3,1)),0)
*2,
0),
IF(AND($E$2="Monthly",ROUND($AN110-TRUNC($AN110),2)=0.33),
ROUND(
ROUND(((TRUNC(($AN110+0.01)*3/13,0)+0.99)*VLOOKUP((TRUNC(($AN110+0.01)*3/13,0)+0.99),'Tax scales - NAT 3539'!$A$43:$C$69,2,1)-VLOOKUP((TRUNC(($AN110+0.01)*3/13,0)+0.99),'Tax scales - NAT 3539'!$A$43:$C$69,3,1)),0)
*13/3,
0),
IF($E$2="Monthly",
ROUND(
ROUND(((TRUNC($AN110*3/13,0)+0.99)*VLOOKUP((TRUNC($AN110*3/13,0)+0.99),'Tax scales - NAT 3539'!$A$43:$C$69,2,1)-VLOOKUP((TRUNC($AN110*3/13,0)+0.99),'Tax scales - NAT 3539'!$A$43:$C$69,3,1)),0)
*13/3,
0),
""))),
""),
"")</f>
        <v/>
      </c>
      <c r="AW110" s="118" t="str">
        <f>IFERROR(
IF(VLOOKUP($C110,'Employee information'!$B:$M,COLUMNS('Employee information'!$B:$M),0)=33,
IF($E$2="Fortnightly",
ROUND(
ROUND((((TRUNC($AN110/2,0)+0.99))*VLOOKUP((TRUNC($AN110/2,0)+0.99),'Tax scales - NAT 3539'!$A$74:$C$94,2,1)-VLOOKUP((TRUNC($AN110/2,0)+0.99),'Tax scales - NAT 3539'!$A$74:$C$94,3,1)),0)
*2,
0),
IF(AND($E$2="Monthly",ROUND($AN110-TRUNC($AN110),2)=0.33),
ROUND(
ROUND(((TRUNC(($AN110+0.01)*3/13,0)+0.99)*VLOOKUP((TRUNC(($AN110+0.01)*3/13,0)+0.99),'Tax scales - NAT 3539'!$A$74:$C$94,2,1)-VLOOKUP((TRUNC(($AN110+0.01)*3/13,0)+0.99),'Tax scales - NAT 3539'!$A$74:$C$94,3,1)),0)
*13/3,
0),
IF($E$2="Monthly",
ROUND(
ROUND(((TRUNC($AN110*3/13,0)+0.99)*VLOOKUP((TRUNC($AN110*3/13,0)+0.99),'Tax scales - NAT 3539'!$A$74:$C$94,2,1)-VLOOKUP((TRUNC($AN110*3/13,0)+0.99),'Tax scales - NAT 3539'!$A$74:$C$94,3,1)),0)
*13/3,
0),
""))),
""),
"")</f>
        <v/>
      </c>
      <c r="AX110" s="118" t="str">
        <f>IFERROR(
IF(VLOOKUP($C110,'Employee information'!$B:$M,COLUMNS('Employee information'!$B:$M),0)=55,
IF($E$2="Fortnightly",
ROUND(
ROUND((((TRUNC($AN110/2,0)+0.99))*VLOOKUP((TRUNC($AN110/2,0)+0.99),'Tax scales - NAT 3539'!$A$99:$C$123,2,1)-VLOOKUP((TRUNC($AN110/2,0)+0.99),'Tax scales - NAT 3539'!$A$99:$C$123,3,1)),0)
*2,
0),
IF(AND($E$2="Monthly",ROUND($AN110-TRUNC($AN110),2)=0.33),
ROUND(
ROUND(((TRUNC(($AN110+0.01)*3/13,0)+0.99)*VLOOKUP((TRUNC(($AN110+0.01)*3/13,0)+0.99),'Tax scales - NAT 3539'!$A$99:$C$123,2,1)-VLOOKUP((TRUNC(($AN110+0.01)*3/13,0)+0.99),'Tax scales - NAT 3539'!$A$99:$C$123,3,1)),0)
*13/3,
0),
IF($E$2="Monthly",
ROUND(
ROUND(((TRUNC($AN110*3/13,0)+0.99)*VLOOKUP((TRUNC($AN110*3/13,0)+0.99),'Tax scales - NAT 3539'!$A$99:$C$123,2,1)-VLOOKUP((TRUNC($AN110*3/13,0)+0.99),'Tax scales - NAT 3539'!$A$99:$C$123,3,1)),0)
*13/3,
0),
""))),
""),
"")</f>
        <v/>
      </c>
      <c r="AY110" s="118" t="str">
        <f>IFERROR(
IF(VLOOKUP($C110,'Employee information'!$B:$M,COLUMNS('Employee information'!$B:$M),0)=66,
IF($E$2="Fortnightly",
ROUND(
ROUND((((TRUNC($AN110/2,0)+0.99))*VLOOKUP((TRUNC($AN110/2,0)+0.99),'Tax scales - NAT 3539'!$A$127:$C$154,2,1)-VLOOKUP((TRUNC($AN110/2,0)+0.99),'Tax scales - NAT 3539'!$A$127:$C$154,3,1)),0)
*2,
0),
IF(AND($E$2="Monthly",ROUND($AN110-TRUNC($AN110),2)=0.33),
ROUND(
ROUND(((TRUNC(($AN110+0.01)*3/13,0)+0.99)*VLOOKUP((TRUNC(($AN110+0.01)*3/13,0)+0.99),'Tax scales - NAT 3539'!$A$127:$C$154,2,1)-VLOOKUP((TRUNC(($AN110+0.01)*3/13,0)+0.99),'Tax scales - NAT 3539'!$A$127:$C$154,3,1)),0)
*13/3,
0),
IF($E$2="Monthly",
ROUND(
ROUND(((TRUNC($AN110*3/13,0)+0.99)*VLOOKUP((TRUNC($AN110*3/13,0)+0.99),'Tax scales - NAT 3539'!$A$127:$C$154,2,1)-VLOOKUP((TRUNC($AN110*3/13,0)+0.99),'Tax scales - NAT 3539'!$A$127:$C$154,3,1)),0)
*13/3,
0),
""))),
""),
"")</f>
        <v/>
      </c>
      <c r="AZ110" s="118">
        <f>IFERROR(
HLOOKUP(VLOOKUP($C110,'Employee information'!$B:$M,COLUMNS('Employee information'!$B:$M),0),'PAYG worksheet'!$AO$97:$AY$116,COUNTA($C$98:$C110)+1,0),
0)</f>
        <v>0</v>
      </c>
      <c r="BA110" s="118"/>
      <c r="BB110" s="118">
        <f t="shared" si="108"/>
        <v>0</v>
      </c>
      <c r="BC110" s="119">
        <f>IFERROR(
IF(OR($AE110=1,$AE110=""),SUM($P110,$AA110,$AC110,$AK110)*VLOOKUP($C110,'Employee information'!$B:$Q,COLUMNS('Employee information'!$B:$H),0),
IF($AE110=0,SUM($P110,$AA110,$AK110)*VLOOKUP($C110,'Employee information'!$B:$Q,COLUMNS('Employee information'!$B:$H),0),
0)),
0)</f>
        <v>0</v>
      </c>
      <c r="BE110" s="114">
        <f t="shared" si="93"/>
        <v>0</v>
      </c>
      <c r="BF110" s="114">
        <f t="shared" si="94"/>
        <v>0</v>
      </c>
      <c r="BG110" s="114">
        <f t="shared" si="95"/>
        <v>0</v>
      </c>
      <c r="BH110" s="114">
        <f t="shared" si="96"/>
        <v>0</v>
      </c>
      <c r="BI110" s="114">
        <f t="shared" si="97"/>
        <v>0</v>
      </c>
      <c r="BJ110" s="114">
        <f t="shared" si="98"/>
        <v>0</v>
      </c>
      <c r="BK110" s="114">
        <f t="shared" si="99"/>
        <v>0</v>
      </c>
      <c r="BL110" s="114">
        <f t="shared" si="109"/>
        <v>0</v>
      </c>
      <c r="BM110" s="114">
        <f t="shared" si="100"/>
        <v>0</v>
      </c>
    </row>
    <row r="111" spans="1:65" x14ac:dyDescent="0.25">
      <c r="A111" s="228">
        <f t="shared" si="88"/>
        <v>4</v>
      </c>
      <c r="C111" s="278"/>
      <c r="E111" s="103">
        <f>IF($C111="",0,
IF(AND($E$2="Monthly",$A111&gt;12),0,
IF($E$2="Monthly",VLOOKUP($C111,'Employee information'!$B:$AM,COLUMNS('Employee information'!$B:S),0),
IF($E$2="Fortnightly",VLOOKUP($C111,'Employee information'!$B:$AM,COLUMNS('Employee information'!$B:R),0),
0))))</f>
        <v>0</v>
      </c>
      <c r="F111" s="106"/>
      <c r="G111" s="106"/>
      <c r="H111" s="106"/>
      <c r="I111" s="106"/>
      <c r="J111" s="103">
        <f t="shared" si="101"/>
        <v>0</v>
      </c>
      <c r="L111" s="113">
        <f>IF(AND($E$2="Monthly",$A111&gt;12),"",
IFERROR($J111*VLOOKUP($C111,'Employee information'!$B:$AI,COLUMNS('Employee information'!$B:$P),0),0))</f>
        <v>0</v>
      </c>
      <c r="M111" s="114">
        <f t="shared" si="102"/>
        <v>0</v>
      </c>
      <c r="O111" s="103">
        <f t="shared" si="103"/>
        <v>0</v>
      </c>
      <c r="P111" s="113">
        <f>IFERROR(
IF(AND($E$2="Monthly",$A111&gt;12),0,
$O111*VLOOKUP($C111,'Employee information'!$B:$AI,COLUMNS('Employee information'!$B:$P),0)),
0)</f>
        <v>0</v>
      </c>
      <c r="R111" s="114">
        <f t="shared" si="89"/>
        <v>0</v>
      </c>
      <c r="T111" s="103"/>
      <c r="U111" s="103"/>
      <c r="V111" s="282" t="str">
        <f>IF($C111="","",
IF(AND($E$2="Monthly",$A111&gt;12),"",
$T111*VLOOKUP($C111,'Employee information'!$B:$P,COLUMNS('Employee information'!$B:$P),0)))</f>
        <v/>
      </c>
      <c r="W111" s="282" t="str">
        <f>IF($C111="","",
IF(AND($E$2="Monthly",$A111&gt;12),"",
$U111*VLOOKUP($C111,'Employee information'!$B:$P,COLUMNS('Employee information'!$B:$P),0)))</f>
        <v/>
      </c>
      <c r="X111" s="114">
        <f t="shared" si="90"/>
        <v>0</v>
      </c>
      <c r="Y111" s="114">
        <f t="shared" si="91"/>
        <v>0</v>
      </c>
      <c r="AA111" s="118">
        <f>IFERROR(
IF(OR('Basic payroll data'!$D$12="",'Basic payroll data'!$D$12="No"),0,
$T111*VLOOKUP($C111,'Employee information'!$B:$P,COLUMNS('Employee information'!$B:$P),0)*AL_loading_perc),
0)</f>
        <v>0</v>
      </c>
      <c r="AC111" s="118"/>
      <c r="AD111" s="118"/>
      <c r="AE111" s="283" t="str">
        <f t="shared" si="104"/>
        <v/>
      </c>
      <c r="AF111" s="283" t="str">
        <f t="shared" si="105"/>
        <v/>
      </c>
      <c r="AG111" s="118"/>
      <c r="AH111" s="118"/>
      <c r="AI111" s="283" t="str">
        <f t="shared" si="106"/>
        <v/>
      </c>
      <c r="AJ111" s="118"/>
      <c r="AK111" s="118"/>
      <c r="AM111" s="118">
        <f t="shared" si="107"/>
        <v>0</v>
      </c>
      <c r="AN111" s="118">
        <f t="shared" si="92"/>
        <v>0</v>
      </c>
      <c r="AO111" s="118" t="str">
        <f>IFERROR(
IF(VLOOKUP($C111,'Employee information'!$B:$M,COLUMNS('Employee information'!$B:$M),0)=1,
IF($E$2="Fortnightly",
ROUND(
ROUND((((TRUNC($AN111/2,0)+0.99))*VLOOKUP((TRUNC($AN111/2,0)+0.99),'Tax scales - NAT 1004'!$A$12:$C$18,2,1)-VLOOKUP((TRUNC($AN111/2,0)+0.99),'Tax scales - NAT 1004'!$A$12:$C$18,3,1)),0)
*2,
0),
IF(AND($E$2="Monthly",ROUND($AN111-TRUNC($AN111),2)=0.33),
ROUND(
ROUND(((TRUNC(($AN111+0.01)*3/13,0)+0.99)*VLOOKUP((TRUNC(($AN111+0.01)*3/13,0)+0.99),'Tax scales - NAT 1004'!$A$12:$C$18,2,1)-VLOOKUP((TRUNC(($AN111+0.01)*3/13,0)+0.99),'Tax scales - NAT 1004'!$A$12:$C$18,3,1)),0)
*13/3,
0),
IF($E$2="Monthly",
ROUND(
ROUND(((TRUNC($AN111*3/13,0)+0.99)*VLOOKUP((TRUNC($AN111*3/13,0)+0.99),'Tax scales - NAT 1004'!$A$12:$C$18,2,1)-VLOOKUP((TRUNC($AN111*3/13,0)+0.99),'Tax scales - NAT 1004'!$A$12:$C$18,3,1)),0)
*13/3,
0),
""))),
""),
"")</f>
        <v/>
      </c>
      <c r="AP111" s="118" t="str">
        <f>IFERROR(
IF(VLOOKUP($C111,'Employee information'!$B:$M,COLUMNS('Employee information'!$B:$M),0)=2,
IF($E$2="Fortnightly",
ROUND(
ROUND((((TRUNC($AN111/2,0)+0.99))*VLOOKUP((TRUNC($AN111/2,0)+0.99),'Tax scales - NAT 1004'!$A$25:$C$33,2,1)-VLOOKUP((TRUNC($AN111/2,0)+0.99),'Tax scales - NAT 1004'!$A$25:$C$33,3,1)),0)
*2,
0),
IF(AND($E$2="Monthly",ROUND($AN111-TRUNC($AN111),2)=0.33),
ROUND(
ROUND(((TRUNC(($AN111+0.01)*3/13,0)+0.99)*VLOOKUP((TRUNC(($AN111+0.01)*3/13,0)+0.99),'Tax scales - NAT 1004'!$A$25:$C$33,2,1)-VLOOKUP((TRUNC(($AN111+0.01)*3/13,0)+0.99),'Tax scales - NAT 1004'!$A$25:$C$33,3,1)),0)
*13/3,
0),
IF($E$2="Monthly",
ROUND(
ROUND(((TRUNC($AN111*3/13,0)+0.99)*VLOOKUP((TRUNC($AN111*3/13,0)+0.99),'Tax scales - NAT 1004'!$A$25:$C$33,2,1)-VLOOKUP((TRUNC($AN111*3/13,0)+0.99),'Tax scales - NAT 1004'!$A$25:$C$33,3,1)),0)
*13/3,
0),
""))),
""),
"")</f>
        <v/>
      </c>
      <c r="AQ111" s="118" t="str">
        <f>IFERROR(
IF(VLOOKUP($C111,'Employee information'!$B:$M,COLUMNS('Employee information'!$B:$M),0)=3,
IF($E$2="Fortnightly",
ROUND(
ROUND((((TRUNC($AN111/2,0)+0.99))*VLOOKUP((TRUNC($AN111/2,0)+0.99),'Tax scales - NAT 1004'!$A$39:$C$41,2,1)-VLOOKUP((TRUNC($AN111/2,0)+0.99),'Tax scales - NAT 1004'!$A$39:$C$41,3,1)),0)
*2,
0),
IF(AND($E$2="Monthly",ROUND($AN111-TRUNC($AN111),2)=0.33),
ROUND(
ROUND(((TRUNC(($AN111+0.01)*3/13,0)+0.99)*VLOOKUP((TRUNC(($AN111+0.01)*3/13,0)+0.99),'Tax scales - NAT 1004'!$A$39:$C$41,2,1)-VLOOKUP((TRUNC(($AN111+0.01)*3/13,0)+0.99),'Tax scales - NAT 1004'!$A$39:$C$41,3,1)),0)
*13/3,
0),
IF($E$2="Monthly",
ROUND(
ROUND(((TRUNC($AN111*3/13,0)+0.99)*VLOOKUP((TRUNC($AN111*3/13,0)+0.99),'Tax scales - NAT 1004'!$A$39:$C$41,2,1)-VLOOKUP((TRUNC($AN111*3/13,0)+0.99),'Tax scales - NAT 1004'!$A$39:$C$41,3,1)),0)
*13/3,
0),
""))),
""),
"")</f>
        <v/>
      </c>
      <c r="AR111" s="118" t="str">
        <f>IFERROR(
IF(AND(VLOOKUP($C111,'Employee information'!$B:$M,COLUMNS('Employee information'!$B:$M),0)=4,
VLOOKUP($C111,'Employee information'!$B:$J,COLUMNS('Employee information'!$B:$J),0)="Resident"),
TRUNC(TRUNC($AN111)*'Tax scales - NAT 1004'!$B$47),
IF(AND(VLOOKUP($C111,'Employee information'!$B:$M,COLUMNS('Employee information'!$B:$M),0)=4,
VLOOKUP($C111,'Employee information'!$B:$J,COLUMNS('Employee information'!$B:$J),0)="Foreign resident"),
TRUNC(TRUNC($AN111)*'Tax scales - NAT 1004'!$B$48),
"")),
"")</f>
        <v/>
      </c>
      <c r="AS111" s="118" t="str">
        <f>IFERROR(
IF(VLOOKUP($C111,'Employee information'!$B:$M,COLUMNS('Employee information'!$B:$M),0)=5,
IF($E$2="Fortnightly",
ROUND(
ROUND((((TRUNC($AN111/2,0)+0.99))*VLOOKUP((TRUNC($AN111/2,0)+0.99),'Tax scales - NAT 1004'!$A$53:$C$59,2,1)-VLOOKUP((TRUNC($AN111/2,0)+0.99),'Tax scales - NAT 1004'!$A$53:$C$59,3,1)),0)
*2,
0),
IF(AND($E$2="Monthly",ROUND($AN111-TRUNC($AN111),2)=0.33),
ROUND(
ROUND(((TRUNC(($AN111+0.01)*3/13,0)+0.99)*VLOOKUP((TRUNC(($AN111+0.01)*3/13,0)+0.99),'Tax scales - NAT 1004'!$A$53:$C$59,2,1)-VLOOKUP((TRUNC(($AN111+0.01)*3/13,0)+0.99),'Tax scales - NAT 1004'!$A$53:$C$59,3,1)),0)
*13/3,
0),
IF($E$2="Monthly",
ROUND(
ROUND(((TRUNC($AN111*3/13,0)+0.99)*VLOOKUP((TRUNC($AN111*3/13,0)+0.99),'Tax scales - NAT 1004'!$A$53:$C$59,2,1)-VLOOKUP((TRUNC($AN111*3/13,0)+0.99),'Tax scales - NAT 1004'!$A$53:$C$59,3,1)),0)
*13/3,
0),
""))),
""),
"")</f>
        <v/>
      </c>
      <c r="AT111" s="118" t="str">
        <f>IFERROR(
IF(VLOOKUP($C111,'Employee information'!$B:$M,COLUMNS('Employee information'!$B:$M),0)=6,
IF($E$2="Fortnightly",
ROUND(
ROUND((((TRUNC($AN111/2,0)+0.99))*VLOOKUP((TRUNC($AN111/2,0)+0.99),'Tax scales - NAT 1004'!$A$65:$C$73,2,1)-VLOOKUP((TRUNC($AN111/2,0)+0.99),'Tax scales - NAT 1004'!$A$65:$C$73,3,1)),0)
*2,
0),
IF(AND($E$2="Monthly",ROUND($AN111-TRUNC($AN111),2)=0.33),
ROUND(
ROUND(((TRUNC(($AN111+0.01)*3/13,0)+0.99)*VLOOKUP((TRUNC(($AN111+0.01)*3/13,0)+0.99),'Tax scales - NAT 1004'!$A$65:$C$73,2,1)-VLOOKUP((TRUNC(($AN111+0.01)*3/13,0)+0.99),'Tax scales - NAT 1004'!$A$65:$C$73,3,1)),0)
*13/3,
0),
IF($E$2="Monthly",
ROUND(
ROUND(((TRUNC($AN111*3/13,0)+0.99)*VLOOKUP((TRUNC($AN111*3/13,0)+0.99),'Tax scales - NAT 1004'!$A$65:$C$73,2,1)-VLOOKUP((TRUNC($AN111*3/13,0)+0.99),'Tax scales - NAT 1004'!$A$65:$C$73,3,1)),0)
*13/3,
0),
""))),
""),
"")</f>
        <v/>
      </c>
      <c r="AU111" s="118" t="str">
        <f>IFERROR(
IF(VLOOKUP($C111,'Employee information'!$B:$M,COLUMNS('Employee information'!$B:$M),0)=11,
IF($E$2="Fortnightly",
ROUND(
ROUND((((TRUNC($AN111/2,0)+0.99))*VLOOKUP((TRUNC($AN111/2,0)+0.99),'Tax scales - NAT 3539'!$A$14:$C$38,2,1)-VLOOKUP((TRUNC($AN111/2,0)+0.99),'Tax scales - NAT 3539'!$A$14:$C$38,3,1)),0)
*2,
0),
IF(AND($E$2="Monthly",ROUND($AN111-TRUNC($AN111),2)=0.33),
ROUND(
ROUND(((TRUNC(($AN111+0.01)*3/13,0)+0.99)*VLOOKUP((TRUNC(($AN111+0.01)*3/13,0)+0.99),'Tax scales - NAT 3539'!$A$14:$C$38,2,1)-VLOOKUP((TRUNC(($AN111+0.01)*3/13,0)+0.99),'Tax scales - NAT 3539'!$A$14:$C$38,3,1)),0)
*13/3,
0),
IF($E$2="Monthly",
ROUND(
ROUND(((TRUNC($AN111*3/13,0)+0.99)*VLOOKUP((TRUNC($AN111*3/13,0)+0.99),'Tax scales - NAT 3539'!$A$14:$C$38,2,1)-VLOOKUP((TRUNC($AN111*3/13,0)+0.99),'Tax scales - NAT 3539'!$A$14:$C$38,3,1)),0)
*13/3,
0),
""))),
""),
"")</f>
        <v/>
      </c>
      <c r="AV111" s="118" t="str">
        <f>IFERROR(
IF(VLOOKUP($C111,'Employee information'!$B:$M,COLUMNS('Employee information'!$B:$M),0)=22,
IF($E$2="Fortnightly",
ROUND(
ROUND((((TRUNC($AN111/2,0)+0.99))*VLOOKUP((TRUNC($AN111/2,0)+0.99),'Tax scales - NAT 3539'!$A$43:$C$69,2,1)-VLOOKUP((TRUNC($AN111/2,0)+0.99),'Tax scales - NAT 3539'!$A$43:$C$69,3,1)),0)
*2,
0),
IF(AND($E$2="Monthly",ROUND($AN111-TRUNC($AN111),2)=0.33),
ROUND(
ROUND(((TRUNC(($AN111+0.01)*3/13,0)+0.99)*VLOOKUP((TRUNC(($AN111+0.01)*3/13,0)+0.99),'Tax scales - NAT 3539'!$A$43:$C$69,2,1)-VLOOKUP((TRUNC(($AN111+0.01)*3/13,0)+0.99),'Tax scales - NAT 3539'!$A$43:$C$69,3,1)),0)
*13/3,
0),
IF($E$2="Monthly",
ROUND(
ROUND(((TRUNC($AN111*3/13,0)+0.99)*VLOOKUP((TRUNC($AN111*3/13,0)+0.99),'Tax scales - NAT 3539'!$A$43:$C$69,2,1)-VLOOKUP((TRUNC($AN111*3/13,0)+0.99),'Tax scales - NAT 3539'!$A$43:$C$69,3,1)),0)
*13/3,
0),
""))),
""),
"")</f>
        <v/>
      </c>
      <c r="AW111" s="118" t="str">
        <f>IFERROR(
IF(VLOOKUP($C111,'Employee information'!$B:$M,COLUMNS('Employee information'!$B:$M),0)=33,
IF($E$2="Fortnightly",
ROUND(
ROUND((((TRUNC($AN111/2,0)+0.99))*VLOOKUP((TRUNC($AN111/2,0)+0.99),'Tax scales - NAT 3539'!$A$74:$C$94,2,1)-VLOOKUP((TRUNC($AN111/2,0)+0.99),'Tax scales - NAT 3539'!$A$74:$C$94,3,1)),0)
*2,
0),
IF(AND($E$2="Monthly",ROUND($AN111-TRUNC($AN111),2)=0.33),
ROUND(
ROUND(((TRUNC(($AN111+0.01)*3/13,0)+0.99)*VLOOKUP((TRUNC(($AN111+0.01)*3/13,0)+0.99),'Tax scales - NAT 3539'!$A$74:$C$94,2,1)-VLOOKUP((TRUNC(($AN111+0.01)*3/13,0)+0.99),'Tax scales - NAT 3539'!$A$74:$C$94,3,1)),0)
*13/3,
0),
IF($E$2="Monthly",
ROUND(
ROUND(((TRUNC($AN111*3/13,0)+0.99)*VLOOKUP((TRUNC($AN111*3/13,0)+0.99),'Tax scales - NAT 3539'!$A$74:$C$94,2,1)-VLOOKUP((TRUNC($AN111*3/13,0)+0.99),'Tax scales - NAT 3539'!$A$74:$C$94,3,1)),0)
*13/3,
0),
""))),
""),
"")</f>
        <v/>
      </c>
      <c r="AX111" s="118" t="str">
        <f>IFERROR(
IF(VLOOKUP($C111,'Employee information'!$B:$M,COLUMNS('Employee information'!$B:$M),0)=55,
IF($E$2="Fortnightly",
ROUND(
ROUND((((TRUNC($AN111/2,0)+0.99))*VLOOKUP((TRUNC($AN111/2,0)+0.99),'Tax scales - NAT 3539'!$A$99:$C$123,2,1)-VLOOKUP((TRUNC($AN111/2,0)+0.99),'Tax scales - NAT 3539'!$A$99:$C$123,3,1)),0)
*2,
0),
IF(AND($E$2="Monthly",ROUND($AN111-TRUNC($AN111),2)=0.33),
ROUND(
ROUND(((TRUNC(($AN111+0.01)*3/13,0)+0.99)*VLOOKUP((TRUNC(($AN111+0.01)*3/13,0)+0.99),'Tax scales - NAT 3539'!$A$99:$C$123,2,1)-VLOOKUP((TRUNC(($AN111+0.01)*3/13,0)+0.99),'Tax scales - NAT 3539'!$A$99:$C$123,3,1)),0)
*13/3,
0),
IF($E$2="Monthly",
ROUND(
ROUND(((TRUNC($AN111*3/13,0)+0.99)*VLOOKUP((TRUNC($AN111*3/13,0)+0.99),'Tax scales - NAT 3539'!$A$99:$C$123,2,1)-VLOOKUP((TRUNC($AN111*3/13,0)+0.99),'Tax scales - NAT 3539'!$A$99:$C$123,3,1)),0)
*13/3,
0),
""))),
""),
"")</f>
        <v/>
      </c>
      <c r="AY111" s="118" t="str">
        <f>IFERROR(
IF(VLOOKUP($C111,'Employee information'!$B:$M,COLUMNS('Employee information'!$B:$M),0)=66,
IF($E$2="Fortnightly",
ROUND(
ROUND((((TRUNC($AN111/2,0)+0.99))*VLOOKUP((TRUNC($AN111/2,0)+0.99),'Tax scales - NAT 3539'!$A$127:$C$154,2,1)-VLOOKUP((TRUNC($AN111/2,0)+0.99),'Tax scales - NAT 3539'!$A$127:$C$154,3,1)),0)
*2,
0),
IF(AND($E$2="Monthly",ROUND($AN111-TRUNC($AN111),2)=0.33),
ROUND(
ROUND(((TRUNC(($AN111+0.01)*3/13,0)+0.99)*VLOOKUP((TRUNC(($AN111+0.01)*3/13,0)+0.99),'Tax scales - NAT 3539'!$A$127:$C$154,2,1)-VLOOKUP((TRUNC(($AN111+0.01)*3/13,0)+0.99),'Tax scales - NAT 3539'!$A$127:$C$154,3,1)),0)
*13/3,
0),
IF($E$2="Monthly",
ROUND(
ROUND(((TRUNC($AN111*3/13,0)+0.99)*VLOOKUP((TRUNC($AN111*3/13,0)+0.99),'Tax scales - NAT 3539'!$A$127:$C$154,2,1)-VLOOKUP((TRUNC($AN111*3/13,0)+0.99),'Tax scales - NAT 3539'!$A$127:$C$154,3,1)),0)
*13/3,
0),
""))),
""),
"")</f>
        <v/>
      </c>
      <c r="AZ111" s="118">
        <f>IFERROR(
HLOOKUP(VLOOKUP($C111,'Employee information'!$B:$M,COLUMNS('Employee information'!$B:$M),0),'PAYG worksheet'!$AO$97:$AY$116,COUNTA($C$98:$C111)+1,0),
0)</f>
        <v>0</v>
      </c>
      <c r="BA111" s="118"/>
      <c r="BB111" s="118">
        <f t="shared" si="108"/>
        <v>0</v>
      </c>
      <c r="BC111" s="119">
        <f>IFERROR(
IF(OR($AE111=1,$AE111=""),SUM($P111,$AA111,$AC111,$AK111)*VLOOKUP($C111,'Employee information'!$B:$Q,COLUMNS('Employee information'!$B:$H),0),
IF($AE111=0,SUM($P111,$AA111,$AK111)*VLOOKUP($C111,'Employee information'!$B:$Q,COLUMNS('Employee information'!$B:$H),0),
0)),
0)</f>
        <v>0</v>
      </c>
      <c r="BE111" s="114">
        <f t="shared" si="93"/>
        <v>0</v>
      </c>
      <c r="BF111" s="114">
        <f t="shared" si="94"/>
        <v>0</v>
      </c>
      <c r="BG111" s="114">
        <f t="shared" si="95"/>
        <v>0</v>
      </c>
      <c r="BH111" s="114">
        <f t="shared" si="96"/>
        <v>0</v>
      </c>
      <c r="BI111" s="114">
        <f t="shared" si="97"/>
        <v>0</v>
      </c>
      <c r="BJ111" s="114">
        <f t="shared" si="98"/>
        <v>0</v>
      </c>
      <c r="BK111" s="114">
        <f t="shared" si="99"/>
        <v>0</v>
      </c>
      <c r="BL111" s="114">
        <f t="shared" si="109"/>
        <v>0</v>
      </c>
      <c r="BM111" s="114">
        <f t="shared" si="100"/>
        <v>0</v>
      </c>
    </row>
    <row r="112" spans="1:65" x14ac:dyDescent="0.25">
      <c r="A112" s="228">
        <f t="shared" si="88"/>
        <v>4</v>
      </c>
      <c r="C112" s="278"/>
      <c r="E112" s="103">
        <f>IF($C112="",0,
IF(AND($E$2="Monthly",$A112&gt;12),0,
IF($E$2="Monthly",VLOOKUP($C112,'Employee information'!$B:$AM,COLUMNS('Employee information'!$B:S),0),
IF($E$2="Fortnightly",VLOOKUP($C112,'Employee information'!$B:$AM,COLUMNS('Employee information'!$B:R),0),
0))))</f>
        <v>0</v>
      </c>
      <c r="F112" s="106"/>
      <c r="G112" s="106"/>
      <c r="H112" s="106"/>
      <c r="I112" s="106"/>
      <c r="J112" s="103">
        <f t="shared" si="101"/>
        <v>0</v>
      </c>
      <c r="L112" s="113">
        <f>IF(AND($E$2="Monthly",$A112&gt;12),"",
IFERROR($J112*VLOOKUP($C112,'Employee information'!$B:$AI,COLUMNS('Employee information'!$B:$P),0),0))</f>
        <v>0</v>
      </c>
      <c r="M112" s="114">
        <f t="shared" si="102"/>
        <v>0</v>
      </c>
      <c r="O112" s="103">
        <f t="shared" si="103"/>
        <v>0</v>
      </c>
      <c r="P112" s="113">
        <f>IFERROR(
IF(AND($E$2="Monthly",$A112&gt;12),0,
$O112*VLOOKUP($C112,'Employee information'!$B:$AI,COLUMNS('Employee information'!$B:$P),0)),
0)</f>
        <v>0</v>
      </c>
      <c r="R112" s="114">
        <f t="shared" si="89"/>
        <v>0</v>
      </c>
      <c r="T112" s="103"/>
      <c r="U112" s="103"/>
      <c r="V112" s="282" t="str">
        <f>IF($C112="","",
IF(AND($E$2="Monthly",$A112&gt;12),"",
$T112*VLOOKUP($C112,'Employee information'!$B:$P,COLUMNS('Employee information'!$B:$P),0)))</f>
        <v/>
      </c>
      <c r="W112" s="282" t="str">
        <f>IF($C112="","",
IF(AND($E$2="Monthly",$A112&gt;12),"",
$U112*VLOOKUP($C112,'Employee information'!$B:$P,COLUMNS('Employee information'!$B:$P),0)))</f>
        <v/>
      </c>
      <c r="X112" s="114">
        <f t="shared" si="90"/>
        <v>0</v>
      </c>
      <c r="Y112" s="114">
        <f t="shared" si="91"/>
        <v>0</v>
      </c>
      <c r="AA112" s="118">
        <f>IFERROR(
IF(OR('Basic payroll data'!$D$12="",'Basic payroll data'!$D$12="No"),0,
$T112*VLOOKUP($C112,'Employee information'!$B:$P,COLUMNS('Employee information'!$B:$P),0)*AL_loading_perc),
0)</f>
        <v>0</v>
      </c>
      <c r="AC112" s="118"/>
      <c r="AD112" s="118"/>
      <c r="AE112" s="283" t="str">
        <f t="shared" si="104"/>
        <v/>
      </c>
      <c r="AF112" s="283" t="str">
        <f t="shared" si="105"/>
        <v/>
      </c>
      <c r="AG112" s="118"/>
      <c r="AH112" s="118"/>
      <c r="AI112" s="283" t="str">
        <f t="shared" si="106"/>
        <v/>
      </c>
      <c r="AJ112" s="118"/>
      <c r="AK112" s="118"/>
      <c r="AM112" s="118">
        <f t="shared" si="107"/>
        <v>0</v>
      </c>
      <c r="AN112" s="118">
        <f t="shared" si="92"/>
        <v>0</v>
      </c>
      <c r="AO112" s="118" t="str">
        <f>IFERROR(
IF(VLOOKUP($C112,'Employee information'!$B:$M,COLUMNS('Employee information'!$B:$M),0)=1,
IF($E$2="Fortnightly",
ROUND(
ROUND((((TRUNC($AN112/2,0)+0.99))*VLOOKUP((TRUNC($AN112/2,0)+0.99),'Tax scales - NAT 1004'!$A$12:$C$18,2,1)-VLOOKUP((TRUNC($AN112/2,0)+0.99),'Tax scales - NAT 1004'!$A$12:$C$18,3,1)),0)
*2,
0),
IF(AND($E$2="Monthly",ROUND($AN112-TRUNC($AN112),2)=0.33),
ROUND(
ROUND(((TRUNC(($AN112+0.01)*3/13,0)+0.99)*VLOOKUP((TRUNC(($AN112+0.01)*3/13,0)+0.99),'Tax scales - NAT 1004'!$A$12:$C$18,2,1)-VLOOKUP((TRUNC(($AN112+0.01)*3/13,0)+0.99),'Tax scales - NAT 1004'!$A$12:$C$18,3,1)),0)
*13/3,
0),
IF($E$2="Monthly",
ROUND(
ROUND(((TRUNC($AN112*3/13,0)+0.99)*VLOOKUP((TRUNC($AN112*3/13,0)+0.99),'Tax scales - NAT 1004'!$A$12:$C$18,2,1)-VLOOKUP((TRUNC($AN112*3/13,0)+0.99),'Tax scales - NAT 1004'!$A$12:$C$18,3,1)),0)
*13/3,
0),
""))),
""),
"")</f>
        <v/>
      </c>
      <c r="AP112" s="118" t="str">
        <f>IFERROR(
IF(VLOOKUP($C112,'Employee information'!$B:$M,COLUMNS('Employee information'!$B:$M),0)=2,
IF($E$2="Fortnightly",
ROUND(
ROUND((((TRUNC($AN112/2,0)+0.99))*VLOOKUP((TRUNC($AN112/2,0)+0.99),'Tax scales - NAT 1004'!$A$25:$C$33,2,1)-VLOOKUP((TRUNC($AN112/2,0)+0.99),'Tax scales - NAT 1004'!$A$25:$C$33,3,1)),0)
*2,
0),
IF(AND($E$2="Monthly",ROUND($AN112-TRUNC($AN112),2)=0.33),
ROUND(
ROUND(((TRUNC(($AN112+0.01)*3/13,0)+0.99)*VLOOKUP((TRUNC(($AN112+0.01)*3/13,0)+0.99),'Tax scales - NAT 1004'!$A$25:$C$33,2,1)-VLOOKUP((TRUNC(($AN112+0.01)*3/13,0)+0.99),'Tax scales - NAT 1004'!$A$25:$C$33,3,1)),0)
*13/3,
0),
IF($E$2="Monthly",
ROUND(
ROUND(((TRUNC($AN112*3/13,0)+0.99)*VLOOKUP((TRUNC($AN112*3/13,0)+0.99),'Tax scales - NAT 1004'!$A$25:$C$33,2,1)-VLOOKUP((TRUNC($AN112*3/13,0)+0.99),'Tax scales - NAT 1004'!$A$25:$C$33,3,1)),0)
*13/3,
0),
""))),
""),
"")</f>
        <v/>
      </c>
      <c r="AQ112" s="118" t="str">
        <f>IFERROR(
IF(VLOOKUP($C112,'Employee information'!$B:$M,COLUMNS('Employee information'!$B:$M),0)=3,
IF($E$2="Fortnightly",
ROUND(
ROUND((((TRUNC($AN112/2,0)+0.99))*VLOOKUP((TRUNC($AN112/2,0)+0.99),'Tax scales - NAT 1004'!$A$39:$C$41,2,1)-VLOOKUP((TRUNC($AN112/2,0)+0.99),'Tax scales - NAT 1004'!$A$39:$C$41,3,1)),0)
*2,
0),
IF(AND($E$2="Monthly",ROUND($AN112-TRUNC($AN112),2)=0.33),
ROUND(
ROUND(((TRUNC(($AN112+0.01)*3/13,0)+0.99)*VLOOKUP((TRUNC(($AN112+0.01)*3/13,0)+0.99),'Tax scales - NAT 1004'!$A$39:$C$41,2,1)-VLOOKUP((TRUNC(($AN112+0.01)*3/13,0)+0.99),'Tax scales - NAT 1004'!$A$39:$C$41,3,1)),0)
*13/3,
0),
IF($E$2="Monthly",
ROUND(
ROUND(((TRUNC($AN112*3/13,0)+0.99)*VLOOKUP((TRUNC($AN112*3/13,0)+0.99),'Tax scales - NAT 1004'!$A$39:$C$41,2,1)-VLOOKUP((TRUNC($AN112*3/13,0)+0.99),'Tax scales - NAT 1004'!$A$39:$C$41,3,1)),0)
*13/3,
0),
""))),
""),
"")</f>
        <v/>
      </c>
      <c r="AR112" s="118" t="str">
        <f>IFERROR(
IF(AND(VLOOKUP($C112,'Employee information'!$B:$M,COLUMNS('Employee information'!$B:$M),0)=4,
VLOOKUP($C112,'Employee information'!$B:$J,COLUMNS('Employee information'!$B:$J),0)="Resident"),
TRUNC(TRUNC($AN112)*'Tax scales - NAT 1004'!$B$47),
IF(AND(VLOOKUP($C112,'Employee information'!$B:$M,COLUMNS('Employee information'!$B:$M),0)=4,
VLOOKUP($C112,'Employee information'!$B:$J,COLUMNS('Employee information'!$B:$J),0)="Foreign resident"),
TRUNC(TRUNC($AN112)*'Tax scales - NAT 1004'!$B$48),
"")),
"")</f>
        <v/>
      </c>
      <c r="AS112" s="118" t="str">
        <f>IFERROR(
IF(VLOOKUP($C112,'Employee information'!$B:$M,COLUMNS('Employee information'!$B:$M),0)=5,
IF($E$2="Fortnightly",
ROUND(
ROUND((((TRUNC($AN112/2,0)+0.99))*VLOOKUP((TRUNC($AN112/2,0)+0.99),'Tax scales - NAT 1004'!$A$53:$C$59,2,1)-VLOOKUP((TRUNC($AN112/2,0)+0.99),'Tax scales - NAT 1004'!$A$53:$C$59,3,1)),0)
*2,
0),
IF(AND($E$2="Monthly",ROUND($AN112-TRUNC($AN112),2)=0.33),
ROUND(
ROUND(((TRUNC(($AN112+0.01)*3/13,0)+0.99)*VLOOKUP((TRUNC(($AN112+0.01)*3/13,0)+0.99),'Tax scales - NAT 1004'!$A$53:$C$59,2,1)-VLOOKUP((TRUNC(($AN112+0.01)*3/13,0)+0.99),'Tax scales - NAT 1004'!$A$53:$C$59,3,1)),0)
*13/3,
0),
IF($E$2="Monthly",
ROUND(
ROUND(((TRUNC($AN112*3/13,0)+0.99)*VLOOKUP((TRUNC($AN112*3/13,0)+0.99),'Tax scales - NAT 1004'!$A$53:$C$59,2,1)-VLOOKUP((TRUNC($AN112*3/13,0)+0.99),'Tax scales - NAT 1004'!$A$53:$C$59,3,1)),0)
*13/3,
0),
""))),
""),
"")</f>
        <v/>
      </c>
      <c r="AT112" s="118" t="str">
        <f>IFERROR(
IF(VLOOKUP($C112,'Employee information'!$B:$M,COLUMNS('Employee information'!$B:$M),0)=6,
IF($E$2="Fortnightly",
ROUND(
ROUND((((TRUNC($AN112/2,0)+0.99))*VLOOKUP((TRUNC($AN112/2,0)+0.99),'Tax scales - NAT 1004'!$A$65:$C$73,2,1)-VLOOKUP((TRUNC($AN112/2,0)+0.99),'Tax scales - NAT 1004'!$A$65:$C$73,3,1)),0)
*2,
0),
IF(AND($E$2="Monthly",ROUND($AN112-TRUNC($AN112),2)=0.33),
ROUND(
ROUND(((TRUNC(($AN112+0.01)*3/13,0)+0.99)*VLOOKUP((TRUNC(($AN112+0.01)*3/13,0)+0.99),'Tax scales - NAT 1004'!$A$65:$C$73,2,1)-VLOOKUP((TRUNC(($AN112+0.01)*3/13,0)+0.99),'Tax scales - NAT 1004'!$A$65:$C$73,3,1)),0)
*13/3,
0),
IF($E$2="Monthly",
ROUND(
ROUND(((TRUNC($AN112*3/13,0)+0.99)*VLOOKUP((TRUNC($AN112*3/13,0)+0.99),'Tax scales - NAT 1004'!$A$65:$C$73,2,1)-VLOOKUP((TRUNC($AN112*3/13,0)+0.99),'Tax scales - NAT 1004'!$A$65:$C$73,3,1)),0)
*13/3,
0),
""))),
""),
"")</f>
        <v/>
      </c>
      <c r="AU112" s="118" t="str">
        <f>IFERROR(
IF(VLOOKUP($C112,'Employee information'!$B:$M,COLUMNS('Employee information'!$B:$M),0)=11,
IF($E$2="Fortnightly",
ROUND(
ROUND((((TRUNC($AN112/2,0)+0.99))*VLOOKUP((TRUNC($AN112/2,0)+0.99),'Tax scales - NAT 3539'!$A$14:$C$38,2,1)-VLOOKUP((TRUNC($AN112/2,0)+0.99),'Tax scales - NAT 3539'!$A$14:$C$38,3,1)),0)
*2,
0),
IF(AND($E$2="Monthly",ROUND($AN112-TRUNC($AN112),2)=0.33),
ROUND(
ROUND(((TRUNC(($AN112+0.01)*3/13,0)+0.99)*VLOOKUP((TRUNC(($AN112+0.01)*3/13,0)+0.99),'Tax scales - NAT 3539'!$A$14:$C$38,2,1)-VLOOKUP((TRUNC(($AN112+0.01)*3/13,0)+0.99),'Tax scales - NAT 3539'!$A$14:$C$38,3,1)),0)
*13/3,
0),
IF($E$2="Monthly",
ROUND(
ROUND(((TRUNC($AN112*3/13,0)+0.99)*VLOOKUP((TRUNC($AN112*3/13,0)+0.99),'Tax scales - NAT 3539'!$A$14:$C$38,2,1)-VLOOKUP((TRUNC($AN112*3/13,0)+0.99),'Tax scales - NAT 3539'!$A$14:$C$38,3,1)),0)
*13/3,
0),
""))),
""),
"")</f>
        <v/>
      </c>
      <c r="AV112" s="118" t="str">
        <f>IFERROR(
IF(VLOOKUP($C112,'Employee information'!$B:$M,COLUMNS('Employee information'!$B:$M),0)=22,
IF($E$2="Fortnightly",
ROUND(
ROUND((((TRUNC($AN112/2,0)+0.99))*VLOOKUP((TRUNC($AN112/2,0)+0.99),'Tax scales - NAT 3539'!$A$43:$C$69,2,1)-VLOOKUP((TRUNC($AN112/2,0)+0.99),'Tax scales - NAT 3539'!$A$43:$C$69,3,1)),0)
*2,
0),
IF(AND($E$2="Monthly",ROUND($AN112-TRUNC($AN112),2)=0.33),
ROUND(
ROUND(((TRUNC(($AN112+0.01)*3/13,0)+0.99)*VLOOKUP((TRUNC(($AN112+0.01)*3/13,0)+0.99),'Tax scales - NAT 3539'!$A$43:$C$69,2,1)-VLOOKUP((TRUNC(($AN112+0.01)*3/13,0)+0.99),'Tax scales - NAT 3539'!$A$43:$C$69,3,1)),0)
*13/3,
0),
IF($E$2="Monthly",
ROUND(
ROUND(((TRUNC($AN112*3/13,0)+0.99)*VLOOKUP((TRUNC($AN112*3/13,0)+0.99),'Tax scales - NAT 3539'!$A$43:$C$69,2,1)-VLOOKUP((TRUNC($AN112*3/13,0)+0.99),'Tax scales - NAT 3539'!$A$43:$C$69,3,1)),0)
*13/3,
0),
""))),
""),
"")</f>
        <v/>
      </c>
      <c r="AW112" s="118" t="str">
        <f>IFERROR(
IF(VLOOKUP($C112,'Employee information'!$B:$M,COLUMNS('Employee information'!$B:$M),0)=33,
IF($E$2="Fortnightly",
ROUND(
ROUND((((TRUNC($AN112/2,0)+0.99))*VLOOKUP((TRUNC($AN112/2,0)+0.99),'Tax scales - NAT 3539'!$A$74:$C$94,2,1)-VLOOKUP((TRUNC($AN112/2,0)+0.99),'Tax scales - NAT 3539'!$A$74:$C$94,3,1)),0)
*2,
0),
IF(AND($E$2="Monthly",ROUND($AN112-TRUNC($AN112),2)=0.33),
ROUND(
ROUND(((TRUNC(($AN112+0.01)*3/13,0)+0.99)*VLOOKUP((TRUNC(($AN112+0.01)*3/13,0)+0.99),'Tax scales - NAT 3539'!$A$74:$C$94,2,1)-VLOOKUP((TRUNC(($AN112+0.01)*3/13,0)+0.99),'Tax scales - NAT 3539'!$A$74:$C$94,3,1)),0)
*13/3,
0),
IF($E$2="Monthly",
ROUND(
ROUND(((TRUNC($AN112*3/13,0)+0.99)*VLOOKUP((TRUNC($AN112*3/13,0)+0.99),'Tax scales - NAT 3539'!$A$74:$C$94,2,1)-VLOOKUP((TRUNC($AN112*3/13,0)+0.99),'Tax scales - NAT 3539'!$A$74:$C$94,3,1)),0)
*13/3,
0),
""))),
""),
"")</f>
        <v/>
      </c>
      <c r="AX112" s="118" t="str">
        <f>IFERROR(
IF(VLOOKUP($C112,'Employee information'!$B:$M,COLUMNS('Employee information'!$B:$M),0)=55,
IF($E$2="Fortnightly",
ROUND(
ROUND((((TRUNC($AN112/2,0)+0.99))*VLOOKUP((TRUNC($AN112/2,0)+0.99),'Tax scales - NAT 3539'!$A$99:$C$123,2,1)-VLOOKUP((TRUNC($AN112/2,0)+0.99),'Tax scales - NAT 3539'!$A$99:$C$123,3,1)),0)
*2,
0),
IF(AND($E$2="Monthly",ROUND($AN112-TRUNC($AN112),2)=0.33),
ROUND(
ROUND(((TRUNC(($AN112+0.01)*3/13,0)+0.99)*VLOOKUP((TRUNC(($AN112+0.01)*3/13,0)+0.99),'Tax scales - NAT 3539'!$A$99:$C$123,2,1)-VLOOKUP((TRUNC(($AN112+0.01)*3/13,0)+0.99),'Tax scales - NAT 3539'!$A$99:$C$123,3,1)),0)
*13/3,
0),
IF($E$2="Monthly",
ROUND(
ROUND(((TRUNC($AN112*3/13,0)+0.99)*VLOOKUP((TRUNC($AN112*3/13,0)+0.99),'Tax scales - NAT 3539'!$A$99:$C$123,2,1)-VLOOKUP((TRUNC($AN112*3/13,0)+0.99),'Tax scales - NAT 3539'!$A$99:$C$123,3,1)),0)
*13/3,
0),
""))),
""),
"")</f>
        <v/>
      </c>
      <c r="AY112" s="118" t="str">
        <f>IFERROR(
IF(VLOOKUP($C112,'Employee information'!$B:$M,COLUMNS('Employee information'!$B:$M),0)=66,
IF($E$2="Fortnightly",
ROUND(
ROUND((((TRUNC($AN112/2,0)+0.99))*VLOOKUP((TRUNC($AN112/2,0)+0.99),'Tax scales - NAT 3539'!$A$127:$C$154,2,1)-VLOOKUP((TRUNC($AN112/2,0)+0.99),'Tax scales - NAT 3539'!$A$127:$C$154,3,1)),0)
*2,
0),
IF(AND($E$2="Monthly",ROUND($AN112-TRUNC($AN112),2)=0.33),
ROUND(
ROUND(((TRUNC(($AN112+0.01)*3/13,0)+0.99)*VLOOKUP((TRUNC(($AN112+0.01)*3/13,0)+0.99),'Tax scales - NAT 3539'!$A$127:$C$154,2,1)-VLOOKUP((TRUNC(($AN112+0.01)*3/13,0)+0.99),'Tax scales - NAT 3539'!$A$127:$C$154,3,1)),0)
*13/3,
0),
IF($E$2="Monthly",
ROUND(
ROUND(((TRUNC($AN112*3/13,0)+0.99)*VLOOKUP((TRUNC($AN112*3/13,0)+0.99),'Tax scales - NAT 3539'!$A$127:$C$154,2,1)-VLOOKUP((TRUNC($AN112*3/13,0)+0.99),'Tax scales - NAT 3539'!$A$127:$C$154,3,1)),0)
*13/3,
0),
""))),
""),
"")</f>
        <v/>
      </c>
      <c r="AZ112" s="118">
        <f>IFERROR(
HLOOKUP(VLOOKUP($C112,'Employee information'!$B:$M,COLUMNS('Employee information'!$B:$M),0),'PAYG worksheet'!$AO$97:$AY$116,COUNTA($C$98:$C112)+1,0),
0)</f>
        <v>0</v>
      </c>
      <c r="BA112" s="118"/>
      <c r="BB112" s="118">
        <f t="shared" si="108"/>
        <v>0</v>
      </c>
      <c r="BC112" s="119">
        <f>IFERROR(
IF(OR($AE112=1,$AE112=""),SUM($P112,$AA112,$AC112,$AK112)*VLOOKUP($C112,'Employee information'!$B:$Q,COLUMNS('Employee information'!$B:$H),0),
IF($AE112=0,SUM($P112,$AA112,$AK112)*VLOOKUP($C112,'Employee information'!$B:$Q,COLUMNS('Employee information'!$B:$H),0),
0)),
0)</f>
        <v>0</v>
      </c>
      <c r="BE112" s="114">
        <f t="shared" si="93"/>
        <v>0</v>
      </c>
      <c r="BF112" s="114">
        <f t="shared" si="94"/>
        <v>0</v>
      </c>
      <c r="BG112" s="114">
        <f t="shared" si="95"/>
        <v>0</v>
      </c>
      <c r="BH112" s="114">
        <f t="shared" si="96"/>
        <v>0</v>
      </c>
      <c r="BI112" s="114">
        <f t="shared" si="97"/>
        <v>0</v>
      </c>
      <c r="BJ112" s="114">
        <f t="shared" si="98"/>
        <v>0</v>
      </c>
      <c r="BK112" s="114">
        <f t="shared" si="99"/>
        <v>0</v>
      </c>
      <c r="BL112" s="114">
        <f t="shared" si="109"/>
        <v>0</v>
      </c>
      <c r="BM112" s="114">
        <f t="shared" si="100"/>
        <v>0</v>
      </c>
    </row>
    <row r="113" spans="1:65" x14ac:dyDescent="0.25">
      <c r="A113" s="228">
        <f t="shared" si="88"/>
        <v>4</v>
      </c>
      <c r="C113" s="278"/>
      <c r="E113" s="103">
        <f>IF($C113="",0,
IF(AND($E$2="Monthly",$A113&gt;12),0,
IF($E$2="Monthly",VLOOKUP($C113,'Employee information'!$B:$AM,COLUMNS('Employee information'!$B:S),0),
IF($E$2="Fortnightly",VLOOKUP($C113,'Employee information'!$B:$AM,COLUMNS('Employee information'!$B:R),0),
0))))</f>
        <v>0</v>
      </c>
      <c r="F113" s="106"/>
      <c r="G113" s="106"/>
      <c r="H113" s="106"/>
      <c r="I113" s="106"/>
      <c r="J113" s="103">
        <f t="shared" si="101"/>
        <v>0</v>
      </c>
      <c r="L113" s="113">
        <f>IF(AND($E$2="Monthly",$A113&gt;12),"",
IFERROR($J113*VLOOKUP($C113,'Employee information'!$B:$AI,COLUMNS('Employee information'!$B:$P),0),0))</f>
        <v>0</v>
      </c>
      <c r="M113" s="114">
        <f t="shared" si="102"/>
        <v>0</v>
      </c>
      <c r="O113" s="103">
        <f t="shared" si="103"/>
        <v>0</v>
      </c>
      <c r="P113" s="113">
        <f>IFERROR(
IF(AND($E$2="Monthly",$A113&gt;12),0,
$O113*VLOOKUP($C113,'Employee information'!$B:$AI,COLUMNS('Employee information'!$B:$P),0)),
0)</f>
        <v>0</v>
      </c>
      <c r="R113" s="114">
        <f t="shared" si="89"/>
        <v>0</v>
      </c>
      <c r="T113" s="103"/>
      <c r="U113" s="103"/>
      <c r="V113" s="282" t="str">
        <f>IF($C113="","",
IF(AND($E$2="Monthly",$A113&gt;12),"",
$T113*VLOOKUP($C113,'Employee information'!$B:$P,COLUMNS('Employee information'!$B:$P),0)))</f>
        <v/>
      </c>
      <c r="W113" s="282" t="str">
        <f>IF($C113="","",
IF(AND($E$2="Monthly",$A113&gt;12),"",
$U113*VLOOKUP($C113,'Employee information'!$B:$P,COLUMNS('Employee information'!$B:$P),0)))</f>
        <v/>
      </c>
      <c r="X113" s="114">
        <f t="shared" si="90"/>
        <v>0</v>
      </c>
      <c r="Y113" s="114">
        <f t="shared" si="91"/>
        <v>0</v>
      </c>
      <c r="AA113" s="118">
        <f>IFERROR(
IF(OR('Basic payroll data'!$D$12="",'Basic payroll data'!$D$12="No"),0,
$T113*VLOOKUP($C113,'Employee information'!$B:$P,COLUMNS('Employee information'!$B:$P),0)*AL_loading_perc),
0)</f>
        <v>0</v>
      </c>
      <c r="AC113" s="118"/>
      <c r="AD113" s="118"/>
      <c r="AE113" s="283" t="str">
        <f t="shared" si="104"/>
        <v/>
      </c>
      <c r="AF113" s="283" t="str">
        <f t="shared" si="105"/>
        <v/>
      </c>
      <c r="AG113" s="118"/>
      <c r="AH113" s="118"/>
      <c r="AI113" s="283" t="str">
        <f t="shared" si="106"/>
        <v/>
      </c>
      <c r="AJ113" s="118"/>
      <c r="AK113" s="118"/>
      <c r="AM113" s="118">
        <f t="shared" si="107"/>
        <v>0</v>
      </c>
      <c r="AN113" s="118">
        <f t="shared" si="92"/>
        <v>0</v>
      </c>
      <c r="AO113" s="118" t="str">
        <f>IFERROR(
IF(VLOOKUP($C113,'Employee information'!$B:$M,COLUMNS('Employee information'!$B:$M),0)=1,
IF($E$2="Fortnightly",
ROUND(
ROUND((((TRUNC($AN113/2,0)+0.99))*VLOOKUP((TRUNC($AN113/2,0)+0.99),'Tax scales - NAT 1004'!$A$12:$C$18,2,1)-VLOOKUP((TRUNC($AN113/2,0)+0.99),'Tax scales - NAT 1004'!$A$12:$C$18,3,1)),0)
*2,
0),
IF(AND($E$2="Monthly",ROUND($AN113-TRUNC($AN113),2)=0.33),
ROUND(
ROUND(((TRUNC(($AN113+0.01)*3/13,0)+0.99)*VLOOKUP((TRUNC(($AN113+0.01)*3/13,0)+0.99),'Tax scales - NAT 1004'!$A$12:$C$18,2,1)-VLOOKUP((TRUNC(($AN113+0.01)*3/13,0)+0.99),'Tax scales - NAT 1004'!$A$12:$C$18,3,1)),0)
*13/3,
0),
IF($E$2="Monthly",
ROUND(
ROUND(((TRUNC($AN113*3/13,0)+0.99)*VLOOKUP((TRUNC($AN113*3/13,0)+0.99),'Tax scales - NAT 1004'!$A$12:$C$18,2,1)-VLOOKUP((TRUNC($AN113*3/13,0)+0.99),'Tax scales - NAT 1004'!$A$12:$C$18,3,1)),0)
*13/3,
0),
""))),
""),
"")</f>
        <v/>
      </c>
      <c r="AP113" s="118" t="str">
        <f>IFERROR(
IF(VLOOKUP($C113,'Employee information'!$B:$M,COLUMNS('Employee information'!$B:$M),0)=2,
IF($E$2="Fortnightly",
ROUND(
ROUND((((TRUNC($AN113/2,0)+0.99))*VLOOKUP((TRUNC($AN113/2,0)+0.99),'Tax scales - NAT 1004'!$A$25:$C$33,2,1)-VLOOKUP((TRUNC($AN113/2,0)+0.99),'Tax scales - NAT 1004'!$A$25:$C$33,3,1)),0)
*2,
0),
IF(AND($E$2="Monthly",ROUND($AN113-TRUNC($AN113),2)=0.33),
ROUND(
ROUND(((TRUNC(($AN113+0.01)*3/13,0)+0.99)*VLOOKUP((TRUNC(($AN113+0.01)*3/13,0)+0.99),'Tax scales - NAT 1004'!$A$25:$C$33,2,1)-VLOOKUP((TRUNC(($AN113+0.01)*3/13,0)+0.99),'Tax scales - NAT 1004'!$A$25:$C$33,3,1)),0)
*13/3,
0),
IF($E$2="Monthly",
ROUND(
ROUND(((TRUNC($AN113*3/13,0)+0.99)*VLOOKUP((TRUNC($AN113*3/13,0)+0.99),'Tax scales - NAT 1004'!$A$25:$C$33,2,1)-VLOOKUP((TRUNC($AN113*3/13,0)+0.99),'Tax scales - NAT 1004'!$A$25:$C$33,3,1)),0)
*13/3,
0),
""))),
""),
"")</f>
        <v/>
      </c>
      <c r="AQ113" s="118" t="str">
        <f>IFERROR(
IF(VLOOKUP($C113,'Employee information'!$B:$M,COLUMNS('Employee information'!$B:$M),0)=3,
IF($E$2="Fortnightly",
ROUND(
ROUND((((TRUNC($AN113/2,0)+0.99))*VLOOKUP((TRUNC($AN113/2,0)+0.99),'Tax scales - NAT 1004'!$A$39:$C$41,2,1)-VLOOKUP((TRUNC($AN113/2,0)+0.99),'Tax scales - NAT 1004'!$A$39:$C$41,3,1)),0)
*2,
0),
IF(AND($E$2="Monthly",ROUND($AN113-TRUNC($AN113),2)=0.33),
ROUND(
ROUND(((TRUNC(($AN113+0.01)*3/13,0)+0.99)*VLOOKUP((TRUNC(($AN113+0.01)*3/13,0)+0.99),'Tax scales - NAT 1004'!$A$39:$C$41,2,1)-VLOOKUP((TRUNC(($AN113+0.01)*3/13,0)+0.99),'Tax scales - NAT 1004'!$A$39:$C$41,3,1)),0)
*13/3,
0),
IF($E$2="Monthly",
ROUND(
ROUND(((TRUNC($AN113*3/13,0)+0.99)*VLOOKUP((TRUNC($AN113*3/13,0)+0.99),'Tax scales - NAT 1004'!$A$39:$C$41,2,1)-VLOOKUP((TRUNC($AN113*3/13,0)+0.99),'Tax scales - NAT 1004'!$A$39:$C$41,3,1)),0)
*13/3,
0),
""))),
""),
"")</f>
        <v/>
      </c>
      <c r="AR113" s="118" t="str">
        <f>IFERROR(
IF(AND(VLOOKUP($C113,'Employee information'!$B:$M,COLUMNS('Employee information'!$B:$M),0)=4,
VLOOKUP($C113,'Employee information'!$B:$J,COLUMNS('Employee information'!$B:$J),0)="Resident"),
TRUNC(TRUNC($AN113)*'Tax scales - NAT 1004'!$B$47),
IF(AND(VLOOKUP($C113,'Employee information'!$B:$M,COLUMNS('Employee information'!$B:$M),0)=4,
VLOOKUP($C113,'Employee information'!$B:$J,COLUMNS('Employee information'!$B:$J),0)="Foreign resident"),
TRUNC(TRUNC($AN113)*'Tax scales - NAT 1004'!$B$48),
"")),
"")</f>
        <v/>
      </c>
      <c r="AS113" s="118" t="str">
        <f>IFERROR(
IF(VLOOKUP($C113,'Employee information'!$B:$M,COLUMNS('Employee information'!$B:$M),0)=5,
IF($E$2="Fortnightly",
ROUND(
ROUND((((TRUNC($AN113/2,0)+0.99))*VLOOKUP((TRUNC($AN113/2,0)+0.99),'Tax scales - NAT 1004'!$A$53:$C$59,2,1)-VLOOKUP((TRUNC($AN113/2,0)+0.99),'Tax scales - NAT 1004'!$A$53:$C$59,3,1)),0)
*2,
0),
IF(AND($E$2="Monthly",ROUND($AN113-TRUNC($AN113),2)=0.33),
ROUND(
ROUND(((TRUNC(($AN113+0.01)*3/13,0)+0.99)*VLOOKUP((TRUNC(($AN113+0.01)*3/13,0)+0.99),'Tax scales - NAT 1004'!$A$53:$C$59,2,1)-VLOOKUP((TRUNC(($AN113+0.01)*3/13,0)+0.99),'Tax scales - NAT 1004'!$A$53:$C$59,3,1)),0)
*13/3,
0),
IF($E$2="Monthly",
ROUND(
ROUND(((TRUNC($AN113*3/13,0)+0.99)*VLOOKUP((TRUNC($AN113*3/13,0)+0.99),'Tax scales - NAT 1004'!$A$53:$C$59,2,1)-VLOOKUP((TRUNC($AN113*3/13,0)+0.99),'Tax scales - NAT 1004'!$A$53:$C$59,3,1)),0)
*13/3,
0),
""))),
""),
"")</f>
        <v/>
      </c>
      <c r="AT113" s="118" t="str">
        <f>IFERROR(
IF(VLOOKUP($C113,'Employee information'!$B:$M,COLUMNS('Employee information'!$B:$M),0)=6,
IF($E$2="Fortnightly",
ROUND(
ROUND((((TRUNC($AN113/2,0)+0.99))*VLOOKUP((TRUNC($AN113/2,0)+0.99),'Tax scales - NAT 1004'!$A$65:$C$73,2,1)-VLOOKUP((TRUNC($AN113/2,0)+0.99),'Tax scales - NAT 1004'!$A$65:$C$73,3,1)),0)
*2,
0),
IF(AND($E$2="Monthly",ROUND($AN113-TRUNC($AN113),2)=0.33),
ROUND(
ROUND(((TRUNC(($AN113+0.01)*3/13,0)+0.99)*VLOOKUP((TRUNC(($AN113+0.01)*3/13,0)+0.99),'Tax scales - NAT 1004'!$A$65:$C$73,2,1)-VLOOKUP((TRUNC(($AN113+0.01)*3/13,0)+0.99),'Tax scales - NAT 1004'!$A$65:$C$73,3,1)),0)
*13/3,
0),
IF($E$2="Monthly",
ROUND(
ROUND(((TRUNC($AN113*3/13,0)+0.99)*VLOOKUP((TRUNC($AN113*3/13,0)+0.99),'Tax scales - NAT 1004'!$A$65:$C$73,2,1)-VLOOKUP((TRUNC($AN113*3/13,0)+0.99),'Tax scales - NAT 1004'!$A$65:$C$73,3,1)),0)
*13/3,
0),
""))),
""),
"")</f>
        <v/>
      </c>
      <c r="AU113" s="118" t="str">
        <f>IFERROR(
IF(VLOOKUP($C113,'Employee information'!$B:$M,COLUMNS('Employee information'!$B:$M),0)=11,
IF($E$2="Fortnightly",
ROUND(
ROUND((((TRUNC($AN113/2,0)+0.99))*VLOOKUP((TRUNC($AN113/2,0)+0.99),'Tax scales - NAT 3539'!$A$14:$C$38,2,1)-VLOOKUP((TRUNC($AN113/2,0)+0.99),'Tax scales - NAT 3539'!$A$14:$C$38,3,1)),0)
*2,
0),
IF(AND($E$2="Monthly",ROUND($AN113-TRUNC($AN113),2)=0.33),
ROUND(
ROUND(((TRUNC(($AN113+0.01)*3/13,0)+0.99)*VLOOKUP((TRUNC(($AN113+0.01)*3/13,0)+0.99),'Tax scales - NAT 3539'!$A$14:$C$38,2,1)-VLOOKUP((TRUNC(($AN113+0.01)*3/13,0)+0.99),'Tax scales - NAT 3539'!$A$14:$C$38,3,1)),0)
*13/3,
0),
IF($E$2="Monthly",
ROUND(
ROUND(((TRUNC($AN113*3/13,0)+0.99)*VLOOKUP((TRUNC($AN113*3/13,0)+0.99),'Tax scales - NAT 3539'!$A$14:$C$38,2,1)-VLOOKUP((TRUNC($AN113*3/13,0)+0.99),'Tax scales - NAT 3539'!$A$14:$C$38,3,1)),0)
*13/3,
0),
""))),
""),
"")</f>
        <v/>
      </c>
      <c r="AV113" s="118" t="str">
        <f>IFERROR(
IF(VLOOKUP($C113,'Employee information'!$B:$M,COLUMNS('Employee information'!$B:$M),0)=22,
IF($E$2="Fortnightly",
ROUND(
ROUND((((TRUNC($AN113/2,0)+0.99))*VLOOKUP((TRUNC($AN113/2,0)+0.99),'Tax scales - NAT 3539'!$A$43:$C$69,2,1)-VLOOKUP((TRUNC($AN113/2,0)+0.99),'Tax scales - NAT 3539'!$A$43:$C$69,3,1)),0)
*2,
0),
IF(AND($E$2="Monthly",ROUND($AN113-TRUNC($AN113),2)=0.33),
ROUND(
ROUND(((TRUNC(($AN113+0.01)*3/13,0)+0.99)*VLOOKUP((TRUNC(($AN113+0.01)*3/13,0)+0.99),'Tax scales - NAT 3539'!$A$43:$C$69,2,1)-VLOOKUP((TRUNC(($AN113+0.01)*3/13,0)+0.99),'Tax scales - NAT 3539'!$A$43:$C$69,3,1)),0)
*13/3,
0),
IF($E$2="Monthly",
ROUND(
ROUND(((TRUNC($AN113*3/13,0)+0.99)*VLOOKUP((TRUNC($AN113*3/13,0)+0.99),'Tax scales - NAT 3539'!$A$43:$C$69,2,1)-VLOOKUP((TRUNC($AN113*3/13,0)+0.99),'Tax scales - NAT 3539'!$A$43:$C$69,3,1)),0)
*13/3,
0),
""))),
""),
"")</f>
        <v/>
      </c>
      <c r="AW113" s="118" t="str">
        <f>IFERROR(
IF(VLOOKUP($C113,'Employee information'!$B:$M,COLUMNS('Employee information'!$B:$M),0)=33,
IF($E$2="Fortnightly",
ROUND(
ROUND((((TRUNC($AN113/2,0)+0.99))*VLOOKUP((TRUNC($AN113/2,0)+0.99),'Tax scales - NAT 3539'!$A$74:$C$94,2,1)-VLOOKUP((TRUNC($AN113/2,0)+0.99),'Tax scales - NAT 3539'!$A$74:$C$94,3,1)),0)
*2,
0),
IF(AND($E$2="Monthly",ROUND($AN113-TRUNC($AN113),2)=0.33),
ROUND(
ROUND(((TRUNC(($AN113+0.01)*3/13,0)+0.99)*VLOOKUP((TRUNC(($AN113+0.01)*3/13,0)+0.99),'Tax scales - NAT 3539'!$A$74:$C$94,2,1)-VLOOKUP((TRUNC(($AN113+0.01)*3/13,0)+0.99),'Tax scales - NAT 3539'!$A$74:$C$94,3,1)),0)
*13/3,
0),
IF($E$2="Monthly",
ROUND(
ROUND(((TRUNC($AN113*3/13,0)+0.99)*VLOOKUP((TRUNC($AN113*3/13,0)+0.99),'Tax scales - NAT 3539'!$A$74:$C$94,2,1)-VLOOKUP((TRUNC($AN113*3/13,0)+0.99),'Tax scales - NAT 3539'!$A$74:$C$94,3,1)),0)
*13/3,
0),
""))),
""),
"")</f>
        <v/>
      </c>
      <c r="AX113" s="118" t="str">
        <f>IFERROR(
IF(VLOOKUP($C113,'Employee information'!$B:$M,COLUMNS('Employee information'!$B:$M),0)=55,
IF($E$2="Fortnightly",
ROUND(
ROUND((((TRUNC($AN113/2,0)+0.99))*VLOOKUP((TRUNC($AN113/2,0)+0.99),'Tax scales - NAT 3539'!$A$99:$C$123,2,1)-VLOOKUP((TRUNC($AN113/2,0)+0.99),'Tax scales - NAT 3539'!$A$99:$C$123,3,1)),0)
*2,
0),
IF(AND($E$2="Monthly",ROUND($AN113-TRUNC($AN113),2)=0.33),
ROUND(
ROUND(((TRUNC(($AN113+0.01)*3/13,0)+0.99)*VLOOKUP((TRUNC(($AN113+0.01)*3/13,0)+0.99),'Tax scales - NAT 3539'!$A$99:$C$123,2,1)-VLOOKUP((TRUNC(($AN113+0.01)*3/13,0)+0.99),'Tax scales - NAT 3539'!$A$99:$C$123,3,1)),0)
*13/3,
0),
IF($E$2="Monthly",
ROUND(
ROUND(((TRUNC($AN113*3/13,0)+0.99)*VLOOKUP((TRUNC($AN113*3/13,0)+0.99),'Tax scales - NAT 3539'!$A$99:$C$123,2,1)-VLOOKUP((TRUNC($AN113*3/13,0)+0.99),'Tax scales - NAT 3539'!$A$99:$C$123,3,1)),0)
*13/3,
0),
""))),
""),
"")</f>
        <v/>
      </c>
      <c r="AY113" s="118" t="str">
        <f>IFERROR(
IF(VLOOKUP($C113,'Employee information'!$B:$M,COLUMNS('Employee information'!$B:$M),0)=66,
IF($E$2="Fortnightly",
ROUND(
ROUND((((TRUNC($AN113/2,0)+0.99))*VLOOKUP((TRUNC($AN113/2,0)+0.99),'Tax scales - NAT 3539'!$A$127:$C$154,2,1)-VLOOKUP((TRUNC($AN113/2,0)+0.99),'Tax scales - NAT 3539'!$A$127:$C$154,3,1)),0)
*2,
0),
IF(AND($E$2="Monthly",ROUND($AN113-TRUNC($AN113),2)=0.33),
ROUND(
ROUND(((TRUNC(($AN113+0.01)*3/13,0)+0.99)*VLOOKUP((TRUNC(($AN113+0.01)*3/13,0)+0.99),'Tax scales - NAT 3539'!$A$127:$C$154,2,1)-VLOOKUP((TRUNC(($AN113+0.01)*3/13,0)+0.99),'Tax scales - NAT 3539'!$A$127:$C$154,3,1)),0)
*13/3,
0),
IF($E$2="Monthly",
ROUND(
ROUND(((TRUNC($AN113*3/13,0)+0.99)*VLOOKUP((TRUNC($AN113*3/13,0)+0.99),'Tax scales - NAT 3539'!$A$127:$C$154,2,1)-VLOOKUP((TRUNC($AN113*3/13,0)+0.99),'Tax scales - NAT 3539'!$A$127:$C$154,3,1)),0)
*13/3,
0),
""))),
""),
"")</f>
        <v/>
      </c>
      <c r="AZ113" s="118">
        <f>IFERROR(
HLOOKUP(VLOOKUP($C113,'Employee information'!$B:$M,COLUMNS('Employee information'!$B:$M),0),'PAYG worksheet'!$AO$97:$AY$116,COUNTA($C$98:$C113)+1,0),
0)</f>
        <v>0</v>
      </c>
      <c r="BA113" s="118"/>
      <c r="BB113" s="118">
        <f t="shared" si="108"/>
        <v>0</v>
      </c>
      <c r="BC113" s="119">
        <f>IFERROR(
IF(OR($AE113=1,$AE113=""),SUM($P113,$AA113,$AC113,$AK113)*VLOOKUP($C113,'Employee information'!$B:$Q,COLUMNS('Employee information'!$B:$H),0),
IF($AE113=0,SUM($P113,$AA113,$AK113)*VLOOKUP($C113,'Employee information'!$B:$Q,COLUMNS('Employee information'!$B:$H),0),
0)),
0)</f>
        <v>0</v>
      </c>
      <c r="BE113" s="114">
        <f t="shared" si="93"/>
        <v>0</v>
      </c>
      <c r="BF113" s="114">
        <f t="shared" si="94"/>
        <v>0</v>
      </c>
      <c r="BG113" s="114">
        <f t="shared" si="95"/>
        <v>0</v>
      </c>
      <c r="BH113" s="114">
        <f t="shared" si="96"/>
        <v>0</v>
      </c>
      <c r="BI113" s="114">
        <f t="shared" si="97"/>
        <v>0</v>
      </c>
      <c r="BJ113" s="114">
        <f t="shared" si="98"/>
        <v>0</v>
      </c>
      <c r="BK113" s="114">
        <f t="shared" si="99"/>
        <v>0</v>
      </c>
      <c r="BL113" s="114">
        <f t="shared" si="109"/>
        <v>0</v>
      </c>
      <c r="BM113" s="114">
        <f t="shared" si="100"/>
        <v>0</v>
      </c>
    </row>
    <row r="114" spans="1:65" x14ac:dyDescent="0.25">
      <c r="A114" s="228">
        <f t="shared" si="88"/>
        <v>4</v>
      </c>
      <c r="C114" s="278"/>
      <c r="E114" s="103">
        <f>IF($C114="",0,
IF(AND($E$2="Monthly",$A114&gt;12),0,
IF($E$2="Monthly",VLOOKUP($C114,'Employee information'!$B:$AM,COLUMNS('Employee information'!$B:S),0),
IF($E$2="Fortnightly",VLOOKUP($C114,'Employee information'!$B:$AM,COLUMNS('Employee information'!$B:R),0),
0))))</f>
        <v>0</v>
      </c>
      <c r="F114" s="106"/>
      <c r="G114" s="106"/>
      <c r="H114" s="106"/>
      <c r="I114" s="106"/>
      <c r="J114" s="103">
        <f t="shared" si="101"/>
        <v>0</v>
      </c>
      <c r="L114" s="113">
        <f>IF(AND($E$2="Monthly",$A114&gt;12),"",
IFERROR($J114*VLOOKUP($C114,'Employee information'!$B:$AI,COLUMNS('Employee information'!$B:$P),0),0))</f>
        <v>0</v>
      </c>
      <c r="M114" s="114">
        <f t="shared" si="102"/>
        <v>0</v>
      </c>
      <c r="O114" s="103">
        <f t="shared" si="103"/>
        <v>0</v>
      </c>
      <c r="P114" s="113">
        <f>IFERROR(
IF(AND($E$2="Monthly",$A114&gt;12),0,
$O114*VLOOKUP($C114,'Employee information'!$B:$AI,COLUMNS('Employee information'!$B:$P),0)),
0)</f>
        <v>0</v>
      </c>
      <c r="R114" s="114">
        <f t="shared" si="89"/>
        <v>0</v>
      </c>
      <c r="T114" s="103"/>
      <c r="U114" s="103"/>
      <c r="V114" s="282" t="str">
        <f>IF($C114="","",
IF(AND($E$2="Monthly",$A114&gt;12),"",
$T114*VLOOKUP($C114,'Employee information'!$B:$P,COLUMNS('Employee information'!$B:$P),0)))</f>
        <v/>
      </c>
      <c r="W114" s="282" t="str">
        <f>IF($C114="","",
IF(AND($E$2="Monthly",$A114&gt;12),"",
$U114*VLOOKUP($C114,'Employee information'!$B:$P,COLUMNS('Employee information'!$B:$P),0)))</f>
        <v/>
      </c>
      <c r="X114" s="114">
        <f t="shared" si="90"/>
        <v>0</v>
      </c>
      <c r="Y114" s="114">
        <f t="shared" si="91"/>
        <v>0</v>
      </c>
      <c r="AA114" s="118">
        <f>IFERROR(
IF(OR('Basic payroll data'!$D$12="",'Basic payroll data'!$D$12="No"),0,
$T114*VLOOKUP($C114,'Employee information'!$B:$P,COLUMNS('Employee information'!$B:$P),0)*AL_loading_perc),
0)</f>
        <v>0</v>
      </c>
      <c r="AC114" s="118"/>
      <c r="AD114" s="118"/>
      <c r="AE114" s="283" t="str">
        <f t="shared" si="104"/>
        <v/>
      </c>
      <c r="AF114" s="283" t="str">
        <f t="shared" si="105"/>
        <v/>
      </c>
      <c r="AG114" s="118"/>
      <c r="AH114" s="118"/>
      <c r="AI114" s="283" t="str">
        <f t="shared" si="106"/>
        <v/>
      </c>
      <c r="AJ114" s="118"/>
      <c r="AK114" s="118"/>
      <c r="AM114" s="118">
        <f t="shared" si="107"/>
        <v>0</v>
      </c>
      <c r="AN114" s="118">
        <f t="shared" si="92"/>
        <v>0</v>
      </c>
      <c r="AO114" s="118" t="str">
        <f>IFERROR(
IF(VLOOKUP($C114,'Employee information'!$B:$M,COLUMNS('Employee information'!$B:$M),0)=1,
IF($E$2="Fortnightly",
ROUND(
ROUND((((TRUNC($AN114/2,0)+0.99))*VLOOKUP((TRUNC($AN114/2,0)+0.99),'Tax scales - NAT 1004'!$A$12:$C$18,2,1)-VLOOKUP((TRUNC($AN114/2,0)+0.99),'Tax scales - NAT 1004'!$A$12:$C$18,3,1)),0)
*2,
0),
IF(AND($E$2="Monthly",ROUND($AN114-TRUNC($AN114),2)=0.33),
ROUND(
ROUND(((TRUNC(($AN114+0.01)*3/13,0)+0.99)*VLOOKUP((TRUNC(($AN114+0.01)*3/13,0)+0.99),'Tax scales - NAT 1004'!$A$12:$C$18,2,1)-VLOOKUP((TRUNC(($AN114+0.01)*3/13,0)+0.99),'Tax scales - NAT 1004'!$A$12:$C$18,3,1)),0)
*13/3,
0),
IF($E$2="Monthly",
ROUND(
ROUND(((TRUNC($AN114*3/13,0)+0.99)*VLOOKUP((TRUNC($AN114*3/13,0)+0.99),'Tax scales - NAT 1004'!$A$12:$C$18,2,1)-VLOOKUP((TRUNC($AN114*3/13,0)+0.99),'Tax scales - NAT 1004'!$A$12:$C$18,3,1)),0)
*13/3,
0),
""))),
""),
"")</f>
        <v/>
      </c>
      <c r="AP114" s="118" t="str">
        <f>IFERROR(
IF(VLOOKUP($C114,'Employee information'!$B:$M,COLUMNS('Employee information'!$B:$M),0)=2,
IF($E$2="Fortnightly",
ROUND(
ROUND((((TRUNC($AN114/2,0)+0.99))*VLOOKUP((TRUNC($AN114/2,0)+0.99),'Tax scales - NAT 1004'!$A$25:$C$33,2,1)-VLOOKUP((TRUNC($AN114/2,0)+0.99),'Tax scales - NAT 1004'!$A$25:$C$33,3,1)),0)
*2,
0),
IF(AND($E$2="Monthly",ROUND($AN114-TRUNC($AN114),2)=0.33),
ROUND(
ROUND(((TRUNC(($AN114+0.01)*3/13,0)+0.99)*VLOOKUP((TRUNC(($AN114+0.01)*3/13,0)+0.99),'Tax scales - NAT 1004'!$A$25:$C$33,2,1)-VLOOKUP((TRUNC(($AN114+0.01)*3/13,0)+0.99),'Tax scales - NAT 1004'!$A$25:$C$33,3,1)),0)
*13/3,
0),
IF($E$2="Monthly",
ROUND(
ROUND(((TRUNC($AN114*3/13,0)+0.99)*VLOOKUP((TRUNC($AN114*3/13,0)+0.99),'Tax scales - NAT 1004'!$A$25:$C$33,2,1)-VLOOKUP((TRUNC($AN114*3/13,0)+0.99),'Tax scales - NAT 1004'!$A$25:$C$33,3,1)),0)
*13/3,
0),
""))),
""),
"")</f>
        <v/>
      </c>
      <c r="AQ114" s="118" t="str">
        <f>IFERROR(
IF(VLOOKUP($C114,'Employee information'!$B:$M,COLUMNS('Employee information'!$B:$M),0)=3,
IF($E$2="Fortnightly",
ROUND(
ROUND((((TRUNC($AN114/2,0)+0.99))*VLOOKUP((TRUNC($AN114/2,0)+0.99),'Tax scales - NAT 1004'!$A$39:$C$41,2,1)-VLOOKUP((TRUNC($AN114/2,0)+0.99),'Tax scales - NAT 1004'!$A$39:$C$41,3,1)),0)
*2,
0),
IF(AND($E$2="Monthly",ROUND($AN114-TRUNC($AN114),2)=0.33),
ROUND(
ROUND(((TRUNC(($AN114+0.01)*3/13,0)+0.99)*VLOOKUP((TRUNC(($AN114+0.01)*3/13,0)+0.99),'Tax scales - NAT 1004'!$A$39:$C$41,2,1)-VLOOKUP((TRUNC(($AN114+0.01)*3/13,0)+0.99),'Tax scales - NAT 1004'!$A$39:$C$41,3,1)),0)
*13/3,
0),
IF($E$2="Monthly",
ROUND(
ROUND(((TRUNC($AN114*3/13,0)+0.99)*VLOOKUP((TRUNC($AN114*3/13,0)+0.99),'Tax scales - NAT 1004'!$A$39:$C$41,2,1)-VLOOKUP((TRUNC($AN114*3/13,0)+0.99),'Tax scales - NAT 1004'!$A$39:$C$41,3,1)),0)
*13/3,
0),
""))),
""),
"")</f>
        <v/>
      </c>
      <c r="AR114" s="118" t="str">
        <f>IFERROR(
IF(AND(VLOOKUP($C114,'Employee information'!$B:$M,COLUMNS('Employee information'!$B:$M),0)=4,
VLOOKUP($C114,'Employee information'!$B:$J,COLUMNS('Employee information'!$B:$J),0)="Resident"),
TRUNC(TRUNC($AN114)*'Tax scales - NAT 1004'!$B$47),
IF(AND(VLOOKUP($C114,'Employee information'!$B:$M,COLUMNS('Employee information'!$B:$M),0)=4,
VLOOKUP($C114,'Employee information'!$B:$J,COLUMNS('Employee information'!$B:$J),0)="Foreign resident"),
TRUNC(TRUNC($AN114)*'Tax scales - NAT 1004'!$B$48),
"")),
"")</f>
        <v/>
      </c>
      <c r="AS114" s="118" t="str">
        <f>IFERROR(
IF(VLOOKUP($C114,'Employee information'!$B:$M,COLUMNS('Employee information'!$B:$M),0)=5,
IF($E$2="Fortnightly",
ROUND(
ROUND((((TRUNC($AN114/2,0)+0.99))*VLOOKUP((TRUNC($AN114/2,0)+0.99),'Tax scales - NAT 1004'!$A$53:$C$59,2,1)-VLOOKUP((TRUNC($AN114/2,0)+0.99),'Tax scales - NAT 1004'!$A$53:$C$59,3,1)),0)
*2,
0),
IF(AND($E$2="Monthly",ROUND($AN114-TRUNC($AN114),2)=0.33),
ROUND(
ROUND(((TRUNC(($AN114+0.01)*3/13,0)+0.99)*VLOOKUP((TRUNC(($AN114+0.01)*3/13,0)+0.99),'Tax scales - NAT 1004'!$A$53:$C$59,2,1)-VLOOKUP((TRUNC(($AN114+0.01)*3/13,0)+0.99),'Tax scales - NAT 1004'!$A$53:$C$59,3,1)),0)
*13/3,
0),
IF($E$2="Monthly",
ROUND(
ROUND(((TRUNC($AN114*3/13,0)+0.99)*VLOOKUP((TRUNC($AN114*3/13,0)+0.99),'Tax scales - NAT 1004'!$A$53:$C$59,2,1)-VLOOKUP((TRUNC($AN114*3/13,0)+0.99),'Tax scales - NAT 1004'!$A$53:$C$59,3,1)),0)
*13/3,
0),
""))),
""),
"")</f>
        <v/>
      </c>
      <c r="AT114" s="118" t="str">
        <f>IFERROR(
IF(VLOOKUP($C114,'Employee information'!$B:$M,COLUMNS('Employee information'!$B:$M),0)=6,
IF($E$2="Fortnightly",
ROUND(
ROUND((((TRUNC($AN114/2,0)+0.99))*VLOOKUP((TRUNC($AN114/2,0)+0.99),'Tax scales - NAT 1004'!$A$65:$C$73,2,1)-VLOOKUP((TRUNC($AN114/2,0)+0.99),'Tax scales - NAT 1004'!$A$65:$C$73,3,1)),0)
*2,
0),
IF(AND($E$2="Monthly",ROUND($AN114-TRUNC($AN114),2)=0.33),
ROUND(
ROUND(((TRUNC(($AN114+0.01)*3/13,0)+0.99)*VLOOKUP((TRUNC(($AN114+0.01)*3/13,0)+0.99),'Tax scales - NAT 1004'!$A$65:$C$73,2,1)-VLOOKUP((TRUNC(($AN114+0.01)*3/13,0)+0.99),'Tax scales - NAT 1004'!$A$65:$C$73,3,1)),0)
*13/3,
0),
IF($E$2="Monthly",
ROUND(
ROUND(((TRUNC($AN114*3/13,0)+0.99)*VLOOKUP((TRUNC($AN114*3/13,0)+0.99),'Tax scales - NAT 1004'!$A$65:$C$73,2,1)-VLOOKUP((TRUNC($AN114*3/13,0)+0.99),'Tax scales - NAT 1004'!$A$65:$C$73,3,1)),0)
*13/3,
0),
""))),
""),
"")</f>
        <v/>
      </c>
      <c r="AU114" s="118" t="str">
        <f>IFERROR(
IF(VLOOKUP($C114,'Employee information'!$B:$M,COLUMNS('Employee information'!$B:$M),0)=11,
IF($E$2="Fortnightly",
ROUND(
ROUND((((TRUNC($AN114/2,0)+0.99))*VLOOKUP((TRUNC($AN114/2,0)+0.99),'Tax scales - NAT 3539'!$A$14:$C$38,2,1)-VLOOKUP((TRUNC($AN114/2,0)+0.99),'Tax scales - NAT 3539'!$A$14:$C$38,3,1)),0)
*2,
0),
IF(AND($E$2="Monthly",ROUND($AN114-TRUNC($AN114),2)=0.33),
ROUND(
ROUND(((TRUNC(($AN114+0.01)*3/13,0)+0.99)*VLOOKUP((TRUNC(($AN114+0.01)*3/13,0)+0.99),'Tax scales - NAT 3539'!$A$14:$C$38,2,1)-VLOOKUP((TRUNC(($AN114+0.01)*3/13,0)+0.99),'Tax scales - NAT 3539'!$A$14:$C$38,3,1)),0)
*13/3,
0),
IF($E$2="Monthly",
ROUND(
ROUND(((TRUNC($AN114*3/13,0)+0.99)*VLOOKUP((TRUNC($AN114*3/13,0)+0.99),'Tax scales - NAT 3539'!$A$14:$C$38,2,1)-VLOOKUP((TRUNC($AN114*3/13,0)+0.99),'Tax scales - NAT 3539'!$A$14:$C$38,3,1)),0)
*13/3,
0),
""))),
""),
"")</f>
        <v/>
      </c>
      <c r="AV114" s="118" t="str">
        <f>IFERROR(
IF(VLOOKUP($C114,'Employee information'!$B:$M,COLUMNS('Employee information'!$B:$M),0)=22,
IF($E$2="Fortnightly",
ROUND(
ROUND((((TRUNC($AN114/2,0)+0.99))*VLOOKUP((TRUNC($AN114/2,0)+0.99),'Tax scales - NAT 3539'!$A$43:$C$69,2,1)-VLOOKUP((TRUNC($AN114/2,0)+0.99),'Tax scales - NAT 3539'!$A$43:$C$69,3,1)),0)
*2,
0),
IF(AND($E$2="Monthly",ROUND($AN114-TRUNC($AN114),2)=0.33),
ROUND(
ROUND(((TRUNC(($AN114+0.01)*3/13,0)+0.99)*VLOOKUP((TRUNC(($AN114+0.01)*3/13,0)+0.99),'Tax scales - NAT 3539'!$A$43:$C$69,2,1)-VLOOKUP((TRUNC(($AN114+0.01)*3/13,0)+0.99),'Tax scales - NAT 3539'!$A$43:$C$69,3,1)),0)
*13/3,
0),
IF($E$2="Monthly",
ROUND(
ROUND(((TRUNC($AN114*3/13,0)+0.99)*VLOOKUP((TRUNC($AN114*3/13,0)+0.99),'Tax scales - NAT 3539'!$A$43:$C$69,2,1)-VLOOKUP((TRUNC($AN114*3/13,0)+0.99),'Tax scales - NAT 3539'!$A$43:$C$69,3,1)),0)
*13/3,
0),
""))),
""),
"")</f>
        <v/>
      </c>
      <c r="AW114" s="118" t="str">
        <f>IFERROR(
IF(VLOOKUP($C114,'Employee information'!$B:$M,COLUMNS('Employee information'!$B:$M),0)=33,
IF($E$2="Fortnightly",
ROUND(
ROUND((((TRUNC($AN114/2,0)+0.99))*VLOOKUP((TRUNC($AN114/2,0)+0.99),'Tax scales - NAT 3539'!$A$74:$C$94,2,1)-VLOOKUP((TRUNC($AN114/2,0)+0.99),'Tax scales - NAT 3539'!$A$74:$C$94,3,1)),0)
*2,
0),
IF(AND($E$2="Monthly",ROUND($AN114-TRUNC($AN114),2)=0.33),
ROUND(
ROUND(((TRUNC(($AN114+0.01)*3/13,0)+0.99)*VLOOKUP((TRUNC(($AN114+0.01)*3/13,0)+0.99),'Tax scales - NAT 3539'!$A$74:$C$94,2,1)-VLOOKUP((TRUNC(($AN114+0.01)*3/13,0)+0.99),'Tax scales - NAT 3539'!$A$74:$C$94,3,1)),0)
*13/3,
0),
IF($E$2="Monthly",
ROUND(
ROUND(((TRUNC($AN114*3/13,0)+0.99)*VLOOKUP((TRUNC($AN114*3/13,0)+0.99),'Tax scales - NAT 3539'!$A$74:$C$94,2,1)-VLOOKUP((TRUNC($AN114*3/13,0)+0.99),'Tax scales - NAT 3539'!$A$74:$C$94,3,1)),0)
*13/3,
0),
""))),
""),
"")</f>
        <v/>
      </c>
      <c r="AX114" s="118" t="str">
        <f>IFERROR(
IF(VLOOKUP($C114,'Employee information'!$B:$M,COLUMNS('Employee information'!$B:$M),0)=55,
IF($E$2="Fortnightly",
ROUND(
ROUND((((TRUNC($AN114/2,0)+0.99))*VLOOKUP((TRUNC($AN114/2,0)+0.99),'Tax scales - NAT 3539'!$A$99:$C$123,2,1)-VLOOKUP((TRUNC($AN114/2,0)+0.99),'Tax scales - NAT 3539'!$A$99:$C$123,3,1)),0)
*2,
0),
IF(AND($E$2="Monthly",ROUND($AN114-TRUNC($AN114),2)=0.33),
ROUND(
ROUND(((TRUNC(($AN114+0.01)*3/13,0)+0.99)*VLOOKUP((TRUNC(($AN114+0.01)*3/13,0)+0.99),'Tax scales - NAT 3539'!$A$99:$C$123,2,1)-VLOOKUP((TRUNC(($AN114+0.01)*3/13,0)+0.99),'Tax scales - NAT 3539'!$A$99:$C$123,3,1)),0)
*13/3,
0),
IF($E$2="Monthly",
ROUND(
ROUND(((TRUNC($AN114*3/13,0)+0.99)*VLOOKUP((TRUNC($AN114*3/13,0)+0.99),'Tax scales - NAT 3539'!$A$99:$C$123,2,1)-VLOOKUP((TRUNC($AN114*3/13,0)+0.99),'Tax scales - NAT 3539'!$A$99:$C$123,3,1)),0)
*13/3,
0),
""))),
""),
"")</f>
        <v/>
      </c>
      <c r="AY114" s="118" t="str">
        <f>IFERROR(
IF(VLOOKUP($C114,'Employee information'!$B:$M,COLUMNS('Employee information'!$B:$M),0)=66,
IF($E$2="Fortnightly",
ROUND(
ROUND((((TRUNC($AN114/2,0)+0.99))*VLOOKUP((TRUNC($AN114/2,0)+0.99),'Tax scales - NAT 3539'!$A$127:$C$154,2,1)-VLOOKUP((TRUNC($AN114/2,0)+0.99),'Tax scales - NAT 3539'!$A$127:$C$154,3,1)),0)
*2,
0),
IF(AND($E$2="Monthly",ROUND($AN114-TRUNC($AN114),2)=0.33),
ROUND(
ROUND(((TRUNC(($AN114+0.01)*3/13,0)+0.99)*VLOOKUP((TRUNC(($AN114+0.01)*3/13,0)+0.99),'Tax scales - NAT 3539'!$A$127:$C$154,2,1)-VLOOKUP((TRUNC(($AN114+0.01)*3/13,0)+0.99),'Tax scales - NAT 3539'!$A$127:$C$154,3,1)),0)
*13/3,
0),
IF($E$2="Monthly",
ROUND(
ROUND(((TRUNC($AN114*3/13,0)+0.99)*VLOOKUP((TRUNC($AN114*3/13,0)+0.99),'Tax scales - NAT 3539'!$A$127:$C$154,2,1)-VLOOKUP((TRUNC($AN114*3/13,0)+0.99),'Tax scales - NAT 3539'!$A$127:$C$154,3,1)),0)
*13/3,
0),
""))),
""),
"")</f>
        <v/>
      </c>
      <c r="AZ114" s="118">
        <f>IFERROR(
HLOOKUP(VLOOKUP($C114,'Employee information'!$B:$M,COLUMNS('Employee information'!$B:$M),0),'PAYG worksheet'!$AO$97:$AY$116,COUNTA($C$98:$C114)+1,0),
0)</f>
        <v>0</v>
      </c>
      <c r="BA114" s="118"/>
      <c r="BB114" s="118">
        <f t="shared" si="108"/>
        <v>0</v>
      </c>
      <c r="BC114" s="119">
        <f>IFERROR(
IF(OR($AE114=1,$AE114=""),SUM($P114,$AA114,$AC114,$AK114)*VLOOKUP($C114,'Employee information'!$B:$Q,COLUMNS('Employee information'!$B:$H),0),
IF($AE114=0,SUM($P114,$AA114,$AK114)*VLOOKUP($C114,'Employee information'!$B:$Q,COLUMNS('Employee information'!$B:$H),0),
0)),
0)</f>
        <v>0</v>
      </c>
      <c r="BE114" s="114">
        <f t="shared" si="93"/>
        <v>0</v>
      </c>
      <c r="BF114" s="114">
        <f t="shared" si="94"/>
        <v>0</v>
      </c>
      <c r="BG114" s="114">
        <f t="shared" si="95"/>
        <v>0</v>
      </c>
      <c r="BH114" s="114">
        <f t="shared" si="96"/>
        <v>0</v>
      </c>
      <c r="BI114" s="114">
        <f t="shared" si="97"/>
        <v>0</v>
      </c>
      <c r="BJ114" s="114">
        <f t="shared" si="98"/>
        <v>0</v>
      </c>
      <c r="BK114" s="114">
        <f t="shared" si="99"/>
        <v>0</v>
      </c>
      <c r="BL114" s="114">
        <f t="shared" si="109"/>
        <v>0</v>
      </c>
      <c r="BM114" s="114">
        <f t="shared" si="100"/>
        <v>0</v>
      </c>
    </row>
    <row r="115" spans="1:65" x14ac:dyDescent="0.25">
      <c r="A115" s="228">
        <f t="shared" si="88"/>
        <v>4</v>
      </c>
      <c r="C115" s="278"/>
      <c r="E115" s="103">
        <f>IF($C115="",0,
IF(AND($E$2="Monthly",$A115&gt;12),0,
IF($E$2="Monthly",VLOOKUP($C115,'Employee information'!$B:$AM,COLUMNS('Employee information'!$B:S),0),
IF($E$2="Fortnightly",VLOOKUP($C115,'Employee information'!$B:$AM,COLUMNS('Employee information'!$B:R),0),
0))))</f>
        <v>0</v>
      </c>
      <c r="F115" s="106"/>
      <c r="G115" s="106"/>
      <c r="H115" s="106"/>
      <c r="I115" s="106"/>
      <c r="J115" s="103">
        <f t="shared" si="101"/>
        <v>0</v>
      </c>
      <c r="L115" s="113">
        <f>IF(AND($E$2="Monthly",$A115&gt;12),"",
IFERROR($J115*VLOOKUP($C115,'Employee information'!$B:$AI,COLUMNS('Employee information'!$B:$P),0),0))</f>
        <v>0</v>
      </c>
      <c r="M115" s="114">
        <f t="shared" si="102"/>
        <v>0</v>
      </c>
      <c r="O115" s="103">
        <f t="shared" si="103"/>
        <v>0</v>
      </c>
      <c r="P115" s="113">
        <f>IFERROR(
IF(AND($E$2="Monthly",$A115&gt;12),0,
$O115*VLOOKUP($C115,'Employee information'!$B:$AI,COLUMNS('Employee information'!$B:$P),0)),
0)</f>
        <v>0</v>
      </c>
      <c r="R115" s="114">
        <f t="shared" si="89"/>
        <v>0</v>
      </c>
      <c r="T115" s="103"/>
      <c r="U115" s="103"/>
      <c r="V115" s="282" t="str">
        <f>IF($C115="","",
IF(AND($E$2="Monthly",$A115&gt;12),"",
$T115*VLOOKUP($C115,'Employee information'!$B:$P,COLUMNS('Employee information'!$B:$P),0)))</f>
        <v/>
      </c>
      <c r="W115" s="282" t="str">
        <f>IF($C115="","",
IF(AND($E$2="Monthly",$A115&gt;12),"",
$U115*VLOOKUP($C115,'Employee information'!$B:$P,COLUMNS('Employee information'!$B:$P),0)))</f>
        <v/>
      </c>
      <c r="X115" s="114">
        <f t="shared" si="90"/>
        <v>0</v>
      </c>
      <c r="Y115" s="114">
        <f t="shared" si="91"/>
        <v>0</v>
      </c>
      <c r="AA115" s="118">
        <f>IFERROR(
IF(OR('Basic payroll data'!$D$12="",'Basic payroll data'!$D$12="No"),0,
$T115*VLOOKUP($C115,'Employee information'!$B:$P,COLUMNS('Employee information'!$B:$P),0)*AL_loading_perc),
0)</f>
        <v>0</v>
      </c>
      <c r="AC115" s="118"/>
      <c r="AD115" s="118"/>
      <c r="AE115" s="283" t="str">
        <f t="shared" si="104"/>
        <v/>
      </c>
      <c r="AF115" s="283" t="str">
        <f t="shared" si="105"/>
        <v/>
      </c>
      <c r="AG115" s="118"/>
      <c r="AH115" s="118"/>
      <c r="AI115" s="283" t="str">
        <f t="shared" si="106"/>
        <v/>
      </c>
      <c r="AJ115" s="118"/>
      <c r="AK115" s="118"/>
      <c r="AM115" s="118">
        <f t="shared" si="107"/>
        <v>0</v>
      </c>
      <c r="AN115" s="118">
        <f t="shared" si="92"/>
        <v>0</v>
      </c>
      <c r="AO115" s="118" t="str">
        <f>IFERROR(
IF(VLOOKUP($C115,'Employee information'!$B:$M,COLUMNS('Employee information'!$B:$M),0)=1,
IF($E$2="Fortnightly",
ROUND(
ROUND((((TRUNC($AN115/2,0)+0.99))*VLOOKUP((TRUNC($AN115/2,0)+0.99),'Tax scales - NAT 1004'!$A$12:$C$18,2,1)-VLOOKUP((TRUNC($AN115/2,0)+0.99),'Tax scales - NAT 1004'!$A$12:$C$18,3,1)),0)
*2,
0),
IF(AND($E$2="Monthly",ROUND($AN115-TRUNC($AN115),2)=0.33),
ROUND(
ROUND(((TRUNC(($AN115+0.01)*3/13,0)+0.99)*VLOOKUP((TRUNC(($AN115+0.01)*3/13,0)+0.99),'Tax scales - NAT 1004'!$A$12:$C$18,2,1)-VLOOKUP((TRUNC(($AN115+0.01)*3/13,0)+0.99),'Tax scales - NAT 1004'!$A$12:$C$18,3,1)),0)
*13/3,
0),
IF($E$2="Monthly",
ROUND(
ROUND(((TRUNC($AN115*3/13,0)+0.99)*VLOOKUP((TRUNC($AN115*3/13,0)+0.99),'Tax scales - NAT 1004'!$A$12:$C$18,2,1)-VLOOKUP((TRUNC($AN115*3/13,0)+0.99),'Tax scales - NAT 1004'!$A$12:$C$18,3,1)),0)
*13/3,
0),
""))),
""),
"")</f>
        <v/>
      </c>
      <c r="AP115" s="118" t="str">
        <f>IFERROR(
IF(VLOOKUP($C115,'Employee information'!$B:$M,COLUMNS('Employee information'!$B:$M),0)=2,
IF($E$2="Fortnightly",
ROUND(
ROUND((((TRUNC($AN115/2,0)+0.99))*VLOOKUP((TRUNC($AN115/2,0)+0.99),'Tax scales - NAT 1004'!$A$25:$C$33,2,1)-VLOOKUP((TRUNC($AN115/2,0)+0.99),'Tax scales - NAT 1004'!$A$25:$C$33,3,1)),0)
*2,
0),
IF(AND($E$2="Monthly",ROUND($AN115-TRUNC($AN115),2)=0.33),
ROUND(
ROUND(((TRUNC(($AN115+0.01)*3/13,0)+0.99)*VLOOKUP((TRUNC(($AN115+0.01)*3/13,0)+0.99),'Tax scales - NAT 1004'!$A$25:$C$33,2,1)-VLOOKUP((TRUNC(($AN115+0.01)*3/13,0)+0.99),'Tax scales - NAT 1004'!$A$25:$C$33,3,1)),0)
*13/3,
0),
IF($E$2="Monthly",
ROUND(
ROUND(((TRUNC($AN115*3/13,0)+0.99)*VLOOKUP((TRUNC($AN115*3/13,0)+0.99),'Tax scales - NAT 1004'!$A$25:$C$33,2,1)-VLOOKUP((TRUNC($AN115*3/13,0)+0.99),'Tax scales - NAT 1004'!$A$25:$C$33,3,1)),0)
*13/3,
0),
""))),
""),
"")</f>
        <v/>
      </c>
      <c r="AQ115" s="118" t="str">
        <f>IFERROR(
IF(VLOOKUP($C115,'Employee information'!$B:$M,COLUMNS('Employee information'!$B:$M),0)=3,
IF($E$2="Fortnightly",
ROUND(
ROUND((((TRUNC($AN115/2,0)+0.99))*VLOOKUP((TRUNC($AN115/2,0)+0.99),'Tax scales - NAT 1004'!$A$39:$C$41,2,1)-VLOOKUP((TRUNC($AN115/2,0)+0.99),'Tax scales - NAT 1004'!$A$39:$C$41,3,1)),0)
*2,
0),
IF(AND($E$2="Monthly",ROUND($AN115-TRUNC($AN115),2)=0.33),
ROUND(
ROUND(((TRUNC(($AN115+0.01)*3/13,0)+0.99)*VLOOKUP((TRUNC(($AN115+0.01)*3/13,0)+0.99),'Tax scales - NAT 1004'!$A$39:$C$41,2,1)-VLOOKUP((TRUNC(($AN115+0.01)*3/13,0)+0.99),'Tax scales - NAT 1004'!$A$39:$C$41,3,1)),0)
*13/3,
0),
IF($E$2="Monthly",
ROUND(
ROUND(((TRUNC($AN115*3/13,0)+0.99)*VLOOKUP((TRUNC($AN115*3/13,0)+0.99),'Tax scales - NAT 1004'!$A$39:$C$41,2,1)-VLOOKUP((TRUNC($AN115*3/13,0)+0.99),'Tax scales - NAT 1004'!$A$39:$C$41,3,1)),0)
*13/3,
0),
""))),
""),
"")</f>
        <v/>
      </c>
      <c r="AR115" s="118" t="str">
        <f>IFERROR(
IF(AND(VLOOKUP($C115,'Employee information'!$B:$M,COLUMNS('Employee information'!$B:$M),0)=4,
VLOOKUP($C115,'Employee information'!$B:$J,COLUMNS('Employee information'!$B:$J),0)="Resident"),
TRUNC(TRUNC($AN115)*'Tax scales - NAT 1004'!$B$47),
IF(AND(VLOOKUP($C115,'Employee information'!$B:$M,COLUMNS('Employee information'!$B:$M),0)=4,
VLOOKUP($C115,'Employee information'!$B:$J,COLUMNS('Employee information'!$B:$J),0)="Foreign resident"),
TRUNC(TRUNC($AN115)*'Tax scales - NAT 1004'!$B$48),
"")),
"")</f>
        <v/>
      </c>
      <c r="AS115" s="118" t="str">
        <f>IFERROR(
IF(VLOOKUP($C115,'Employee information'!$B:$M,COLUMNS('Employee information'!$B:$M),0)=5,
IF($E$2="Fortnightly",
ROUND(
ROUND((((TRUNC($AN115/2,0)+0.99))*VLOOKUP((TRUNC($AN115/2,0)+0.99),'Tax scales - NAT 1004'!$A$53:$C$59,2,1)-VLOOKUP((TRUNC($AN115/2,0)+0.99),'Tax scales - NAT 1004'!$A$53:$C$59,3,1)),0)
*2,
0),
IF(AND($E$2="Monthly",ROUND($AN115-TRUNC($AN115),2)=0.33),
ROUND(
ROUND(((TRUNC(($AN115+0.01)*3/13,0)+0.99)*VLOOKUP((TRUNC(($AN115+0.01)*3/13,0)+0.99),'Tax scales - NAT 1004'!$A$53:$C$59,2,1)-VLOOKUP((TRUNC(($AN115+0.01)*3/13,0)+0.99),'Tax scales - NAT 1004'!$A$53:$C$59,3,1)),0)
*13/3,
0),
IF($E$2="Monthly",
ROUND(
ROUND(((TRUNC($AN115*3/13,0)+0.99)*VLOOKUP((TRUNC($AN115*3/13,0)+0.99),'Tax scales - NAT 1004'!$A$53:$C$59,2,1)-VLOOKUP((TRUNC($AN115*3/13,0)+0.99),'Tax scales - NAT 1004'!$A$53:$C$59,3,1)),0)
*13/3,
0),
""))),
""),
"")</f>
        <v/>
      </c>
      <c r="AT115" s="118" t="str">
        <f>IFERROR(
IF(VLOOKUP($C115,'Employee information'!$B:$M,COLUMNS('Employee information'!$B:$M),0)=6,
IF($E$2="Fortnightly",
ROUND(
ROUND((((TRUNC($AN115/2,0)+0.99))*VLOOKUP((TRUNC($AN115/2,0)+0.99),'Tax scales - NAT 1004'!$A$65:$C$73,2,1)-VLOOKUP((TRUNC($AN115/2,0)+0.99),'Tax scales - NAT 1004'!$A$65:$C$73,3,1)),0)
*2,
0),
IF(AND($E$2="Monthly",ROUND($AN115-TRUNC($AN115),2)=0.33),
ROUND(
ROUND(((TRUNC(($AN115+0.01)*3/13,0)+0.99)*VLOOKUP((TRUNC(($AN115+0.01)*3/13,0)+0.99),'Tax scales - NAT 1004'!$A$65:$C$73,2,1)-VLOOKUP((TRUNC(($AN115+0.01)*3/13,0)+0.99),'Tax scales - NAT 1004'!$A$65:$C$73,3,1)),0)
*13/3,
0),
IF($E$2="Monthly",
ROUND(
ROUND(((TRUNC($AN115*3/13,0)+0.99)*VLOOKUP((TRUNC($AN115*3/13,0)+0.99),'Tax scales - NAT 1004'!$A$65:$C$73,2,1)-VLOOKUP((TRUNC($AN115*3/13,0)+0.99),'Tax scales - NAT 1004'!$A$65:$C$73,3,1)),0)
*13/3,
0),
""))),
""),
"")</f>
        <v/>
      </c>
      <c r="AU115" s="118" t="str">
        <f>IFERROR(
IF(VLOOKUP($C115,'Employee information'!$B:$M,COLUMNS('Employee information'!$B:$M),0)=11,
IF($E$2="Fortnightly",
ROUND(
ROUND((((TRUNC($AN115/2,0)+0.99))*VLOOKUP((TRUNC($AN115/2,0)+0.99),'Tax scales - NAT 3539'!$A$14:$C$38,2,1)-VLOOKUP((TRUNC($AN115/2,0)+0.99),'Tax scales - NAT 3539'!$A$14:$C$38,3,1)),0)
*2,
0),
IF(AND($E$2="Monthly",ROUND($AN115-TRUNC($AN115),2)=0.33),
ROUND(
ROUND(((TRUNC(($AN115+0.01)*3/13,0)+0.99)*VLOOKUP((TRUNC(($AN115+0.01)*3/13,0)+0.99),'Tax scales - NAT 3539'!$A$14:$C$38,2,1)-VLOOKUP((TRUNC(($AN115+0.01)*3/13,0)+0.99),'Tax scales - NAT 3539'!$A$14:$C$38,3,1)),0)
*13/3,
0),
IF($E$2="Monthly",
ROUND(
ROUND(((TRUNC($AN115*3/13,0)+0.99)*VLOOKUP((TRUNC($AN115*3/13,0)+0.99),'Tax scales - NAT 3539'!$A$14:$C$38,2,1)-VLOOKUP((TRUNC($AN115*3/13,0)+0.99),'Tax scales - NAT 3539'!$A$14:$C$38,3,1)),0)
*13/3,
0),
""))),
""),
"")</f>
        <v/>
      </c>
      <c r="AV115" s="118" t="str">
        <f>IFERROR(
IF(VLOOKUP($C115,'Employee information'!$B:$M,COLUMNS('Employee information'!$B:$M),0)=22,
IF($E$2="Fortnightly",
ROUND(
ROUND((((TRUNC($AN115/2,0)+0.99))*VLOOKUP((TRUNC($AN115/2,0)+0.99),'Tax scales - NAT 3539'!$A$43:$C$69,2,1)-VLOOKUP((TRUNC($AN115/2,0)+0.99),'Tax scales - NAT 3539'!$A$43:$C$69,3,1)),0)
*2,
0),
IF(AND($E$2="Monthly",ROUND($AN115-TRUNC($AN115),2)=0.33),
ROUND(
ROUND(((TRUNC(($AN115+0.01)*3/13,0)+0.99)*VLOOKUP((TRUNC(($AN115+0.01)*3/13,0)+0.99),'Tax scales - NAT 3539'!$A$43:$C$69,2,1)-VLOOKUP((TRUNC(($AN115+0.01)*3/13,0)+0.99),'Tax scales - NAT 3539'!$A$43:$C$69,3,1)),0)
*13/3,
0),
IF($E$2="Monthly",
ROUND(
ROUND(((TRUNC($AN115*3/13,0)+0.99)*VLOOKUP((TRUNC($AN115*3/13,0)+0.99),'Tax scales - NAT 3539'!$A$43:$C$69,2,1)-VLOOKUP((TRUNC($AN115*3/13,0)+0.99),'Tax scales - NAT 3539'!$A$43:$C$69,3,1)),0)
*13/3,
0),
""))),
""),
"")</f>
        <v/>
      </c>
      <c r="AW115" s="118" t="str">
        <f>IFERROR(
IF(VLOOKUP($C115,'Employee information'!$B:$M,COLUMNS('Employee information'!$B:$M),0)=33,
IF($E$2="Fortnightly",
ROUND(
ROUND((((TRUNC($AN115/2,0)+0.99))*VLOOKUP((TRUNC($AN115/2,0)+0.99),'Tax scales - NAT 3539'!$A$74:$C$94,2,1)-VLOOKUP((TRUNC($AN115/2,0)+0.99),'Tax scales - NAT 3539'!$A$74:$C$94,3,1)),0)
*2,
0),
IF(AND($E$2="Monthly",ROUND($AN115-TRUNC($AN115),2)=0.33),
ROUND(
ROUND(((TRUNC(($AN115+0.01)*3/13,0)+0.99)*VLOOKUP((TRUNC(($AN115+0.01)*3/13,0)+0.99),'Tax scales - NAT 3539'!$A$74:$C$94,2,1)-VLOOKUP((TRUNC(($AN115+0.01)*3/13,0)+0.99),'Tax scales - NAT 3539'!$A$74:$C$94,3,1)),0)
*13/3,
0),
IF($E$2="Monthly",
ROUND(
ROUND(((TRUNC($AN115*3/13,0)+0.99)*VLOOKUP((TRUNC($AN115*3/13,0)+0.99),'Tax scales - NAT 3539'!$A$74:$C$94,2,1)-VLOOKUP((TRUNC($AN115*3/13,0)+0.99),'Tax scales - NAT 3539'!$A$74:$C$94,3,1)),0)
*13/3,
0),
""))),
""),
"")</f>
        <v/>
      </c>
      <c r="AX115" s="118" t="str">
        <f>IFERROR(
IF(VLOOKUP($C115,'Employee information'!$B:$M,COLUMNS('Employee information'!$B:$M),0)=55,
IF($E$2="Fortnightly",
ROUND(
ROUND((((TRUNC($AN115/2,0)+0.99))*VLOOKUP((TRUNC($AN115/2,0)+0.99),'Tax scales - NAT 3539'!$A$99:$C$123,2,1)-VLOOKUP((TRUNC($AN115/2,0)+0.99),'Tax scales - NAT 3539'!$A$99:$C$123,3,1)),0)
*2,
0),
IF(AND($E$2="Monthly",ROUND($AN115-TRUNC($AN115),2)=0.33),
ROUND(
ROUND(((TRUNC(($AN115+0.01)*3/13,0)+0.99)*VLOOKUP((TRUNC(($AN115+0.01)*3/13,0)+0.99),'Tax scales - NAT 3539'!$A$99:$C$123,2,1)-VLOOKUP((TRUNC(($AN115+0.01)*3/13,0)+0.99),'Tax scales - NAT 3539'!$A$99:$C$123,3,1)),0)
*13/3,
0),
IF($E$2="Monthly",
ROUND(
ROUND(((TRUNC($AN115*3/13,0)+0.99)*VLOOKUP((TRUNC($AN115*3/13,0)+0.99),'Tax scales - NAT 3539'!$A$99:$C$123,2,1)-VLOOKUP((TRUNC($AN115*3/13,0)+0.99),'Tax scales - NAT 3539'!$A$99:$C$123,3,1)),0)
*13/3,
0),
""))),
""),
"")</f>
        <v/>
      </c>
      <c r="AY115" s="118" t="str">
        <f>IFERROR(
IF(VLOOKUP($C115,'Employee information'!$B:$M,COLUMNS('Employee information'!$B:$M),0)=66,
IF($E$2="Fortnightly",
ROUND(
ROUND((((TRUNC($AN115/2,0)+0.99))*VLOOKUP((TRUNC($AN115/2,0)+0.99),'Tax scales - NAT 3539'!$A$127:$C$154,2,1)-VLOOKUP((TRUNC($AN115/2,0)+0.99),'Tax scales - NAT 3539'!$A$127:$C$154,3,1)),0)
*2,
0),
IF(AND($E$2="Monthly",ROUND($AN115-TRUNC($AN115),2)=0.33),
ROUND(
ROUND(((TRUNC(($AN115+0.01)*3/13,0)+0.99)*VLOOKUP((TRUNC(($AN115+0.01)*3/13,0)+0.99),'Tax scales - NAT 3539'!$A$127:$C$154,2,1)-VLOOKUP((TRUNC(($AN115+0.01)*3/13,0)+0.99),'Tax scales - NAT 3539'!$A$127:$C$154,3,1)),0)
*13/3,
0),
IF($E$2="Monthly",
ROUND(
ROUND(((TRUNC($AN115*3/13,0)+0.99)*VLOOKUP((TRUNC($AN115*3/13,0)+0.99),'Tax scales - NAT 3539'!$A$127:$C$154,2,1)-VLOOKUP((TRUNC($AN115*3/13,0)+0.99),'Tax scales - NAT 3539'!$A$127:$C$154,3,1)),0)
*13/3,
0),
""))),
""),
"")</f>
        <v/>
      </c>
      <c r="AZ115" s="118">
        <f>IFERROR(
HLOOKUP(VLOOKUP($C115,'Employee information'!$B:$M,COLUMNS('Employee information'!$B:$M),0),'PAYG worksheet'!$AO$97:$AY$116,COUNTA($C$98:$C115)+1,0),
0)</f>
        <v>0</v>
      </c>
      <c r="BA115" s="118"/>
      <c r="BB115" s="118">
        <f t="shared" si="108"/>
        <v>0</v>
      </c>
      <c r="BC115" s="119">
        <f>IFERROR(
IF(OR($AE115=1,$AE115=""),SUM($P115,$AA115,$AC115,$AK115)*VLOOKUP($C115,'Employee information'!$B:$Q,COLUMNS('Employee information'!$B:$H),0),
IF($AE115=0,SUM($P115,$AA115,$AK115)*VLOOKUP($C115,'Employee information'!$B:$Q,COLUMNS('Employee information'!$B:$H),0),
0)),
0)</f>
        <v>0</v>
      </c>
      <c r="BE115" s="114">
        <f t="shared" si="93"/>
        <v>0</v>
      </c>
      <c r="BF115" s="114">
        <f t="shared" si="94"/>
        <v>0</v>
      </c>
      <c r="BG115" s="114">
        <f t="shared" si="95"/>
        <v>0</v>
      </c>
      <c r="BH115" s="114">
        <f t="shared" si="96"/>
        <v>0</v>
      </c>
      <c r="BI115" s="114">
        <f t="shared" si="97"/>
        <v>0</v>
      </c>
      <c r="BJ115" s="114">
        <f t="shared" si="98"/>
        <v>0</v>
      </c>
      <c r="BK115" s="114">
        <f t="shared" si="99"/>
        <v>0</v>
      </c>
      <c r="BL115" s="114">
        <f t="shared" si="109"/>
        <v>0</v>
      </c>
      <c r="BM115" s="114">
        <f t="shared" si="100"/>
        <v>0</v>
      </c>
    </row>
    <row r="116" spans="1:65" x14ac:dyDescent="0.25">
      <c r="A116" s="228">
        <f t="shared" si="88"/>
        <v>4</v>
      </c>
      <c r="C116" s="278"/>
      <c r="E116" s="103">
        <f>IF($C116="",0,
IF(AND($E$2="Monthly",$A116&gt;12),0,
IF($E$2="Monthly",VLOOKUP($C116,'Employee information'!$B:$AM,COLUMNS('Employee information'!$B:S),0),
IF($E$2="Fortnightly",VLOOKUP($C116,'Employee information'!$B:$AM,COLUMNS('Employee information'!$B:R),0),
0))))</f>
        <v>0</v>
      </c>
      <c r="F116" s="106"/>
      <c r="G116" s="106"/>
      <c r="H116" s="106"/>
      <c r="I116" s="106"/>
      <c r="J116" s="103">
        <f t="shared" si="101"/>
        <v>0</v>
      </c>
      <c r="L116" s="113">
        <f>IF(AND($E$2="Monthly",$A116&gt;12),"",
IFERROR($J116*VLOOKUP($C116,'Employee information'!$B:$AI,COLUMNS('Employee information'!$B:$P),0),0))</f>
        <v>0</v>
      </c>
      <c r="M116" s="114">
        <f t="shared" si="102"/>
        <v>0</v>
      </c>
      <c r="O116" s="103">
        <f t="shared" si="103"/>
        <v>0</v>
      </c>
      <c r="P116" s="113">
        <f>IFERROR(
IF(AND($E$2="Monthly",$A116&gt;12),0,
$O116*VLOOKUP($C116,'Employee information'!$B:$AI,COLUMNS('Employee information'!$B:$P),0)),
0)</f>
        <v>0</v>
      </c>
      <c r="R116" s="114">
        <f t="shared" si="89"/>
        <v>0</v>
      </c>
      <c r="T116" s="103"/>
      <c r="U116" s="103"/>
      <c r="V116" s="282" t="str">
        <f>IF($C116="","",
IF(AND($E$2="Monthly",$A116&gt;12),"",
$T116*VLOOKUP($C116,'Employee information'!$B:$P,COLUMNS('Employee information'!$B:$P),0)))</f>
        <v/>
      </c>
      <c r="W116" s="282" t="str">
        <f>IF($C116="","",
IF(AND($E$2="Monthly",$A116&gt;12),"",
$U116*VLOOKUP($C116,'Employee information'!$B:$P,COLUMNS('Employee information'!$B:$P),0)))</f>
        <v/>
      </c>
      <c r="X116" s="114">
        <f t="shared" si="90"/>
        <v>0</v>
      </c>
      <c r="Y116" s="114">
        <f t="shared" si="91"/>
        <v>0</v>
      </c>
      <c r="AA116" s="118">
        <f>IFERROR(
IF(OR('Basic payroll data'!$D$12="",'Basic payroll data'!$D$12="No"),0,
$T116*VLOOKUP($C116,'Employee information'!$B:$P,COLUMNS('Employee information'!$B:$P),0)*AL_loading_perc),
0)</f>
        <v>0</v>
      </c>
      <c r="AC116" s="118"/>
      <c r="AD116" s="118"/>
      <c r="AE116" s="283" t="str">
        <f t="shared" si="104"/>
        <v/>
      </c>
      <c r="AF116" s="283" t="str">
        <f t="shared" si="105"/>
        <v/>
      </c>
      <c r="AG116" s="118"/>
      <c r="AH116" s="118"/>
      <c r="AI116" s="283" t="str">
        <f t="shared" si="106"/>
        <v/>
      </c>
      <c r="AJ116" s="118"/>
      <c r="AK116" s="118"/>
      <c r="AM116" s="118">
        <f t="shared" si="107"/>
        <v>0</v>
      </c>
      <c r="AN116" s="118">
        <f t="shared" si="92"/>
        <v>0</v>
      </c>
      <c r="AO116" s="118" t="str">
        <f>IFERROR(
IF(VLOOKUP($C116,'Employee information'!$B:$M,COLUMNS('Employee information'!$B:$M),0)=1,
IF($E$2="Fortnightly",
ROUND(
ROUND((((TRUNC($AN116/2,0)+0.99))*VLOOKUP((TRUNC($AN116/2,0)+0.99),'Tax scales - NAT 1004'!$A$12:$C$18,2,1)-VLOOKUP((TRUNC($AN116/2,0)+0.99),'Tax scales - NAT 1004'!$A$12:$C$18,3,1)),0)
*2,
0),
IF(AND($E$2="Monthly",ROUND($AN116-TRUNC($AN116),2)=0.33),
ROUND(
ROUND(((TRUNC(($AN116+0.01)*3/13,0)+0.99)*VLOOKUP((TRUNC(($AN116+0.01)*3/13,0)+0.99),'Tax scales - NAT 1004'!$A$12:$C$18,2,1)-VLOOKUP((TRUNC(($AN116+0.01)*3/13,0)+0.99),'Tax scales - NAT 1004'!$A$12:$C$18,3,1)),0)
*13/3,
0),
IF($E$2="Monthly",
ROUND(
ROUND(((TRUNC($AN116*3/13,0)+0.99)*VLOOKUP((TRUNC($AN116*3/13,0)+0.99),'Tax scales - NAT 1004'!$A$12:$C$18,2,1)-VLOOKUP((TRUNC($AN116*3/13,0)+0.99),'Tax scales - NAT 1004'!$A$12:$C$18,3,1)),0)
*13/3,
0),
""))),
""),
"")</f>
        <v/>
      </c>
      <c r="AP116" s="118" t="str">
        <f>IFERROR(
IF(VLOOKUP($C116,'Employee information'!$B:$M,COLUMNS('Employee information'!$B:$M),0)=2,
IF($E$2="Fortnightly",
ROUND(
ROUND((((TRUNC($AN116/2,0)+0.99))*VLOOKUP((TRUNC($AN116/2,0)+0.99),'Tax scales - NAT 1004'!$A$25:$C$33,2,1)-VLOOKUP((TRUNC($AN116/2,0)+0.99),'Tax scales - NAT 1004'!$A$25:$C$33,3,1)),0)
*2,
0),
IF(AND($E$2="Monthly",ROUND($AN116-TRUNC($AN116),2)=0.33),
ROUND(
ROUND(((TRUNC(($AN116+0.01)*3/13,0)+0.99)*VLOOKUP((TRUNC(($AN116+0.01)*3/13,0)+0.99),'Tax scales - NAT 1004'!$A$25:$C$33,2,1)-VLOOKUP((TRUNC(($AN116+0.01)*3/13,0)+0.99),'Tax scales - NAT 1004'!$A$25:$C$33,3,1)),0)
*13/3,
0),
IF($E$2="Monthly",
ROUND(
ROUND(((TRUNC($AN116*3/13,0)+0.99)*VLOOKUP((TRUNC($AN116*3/13,0)+0.99),'Tax scales - NAT 1004'!$A$25:$C$33,2,1)-VLOOKUP((TRUNC($AN116*3/13,0)+0.99),'Tax scales - NAT 1004'!$A$25:$C$33,3,1)),0)
*13/3,
0),
""))),
""),
"")</f>
        <v/>
      </c>
      <c r="AQ116" s="118" t="str">
        <f>IFERROR(
IF(VLOOKUP($C116,'Employee information'!$B:$M,COLUMNS('Employee information'!$B:$M),0)=3,
IF($E$2="Fortnightly",
ROUND(
ROUND((((TRUNC($AN116/2,0)+0.99))*VLOOKUP((TRUNC($AN116/2,0)+0.99),'Tax scales - NAT 1004'!$A$39:$C$41,2,1)-VLOOKUP((TRUNC($AN116/2,0)+0.99),'Tax scales - NAT 1004'!$A$39:$C$41,3,1)),0)
*2,
0),
IF(AND($E$2="Monthly",ROUND($AN116-TRUNC($AN116),2)=0.33),
ROUND(
ROUND(((TRUNC(($AN116+0.01)*3/13,0)+0.99)*VLOOKUP((TRUNC(($AN116+0.01)*3/13,0)+0.99),'Tax scales - NAT 1004'!$A$39:$C$41,2,1)-VLOOKUP((TRUNC(($AN116+0.01)*3/13,0)+0.99),'Tax scales - NAT 1004'!$A$39:$C$41,3,1)),0)
*13/3,
0),
IF($E$2="Monthly",
ROUND(
ROUND(((TRUNC($AN116*3/13,0)+0.99)*VLOOKUP((TRUNC($AN116*3/13,0)+0.99),'Tax scales - NAT 1004'!$A$39:$C$41,2,1)-VLOOKUP((TRUNC($AN116*3/13,0)+0.99),'Tax scales - NAT 1004'!$A$39:$C$41,3,1)),0)
*13/3,
0),
""))),
""),
"")</f>
        <v/>
      </c>
      <c r="AR116" s="118" t="str">
        <f>IFERROR(
IF(AND(VLOOKUP($C116,'Employee information'!$B:$M,COLUMNS('Employee information'!$B:$M),0)=4,
VLOOKUP($C116,'Employee information'!$B:$J,COLUMNS('Employee information'!$B:$J),0)="Resident"),
TRUNC(TRUNC($AN116)*'Tax scales - NAT 1004'!$B$47),
IF(AND(VLOOKUP($C116,'Employee information'!$B:$M,COLUMNS('Employee information'!$B:$M),0)=4,
VLOOKUP($C116,'Employee information'!$B:$J,COLUMNS('Employee information'!$B:$J),0)="Foreign resident"),
TRUNC(TRUNC($AN116)*'Tax scales - NAT 1004'!$B$48),
"")),
"")</f>
        <v/>
      </c>
      <c r="AS116" s="118" t="str">
        <f>IFERROR(
IF(VLOOKUP($C116,'Employee information'!$B:$M,COLUMNS('Employee information'!$B:$M),0)=5,
IF($E$2="Fortnightly",
ROUND(
ROUND((((TRUNC($AN116/2,0)+0.99))*VLOOKUP((TRUNC($AN116/2,0)+0.99),'Tax scales - NAT 1004'!$A$53:$C$59,2,1)-VLOOKUP((TRUNC($AN116/2,0)+0.99),'Tax scales - NAT 1004'!$A$53:$C$59,3,1)),0)
*2,
0),
IF(AND($E$2="Monthly",ROUND($AN116-TRUNC($AN116),2)=0.33),
ROUND(
ROUND(((TRUNC(($AN116+0.01)*3/13,0)+0.99)*VLOOKUP((TRUNC(($AN116+0.01)*3/13,0)+0.99),'Tax scales - NAT 1004'!$A$53:$C$59,2,1)-VLOOKUP((TRUNC(($AN116+0.01)*3/13,0)+0.99),'Tax scales - NAT 1004'!$A$53:$C$59,3,1)),0)
*13/3,
0),
IF($E$2="Monthly",
ROUND(
ROUND(((TRUNC($AN116*3/13,0)+0.99)*VLOOKUP((TRUNC($AN116*3/13,0)+0.99),'Tax scales - NAT 1004'!$A$53:$C$59,2,1)-VLOOKUP((TRUNC($AN116*3/13,0)+0.99),'Tax scales - NAT 1004'!$A$53:$C$59,3,1)),0)
*13/3,
0),
""))),
""),
"")</f>
        <v/>
      </c>
      <c r="AT116" s="118" t="str">
        <f>IFERROR(
IF(VLOOKUP($C116,'Employee information'!$B:$M,COLUMNS('Employee information'!$B:$M),0)=6,
IF($E$2="Fortnightly",
ROUND(
ROUND((((TRUNC($AN116/2,0)+0.99))*VLOOKUP((TRUNC($AN116/2,0)+0.99),'Tax scales - NAT 1004'!$A$65:$C$73,2,1)-VLOOKUP((TRUNC($AN116/2,0)+0.99),'Tax scales - NAT 1004'!$A$65:$C$73,3,1)),0)
*2,
0),
IF(AND($E$2="Monthly",ROUND($AN116-TRUNC($AN116),2)=0.33),
ROUND(
ROUND(((TRUNC(($AN116+0.01)*3/13,0)+0.99)*VLOOKUP((TRUNC(($AN116+0.01)*3/13,0)+0.99),'Tax scales - NAT 1004'!$A$65:$C$73,2,1)-VLOOKUP((TRUNC(($AN116+0.01)*3/13,0)+0.99),'Tax scales - NAT 1004'!$A$65:$C$73,3,1)),0)
*13/3,
0),
IF($E$2="Monthly",
ROUND(
ROUND(((TRUNC($AN116*3/13,0)+0.99)*VLOOKUP((TRUNC($AN116*3/13,0)+0.99),'Tax scales - NAT 1004'!$A$65:$C$73,2,1)-VLOOKUP((TRUNC($AN116*3/13,0)+0.99),'Tax scales - NAT 1004'!$A$65:$C$73,3,1)),0)
*13/3,
0),
""))),
""),
"")</f>
        <v/>
      </c>
      <c r="AU116" s="118" t="str">
        <f>IFERROR(
IF(VLOOKUP($C116,'Employee information'!$B:$M,COLUMNS('Employee information'!$B:$M),0)=11,
IF($E$2="Fortnightly",
ROUND(
ROUND((((TRUNC($AN116/2,0)+0.99))*VLOOKUP((TRUNC($AN116/2,0)+0.99),'Tax scales - NAT 3539'!$A$14:$C$38,2,1)-VLOOKUP((TRUNC($AN116/2,0)+0.99),'Tax scales - NAT 3539'!$A$14:$C$38,3,1)),0)
*2,
0),
IF(AND($E$2="Monthly",ROUND($AN116-TRUNC($AN116),2)=0.33),
ROUND(
ROUND(((TRUNC(($AN116+0.01)*3/13,0)+0.99)*VLOOKUP((TRUNC(($AN116+0.01)*3/13,0)+0.99),'Tax scales - NAT 3539'!$A$14:$C$38,2,1)-VLOOKUP((TRUNC(($AN116+0.01)*3/13,0)+0.99),'Tax scales - NAT 3539'!$A$14:$C$38,3,1)),0)
*13/3,
0),
IF($E$2="Monthly",
ROUND(
ROUND(((TRUNC($AN116*3/13,0)+0.99)*VLOOKUP((TRUNC($AN116*3/13,0)+0.99),'Tax scales - NAT 3539'!$A$14:$C$38,2,1)-VLOOKUP((TRUNC($AN116*3/13,0)+0.99),'Tax scales - NAT 3539'!$A$14:$C$38,3,1)),0)
*13/3,
0),
""))),
""),
"")</f>
        <v/>
      </c>
      <c r="AV116" s="118" t="str">
        <f>IFERROR(
IF(VLOOKUP($C116,'Employee information'!$B:$M,COLUMNS('Employee information'!$B:$M),0)=22,
IF($E$2="Fortnightly",
ROUND(
ROUND((((TRUNC($AN116/2,0)+0.99))*VLOOKUP((TRUNC($AN116/2,0)+0.99),'Tax scales - NAT 3539'!$A$43:$C$69,2,1)-VLOOKUP((TRUNC($AN116/2,0)+0.99),'Tax scales - NAT 3539'!$A$43:$C$69,3,1)),0)
*2,
0),
IF(AND($E$2="Monthly",ROUND($AN116-TRUNC($AN116),2)=0.33),
ROUND(
ROUND(((TRUNC(($AN116+0.01)*3/13,0)+0.99)*VLOOKUP((TRUNC(($AN116+0.01)*3/13,0)+0.99),'Tax scales - NAT 3539'!$A$43:$C$69,2,1)-VLOOKUP((TRUNC(($AN116+0.01)*3/13,0)+0.99),'Tax scales - NAT 3539'!$A$43:$C$69,3,1)),0)
*13/3,
0),
IF($E$2="Monthly",
ROUND(
ROUND(((TRUNC($AN116*3/13,0)+0.99)*VLOOKUP((TRUNC($AN116*3/13,0)+0.99),'Tax scales - NAT 3539'!$A$43:$C$69,2,1)-VLOOKUP((TRUNC($AN116*3/13,0)+0.99),'Tax scales - NAT 3539'!$A$43:$C$69,3,1)),0)
*13/3,
0),
""))),
""),
"")</f>
        <v/>
      </c>
      <c r="AW116" s="118" t="str">
        <f>IFERROR(
IF(VLOOKUP($C116,'Employee information'!$B:$M,COLUMNS('Employee information'!$B:$M),0)=33,
IF($E$2="Fortnightly",
ROUND(
ROUND((((TRUNC($AN116/2,0)+0.99))*VLOOKUP((TRUNC($AN116/2,0)+0.99),'Tax scales - NAT 3539'!$A$74:$C$94,2,1)-VLOOKUP((TRUNC($AN116/2,0)+0.99),'Tax scales - NAT 3539'!$A$74:$C$94,3,1)),0)
*2,
0),
IF(AND($E$2="Monthly",ROUND($AN116-TRUNC($AN116),2)=0.33),
ROUND(
ROUND(((TRUNC(($AN116+0.01)*3/13,0)+0.99)*VLOOKUP((TRUNC(($AN116+0.01)*3/13,0)+0.99),'Tax scales - NAT 3539'!$A$74:$C$94,2,1)-VLOOKUP((TRUNC(($AN116+0.01)*3/13,0)+0.99),'Tax scales - NAT 3539'!$A$74:$C$94,3,1)),0)
*13/3,
0),
IF($E$2="Monthly",
ROUND(
ROUND(((TRUNC($AN116*3/13,0)+0.99)*VLOOKUP((TRUNC($AN116*3/13,0)+0.99),'Tax scales - NAT 3539'!$A$74:$C$94,2,1)-VLOOKUP((TRUNC($AN116*3/13,0)+0.99),'Tax scales - NAT 3539'!$A$74:$C$94,3,1)),0)
*13/3,
0),
""))),
""),
"")</f>
        <v/>
      </c>
      <c r="AX116" s="118" t="str">
        <f>IFERROR(
IF(VLOOKUP($C116,'Employee information'!$B:$M,COLUMNS('Employee information'!$B:$M),0)=55,
IF($E$2="Fortnightly",
ROUND(
ROUND((((TRUNC($AN116/2,0)+0.99))*VLOOKUP((TRUNC($AN116/2,0)+0.99),'Tax scales - NAT 3539'!$A$99:$C$123,2,1)-VLOOKUP((TRUNC($AN116/2,0)+0.99),'Tax scales - NAT 3539'!$A$99:$C$123,3,1)),0)
*2,
0),
IF(AND($E$2="Monthly",ROUND($AN116-TRUNC($AN116),2)=0.33),
ROUND(
ROUND(((TRUNC(($AN116+0.01)*3/13,0)+0.99)*VLOOKUP((TRUNC(($AN116+0.01)*3/13,0)+0.99),'Tax scales - NAT 3539'!$A$99:$C$123,2,1)-VLOOKUP((TRUNC(($AN116+0.01)*3/13,0)+0.99),'Tax scales - NAT 3539'!$A$99:$C$123,3,1)),0)
*13/3,
0),
IF($E$2="Monthly",
ROUND(
ROUND(((TRUNC($AN116*3/13,0)+0.99)*VLOOKUP((TRUNC($AN116*3/13,0)+0.99),'Tax scales - NAT 3539'!$A$99:$C$123,2,1)-VLOOKUP((TRUNC($AN116*3/13,0)+0.99),'Tax scales - NAT 3539'!$A$99:$C$123,3,1)),0)
*13/3,
0),
""))),
""),
"")</f>
        <v/>
      </c>
      <c r="AY116" s="118" t="str">
        <f>IFERROR(
IF(VLOOKUP($C116,'Employee information'!$B:$M,COLUMNS('Employee information'!$B:$M),0)=66,
IF($E$2="Fortnightly",
ROUND(
ROUND((((TRUNC($AN116/2,0)+0.99))*VLOOKUP((TRUNC($AN116/2,0)+0.99),'Tax scales - NAT 3539'!$A$127:$C$154,2,1)-VLOOKUP((TRUNC($AN116/2,0)+0.99),'Tax scales - NAT 3539'!$A$127:$C$154,3,1)),0)
*2,
0),
IF(AND($E$2="Monthly",ROUND($AN116-TRUNC($AN116),2)=0.33),
ROUND(
ROUND(((TRUNC(($AN116+0.01)*3/13,0)+0.99)*VLOOKUP((TRUNC(($AN116+0.01)*3/13,0)+0.99),'Tax scales - NAT 3539'!$A$127:$C$154,2,1)-VLOOKUP((TRUNC(($AN116+0.01)*3/13,0)+0.99),'Tax scales - NAT 3539'!$A$127:$C$154,3,1)),0)
*13/3,
0),
IF($E$2="Monthly",
ROUND(
ROUND(((TRUNC($AN116*3/13,0)+0.99)*VLOOKUP((TRUNC($AN116*3/13,0)+0.99),'Tax scales - NAT 3539'!$A$127:$C$154,2,1)-VLOOKUP((TRUNC($AN116*3/13,0)+0.99),'Tax scales - NAT 3539'!$A$127:$C$154,3,1)),0)
*13/3,
0),
""))),
""),
"")</f>
        <v/>
      </c>
      <c r="AZ116" s="118">
        <f>IFERROR(
HLOOKUP(VLOOKUP($C116,'Employee information'!$B:$M,COLUMNS('Employee information'!$B:$M),0),'PAYG worksheet'!$AO$97:$AY$116,COUNTA($C$98:$C116)+1,0),
0)</f>
        <v>0</v>
      </c>
      <c r="BA116" s="118"/>
      <c r="BB116" s="118">
        <f t="shared" si="108"/>
        <v>0</v>
      </c>
      <c r="BC116" s="119">
        <f>IFERROR(
IF(OR($AE116=1,$AE116=""),SUM($P116,$AA116,$AC116,$AK116)*VLOOKUP($C116,'Employee information'!$B:$Q,COLUMNS('Employee information'!$B:$H),0),
IF($AE116=0,SUM($P116,$AA116,$AK116)*VLOOKUP($C116,'Employee information'!$B:$Q,COLUMNS('Employee information'!$B:$H),0),
0)),
0)</f>
        <v>0</v>
      </c>
      <c r="BE116" s="114">
        <f t="shared" si="93"/>
        <v>0</v>
      </c>
      <c r="BF116" s="114">
        <f t="shared" si="94"/>
        <v>0</v>
      </c>
      <c r="BG116" s="114">
        <f t="shared" si="95"/>
        <v>0</v>
      </c>
      <c r="BH116" s="114">
        <f t="shared" si="96"/>
        <v>0</v>
      </c>
      <c r="BI116" s="114">
        <f t="shared" si="97"/>
        <v>0</v>
      </c>
      <c r="BJ116" s="114">
        <f t="shared" si="98"/>
        <v>0</v>
      </c>
      <c r="BK116" s="114">
        <f t="shared" si="99"/>
        <v>0</v>
      </c>
      <c r="BL116" s="114">
        <f t="shared" si="109"/>
        <v>0</v>
      </c>
      <c r="BM116" s="114">
        <f t="shared" si="100"/>
        <v>0</v>
      </c>
    </row>
    <row r="117" spans="1:65" x14ac:dyDescent="0.25">
      <c r="C117" s="284" t="s">
        <v>39</v>
      </c>
      <c r="D117" s="223"/>
      <c r="E117" s="111">
        <f>SUM(E98:E116)</f>
        <v>345</v>
      </c>
      <c r="F117" s="112">
        <f t="shared" ref="F117:H117" si="110">SUM(F98:F116)</f>
        <v>0</v>
      </c>
      <c r="G117" s="112">
        <f t="shared" si="110"/>
        <v>0</v>
      </c>
      <c r="H117" s="112">
        <f t="shared" si="110"/>
        <v>0</v>
      </c>
      <c r="I117" s="112"/>
      <c r="J117" s="111">
        <f t="shared" ref="J117" si="111">SUM(J98:J116)</f>
        <v>345</v>
      </c>
      <c r="K117" s="223"/>
      <c r="L117" s="115">
        <f>SUM(L98:L116)</f>
        <v>19122.576396206536</v>
      </c>
      <c r="M117" s="115">
        <f>SUM(M98:M116)</f>
        <v>79005.690200210753</v>
      </c>
      <c r="N117" s="223"/>
      <c r="O117" s="116">
        <f>SUM(O98:O116)</f>
        <v>345</v>
      </c>
      <c r="P117" s="117">
        <f>SUM(P98:P116)</f>
        <v>19122.576396206536</v>
      </c>
      <c r="R117" s="117">
        <f>SUM(R98:R116)</f>
        <v>79005.690200210753</v>
      </c>
      <c r="S117" s="223"/>
      <c r="T117" s="116">
        <f>SUM(T98:T116)</f>
        <v>0</v>
      </c>
      <c r="U117" s="116">
        <f t="shared" ref="U117:Y117" si="112">SUM(U98:U116)</f>
        <v>0</v>
      </c>
      <c r="V117" s="285">
        <f t="shared" si="112"/>
        <v>0</v>
      </c>
      <c r="W117" s="285">
        <f t="shared" si="112"/>
        <v>0</v>
      </c>
      <c r="X117" s="285">
        <f t="shared" si="112"/>
        <v>1538.4615384615386</v>
      </c>
      <c r="Y117" s="285">
        <f t="shared" si="112"/>
        <v>801.28205128205127</v>
      </c>
      <c r="Z117" s="223"/>
      <c r="AA117" s="117">
        <f t="shared" ref="AA117" si="113">SUM(AA98:AA116)</f>
        <v>0</v>
      </c>
      <c r="AC117" s="117">
        <f t="shared" ref="AC117" si="114">SUM(AC98:AC116)</f>
        <v>0</v>
      </c>
      <c r="AD117" s="117"/>
      <c r="AE117" s="117"/>
      <c r="AF117" s="117"/>
      <c r="AG117" s="117">
        <f t="shared" ref="AG117" si="115">SUM(AG98:AG116)</f>
        <v>0</v>
      </c>
      <c r="AH117" s="117"/>
      <c r="AI117" s="117"/>
      <c r="AJ117" s="117">
        <f>SUM(AJ98:AJ116)</f>
        <v>0</v>
      </c>
      <c r="AK117" s="117">
        <f>SUM(AK98:AK116)</f>
        <v>0</v>
      </c>
      <c r="AM117" s="117">
        <f t="shared" ref="AM117:AN117" si="116">SUM(AM98:AM116)</f>
        <v>19122.576396206536</v>
      </c>
      <c r="AN117" s="117">
        <f t="shared" si="116"/>
        <v>19122.576396206536</v>
      </c>
      <c r="AO117" s="117"/>
      <c r="AP117" s="117"/>
      <c r="AQ117" s="117"/>
      <c r="AR117" s="117"/>
      <c r="AS117" s="117"/>
      <c r="AT117" s="117"/>
      <c r="AU117" s="117"/>
      <c r="AV117" s="117"/>
      <c r="AW117" s="117"/>
      <c r="AX117" s="117"/>
      <c r="AY117" s="117"/>
      <c r="AZ117" s="117">
        <f>SUM(AZ98:AZ116)</f>
        <v>7481</v>
      </c>
      <c r="BA117" s="117">
        <f>SUM(BA98:BA116)</f>
        <v>0</v>
      </c>
      <c r="BB117" s="117">
        <f>SUM(BB98:BB116)</f>
        <v>11641.576396206534</v>
      </c>
      <c r="BC117" s="117">
        <f t="shared" ref="BC117" si="117">SUM(BC98:BC116)</f>
        <v>1816.6447576396208</v>
      </c>
      <c r="BD117" s="136"/>
      <c r="BE117" s="117">
        <f t="shared" ref="BE117:BM117" si="118">SUM(BE98:BE116)</f>
        <v>79245.690200210753</v>
      </c>
      <c r="BF117" s="117">
        <f t="shared" si="118"/>
        <v>79105.690200210753</v>
      </c>
      <c r="BG117" s="117">
        <f t="shared" si="118"/>
        <v>0</v>
      </c>
      <c r="BH117" s="117">
        <f t="shared" si="118"/>
        <v>140</v>
      </c>
      <c r="BI117" s="117">
        <f t="shared" si="118"/>
        <v>30738</v>
      </c>
      <c r="BJ117" s="117">
        <f t="shared" si="118"/>
        <v>0</v>
      </c>
      <c r="BK117" s="117">
        <f t="shared" si="118"/>
        <v>0</v>
      </c>
      <c r="BL117" s="117">
        <f t="shared" si="118"/>
        <v>100</v>
      </c>
      <c r="BM117" s="117">
        <f t="shared" si="118"/>
        <v>7515.0405690200214</v>
      </c>
    </row>
    <row r="119" spans="1:65" x14ac:dyDescent="0.25">
      <c r="B119" s="228">
        <v>5</v>
      </c>
      <c r="C119" s="230" t="s">
        <v>2</v>
      </c>
      <c r="E119" s="232">
        <v>44136</v>
      </c>
      <c r="F119" s="148" t="s">
        <v>91</v>
      </c>
      <c r="L119" s="286"/>
      <c r="T119" s="127"/>
      <c r="U119" s="127"/>
      <c r="V119" s="127"/>
      <c r="W119" s="127"/>
      <c r="X119" s="127"/>
      <c r="Y119" s="127"/>
    </row>
    <row r="120" spans="1:65" x14ac:dyDescent="0.25">
      <c r="C120" s="230" t="s">
        <v>3</v>
      </c>
      <c r="E120" s="232">
        <v>44165</v>
      </c>
      <c r="F120" s="148" t="s">
        <v>90</v>
      </c>
      <c r="G120" s="229"/>
      <c r="H120" s="229"/>
      <c r="I120" s="229"/>
      <c r="J120" s="229"/>
      <c r="L120" s="164"/>
      <c r="T120" s="127"/>
      <c r="U120" s="127"/>
      <c r="V120" s="127"/>
      <c r="W120" s="127"/>
      <c r="X120" s="127"/>
      <c r="Y120" s="127"/>
    </row>
    <row r="121" spans="1:65" x14ac:dyDescent="0.25">
      <c r="C121" s="233"/>
    </row>
    <row r="122" spans="1:65" ht="34.5" customHeight="1" x14ac:dyDescent="0.25">
      <c r="C122" s="234"/>
      <c r="D122" s="235"/>
      <c r="E122" s="441" t="s">
        <v>4</v>
      </c>
      <c r="F122" s="442"/>
      <c r="G122" s="442"/>
      <c r="H122" s="442"/>
      <c r="I122" s="442"/>
      <c r="J122" s="443"/>
      <c r="L122" s="444" t="s">
        <v>253</v>
      </c>
      <c r="M122" s="445"/>
      <c r="N122" s="235"/>
      <c r="O122" s="444" t="s">
        <v>148</v>
      </c>
      <c r="P122" s="445"/>
      <c r="R122" s="235"/>
      <c r="T122" s="446" t="s">
        <v>269</v>
      </c>
      <c r="U122" s="447"/>
      <c r="V122" s="447"/>
      <c r="W122" s="447"/>
      <c r="X122" s="447"/>
      <c r="Y122" s="447"/>
      <c r="Z122" s="447"/>
      <c r="AA122" s="447"/>
      <c r="AC122" s="438" t="s">
        <v>274</v>
      </c>
      <c r="AD122" s="438"/>
      <c r="AE122" s="438"/>
      <c r="AF122" s="438"/>
      <c r="AG122" s="438"/>
      <c r="AH122" s="438"/>
      <c r="AI122" s="438"/>
      <c r="AJ122" s="438"/>
      <c r="AK122" s="438"/>
      <c r="AM122" s="439" t="s">
        <v>270</v>
      </c>
      <c r="AN122" s="439"/>
      <c r="AO122" s="439"/>
      <c r="AP122" s="439"/>
      <c r="AQ122" s="439"/>
      <c r="AR122" s="439"/>
      <c r="AS122" s="439"/>
      <c r="AT122" s="439"/>
      <c r="AU122" s="439"/>
      <c r="AV122" s="439"/>
      <c r="AW122" s="439"/>
      <c r="AX122" s="439"/>
      <c r="AY122" s="439"/>
      <c r="AZ122" s="439"/>
      <c r="BA122" s="439"/>
      <c r="BB122" s="439"/>
      <c r="BC122" s="440"/>
      <c r="BE122" s="439" t="s">
        <v>246</v>
      </c>
      <c r="BF122" s="439"/>
      <c r="BG122" s="439"/>
      <c r="BH122" s="439"/>
      <c r="BI122" s="439"/>
      <c r="BJ122" s="439"/>
      <c r="BK122" s="439"/>
      <c r="BL122" s="439"/>
      <c r="BM122" s="439"/>
    </row>
    <row r="123" spans="1:65" x14ac:dyDescent="0.25">
      <c r="C123" s="236"/>
      <c r="E123" s="229"/>
      <c r="F123" s="229"/>
      <c r="G123" s="229"/>
      <c r="H123" s="229"/>
      <c r="I123" s="229"/>
      <c r="J123" s="229"/>
      <c r="L123" s="164"/>
      <c r="O123" s="229"/>
      <c r="P123" s="164"/>
      <c r="T123" s="127"/>
      <c r="U123" s="127"/>
      <c r="V123" s="127"/>
      <c r="W123" s="127"/>
      <c r="X123" s="127"/>
      <c r="Y123" s="127"/>
      <c r="AA123" s="229"/>
      <c r="AC123" s="229"/>
      <c r="AD123" s="229"/>
      <c r="AE123" s="229"/>
      <c r="AF123" s="229"/>
      <c r="AG123" s="229"/>
      <c r="AH123" s="229"/>
      <c r="AI123" s="229"/>
      <c r="AJ123" s="229"/>
      <c r="AK123" s="127"/>
      <c r="AM123" s="229"/>
      <c r="AN123" s="229"/>
      <c r="AO123" s="229"/>
      <c r="AP123" s="229"/>
      <c r="AQ123" s="229"/>
      <c r="AR123" s="229"/>
      <c r="AS123" s="229"/>
      <c r="AT123" s="229"/>
      <c r="AU123" s="229"/>
      <c r="AV123" s="229"/>
      <c r="AW123" s="229"/>
      <c r="AX123" s="229"/>
      <c r="AY123" s="229"/>
      <c r="AZ123" s="229"/>
      <c r="BA123" s="229"/>
      <c r="BB123" s="229"/>
      <c r="BC123" s="229"/>
    </row>
    <row r="124" spans="1:65" ht="60" x14ac:dyDescent="0.25">
      <c r="C124" s="238" t="s">
        <v>5</v>
      </c>
      <c r="D124" s="239"/>
      <c r="E124" s="240" t="s">
        <v>268</v>
      </c>
      <c r="F124" s="241" t="s">
        <v>271</v>
      </c>
      <c r="G124" s="242" t="s">
        <v>267</v>
      </c>
      <c r="H124" s="243" t="s">
        <v>266</v>
      </c>
      <c r="I124" s="242" t="s">
        <v>265</v>
      </c>
      <c r="J124" s="244" t="s">
        <v>6</v>
      </c>
      <c r="L124" s="245" t="s">
        <v>7</v>
      </c>
      <c r="M124" s="246" t="s">
        <v>254</v>
      </c>
      <c r="N124" s="247"/>
      <c r="O124" s="248" t="s">
        <v>272</v>
      </c>
      <c r="P124" s="249" t="s">
        <v>200</v>
      </c>
      <c r="R124" s="250" t="s">
        <v>151</v>
      </c>
      <c r="T124" s="251" t="s">
        <v>8</v>
      </c>
      <c r="U124" s="252" t="s">
        <v>9</v>
      </c>
      <c r="V124" s="252" t="s">
        <v>120</v>
      </c>
      <c r="W124" s="252" t="s">
        <v>121</v>
      </c>
      <c r="X124" s="253" t="s">
        <v>118</v>
      </c>
      <c r="Y124" s="254" t="s">
        <v>119</v>
      </c>
      <c r="AA124" s="255" t="s">
        <v>84</v>
      </c>
      <c r="AC124" s="256" t="s">
        <v>142</v>
      </c>
      <c r="AD124" s="256" t="s">
        <v>138</v>
      </c>
      <c r="AE124" s="257" t="s">
        <v>147</v>
      </c>
      <c r="AF124" s="257" t="s">
        <v>149</v>
      </c>
      <c r="AG124" s="256" t="s">
        <v>305</v>
      </c>
      <c r="AH124" s="256" t="s">
        <v>306</v>
      </c>
      <c r="AI124" s="257" t="s">
        <v>150</v>
      </c>
      <c r="AJ124" s="258" t="s">
        <v>250</v>
      </c>
      <c r="AK124" s="259" t="s">
        <v>373</v>
      </c>
      <c r="AM124" s="260" t="s">
        <v>256</v>
      </c>
      <c r="AN124" s="261" t="s">
        <v>372</v>
      </c>
      <c r="AO124" s="253" t="s">
        <v>170</v>
      </c>
      <c r="AP124" s="253" t="s">
        <v>171</v>
      </c>
      <c r="AQ124" s="253" t="s">
        <v>172</v>
      </c>
      <c r="AR124" s="253" t="s">
        <v>173</v>
      </c>
      <c r="AS124" s="253" t="s">
        <v>174</v>
      </c>
      <c r="AT124" s="253" t="s">
        <v>175</v>
      </c>
      <c r="AU124" s="262" t="s">
        <v>210</v>
      </c>
      <c r="AV124" s="262" t="s">
        <v>211</v>
      </c>
      <c r="AW124" s="262" t="s">
        <v>212</v>
      </c>
      <c r="AX124" s="262" t="s">
        <v>213</v>
      </c>
      <c r="AY124" s="263" t="s">
        <v>214</v>
      </c>
      <c r="AZ124" s="264" t="s">
        <v>111</v>
      </c>
      <c r="BA124" s="265" t="s">
        <v>199</v>
      </c>
      <c r="BB124" s="252" t="s">
        <v>223</v>
      </c>
      <c r="BC124" s="260" t="s">
        <v>112</v>
      </c>
      <c r="BE124" s="260" t="s">
        <v>257</v>
      </c>
      <c r="BF124" s="266" t="s">
        <v>255</v>
      </c>
      <c r="BG124" s="262" t="s">
        <v>247</v>
      </c>
      <c r="BH124" s="262" t="s">
        <v>248</v>
      </c>
      <c r="BI124" s="260" t="s">
        <v>249</v>
      </c>
      <c r="BJ124" s="253" t="s">
        <v>199</v>
      </c>
      <c r="BK124" s="262" t="s">
        <v>251</v>
      </c>
      <c r="BL124" s="259" t="s">
        <v>373</v>
      </c>
      <c r="BM124" s="260" t="s">
        <v>252</v>
      </c>
    </row>
    <row r="125" spans="1:65" x14ac:dyDescent="0.25">
      <c r="T125" s="120"/>
      <c r="U125" s="120"/>
      <c r="V125" s="120"/>
      <c r="W125" s="120"/>
      <c r="X125" s="120"/>
      <c r="Y125" s="120"/>
      <c r="AM125" s="267" t="s">
        <v>322</v>
      </c>
      <c r="AN125" s="237"/>
      <c r="AO125" s="237"/>
      <c r="AP125" s="237"/>
      <c r="AQ125" s="237"/>
      <c r="AR125" s="237"/>
      <c r="AS125" s="237"/>
      <c r="AT125" s="237"/>
      <c r="AU125" s="237"/>
      <c r="AV125" s="237"/>
      <c r="AW125" s="237"/>
      <c r="AX125" s="237"/>
      <c r="AY125" s="237"/>
      <c r="AZ125" s="436" t="s">
        <v>320</v>
      </c>
      <c r="BA125" s="437"/>
      <c r="BB125" s="237"/>
      <c r="BC125" s="267" t="s">
        <v>321</v>
      </c>
    </row>
    <row r="126" spans="1:65" x14ac:dyDescent="0.25">
      <c r="A126" s="228">
        <f t="shared" ref="A126:A145" si="119">IF($E$120="","",$B$119)</f>
        <v>5</v>
      </c>
      <c r="C126" s="268"/>
      <c r="D126" s="239"/>
      <c r="E126" s="269"/>
      <c r="F126" s="270"/>
      <c r="G126" s="271"/>
      <c r="H126" s="272"/>
      <c r="I126" s="271"/>
      <c r="J126" s="273"/>
      <c r="O126" s="274"/>
      <c r="P126" s="247"/>
      <c r="T126" s="271"/>
      <c r="U126" s="271"/>
      <c r="V126" s="275"/>
      <c r="W126" s="269"/>
      <c r="X126" s="269"/>
      <c r="Y126" s="269"/>
      <c r="AA126" s="271"/>
      <c r="AC126" s="271"/>
      <c r="AD126" s="271"/>
      <c r="AE126" s="271"/>
      <c r="AF126" s="271"/>
      <c r="AG126" s="271"/>
      <c r="AH126" s="271"/>
      <c r="AI126" s="271"/>
      <c r="AJ126" s="271"/>
      <c r="AK126" s="275"/>
      <c r="AM126" s="271"/>
      <c r="AN126" s="271"/>
      <c r="AO126" s="276">
        <v>1</v>
      </c>
      <c r="AP126" s="276">
        <v>2</v>
      </c>
      <c r="AQ126" s="276">
        <v>3</v>
      </c>
      <c r="AR126" s="277">
        <v>4</v>
      </c>
      <c r="AS126" s="276">
        <v>5</v>
      </c>
      <c r="AT126" s="276">
        <v>6</v>
      </c>
      <c r="AU126" s="276">
        <v>11</v>
      </c>
      <c r="AV126" s="276">
        <v>22</v>
      </c>
      <c r="AW126" s="276">
        <v>33</v>
      </c>
      <c r="AX126" s="276">
        <v>55</v>
      </c>
      <c r="AY126" s="276">
        <v>66</v>
      </c>
      <c r="AZ126" s="271"/>
      <c r="BA126" s="271"/>
      <c r="BB126" s="271"/>
      <c r="BC126" s="273"/>
    </row>
    <row r="127" spans="1:65" x14ac:dyDescent="0.25">
      <c r="A127" s="228">
        <f t="shared" si="119"/>
        <v>5</v>
      </c>
      <c r="C127" s="278" t="s">
        <v>12</v>
      </c>
      <c r="E127" s="103">
        <f>IF($C127="",0,
IF(AND($E$2="Monthly",$A127&gt;12),0,
IF($E$2="Monthly",VLOOKUP($C127,'Employee information'!$B:$AM,COLUMNS('Employee information'!$B:S),0),
IF($E$2="Fortnightly",VLOOKUP($C127,'Employee information'!$B:$AM,COLUMNS('Employee information'!$B:R),0),
0))))</f>
        <v>75</v>
      </c>
      <c r="F127" s="279"/>
      <c r="G127" s="106"/>
      <c r="H127" s="280"/>
      <c r="I127" s="106"/>
      <c r="J127" s="103">
        <f>IF($E$2="Monthly",
IF(AND($E$2="Monthly",$H127&lt;&gt;""),$H127,
IF(AND($E$2="Monthly",$E127=0),SUM($F127:$G127),
$E127)),
IF($E$2="Fortnightly",
IF(AND($E$2="Fortnightly",$H127&lt;&gt;""),$H127,
IF(AND($E$2="Fortnightly",$F127&lt;&gt;"",$E127&lt;&gt;0),$F127,
IF(AND($E$2="Fortnightly",$E127=0),SUM($F127:$G127),
$E127)))))</f>
        <v>75</v>
      </c>
      <c r="L127" s="113">
        <f>IF(AND($E$2="Monthly",$A127&gt;12),"",
IFERROR($J127*VLOOKUP($C127,'Employee information'!$B:$AI,COLUMNS('Employee information'!$B:$P),0),0))</f>
        <v>3697.576396206533</v>
      </c>
      <c r="M127" s="114">
        <f>IF(AND($E$2="Monthly",$A127&gt;12),"",
SUMIFS($L:$L,$C:$C,$C127,$A:$A,"&lt;="&amp;$A127)
)</f>
        <v>18487.881981032664</v>
      </c>
      <c r="O127" s="103">
        <f>IF($E$2="Monthly",
IF(AND($E$2="Monthly",$H127&lt;&gt;""),$H127,
IF(AND($E$2="Monthly",$E127=0),$F127,
$E127)),
IF($E$2="Fortnightly",
IF(AND($E$2="Fortnightly",$H127&lt;&gt;""),$H127,
IF(AND($E$2="Fortnightly",$F127&lt;&gt;"",$E127&lt;&gt;0),$F127,
IF(AND($E$2="Fortnightly",$E127=0),$F127,
$E127)))))</f>
        <v>75</v>
      </c>
      <c r="P127" s="113">
        <f>IFERROR(
IF(AND($E$2="Monthly",$A127&gt;12),0,
$O127*VLOOKUP($C127,'Employee information'!$B:$AI,COLUMNS('Employee information'!$B:$P),0)),
0)</f>
        <v>3697.576396206533</v>
      </c>
      <c r="R127" s="114">
        <f t="shared" ref="R127:R145" si="120">IF(AND($E$2="Monthly",$A127&gt;12),"",
SUMIFS($P:$P,$C:$C,$C127,$A:$A,"&lt;="&amp;$A127)
)</f>
        <v>18487.881981032664</v>
      </c>
      <c r="T127" s="281"/>
      <c r="U127" s="103"/>
      <c r="V127" s="282">
        <f>IF($C127="","",
IF(AND($E$2="Monthly",$A127&gt;12),"",
$T127*VLOOKUP($C127,'Employee information'!$B:$P,COLUMNS('Employee information'!$B:$P),0)))</f>
        <v>0</v>
      </c>
      <c r="W127" s="282">
        <f>IF($C127="","",
IF(AND($E$2="Monthly",$A127&gt;12),"",
$U127*VLOOKUP($C127,'Employee information'!$B:$P,COLUMNS('Employee information'!$B:$P),0)))</f>
        <v>0</v>
      </c>
      <c r="X127" s="114">
        <f t="shared" ref="X127:X145" si="121">IF(AND($E$2="Monthly",$A127&gt;12),"",
SUMIFS($V:$V,$C:$C,$C127,$A:$A,"&lt;="&amp;$A127)
)</f>
        <v>0</v>
      </c>
      <c r="Y127" s="114">
        <f t="shared" ref="Y127:Y145" si="122">IF(AND($E$2="Monthly",$A127&gt;12),"",
SUMIFS($W:$W,$C:$C,$C127,$A:$A,"&lt;="&amp;$A127)
)</f>
        <v>0</v>
      </c>
      <c r="AA127" s="118">
        <f>IFERROR(
IF(OR('Basic payroll data'!$D$12="",'Basic payroll data'!$D$12="No"),0,
$T127*VLOOKUP($C127,'Employee information'!$B:$P,COLUMNS('Employee information'!$B:$P),0)*AL_loading_perc),
0)</f>
        <v>0</v>
      </c>
      <c r="AC127" s="118"/>
      <c r="AD127" s="118"/>
      <c r="AE127" s="283" t="str">
        <f>IF(LEFT($AD127,6)="Is OTE",1,
IF(LEFT($AD127,10)="Is not OTE",0,
""))</f>
        <v/>
      </c>
      <c r="AF127" s="283" t="str">
        <f>IF(RIGHT($AD127,12)="tax withheld",1,
IF(RIGHT($AD127,16)="tax not withheld",0,
""))</f>
        <v/>
      </c>
      <c r="AG127" s="118"/>
      <c r="AH127" s="118"/>
      <c r="AI127" s="283" t="str">
        <f>IF($AH127="FBT",0,
IF($AH127="Not FBT",1,
""))</f>
        <v/>
      </c>
      <c r="AJ127" s="118"/>
      <c r="AK127" s="118"/>
      <c r="AM127" s="118">
        <f>SUM($L127,$AA127,$AC127,$AG127,$AK127)-$AJ127</f>
        <v>3697.576396206533</v>
      </c>
      <c r="AN127" s="118">
        <f t="shared" ref="AN127:AN145" si="123">IF(AND(OR($AF127=1,$AF127=""),OR($AI127=1,$AI127="")),SUM($L127,$AA127,$AC127,$AG127,$AK127)-$AJ127,
IF(AND(OR($AF127=1,$AF127=""),$AI127=0),SUM($L127,$AA127,$AC127,$AK127)-$AJ127,
IF(AND($AF127=0,OR($AI127=1,$AI127="")),SUM($L127,$AA127,$AG127,$AK127)-$AJ127,
IF(AND($AF127=0,$AI127=0),SUM($L127,$AA127,$AK127)-$AJ127,
""))))</f>
        <v>3697.576396206533</v>
      </c>
      <c r="AO127" s="118" t="str">
        <f>IFERROR(
IF(VLOOKUP($C127,'Employee information'!$B:$M,COLUMNS('Employee information'!$B:$M),0)=1,
IF($E$2="Fortnightly",
ROUND(
ROUND((((TRUNC($AN127/2,0)+0.99))*VLOOKUP((TRUNC($AN127/2,0)+0.99),'Tax scales - NAT 1004'!$A$12:$C$18,2,1)-VLOOKUP((TRUNC($AN127/2,0)+0.99),'Tax scales - NAT 1004'!$A$12:$C$18,3,1)),0)
*2,
0),
IF(AND($E$2="Monthly",ROUND($AN127-TRUNC($AN127),2)=0.33),
ROUND(
ROUND(((TRUNC(($AN127+0.01)*3/13,0)+0.99)*VLOOKUP((TRUNC(($AN127+0.01)*3/13,0)+0.99),'Tax scales - NAT 1004'!$A$12:$C$18,2,1)-VLOOKUP((TRUNC(($AN127+0.01)*3/13,0)+0.99),'Tax scales - NAT 1004'!$A$12:$C$18,3,1)),0)
*13/3,
0),
IF($E$2="Monthly",
ROUND(
ROUND(((TRUNC($AN127*3/13,0)+0.99)*VLOOKUP((TRUNC($AN127*3/13,0)+0.99),'Tax scales - NAT 1004'!$A$12:$C$18,2,1)-VLOOKUP((TRUNC($AN127*3/13,0)+0.99),'Tax scales - NAT 1004'!$A$12:$C$18,3,1)),0)
*13/3,
0),
""))),
""),
"")</f>
        <v/>
      </c>
      <c r="AP127" s="118" t="str">
        <f>IFERROR(
IF(VLOOKUP($C127,'Employee information'!$B:$M,COLUMNS('Employee information'!$B:$M),0)=2,
IF($E$2="Fortnightly",
ROUND(
ROUND((((TRUNC($AN127/2,0)+0.99))*VLOOKUP((TRUNC($AN127/2,0)+0.99),'Tax scales - NAT 1004'!$A$25:$C$33,2,1)-VLOOKUP((TRUNC($AN127/2,0)+0.99),'Tax scales - NAT 1004'!$A$25:$C$33,3,1)),0)
*2,
0),
IF(AND($E$2="Monthly",ROUND($AN127-TRUNC($AN127),2)=0.33),
ROUND(
ROUND(((TRUNC(($AN127+0.01)*3/13,0)+0.99)*VLOOKUP((TRUNC(($AN127+0.01)*3/13,0)+0.99),'Tax scales - NAT 1004'!$A$25:$C$33,2,1)-VLOOKUP((TRUNC(($AN127+0.01)*3/13,0)+0.99),'Tax scales - NAT 1004'!$A$25:$C$33,3,1)),0)
*13/3,
0),
IF($E$2="Monthly",
ROUND(
ROUND(((TRUNC($AN127*3/13,0)+0.99)*VLOOKUP((TRUNC($AN127*3/13,0)+0.99),'Tax scales - NAT 1004'!$A$25:$C$33,2,1)-VLOOKUP((TRUNC($AN127*3/13,0)+0.99),'Tax scales - NAT 1004'!$A$25:$C$33,3,1)),0)
*13/3,
0),
""))),
""),
"")</f>
        <v/>
      </c>
      <c r="AQ127" s="118" t="str">
        <f>IFERROR(
IF(VLOOKUP($C127,'Employee information'!$B:$M,COLUMNS('Employee information'!$B:$M),0)=3,
IF($E$2="Fortnightly",
ROUND(
ROUND((((TRUNC($AN127/2,0)+0.99))*VLOOKUP((TRUNC($AN127/2,0)+0.99),'Tax scales - NAT 1004'!$A$39:$C$41,2,1)-VLOOKUP((TRUNC($AN127/2,0)+0.99),'Tax scales - NAT 1004'!$A$39:$C$41,3,1)),0)
*2,
0),
IF(AND($E$2="Monthly",ROUND($AN127-TRUNC($AN127),2)=0.33),
ROUND(
ROUND(((TRUNC(($AN127+0.01)*3/13,0)+0.99)*VLOOKUP((TRUNC(($AN127+0.01)*3/13,0)+0.99),'Tax scales - NAT 1004'!$A$39:$C$41,2,1)-VLOOKUP((TRUNC(($AN127+0.01)*3/13,0)+0.99),'Tax scales - NAT 1004'!$A$39:$C$41,3,1)),0)
*13/3,
0),
IF($E$2="Monthly",
ROUND(
ROUND(((TRUNC($AN127*3/13,0)+0.99)*VLOOKUP((TRUNC($AN127*3/13,0)+0.99),'Tax scales - NAT 1004'!$A$39:$C$41,2,1)-VLOOKUP((TRUNC($AN127*3/13,0)+0.99),'Tax scales - NAT 1004'!$A$39:$C$41,3,1)),0)
*13/3,
0),
""))),
""),
"")</f>
        <v/>
      </c>
      <c r="AR127" s="118" t="str">
        <f>IFERROR(
IF(AND(VLOOKUP($C127,'Employee information'!$B:$M,COLUMNS('Employee information'!$B:$M),0)=4,
VLOOKUP($C127,'Employee information'!$B:$J,COLUMNS('Employee information'!$B:$J),0)="Resident"),
TRUNC(TRUNC($AN127)*'Tax scales - NAT 1004'!$B$47),
IF(AND(VLOOKUP($C127,'Employee information'!$B:$M,COLUMNS('Employee information'!$B:$M),0)=4,
VLOOKUP($C127,'Employee information'!$B:$J,COLUMNS('Employee information'!$B:$J),0)="Foreign resident"),
TRUNC(TRUNC($AN127)*'Tax scales - NAT 1004'!$B$48),
"")),
"")</f>
        <v/>
      </c>
      <c r="AS127" s="118" t="str">
        <f>IFERROR(
IF(VLOOKUP($C127,'Employee information'!$B:$M,COLUMNS('Employee information'!$B:$M),0)=5,
IF($E$2="Fortnightly",
ROUND(
ROUND((((TRUNC($AN127/2,0)+0.99))*VLOOKUP((TRUNC($AN127/2,0)+0.99),'Tax scales - NAT 1004'!$A$53:$C$59,2,1)-VLOOKUP((TRUNC($AN127/2,0)+0.99),'Tax scales - NAT 1004'!$A$53:$C$59,3,1)),0)
*2,
0),
IF(AND($E$2="Monthly",ROUND($AN127-TRUNC($AN127),2)=0.33),
ROUND(
ROUND(((TRUNC(($AN127+0.01)*3/13,0)+0.99)*VLOOKUP((TRUNC(($AN127+0.01)*3/13,0)+0.99),'Tax scales - NAT 1004'!$A$53:$C$59,2,1)-VLOOKUP((TRUNC(($AN127+0.01)*3/13,0)+0.99),'Tax scales - NAT 1004'!$A$53:$C$59,3,1)),0)
*13/3,
0),
IF($E$2="Monthly",
ROUND(
ROUND(((TRUNC($AN127*3/13,0)+0.99)*VLOOKUP((TRUNC($AN127*3/13,0)+0.99),'Tax scales - NAT 1004'!$A$53:$C$59,2,1)-VLOOKUP((TRUNC($AN127*3/13,0)+0.99),'Tax scales - NAT 1004'!$A$53:$C$59,3,1)),0)
*13/3,
0),
""))),
""),
"")</f>
        <v/>
      </c>
      <c r="AT127" s="118" t="str">
        <f>IFERROR(
IF(VLOOKUP($C127,'Employee information'!$B:$M,COLUMNS('Employee information'!$B:$M),0)=6,
IF($E$2="Fortnightly",
ROUND(
ROUND((((TRUNC($AN127/2,0)+0.99))*VLOOKUP((TRUNC($AN127/2,0)+0.99),'Tax scales - NAT 1004'!$A$65:$C$73,2,1)-VLOOKUP((TRUNC($AN127/2,0)+0.99),'Tax scales - NAT 1004'!$A$65:$C$73,3,1)),0)
*2,
0),
IF(AND($E$2="Monthly",ROUND($AN127-TRUNC($AN127),2)=0.33),
ROUND(
ROUND(((TRUNC(($AN127+0.01)*3/13,0)+0.99)*VLOOKUP((TRUNC(($AN127+0.01)*3/13,0)+0.99),'Tax scales - NAT 1004'!$A$65:$C$73,2,1)-VLOOKUP((TRUNC(($AN127+0.01)*3/13,0)+0.99),'Tax scales - NAT 1004'!$A$65:$C$73,3,1)),0)
*13/3,
0),
IF($E$2="Monthly",
ROUND(
ROUND(((TRUNC($AN127*3/13,0)+0.99)*VLOOKUP((TRUNC($AN127*3/13,0)+0.99),'Tax scales - NAT 1004'!$A$65:$C$73,2,1)-VLOOKUP((TRUNC($AN127*3/13,0)+0.99),'Tax scales - NAT 1004'!$A$65:$C$73,3,1)),0)
*13/3,
0),
""))),
""),
"")</f>
        <v/>
      </c>
      <c r="AU127" s="118">
        <f>IFERROR(
IF(VLOOKUP($C127,'Employee information'!$B:$M,COLUMNS('Employee information'!$B:$M),0)=11,
IF($E$2="Fortnightly",
ROUND(
ROUND((((TRUNC($AN127/2,0)+0.99))*VLOOKUP((TRUNC($AN127/2,0)+0.99),'Tax scales - NAT 3539'!$A$14:$C$38,2,1)-VLOOKUP((TRUNC($AN127/2,0)+0.99),'Tax scales - NAT 3539'!$A$14:$C$38,3,1)),0)
*2,
0),
IF(AND($E$2="Monthly",ROUND($AN127-TRUNC($AN127),2)=0.33),
ROUND(
ROUND(((TRUNC(($AN127+0.01)*3/13,0)+0.99)*VLOOKUP((TRUNC(($AN127+0.01)*3/13,0)+0.99),'Tax scales - NAT 3539'!$A$14:$C$38,2,1)-VLOOKUP((TRUNC(($AN127+0.01)*3/13,0)+0.99),'Tax scales - NAT 3539'!$A$14:$C$38,3,1)),0)
*13/3,
0),
IF($E$2="Monthly",
ROUND(
ROUND(((TRUNC($AN127*3/13,0)+0.99)*VLOOKUP((TRUNC($AN127*3/13,0)+0.99),'Tax scales - NAT 3539'!$A$14:$C$38,2,1)-VLOOKUP((TRUNC($AN127*3/13,0)+0.99),'Tax scales - NAT 3539'!$A$14:$C$38,3,1)),0)
*13/3,
0),
""))),
""),
"")</f>
        <v>1448</v>
      </c>
      <c r="AV127" s="118" t="str">
        <f>IFERROR(
IF(VLOOKUP($C127,'Employee information'!$B:$M,COLUMNS('Employee information'!$B:$M),0)=22,
IF($E$2="Fortnightly",
ROUND(
ROUND((((TRUNC($AN127/2,0)+0.99))*VLOOKUP((TRUNC($AN127/2,0)+0.99),'Tax scales - NAT 3539'!$A$43:$C$69,2,1)-VLOOKUP((TRUNC($AN127/2,0)+0.99),'Tax scales - NAT 3539'!$A$43:$C$69,3,1)),0)
*2,
0),
IF(AND($E$2="Monthly",ROUND($AN127-TRUNC($AN127),2)=0.33),
ROUND(
ROUND(((TRUNC(($AN127+0.01)*3/13,0)+0.99)*VLOOKUP((TRUNC(($AN127+0.01)*3/13,0)+0.99),'Tax scales - NAT 3539'!$A$43:$C$69,2,1)-VLOOKUP((TRUNC(($AN127+0.01)*3/13,0)+0.99),'Tax scales - NAT 3539'!$A$43:$C$69,3,1)),0)
*13/3,
0),
IF($E$2="Monthly",
ROUND(
ROUND(((TRUNC($AN127*3/13,0)+0.99)*VLOOKUP((TRUNC($AN127*3/13,0)+0.99),'Tax scales - NAT 3539'!$A$43:$C$69,2,1)-VLOOKUP((TRUNC($AN127*3/13,0)+0.99),'Tax scales - NAT 3539'!$A$43:$C$69,3,1)),0)
*13/3,
0),
""))),
""),
"")</f>
        <v/>
      </c>
      <c r="AW127" s="118" t="str">
        <f>IFERROR(
IF(VLOOKUP($C127,'Employee information'!$B:$M,COLUMNS('Employee information'!$B:$M),0)=33,
IF($E$2="Fortnightly",
ROUND(
ROUND((((TRUNC($AN127/2,0)+0.99))*VLOOKUP((TRUNC($AN127/2,0)+0.99),'Tax scales - NAT 3539'!$A$74:$C$94,2,1)-VLOOKUP((TRUNC($AN127/2,0)+0.99),'Tax scales - NAT 3539'!$A$74:$C$94,3,1)),0)
*2,
0),
IF(AND($E$2="Monthly",ROUND($AN127-TRUNC($AN127),2)=0.33),
ROUND(
ROUND(((TRUNC(($AN127+0.01)*3/13,0)+0.99)*VLOOKUP((TRUNC(($AN127+0.01)*3/13,0)+0.99),'Tax scales - NAT 3539'!$A$74:$C$94,2,1)-VLOOKUP((TRUNC(($AN127+0.01)*3/13,0)+0.99),'Tax scales - NAT 3539'!$A$74:$C$94,3,1)),0)
*13/3,
0),
IF($E$2="Monthly",
ROUND(
ROUND(((TRUNC($AN127*3/13,0)+0.99)*VLOOKUP((TRUNC($AN127*3/13,0)+0.99),'Tax scales - NAT 3539'!$A$74:$C$94,2,1)-VLOOKUP((TRUNC($AN127*3/13,0)+0.99),'Tax scales - NAT 3539'!$A$74:$C$94,3,1)),0)
*13/3,
0),
""))),
""),
"")</f>
        <v/>
      </c>
      <c r="AX127" s="118" t="str">
        <f>IFERROR(
IF(VLOOKUP($C127,'Employee information'!$B:$M,COLUMNS('Employee information'!$B:$M),0)=55,
IF($E$2="Fortnightly",
ROUND(
ROUND((((TRUNC($AN127/2,0)+0.99))*VLOOKUP((TRUNC($AN127/2,0)+0.99),'Tax scales - NAT 3539'!$A$99:$C$123,2,1)-VLOOKUP((TRUNC($AN127/2,0)+0.99),'Tax scales - NAT 3539'!$A$99:$C$123,3,1)),0)
*2,
0),
IF(AND($E$2="Monthly",ROUND($AN127-TRUNC($AN127),2)=0.33),
ROUND(
ROUND(((TRUNC(($AN127+0.01)*3/13,0)+0.99)*VLOOKUP((TRUNC(($AN127+0.01)*3/13,0)+0.99),'Tax scales - NAT 3539'!$A$99:$C$123,2,1)-VLOOKUP((TRUNC(($AN127+0.01)*3/13,0)+0.99),'Tax scales - NAT 3539'!$A$99:$C$123,3,1)),0)
*13/3,
0),
IF($E$2="Monthly",
ROUND(
ROUND(((TRUNC($AN127*3/13,0)+0.99)*VLOOKUP((TRUNC($AN127*3/13,0)+0.99),'Tax scales - NAT 3539'!$A$99:$C$123,2,1)-VLOOKUP((TRUNC($AN127*3/13,0)+0.99),'Tax scales - NAT 3539'!$A$99:$C$123,3,1)),0)
*13/3,
0),
""))),
""),
"")</f>
        <v/>
      </c>
      <c r="AY127" s="118" t="str">
        <f>IFERROR(
IF(VLOOKUP($C127,'Employee information'!$B:$M,COLUMNS('Employee information'!$B:$M),0)=66,
IF($E$2="Fortnightly",
ROUND(
ROUND((((TRUNC($AN127/2,0)+0.99))*VLOOKUP((TRUNC($AN127/2,0)+0.99),'Tax scales - NAT 3539'!$A$127:$C$154,2,1)-VLOOKUP((TRUNC($AN127/2,0)+0.99),'Tax scales - NAT 3539'!$A$127:$C$154,3,1)),0)
*2,
0),
IF(AND($E$2="Monthly",ROUND($AN127-TRUNC($AN127),2)=0.33),
ROUND(
ROUND(((TRUNC(($AN127+0.01)*3/13,0)+0.99)*VLOOKUP((TRUNC(($AN127+0.01)*3/13,0)+0.99),'Tax scales - NAT 3539'!$A$127:$C$154,2,1)-VLOOKUP((TRUNC(($AN127+0.01)*3/13,0)+0.99),'Tax scales - NAT 3539'!$A$127:$C$154,3,1)),0)
*13/3,
0),
IF($E$2="Monthly",
ROUND(
ROUND(((TRUNC($AN127*3/13,0)+0.99)*VLOOKUP((TRUNC($AN127*3/13,0)+0.99),'Tax scales - NAT 3539'!$A$127:$C$154,2,1)-VLOOKUP((TRUNC($AN127*3/13,0)+0.99),'Tax scales - NAT 3539'!$A$127:$C$154,3,1)),0)
*13/3,
0),
""))),
""),
"")</f>
        <v/>
      </c>
      <c r="AZ127" s="118">
        <f>IFERROR(
HLOOKUP(VLOOKUP($C127,'Employee information'!$B:$M,COLUMNS('Employee information'!$B:$M),0),'PAYG worksheet'!$AO$126:$AY$145,COUNTA($C$127:$C127)+1,0),
0)</f>
        <v>1448</v>
      </c>
      <c r="BA127" s="118"/>
      <c r="BB127" s="118">
        <f>IFERROR($AM127-$AZ127-$BA127,"")</f>
        <v>2249.576396206533</v>
      </c>
      <c r="BC127" s="119">
        <f>IFERROR(
IF(OR($AE127=1,$AE127=""),SUM($P127,$AA127,$AC127,$AK127)*VLOOKUP($C127,'Employee information'!$B:$Q,COLUMNS('Employee information'!$B:$H),0),
IF($AE127=0,SUM($P127,$AA127,$AK127)*VLOOKUP($C127,'Employee information'!$B:$Q,COLUMNS('Employee information'!$B:$H),0),
0)),
0)</f>
        <v>351.26975763962065</v>
      </c>
      <c r="BE127" s="114">
        <f t="shared" ref="BE127:BE145" si="124">IF(AND($E$2="Monthly",$A127&gt;12),"",
SUMIFS($AM:$AM,$C:$C,$C127,$A:$A,"&lt;="&amp;$A127)
)</f>
        <v>18487.881981032664</v>
      </c>
      <c r="BF127" s="114">
        <f t="shared" ref="BF127:BF145" si="125">IF(AND($E$2="Monthly",$A127&gt;12),"",
SUMIFS($AN:$AN,$C:$C,$C127,$A:$A,"&lt;="&amp;$A127)
)</f>
        <v>18487.881981032664</v>
      </c>
      <c r="BG127" s="114">
        <f t="shared" ref="BG127:BG145" si="126">IF(AND($E$2="Monthly",$A127&gt;12),"",
SUMIFS($AC:$AC,$C:$C,$C127,$A:$A,"&lt;="&amp;$A127)
)</f>
        <v>0</v>
      </c>
      <c r="BH127" s="114">
        <f t="shared" ref="BH127:BH145" si="127">IF(AND($E$2="Monthly",$A127&gt;12),"",
SUMIFS($AG:$AG,$C:$C,$C127,$A:$A,"&lt;="&amp;$A127)
)</f>
        <v>0</v>
      </c>
      <c r="BI127" s="114">
        <f t="shared" ref="BI127:BI145" si="128">IF(AND($E$2="Monthly",$A127&gt;12),"",
SUMIFS($AZ:$AZ,$C:$C,$C127,$A:$A,"&lt;="&amp;$A127)
)</f>
        <v>7240</v>
      </c>
      <c r="BJ127" s="114">
        <f t="shared" ref="BJ127:BJ145" si="129">IF(AND($E$2="Monthly",$A127&gt;12),"",
SUMIFS($BA:$BA,$C:$C,$C127,$A:$A,"&lt;="&amp;$A127)
)</f>
        <v>0</v>
      </c>
      <c r="BK127" s="114">
        <f t="shared" ref="BK127:BK145" si="130">IF(AND($E$2="Monthly",$A127&gt;12),"",
SUMIFS($AJ:$AJ,$C:$C,$C127,$A:$A,"&lt;="&amp;$A127)
)</f>
        <v>0</v>
      </c>
      <c r="BL127" s="114">
        <f>IF(AND($E$2="Monthly",$A127&gt;12),"",
SUMIFS($AK:$AK,$C:$C,$C127,$A:$A,"&lt;="&amp;$A127)
)</f>
        <v>0</v>
      </c>
      <c r="BM127" s="114">
        <f t="shared" ref="BM127:BM145" si="131">IF(AND($E$2="Monthly",$A127&gt;12),"",
SUMIFS($BC:$BC,$C:$C,$C127,$A:$A,"&lt;="&amp;$A127)
)</f>
        <v>1756.3487881981032</v>
      </c>
    </row>
    <row r="128" spans="1:65" x14ac:dyDescent="0.25">
      <c r="A128" s="228">
        <f t="shared" si="119"/>
        <v>5</v>
      </c>
      <c r="C128" s="278" t="s">
        <v>13</v>
      </c>
      <c r="E128" s="103">
        <f>IF($C128="",0,
IF(AND($E$2="Monthly",$A128&gt;12),0,
IF($E$2="Monthly",VLOOKUP($C128,'Employee information'!$B:$AM,COLUMNS('Employee information'!$B:S),0),
IF($E$2="Fortnightly",VLOOKUP($C128,'Employee information'!$B:$AM,COLUMNS('Employee information'!$B:R),0),
0))))</f>
        <v>0</v>
      </c>
      <c r="F128" s="106"/>
      <c r="G128" s="106"/>
      <c r="H128" s="106"/>
      <c r="I128" s="106"/>
      <c r="J128" s="103">
        <f t="shared" ref="J128:J145" si="132">IF($E$2="Monthly",
IF(AND($E$2="Monthly",$H128&lt;&gt;""),$H128,
IF(AND($E$2="Monthly",$E128=0),SUM($F128:$G128),
$E128)),
IF($E$2="Fortnightly",
IF(AND($E$2="Fortnightly",$H128&lt;&gt;""),$H128,
IF(AND($E$2="Fortnightly",$F128&lt;&gt;"",$E128&lt;&gt;0),$F128,
IF(AND($E$2="Fortnightly",$E128=0),SUM($F128:$G128),
$E128)))))</f>
        <v>0</v>
      </c>
      <c r="L128" s="113">
        <f>IF(AND($E$2="Monthly",$A128&gt;12),"",
IFERROR($J128*VLOOKUP($C128,'Employee information'!$B:$AI,COLUMNS('Employee information'!$B:$P),0),0))</f>
        <v>0</v>
      </c>
      <c r="M128" s="114">
        <f t="shared" ref="M128:M145" si="133">IF(AND($E$2="Monthly",$A128&gt;12),"",
SUMIFS($L:$L,$C:$C,$C128,$A:$A,"&lt;="&amp;$A128)
)</f>
        <v>1615.3846153846152</v>
      </c>
      <c r="O128" s="103">
        <f t="shared" ref="O128:O145" si="134">IF($E$2="Monthly",
IF(AND($E$2="Monthly",$H128&lt;&gt;""),$H128,
IF(AND($E$2="Monthly",$E128=0),$F128,
$E128)),
IF($E$2="Fortnightly",
IF(AND($E$2="Fortnightly",$H128&lt;&gt;""),$H128,
IF(AND($E$2="Fortnightly",$F128&lt;&gt;"",$E128&lt;&gt;0),$F128,
IF(AND($E$2="Fortnightly",$E128=0),$F128,
$E128)))))</f>
        <v>0</v>
      </c>
      <c r="P128" s="113">
        <f>IFERROR(
IF(AND($E$2="Monthly",$A128&gt;12),0,
$O128*VLOOKUP($C128,'Employee information'!$B:$AI,COLUMNS('Employee information'!$B:$P),0)),
0)</f>
        <v>0</v>
      </c>
      <c r="R128" s="114">
        <f t="shared" si="120"/>
        <v>1615.3846153846152</v>
      </c>
      <c r="T128" s="103"/>
      <c r="U128" s="103"/>
      <c r="V128" s="282">
        <f>IF($C128="","",
IF(AND($E$2="Monthly",$A128&gt;12),"",
$T128*VLOOKUP($C128,'Employee information'!$B:$P,COLUMNS('Employee information'!$B:$P),0)))</f>
        <v>0</v>
      </c>
      <c r="W128" s="282">
        <f>IF($C128="","",
IF(AND($E$2="Monthly",$A128&gt;12),"",
$U128*VLOOKUP($C128,'Employee information'!$B:$P,COLUMNS('Employee information'!$B:$P),0)))</f>
        <v>0</v>
      </c>
      <c r="X128" s="114">
        <f t="shared" si="121"/>
        <v>0</v>
      </c>
      <c r="Y128" s="114">
        <f t="shared" si="122"/>
        <v>288.46153846153845</v>
      </c>
      <c r="AA128" s="118">
        <f>IFERROR(
IF(OR('Basic payroll data'!$D$12="",'Basic payroll data'!$D$12="No"),0,
$T128*VLOOKUP($C128,'Employee information'!$B:$P,COLUMNS('Employee information'!$B:$P),0)*AL_loading_perc),
0)</f>
        <v>0</v>
      </c>
      <c r="AC128" s="118"/>
      <c r="AD128" s="118"/>
      <c r="AE128" s="283" t="str">
        <f t="shared" ref="AE128:AE145" si="135">IF(LEFT($AD128,6)="Is OTE",1,
IF(LEFT($AD128,10)="Is not OTE",0,
""))</f>
        <v/>
      </c>
      <c r="AF128" s="283" t="str">
        <f t="shared" ref="AF128:AF145" si="136">IF(RIGHT($AD128,12)="tax withheld",1,
IF(RIGHT($AD128,16)="tax not withheld",0,
""))</f>
        <v/>
      </c>
      <c r="AG128" s="118"/>
      <c r="AH128" s="118"/>
      <c r="AI128" s="283" t="str">
        <f t="shared" ref="AI128:AI145" si="137">IF($AH128="FBT",0,
IF($AH128="Not FBT",1,
""))</f>
        <v/>
      </c>
      <c r="AJ128" s="118"/>
      <c r="AK128" s="118"/>
      <c r="AM128" s="118">
        <f t="shared" ref="AM128:AM145" si="138">SUM($L128,$AA128,$AC128,$AG128,$AK128)-$AJ128</f>
        <v>0</v>
      </c>
      <c r="AN128" s="118">
        <f t="shared" si="123"/>
        <v>0</v>
      </c>
      <c r="AO128" s="118" t="str">
        <f>IFERROR(
IF(VLOOKUP($C128,'Employee information'!$B:$M,COLUMNS('Employee information'!$B:$M),0)=1,
IF($E$2="Fortnightly",
ROUND(
ROUND((((TRUNC($AN128/2,0)+0.99))*VLOOKUP((TRUNC($AN128/2,0)+0.99),'Tax scales - NAT 1004'!$A$12:$C$18,2,1)-VLOOKUP((TRUNC($AN128/2,0)+0.99),'Tax scales - NAT 1004'!$A$12:$C$18,3,1)),0)
*2,
0),
IF(AND($E$2="Monthly",ROUND($AN128-TRUNC($AN128),2)=0.33),
ROUND(
ROUND(((TRUNC(($AN128+0.01)*3/13,0)+0.99)*VLOOKUP((TRUNC(($AN128+0.01)*3/13,0)+0.99),'Tax scales - NAT 1004'!$A$12:$C$18,2,1)-VLOOKUP((TRUNC(($AN128+0.01)*3/13,0)+0.99),'Tax scales - NAT 1004'!$A$12:$C$18,3,1)),0)
*13/3,
0),
IF($E$2="Monthly",
ROUND(
ROUND(((TRUNC($AN128*3/13,0)+0.99)*VLOOKUP((TRUNC($AN128*3/13,0)+0.99),'Tax scales - NAT 1004'!$A$12:$C$18,2,1)-VLOOKUP((TRUNC($AN128*3/13,0)+0.99),'Tax scales - NAT 1004'!$A$12:$C$18,3,1)),0)
*13/3,
0),
""))),
""),
"")</f>
        <v/>
      </c>
      <c r="AP128" s="118" t="str">
        <f>IFERROR(
IF(VLOOKUP($C128,'Employee information'!$B:$M,COLUMNS('Employee information'!$B:$M),0)=2,
IF($E$2="Fortnightly",
ROUND(
ROUND((((TRUNC($AN128/2,0)+0.99))*VLOOKUP((TRUNC($AN128/2,0)+0.99),'Tax scales - NAT 1004'!$A$25:$C$33,2,1)-VLOOKUP((TRUNC($AN128/2,0)+0.99),'Tax scales - NAT 1004'!$A$25:$C$33,3,1)),0)
*2,
0),
IF(AND($E$2="Monthly",ROUND($AN128-TRUNC($AN128),2)=0.33),
ROUND(
ROUND(((TRUNC(($AN128+0.01)*3/13,0)+0.99)*VLOOKUP((TRUNC(($AN128+0.01)*3/13,0)+0.99),'Tax scales - NAT 1004'!$A$25:$C$33,2,1)-VLOOKUP((TRUNC(($AN128+0.01)*3/13,0)+0.99),'Tax scales - NAT 1004'!$A$25:$C$33,3,1)),0)
*13/3,
0),
IF($E$2="Monthly",
ROUND(
ROUND(((TRUNC($AN128*3/13,0)+0.99)*VLOOKUP((TRUNC($AN128*3/13,0)+0.99),'Tax scales - NAT 1004'!$A$25:$C$33,2,1)-VLOOKUP((TRUNC($AN128*3/13,0)+0.99),'Tax scales - NAT 1004'!$A$25:$C$33,3,1)),0)
*13/3,
0),
""))),
""),
"")</f>
        <v/>
      </c>
      <c r="AQ128" s="118" t="str">
        <f>IFERROR(
IF(VLOOKUP($C128,'Employee information'!$B:$M,COLUMNS('Employee information'!$B:$M),0)=3,
IF($E$2="Fortnightly",
ROUND(
ROUND((((TRUNC($AN128/2,0)+0.99))*VLOOKUP((TRUNC($AN128/2,0)+0.99),'Tax scales - NAT 1004'!$A$39:$C$41,2,1)-VLOOKUP((TRUNC($AN128/2,0)+0.99),'Tax scales - NAT 1004'!$A$39:$C$41,3,1)),0)
*2,
0),
IF(AND($E$2="Monthly",ROUND($AN128-TRUNC($AN128),2)=0.33),
ROUND(
ROUND(((TRUNC(($AN128+0.01)*3/13,0)+0.99)*VLOOKUP((TRUNC(($AN128+0.01)*3/13,0)+0.99),'Tax scales - NAT 1004'!$A$39:$C$41,2,1)-VLOOKUP((TRUNC(($AN128+0.01)*3/13,0)+0.99),'Tax scales - NAT 1004'!$A$39:$C$41,3,1)),0)
*13/3,
0),
IF($E$2="Monthly",
ROUND(
ROUND(((TRUNC($AN128*3/13,0)+0.99)*VLOOKUP((TRUNC($AN128*3/13,0)+0.99),'Tax scales - NAT 1004'!$A$39:$C$41,2,1)-VLOOKUP((TRUNC($AN128*3/13,0)+0.99),'Tax scales - NAT 1004'!$A$39:$C$41,3,1)),0)
*13/3,
0),
""))),
""),
"")</f>
        <v/>
      </c>
      <c r="AR128" s="118" t="str">
        <f>IFERROR(
IF(AND(VLOOKUP($C128,'Employee information'!$B:$M,COLUMNS('Employee information'!$B:$M),0)=4,
VLOOKUP($C128,'Employee information'!$B:$J,COLUMNS('Employee information'!$B:$J),0)="Resident"),
TRUNC(TRUNC($AN128)*'Tax scales - NAT 1004'!$B$47),
IF(AND(VLOOKUP($C128,'Employee information'!$B:$M,COLUMNS('Employee information'!$B:$M),0)=4,
VLOOKUP($C128,'Employee information'!$B:$J,COLUMNS('Employee information'!$B:$J),0)="Foreign resident"),
TRUNC(TRUNC($AN128)*'Tax scales - NAT 1004'!$B$48),
"")),
"")</f>
        <v/>
      </c>
      <c r="AS128" s="118" t="str">
        <f>IFERROR(
IF(VLOOKUP($C128,'Employee information'!$B:$M,COLUMNS('Employee information'!$B:$M),0)=5,
IF($E$2="Fortnightly",
ROUND(
ROUND((((TRUNC($AN128/2,0)+0.99))*VLOOKUP((TRUNC($AN128/2,0)+0.99),'Tax scales - NAT 1004'!$A$53:$C$59,2,1)-VLOOKUP((TRUNC($AN128/2,0)+0.99),'Tax scales - NAT 1004'!$A$53:$C$59,3,1)),0)
*2,
0),
IF(AND($E$2="Monthly",ROUND($AN128-TRUNC($AN128),2)=0.33),
ROUND(
ROUND(((TRUNC(($AN128+0.01)*3/13,0)+0.99)*VLOOKUP((TRUNC(($AN128+0.01)*3/13,0)+0.99),'Tax scales - NAT 1004'!$A$53:$C$59,2,1)-VLOOKUP((TRUNC(($AN128+0.01)*3/13,0)+0.99),'Tax scales - NAT 1004'!$A$53:$C$59,3,1)),0)
*13/3,
0),
IF($E$2="Monthly",
ROUND(
ROUND(((TRUNC($AN128*3/13,0)+0.99)*VLOOKUP((TRUNC($AN128*3/13,0)+0.99),'Tax scales - NAT 1004'!$A$53:$C$59,2,1)-VLOOKUP((TRUNC($AN128*3/13,0)+0.99),'Tax scales - NAT 1004'!$A$53:$C$59,3,1)),0)
*13/3,
0),
""))),
""),
"")</f>
        <v/>
      </c>
      <c r="AT128" s="118" t="str">
        <f>IFERROR(
IF(VLOOKUP($C128,'Employee information'!$B:$M,COLUMNS('Employee information'!$B:$M),0)=6,
IF($E$2="Fortnightly",
ROUND(
ROUND((((TRUNC($AN128/2,0)+0.99))*VLOOKUP((TRUNC($AN128/2,0)+0.99),'Tax scales - NAT 1004'!$A$65:$C$73,2,1)-VLOOKUP((TRUNC($AN128/2,0)+0.99),'Tax scales - NAT 1004'!$A$65:$C$73,3,1)),0)
*2,
0),
IF(AND($E$2="Monthly",ROUND($AN128-TRUNC($AN128),2)=0.33),
ROUND(
ROUND(((TRUNC(($AN128+0.01)*3/13,0)+0.99)*VLOOKUP((TRUNC(($AN128+0.01)*3/13,0)+0.99),'Tax scales - NAT 1004'!$A$65:$C$73,2,1)-VLOOKUP((TRUNC(($AN128+0.01)*3/13,0)+0.99),'Tax scales - NAT 1004'!$A$65:$C$73,3,1)),0)
*13/3,
0),
IF($E$2="Monthly",
ROUND(
ROUND(((TRUNC($AN128*3/13,0)+0.99)*VLOOKUP((TRUNC($AN128*3/13,0)+0.99),'Tax scales - NAT 1004'!$A$65:$C$73,2,1)-VLOOKUP((TRUNC($AN128*3/13,0)+0.99),'Tax scales - NAT 1004'!$A$65:$C$73,3,1)),0)
*13/3,
0),
""))),
""),
"")</f>
        <v/>
      </c>
      <c r="AU128" s="118">
        <f>IFERROR(
IF(VLOOKUP($C128,'Employee information'!$B:$M,COLUMNS('Employee information'!$B:$M),0)=11,
IF($E$2="Fortnightly",
ROUND(
ROUND((((TRUNC($AN128/2,0)+0.99))*VLOOKUP((TRUNC($AN128/2,0)+0.99),'Tax scales - NAT 3539'!$A$14:$C$38,2,1)-VLOOKUP((TRUNC($AN128/2,0)+0.99),'Tax scales - NAT 3539'!$A$14:$C$38,3,1)),0)
*2,
0),
IF(AND($E$2="Monthly",ROUND($AN128-TRUNC($AN128),2)=0.33),
ROUND(
ROUND(((TRUNC(($AN128+0.01)*3/13,0)+0.99)*VLOOKUP((TRUNC(($AN128+0.01)*3/13,0)+0.99),'Tax scales - NAT 3539'!$A$14:$C$38,2,1)-VLOOKUP((TRUNC(($AN128+0.01)*3/13,0)+0.99),'Tax scales - NAT 3539'!$A$14:$C$38,3,1)),0)
*13/3,
0),
IF($E$2="Monthly",
ROUND(
ROUND(((TRUNC($AN128*3/13,0)+0.99)*VLOOKUP((TRUNC($AN128*3/13,0)+0.99),'Tax scales - NAT 3539'!$A$14:$C$38,2,1)-VLOOKUP((TRUNC($AN128*3/13,0)+0.99),'Tax scales - NAT 3539'!$A$14:$C$38,3,1)),0)
*13/3,
0),
""))),
""),
"")</f>
        <v>0</v>
      </c>
      <c r="AV128" s="118" t="str">
        <f>IFERROR(
IF(VLOOKUP($C128,'Employee information'!$B:$M,COLUMNS('Employee information'!$B:$M),0)=22,
IF($E$2="Fortnightly",
ROUND(
ROUND((((TRUNC($AN128/2,0)+0.99))*VLOOKUP((TRUNC($AN128/2,0)+0.99),'Tax scales - NAT 3539'!$A$43:$C$69,2,1)-VLOOKUP((TRUNC($AN128/2,0)+0.99),'Tax scales - NAT 3539'!$A$43:$C$69,3,1)),0)
*2,
0),
IF(AND($E$2="Monthly",ROUND($AN128-TRUNC($AN128),2)=0.33),
ROUND(
ROUND(((TRUNC(($AN128+0.01)*3/13,0)+0.99)*VLOOKUP((TRUNC(($AN128+0.01)*3/13,0)+0.99),'Tax scales - NAT 3539'!$A$43:$C$69,2,1)-VLOOKUP((TRUNC(($AN128+0.01)*3/13,0)+0.99),'Tax scales - NAT 3539'!$A$43:$C$69,3,1)),0)
*13/3,
0),
IF($E$2="Monthly",
ROUND(
ROUND(((TRUNC($AN128*3/13,0)+0.99)*VLOOKUP((TRUNC($AN128*3/13,0)+0.99),'Tax scales - NAT 3539'!$A$43:$C$69,2,1)-VLOOKUP((TRUNC($AN128*3/13,0)+0.99),'Tax scales - NAT 3539'!$A$43:$C$69,3,1)),0)
*13/3,
0),
""))),
""),
"")</f>
        <v/>
      </c>
      <c r="AW128" s="118" t="str">
        <f>IFERROR(
IF(VLOOKUP($C128,'Employee information'!$B:$M,COLUMNS('Employee information'!$B:$M),0)=33,
IF($E$2="Fortnightly",
ROUND(
ROUND((((TRUNC($AN128/2,0)+0.99))*VLOOKUP((TRUNC($AN128/2,0)+0.99),'Tax scales - NAT 3539'!$A$74:$C$94,2,1)-VLOOKUP((TRUNC($AN128/2,0)+0.99),'Tax scales - NAT 3539'!$A$74:$C$94,3,1)),0)
*2,
0),
IF(AND($E$2="Monthly",ROUND($AN128-TRUNC($AN128),2)=0.33),
ROUND(
ROUND(((TRUNC(($AN128+0.01)*3/13,0)+0.99)*VLOOKUP((TRUNC(($AN128+0.01)*3/13,0)+0.99),'Tax scales - NAT 3539'!$A$74:$C$94,2,1)-VLOOKUP((TRUNC(($AN128+0.01)*3/13,0)+0.99),'Tax scales - NAT 3539'!$A$74:$C$94,3,1)),0)
*13/3,
0),
IF($E$2="Monthly",
ROUND(
ROUND(((TRUNC($AN128*3/13,0)+0.99)*VLOOKUP((TRUNC($AN128*3/13,0)+0.99),'Tax scales - NAT 3539'!$A$74:$C$94,2,1)-VLOOKUP((TRUNC($AN128*3/13,0)+0.99),'Tax scales - NAT 3539'!$A$74:$C$94,3,1)),0)
*13/3,
0),
""))),
""),
"")</f>
        <v/>
      </c>
      <c r="AX128" s="118" t="str">
        <f>IFERROR(
IF(VLOOKUP($C128,'Employee information'!$B:$M,COLUMNS('Employee information'!$B:$M),0)=55,
IF($E$2="Fortnightly",
ROUND(
ROUND((((TRUNC($AN128/2,0)+0.99))*VLOOKUP((TRUNC($AN128/2,0)+0.99),'Tax scales - NAT 3539'!$A$99:$C$123,2,1)-VLOOKUP((TRUNC($AN128/2,0)+0.99),'Tax scales - NAT 3539'!$A$99:$C$123,3,1)),0)
*2,
0),
IF(AND($E$2="Monthly",ROUND($AN128-TRUNC($AN128),2)=0.33),
ROUND(
ROUND(((TRUNC(($AN128+0.01)*3/13,0)+0.99)*VLOOKUP((TRUNC(($AN128+0.01)*3/13,0)+0.99),'Tax scales - NAT 3539'!$A$99:$C$123,2,1)-VLOOKUP((TRUNC(($AN128+0.01)*3/13,0)+0.99),'Tax scales - NAT 3539'!$A$99:$C$123,3,1)),0)
*13/3,
0),
IF($E$2="Monthly",
ROUND(
ROUND(((TRUNC($AN128*3/13,0)+0.99)*VLOOKUP((TRUNC($AN128*3/13,0)+0.99),'Tax scales - NAT 3539'!$A$99:$C$123,2,1)-VLOOKUP((TRUNC($AN128*3/13,0)+0.99),'Tax scales - NAT 3539'!$A$99:$C$123,3,1)),0)
*13/3,
0),
""))),
""),
"")</f>
        <v/>
      </c>
      <c r="AY128" s="118" t="str">
        <f>IFERROR(
IF(VLOOKUP($C128,'Employee information'!$B:$M,COLUMNS('Employee information'!$B:$M),0)=66,
IF($E$2="Fortnightly",
ROUND(
ROUND((((TRUNC($AN128/2,0)+0.99))*VLOOKUP((TRUNC($AN128/2,0)+0.99),'Tax scales - NAT 3539'!$A$127:$C$154,2,1)-VLOOKUP((TRUNC($AN128/2,0)+0.99),'Tax scales - NAT 3539'!$A$127:$C$154,3,1)),0)
*2,
0),
IF(AND($E$2="Monthly",ROUND($AN128-TRUNC($AN128),2)=0.33),
ROUND(
ROUND(((TRUNC(($AN128+0.01)*3/13,0)+0.99)*VLOOKUP((TRUNC(($AN128+0.01)*3/13,0)+0.99),'Tax scales - NAT 3539'!$A$127:$C$154,2,1)-VLOOKUP((TRUNC(($AN128+0.01)*3/13,0)+0.99),'Tax scales - NAT 3539'!$A$127:$C$154,3,1)),0)
*13/3,
0),
IF($E$2="Monthly",
ROUND(
ROUND(((TRUNC($AN128*3/13,0)+0.99)*VLOOKUP((TRUNC($AN128*3/13,0)+0.99),'Tax scales - NAT 3539'!$A$127:$C$154,2,1)-VLOOKUP((TRUNC($AN128*3/13,0)+0.99),'Tax scales - NAT 3539'!$A$127:$C$154,3,1)),0)
*13/3,
0),
""))),
""),
"")</f>
        <v/>
      </c>
      <c r="AZ128" s="118">
        <f>IFERROR(
HLOOKUP(VLOOKUP($C128,'Employee information'!$B:$M,COLUMNS('Employee information'!$B:$M),0),'PAYG worksheet'!$AO$126:$AY$145,COUNTA($C$127:$C128)+1,0),
0)</f>
        <v>0</v>
      </c>
      <c r="BA128" s="118"/>
      <c r="BB128" s="118">
        <f t="shared" ref="BB128:BB145" si="139">IFERROR($AM128-$AZ128-$BA128,"")</f>
        <v>0</v>
      </c>
      <c r="BC128" s="119">
        <f>IFERROR(
IF(OR($AE128=1,$AE128=""),SUM($P128,$AA128,$AC128,$AK128)*VLOOKUP($C128,'Employee information'!$B:$Q,COLUMNS('Employee information'!$B:$H),0),
IF($AE128=0,SUM($P128,$AA128,$AK128)*VLOOKUP($C128,'Employee information'!$B:$Q,COLUMNS('Employee information'!$B:$H),0),
0)),
0)</f>
        <v>0</v>
      </c>
      <c r="BE128" s="114">
        <f t="shared" si="124"/>
        <v>1615.3846153846152</v>
      </c>
      <c r="BF128" s="114">
        <f t="shared" si="125"/>
        <v>1615.3846153846152</v>
      </c>
      <c r="BG128" s="114">
        <f t="shared" si="126"/>
        <v>0</v>
      </c>
      <c r="BH128" s="114">
        <f t="shared" si="127"/>
        <v>0</v>
      </c>
      <c r="BI128" s="114">
        <f t="shared" si="128"/>
        <v>474</v>
      </c>
      <c r="BJ128" s="114">
        <f t="shared" si="129"/>
        <v>0</v>
      </c>
      <c r="BK128" s="114">
        <f t="shared" si="130"/>
        <v>0</v>
      </c>
      <c r="BL128" s="114">
        <f t="shared" ref="BL128:BL145" si="140">IF(AND($E$2="Monthly",$A128&gt;12),"",
SUMIFS($AK:$AK,$C:$C,$C128,$A:$A,"&lt;="&amp;$A128)
)</f>
        <v>0</v>
      </c>
      <c r="BM128" s="114">
        <f t="shared" si="131"/>
        <v>153.46153846153845</v>
      </c>
    </row>
    <row r="129" spans="1:65" x14ac:dyDescent="0.25">
      <c r="A129" s="228">
        <f t="shared" si="119"/>
        <v>5</v>
      </c>
      <c r="C129" s="278" t="s">
        <v>14</v>
      </c>
      <c r="E129" s="103">
        <f>IF($C129="",0,
IF(AND($E$2="Monthly",$A129&gt;12),0,
IF($E$2="Monthly",VLOOKUP($C129,'Employee information'!$B:$AM,COLUMNS('Employee information'!$B:S),0),
IF($E$2="Fortnightly",VLOOKUP($C129,'Employee information'!$B:$AM,COLUMNS('Employee information'!$B:R),0),
0))))</f>
        <v>0</v>
      </c>
      <c r="F129" s="106"/>
      <c r="G129" s="106"/>
      <c r="H129" s="106"/>
      <c r="I129" s="106"/>
      <c r="J129" s="103">
        <f t="shared" si="132"/>
        <v>0</v>
      </c>
      <c r="L129" s="113">
        <f>IF(AND($E$2="Monthly",$A129&gt;12),"",
IFERROR($J129*VLOOKUP($C129,'Employee information'!$B:$AI,COLUMNS('Employee information'!$B:$P),0),0))</f>
        <v>0</v>
      </c>
      <c r="M129" s="114">
        <f t="shared" si="133"/>
        <v>900</v>
      </c>
      <c r="O129" s="103">
        <f t="shared" si="134"/>
        <v>0</v>
      </c>
      <c r="P129" s="113">
        <f>IFERROR(
IF(AND($E$2="Monthly",$A129&gt;12),0,
$O129*VLOOKUP($C129,'Employee information'!$B:$AI,COLUMNS('Employee information'!$B:$P),0)),
0)</f>
        <v>0</v>
      </c>
      <c r="R129" s="114">
        <f t="shared" si="120"/>
        <v>900</v>
      </c>
      <c r="T129" s="103"/>
      <c r="U129" s="103"/>
      <c r="V129" s="282">
        <f>IF($C129="","",
IF(AND($E$2="Monthly",$A129&gt;12),"",
$T129*VLOOKUP($C129,'Employee information'!$B:$P,COLUMNS('Employee information'!$B:$P),0)))</f>
        <v>0</v>
      </c>
      <c r="W129" s="282">
        <f>IF($C129="","",
IF(AND($E$2="Monthly",$A129&gt;12),"",
$U129*VLOOKUP($C129,'Employee information'!$B:$P,COLUMNS('Employee information'!$B:$P),0)))</f>
        <v>0</v>
      </c>
      <c r="X129" s="114">
        <f t="shared" si="121"/>
        <v>0</v>
      </c>
      <c r="Y129" s="114">
        <f t="shared" si="122"/>
        <v>0</v>
      </c>
      <c r="AA129" s="118">
        <f>IFERROR(
IF(OR('Basic payroll data'!$D$12="",'Basic payroll data'!$D$12="No"),0,
$T129*VLOOKUP($C129,'Employee information'!$B:$P,COLUMNS('Employee information'!$B:$P),0)*AL_loading_perc),
0)</f>
        <v>0</v>
      </c>
      <c r="AC129" s="118"/>
      <c r="AD129" s="118"/>
      <c r="AE129" s="283" t="str">
        <f t="shared" si="135"/>
        <v/>
      </c>
      <c r="AF129" s="283" t="str">
        <f t="shared" si="136"/>
        <v/>
      </c>
      <c r="AG129" s="118"/>
      <c r="AH129" s="118"/>
      <c r="AI129" s="283" t="str">
        <f t="shared" si="137"/>
        <v/>
      </c>
      <c r="AJ129" s="118"/>
      <c r="AK129" s="118"/>
      <c r="AM129" s="118">
        <f t="shared" si="138"/>
        <v>0</v>
      </c>
      <c r="AN129" s="118">
        <f t="shared" si="123"/>
        <v>0</v>
      </c>
      <c r="AO129" s="118" t="str">
        <f>IFERROR(
IF(VLOOKUP($C129,'Employee information'!$B:$M,COLUMNS('Employee information'!$B:$M),0)=1,
IF($E$2="Fortnightly",
ROUND(
ROUND((((TRUNC($AN129/2,0)+0.99))*VLOOKUP((TRUNC($AN129/2,0)+0.99),'Tax scales - NAT 1004'!$A$12:$C$18,2,1)-VLOOKUP((TRUNC($AN129/2,0)+0.99),'Tax scales - NAT 1004'!$A$12:$C$18,3,1)),0)
*2,
0),
IF(AND($E$2="Monthly",ROUND($AN129-TRUNC($AN129),2)=0.33),
ROUND(
ROUND(((TRUNC(($AN129+0.01)*3/13,0)+0.99)*VLOOKUP((TRUNC(($AN129+0.01)*3/13,0)+0.99),'Tax scales - NAT 1004'!$A$12:$C$18,2,1)-VLOOKUP((TRUNC(($AN129+0.01)*3/13,0)+0.99),'Tax scales - NAT 1004'!$A$12:$C$18,3,1)),0)
*13/3,
0),
IF($E$2="Monthly",
ROUND(
ROUND(((TRUNC($AN129*3/13,0)+0.99)*VLOOKUP((TRUNC($AN129*3/13,0)+0.99),'Tax scales - NAT 1004'!$A$12:$C$18,2,1)-VLOOKUP((TRUNC($AN129*3/13,0)+0.99),'Tax scales - NAT 1004'!$A$12:$C$18,3,1)),0)
*13/3,
0),
""))),
""),
"")</f>
        <v/>
      </c>
      <c r="AP129" s="118" t="str">
        <f>IFERROR(
IF(VLOOKUP($C129,'Employee information'!$B:$M,COLUMNS('Employee information'!$B:$M),0)=2,
IF($E$2="Fortnightly",
ROUND(
ROUND((((TRUNC($AN129/2,0)+0.99))*VLOOKUP((TRUNC($AN129/2,0)+0.99),'Tax scales - NAT 1004'!$A$25:$C$33,2,1)-VLOOKUP((TRUNC($AN129/2,0)+0.99),'Tax scales - NAT 1004'!$A$25:$C$33,3,1)),0)
*2,
0),
IF(AND($E$2="Monthly",ROUND($AN129-TRUNC($AN129),2)=0.33),
ROUND(
ROUND(((TRUNC(($AN129+0.01)*3/13,0)+0.99)*VLOOKUP((TRUNC(($AN129+0.01)*3/13,0)+0.99),'Tax scales - NAT 1004'!$A$25:$C$33,2,1)-VLOOKUP((TRUNC(($AN129+0.01)*3/13,0)+0.99),'Tax scales - NAT 1004'!$A$25:$C$33,3,1)),0)
*13/3,
0),
IF($E$2="Monthly",
ROUND(
ROUND(((TRUNC($AN129*3/13,0)+0.99)*VLOOKUP((TRUNC($AN129*3/13,0)+0.99),'Tax scales - NAT 1004'!$A$25:$C$33,2,1)-VLOOKUP((TRUNC($AN129*3/13,0)+0.99),'Tax scales - NAT 1004'!$A$25:$C$33,3,1)),0)
*13/3,
0),
""))),
""),
"")</f>
        <v/>
      </c>
      <c r="AQ129" s="118" t="str">
        <f>IFERROR(
IF(VLOOKUP($C129,'Employee information'!$B:$M,COLUMNS('Employee information'!$B:$M),0)=3,
IF($E$2="Fortnightly",
ROUND(
ROUND((((TRUNC($AN129/2,0)+0.99))*VLOOKUP((TRUNC($AN129/2,0)+0.99),'Tax scales - NAT 1004'!$A$39:$C$41,2,1)-VLOOKUP((TRUNC($AN129/2,0)+0.99),'Tax scales - NAT 1004'!$A$39:$C$41,3,1)),0)
*2,
0),
IF(AND($E$2="Monthly",ROUND($AN129-TRUNC($AN129),2)=0.33),
ROUND(
ROUND(((TRUNC(($AN129+0.01)*3/13,0)+0.99)*VLOOKUP((TRUNC(($AN129+0.01)*3/13,0)+0.99),'Tax scales - NAT 1004'!$A$39:$C$41,2,1)-VLOOKUP((TRUNC(($AN129+0.01)*3/13,0)+0.99),'Tax scales - NAT 1004'!$A$39:$C$41,3,1)),0)
*13/3,
0),
IF($E$2="Monthly",
ROUND(
ROUND(((TRUNC($AN129*3/13,0)+0.99)*VLOOKUP((TRUNC($AN129*3/13,0)+0.99),'Tax scales - NAT 1004'!$A$39:$C$41,2,1)-VLOOKUP((TRUNC($AN129*3/13,0)+0.99),'Tax scales - NAT 1004'!$A$39:$C$41,3,1)),0)
*13/3,
0),
""))),
""),
"")</f>
        <v/>
      </c>
      <c r="AR129" s="118" t="str">
        <f>IFERROR(
IF(AND(VLOOKUP($C129,'Employee information'!$B:$M,COLUMNS('Employee information'!$B:$M),0)=4,
VLOOKUP($C129,'Employee information'!$B:$J,COLUMNS('Employee information'!$B:$J),0)="Resident"),
TRUNC(TRUNC($AN129)*'Tax scales - NAT 1004'!$B$47),
IF(AND(VLOOKUP($C129,'Employee information'!$B:$M,COLUMNS('Employee information'!$B:$M),0)=4,
VLOOKUP($C129,'Employee information'!$B:$J,COLUMNS('Employee information'!$B:$J),0)="Foreign resident"),
TRUNC(TRUNC($AN129)*'Tax scales - NAT 1004'!$B$48),
"")),
"")</f>
        <v/>
      </c>
      <c r="AS129" s="118" t="str">
        <f>IFERROR(
IF(VLOOKUP($C129,'Employee information'!$B:$M,COLUMNS('Employee information'!$B:$M),0)=5,
IF($E$2="Fortnightly",
ROUND(
ROUND((((TRUNC($AN129/2,0)+0.99))*VLOOKUP((TRUNC($AN129/2,0)+0.99),'Tax scales - NAT 1004'!$A$53:$C$59,2,1)-VLOOKUP((TRUNC($AN129/2,0)+0.99),'Tax scales - NAT 1004'!$A$53:$C$59,3,1)),0)
*2,
0),
IF(AND($E$2="Monthly",ROUND($AN129-TRUNC($AN129),2)=0.33),
ROUND(
ROUND(((TRUNC(($AN129+0.01)*3/13,0)+0.99)*VLOOKUP((TRUNC(($AN129+0.01)*3/13,0)+0.99),'Tax scales - NAT 1004'!$A$53:$C$59,2,1)-VLOOKUP((TRUNC(($AN129+0.01)*3/13,0)+0.99),'Tax scales - NAT 1004'!$A$53:$C$59,3,1)),0)
*13/3,
0),
IF($E$2="Monthly",
ROUND(
ROUND(((TRUNC($AN129*3/13,0)+0.99)*VLOOKUP((TRUNC($AN129*3/13,0)+0.99),'Tax scales - NAT 1004'!$A$53:$C$59,2,1)-VLOOKUP((TRUNC($AN129*3/13,0)+0.99),'Tax scales - NAT 1004'!$A$53:$C$59,3,1)),0)
*13/3,
0),
""))),
""),
"")</f>
        <v/>
      </c>
      <c r="AT129" s="118" t="str">
        <f>IFERROR(
IF(VLOOKUP($C129,'Employee information'!$B:$M,COLUMNS('Employee information'!$B:$M),0)=6,
IF($E$2="Fortnightly",
ROUND(
ROUND((((TRUNC($AN129/2,0)+0.99))*VLOOKUP((TRUNC($AN129/2,0)+0.99),'Tax scales - NAT 1004'!$A$65:$C$73,2,1)-VLOOKUP((TRUNC($AN129/2,0)+0.99),'Tax scales - NAT 1004'!$A$65:$C$73,3,1)),0)
*2,
0),
IF(AND($E$2="Monthly",ROUND($AN129-TRUNC($AN129),2)=0.33),
ROUND(
ROUND(((TRUNC(($AN129+0.01)*3/13,0)+0.99)*VLOOKUP((TRUNC(($AN129+0.01)*3/13,0)+0.99),'Tax scales - NAT 1004'!$A$65:$C$73,2,1)-VLOOKUP((TRUNC(($AN129+0.01)*3/13,0)+0.99),'Tax scales - NAT 1004'!$A$65:$C$73,3,1)),0)
*13/3,
0),
IF($E$2="Monthly",
ROUND(
ROUND(((TRUNC($AN129*3/13,0)+0.99)*VLOOKUP((TRUNC($AN129*3/13,0)+0.99),'Tax scales - NAT 1004'!$A$65:$C$73,2,1)-VLOOKUP((TRUNC($AN129*3/13,0)+0.99),'Tax scales - NAT 1004'!$A$65:$C$73,3,1)),0)
*13/3,
0),
""))),
""),
"")</f>
        <v/>
      </c>
      <c r="AU129" s="118" t="str">
        <f>IFERROR(
IF(VLOOKUP($C129,'Employee information'!$B:$M,COLUMNS('Employee information'!$B:$M),0)=11,
IF($E$2="Fortnightly",
ROUND(
ROUND((((TRUNC($AN129/2,0)+0.99))*VLOOKUP((TRUNC($AN129/2,0)+0.99),'Tax scales - NAT 3539'!$A$14:$C$38,2,1)-VLOOKUP((TRUNC($AN129/2,0)+0.99),'Tax scales - NAT 3539'!$A$14:$C$38,3,1)),0)
*2,
0),
IF(AND($E$2="Monthly",ROUND($AN129-TRUNC($AN129),2)=0.33),
ROUND(
ROUND(((TRUNC(($AN129+0.01)*3/13,0)+0.99)*VLOOKUP((TRUNC(($AN129+0.01)*3/13,0)+0.99),'Tax scales - NAT 3539'!$A$14:$C$38,2,1)-VLOOKUP((TRUNC(($AN129+0.01)*3/13,0)+0.99),'Tax scales - NAT 3539'!$A$14:$C$38,3,1)),0)
*13/3,
0),
IF($E$2="Monthly",
ROUND(
ROUND(((TRUNC($AN129*3/13,0)+0.99)*VLOOKUP((TRUNC($AN129*3/13,0)+0.99),'Tax scales - NAT 3539'!$A$14:$C$38,2,1)-VLOOKUP((TRUNC($AN129*3/13,0)+0.99),'Tax scales - NAT 3539'!$A$14:$C$38,3,1)),0)
*13/3,
0),
""))),
""),
"")</f>
        <v/>
      </c>
      <c r="AV129" s="118" t="str">
        <f>IFERROR(
IF(VLOOKUP($C129,'Employee information'!$B:$M,COLUMNS('Employee information'!$B:$M),0)=22,
IF($E$2="Fortnightly",
ROUND(
ROUND((((TRUNC($AN129/2,0)+0.99))*VLOOKUP((TRUNC($AN129/2,0)+0.99),'Tax scales - NAT 3539'!$A$43:$C$69,2,1)-VLOOKUP((TRUNC($AN129/2,0)+0.99),'Tax scales - NAT 3539'!$A$43:$C$69,3,1)),0)
*2,
0),
IF(AND($E$2="Monthly",ROUND($AN129-TRUNC($AN129),2)=0.33),
ROUND(
ROUND(((TRUNC(($AN129+0.01)*3/13,0)+0.99)*VLOOKUP((TRUNC(($AN129+0.01)*3/13,0)+0.99),'Tax scales - NAT 3539'!$A$43:$C$69,2,1)-VLOOKUP((TRUNC(($AN129+0.01)*3/13,0)+0.99),'Tax scales - NAT 3539'!$A$43:$C$69,3,1)),0)
*13/3,
0),
IF($E$2="Monthly",
ROUND(
ROUND(((TRUNC($AN129*3/13,0)+0.99)*VLOOKUP((TRUNC($AN129*3/13,0)+0.99),'Tax scales - NAT 3539'!$A$43:$C$69,2,1)-VLOOKUP((TRUNC($AN129*3/13,0)+0.99),'Tax scales - NAT 3539'!$A$43:$C$69,3,1)),0)
*13/3,
0),
""))),
""),
"")</f>
        <v/>
      </c>
      <c r="AW129" s="118">
        <f>IFERROR(
IF(VLOOKUP($C129,'Employee information'!$B:$M,COLUMNS('Employee information'!$B:$M),0)=33,
IF($E$2="Fortnightly",
ROUND(
ROUND((((TRUNC($AN129/2,0)+0.99))*VLOOKUP((TRUNC($AN129/2,0)+0.99),'Tax scales - NAT 3539'!$A$74:$C$94,2,1)-VLOOKUP((TRUNC($AN129/2,0)+0.99),'Tax scales - NAT 3539'!$A$74:$C$94,3,1)),0)
*2,
0),
IF(AND($E$2="Monthly",ROUND($AN129-TRUNC($AN129),2)=0.33),
ROUND(
ROUND(((TRUNC(($AN129+0.01)*3/13,0)+0.99)*VLOOKUP((TRUNC(($AN129+0.01)*3/13,0)+0.99),'Tax scales - NAT 3539'!$A$74:$C$94,2,1)-VLOOKUP((TRUNC(($AN129+0.01)*3/13,0)+0.99),'Tax scales - NAT 3539'!$A$74:$C$94,3,1)),0)
*13/3,
0),
IF($E$2="Monthly",
ROUND(
ROUND(((TRUNC($AN129*3/13,0)+0.99)*VLOOKUP((TRUNC($AN129*3/13,0)+0.99),'Tax scales - NAT 3539'!$A$74:$C$94,2,1)-VLOOKUP((TRUNC($AN129*3/13,0)+0.99),'Tax scales - NAT 3539'!$A$74:$C$94,3,1)),0)
*13/3,
0),
""))),
""),
"")</f>
        <v>0</v>
      </c>
      <c r="AX129" s="118" t="str">
        <f>IFERROR(
IF(VLOOKUP($C129,'Employee information'!$B:$M,COLUMNS('Employee information'!$B:$M),0)=55,
IF($E$2="Fortnightly",
ROUND(
ROUND((((TRUNC($AN129/2,0)+0.99))*VLOOKUP((TRUNC($AN129/2,0)+0.99),'Tax scales - NAT 3539'!$A$99:$C$123,2,1)-VLOOKUP((TRUNC($AN129/2,0)+0.99),'Tax scales - NAT 3539'!$A$99:$C$123,3,1)),0)
*2,
0),
IF(AND($E$2="Monthly",ROUND($AN129-TRUNC($AN129),2)=0.33),
ROUND(
ROUND(((TRUNC(($AN129+0.01)*3/13,0)+0.99)*VLOOKUP((TRUNC(($AN129+0.01)*3/13,0)+0.99),'Tax scales - NAT 3539'!$A$99:$C$123,2,1)-VLOOKUP((TRUNC(($AN129+0.01)*3/13,0)+0.99),'Tax scales - NAT 3539'!$A$99:$C$123,3,1)),0)
*13/3,
0),
IF($E$2="Monthly",
ROUND(
ROUND(((TRUNC($AN129*3/13,0)+0.99)*VLOOKUP((TRUNC($AN129*3/13,0)+0.99),'Tax scales - NAT 3539'!$A$99:$C$123,2,1)-VLOOKUP((TRUNC($AN129*3/13,0)+0.99),'Tax scales - NAT 3539'!$A$99:$C$123,3,1)),0)
*13/3,
0),
""))),
""),
"")</f>
        <v/>
      </c>
      <c r="AY129" s="118" t="str">
        <f>IFERROR(
IF(VLOOKUP($C129,'Employee information'!$B:$M,COLUMNS('Employee information'!$B:$M),0)=66,
IF($E$2="Fortnightly",
ROUND(
ROUND((((TRUNC($AN129/2,0)+0.99))*VLOOKUP((TRUNC($AN129/2,0)+0.99),'Tax scales - NAT 3539'!$A$127:$C$154,2,1)-VLOOKUP((TRUNC($AN129/2,0)+0.99),'Tax scales - NAT 3539'!$A$127:$C$154,3,1)),0)
*2,
0),
IF(AND($E$2="Monthly",ROUND($AN129-TRUNC($AN129),2)=0.33),
ROUND(
ROUND(((TRUNC(($AN129+0.01)*3/13,0)+0.99)*VLOOKUP((TRUNC(($AN129+0.01)*3/13,0)+0.99),'Tax scales - NAT 3539'!$A$127:$C$154,2,1)-VLOOKUP((TRUNC(($AN129+0.01)*3/13,0)+0.99),'Tax scales - NAT 3539'!$A$127:$C$154,3,1)),0)
*13/3,
0),
IF($E$2="Monthly",
ROUND(
ROUND(((TRUNC($AN129*3/13,0)+0.99)*VLOOKUP((TRUNC($AN129*3/13,0)+0.99),'Tax scales - NAT 3539'!$A$127:$C$154,2,1)-VLOOKUP((TRUNC($AN129*3/13,0)+0.99),'Tax scales - NAT 3539'!$A$127:$C$154,3,1)),0)
*13/3,
0),
""))),
""),
"")</f>
        <v/>
      </c>
      <c r="AZ129" s="118">
        <f>IFERROR(
HLOOKUP(VLOOKUP($C129,'Employee information'!$B:$M,COLUMNS('Employee information'!$B:$M),0),'PAYG worksheet'!$AO$126:$AY$145,COUNTA($C$127:$C129)+1,0),
0)</f>
        <v>0</v>
      </c>
      <c r="BA129" s="118"/>
      <c r="BB129" s="118">
        <f t="shared" si="139"/>
        <v>0</v>
      </c>
      <c r="BC129" s="119">
        <f>IFERROR(
IF(OR($AE129=1,$AE129=""),SUM($P129,$AA129,$AC129,$AK129)*VLOOKUP($C129,'Employee information'!$B:$Q,COLUMNS('Employee information'!$B:$H),0),
IF($AE129=0,SUM($P129,$AA129,$AK129)*VLOOKUP($C129,'Employee information'!$B:$Q,COLUMNS('Employee information'!$B:$H),0),
0)),
0)</f>
        <v>0</v>
      </c>
      <c r="BE129" s="114">
        <f t="shared" si="124"/>
        <v>900</v>
      </c>
      <c r="BF129" s="114">
        <f t="shared" si="125"/>
        <v>900</v>
      </c>
      <c r="BG129" s="114">
        <f t="shared" si="126"/>
        <v>0</v>
      </c>
      <c r="BH129" s="114">
        <f t="shared" si="127"/>
        <v>0</v>
      </c>
      <c r="BI129" s="114">
        <f t="shared" si="128"/>
        <v>292</v>
      </c>
      <c r="BJ129" s="114">
        <f t="shared" si="129"/>
        <v>0</v>
      </c>
      <c r="BK129" s="114">
        <f t="shared" si="130"/>
        <v>0</v>
      </c>
      <c r="BL129" s="114">
        <f t="shared" si="140"/>
        <v>0</v>
      </c>
      <c r="BM129" s="114">
        <f t="shared" si="131"/>
        <v>85.5</v>
      </c>
    </row>
    <row r="130" spans="1:65" x14ac:dyDescent="0.25">
      <c r="A130" s="228">
        <f t="shared" si="119"/>
        <v>5</v>
      </c>
      <c r="C130" s="278" t="s">
        <v>15</v>
      </c>
      <c r="E130" s="103">
        <f>IF($C130="",0,
IF(AND($E$2="Monthly",$A130&gt;12),0,
IF($E$2="Monthly",VLOOKUP($C130,'Employee information'!$B:$AM,COLUMNS('Employee information'!$B:S),0),
IF($E$2="Fortnightly",VLOOKUP($C130,'Employee information'!$B:$AM,COLUMNS('Employee information'!$B:R),0),
0))))</f>
        <v>75</v>
      </c>
      <c r="F130" s="106"/>
      <c r="G130" s="106"/>
      <c r="H130" s="106"/>
      <c r="I130" s="106"/>
      <c r="J130" s="103">
        <f t="shared" si="132"/>
        <v>75</v>
      </c>
      <c r="L130" s="113">
        <f>IF(AND($E$2="Monthly",$A130&gt;12),"",
IFERROR($J130*VLOOKUP($C130,'Employee information'!$B:$AI,COLUMNS('Employee information'!$B:$P),0),0))</f>
        <v>7692.3076923076924</v>
      </c>
      <c r="M130" s="114">
        <f t="shared" si="133"/>
        <v>38461.538461538461</v>
      </c>
      <c r="O130" s="103">
        <f t="shared" si="134"/>
        <v>75</v>
      </c>
      <c r="P130" s="113">
        <f>IFERROR(
IF(AND($E$2="Monthly",$A130&gt;12),0,
$O130*VLOOKUP($C130,'Employee information'!$B:$AI,COLUMNS('Employee information'!$B:$P),0)),
0)</f>
        <v>7692.3076923076924</v>
      </c>
      <c r="R130" s="114">
        <f t="shared" si="120"/>
        <v>38461.538461538461</v>
      </c>
      <c r="T130" s="103"/>
      <c r="U130" s="103"/>
      <c r="V130" s="282">
        <f>IF($C130="","",
IF(AND($E$2="Monthly",$A130&gt;12),"",
$T130*VLOOKUP($C130,'Employee information'!$B:$P,COLUMNS('Employee information'!$B:$P),0)))</f>
        <v>0</v>
      </c>
      <c r="W130" s="282">
        <f>IF($C130="","",
IF(AND($E$2="Monthly",$A130&gt;12),"",
$U130*VLOOKUP($C130,'Employee information'!$B:$P,COLUMNS('Employee information'!$B:$P),0)))</f>
        <v>0</v>
      </c>
      <c r="X130" s="114">
        <f t="shared" si="121"/>
        <v>1538.4615384615386</v>
      </c>
      <c r="Y130" s="114">
        <f t="shared" si="122"/>
        <v>512.82051282051282</v>
      </c>
      <c r="AA130" s="118">
        <f>IFERROR(
IF(OR('Basic payroll data'!$D$12="",'Basic payroll data'!$D$12="No"),0,
$T130*VLOOKUP($C130,'Employee information'!$B:$P,COLUMNS('Employee information'!$B:$P),0)*AL_loading_perc),
0)</f>
        <v>0</v>
      </c>
      <c r="AC130" s="118"/>
      <c r="AD130" s="118"/>
      <c r="AE130" s="283" t="str">
        <f t="shared" si="135"/>
        <v/>
      </c>
      <c r="AF130" s="283" t="str">
        <f t="shared" si="136"/>
        <v/>
      </c>
      <c r="AG130" s="118"/>
      <c r="AH130" s="118"/>
      <c r="AI130" s="283" t="str">
        <f t="shared" si="137"/>
        <v/>
      </c>
      <c r="AJ130" s="118"/>
      <c r="AK130" s="118"/>
      <c r="AM130" s="118">
        <f t="shared" si="138"/>
        <v>7692.3076923076924</v>
      </c>
      <c r="AN130" s="118">
        <f t="shared" si="123"/>
        <v>7692.3076923076924</v>
      </c>
      <c r="AO130" s="118" t="str">
        <f>IFERROR(
IF(VLOOKUP($C130,'Employee information'!$B:$M,COLUMNS('Employee information'!$B:$M),0)=1,
IF($E$2="Fortnightly",
ROUND(
ROUND((((TRUNC($AN130/2,0)+0.99))*VLOOKUP((TRUNC($AN130/2,0)+0.99),'Tax scales - NAT 1004'!$A$12:$C$18,2,1)-VLOOKUP((TRUNC($AN130/2,0)+0.99),'Tax scales - NAT 1004'!$A$12:$C$18,3,1)),0)
*2,
0),
IF(AND($E$2="Monthly",ROUND($AN130-TRUNC($AN130),2)=0.33),
ROUND(
ROUND(((TRUNC(($AN130+0.01)*3/13,0)+0.99)*VLOOKUP((TRUNC(($AN130+0.01)*3/13,0)+0.99),'Tax scales - NAT 1004'!$A$12:$C$18,2,1)-VLOOKUP((TRUNC(($AN130+0.01)*3/13,0)+0.99),'Tax scales - NAT 1004'!$A$12:$C$18,3,1)),0)
*13/3,
0),
IF($E$2="Monthly",
ROUND(
ROUND(((TRUNC($AN130*3/13,0)+0.99)*VLOOKUP((TRUNC($AN130*3/13,0)+0.99),'Tax scales - NAT 1004'!$A$12:$C$18,2,1)-VLOOKUP((TRUNC($AN130*3/13,0)+0.99),'Tax scales - NAT 1004'!$A$12:$C$18,3,1)),0)
*13/3,
0),
""))),
""),
"")</f>
        <v/>
      </c>
      <c r="AP130" s="118" t="str">
        <f>IFERROR(
IF(VLOOKUP($C130,'Employee information'!$B:$M,COLUMNS('Employee information'!$B:$M),0)=2,
IF($E$2="Fortnightly",
ROUND(
ROUND((((TRUNC($AN130/2,0)+0.99))*VLOOKUP((TRUNC($AN130/2,0)+0.99),'Tax scales - NAT 1004'!$A$25:$C$33,2,1)-VLOOKUP((TRUNC($AN130/2,0)+0.99),'Tax scales - NAT 1004'!$A$25:$C$33,3,1)),0)
*2,
0),
IF(AND($E$2="Monthly",ROUND($AN130-TRUNC($AN130),2)=0.33),
ROUND(
ROUND(((TRUNC(($AN130+0.01)*3/13,0)+0.99)*VLOOKUP((TRUNC(($AN130+0.01)*3/13,0)+0.99),'Tax scales - NAT 1004'!$A$25:$C$33,2,1)-VLOOKUP((TRUNC(($AN130+0.01)*3/13,0)+0.99),'Tax scales - NAT 1004'!$A$25:$C$33,3,1)),0)
*13/3,
0),
IF($E$2="Monthly",
ROUND(
ROUND(((TRUNC($AN130*3/13,0)+0.99)*VLOOKUP((TRUNC($AN130*3/13,0)+0.99),'Tax scales - NAT 1004'!$A$25:$C$33,2,1)-VLOOKUP((TRUNC($AN130*3/13,0)+0.99),'Tax scales - NAT 1004'!$A$25:$C$33,3,1)),0)
*13/3,
0),
""))),
""),
"")</f>
        <v/>
      </c>
      <c r="AQ130" s="118" t="str">
        <f>IFERROR(
IF(VLOOKUP($C130,'Employee information'!$B:$M,COLUMNS('Employee information'!$B:$M),0)=3,
IF($E$2="Fortnightly",
ROUND(
ROUND((((TRUNC($AN130/2,0)+0.99))*VLOOKUP((TRUNC($AN130/2,0)+0.99),'Tax scales - NAT 1004'!$A$39:$C$41,2,1)-VLOOKUP((TRUNC($AN130/2,0)+0.99),'Tax scales - NAT 1004'!$A$39:$C$41,3,1)),0)
*2,
0),
IF(AND($E$2="Monthly",ROUND($AN130-TRUNC($AN130),2)=0.33),
ROUND(
ROUND(((TRUNC(($AN130+0.01)*3/13,0)+0.99)*VLOOKUP((TRUNC(($AN130+0.01)*3/13,0)+0.99),'Tax scales - NAT 1004'!$A$39:$C$41,2,1)-VLOOKUP((TRUNC(($AN130+0.01)*3/13,0)+0.99),'Tax scales - NAT 1004'!$A$39:$C$41,3,1)),0)
*13/3,
0),
IF($E$2="Monthly",
ROUND(
ROUND(((TRUNC($AN130*3/13,0)+0.99)*VLOOKUP((TRUNC($AN130*3/13,0)+0.99),'Tax scales - NAT 1004'!$A$39:$C$41,2,1)-VLOOKUP((TRUNC($AN130*3/13,0)+0.99),'Tax scales - NAT 1004'!$A$39:$C$41,3,1)),0)
*13/3,
0),
""))),
""),
"")</f>
        <v/>
      </c>
      <c r="AR130" s="118" t="str">
        <f>IFERROR(
IF(AND(VLOOKUP($C130,'Employee information'!$B:$M,COLUMNS('Employee information'!$B:$M),0)=4,
VLOOKUP($C130,'Employee information'!$B:$J,COLUMNS('Employee information'!$B:$J),0)="Resident"),
TRUNC(TRUNC($AN130)*'Tax scales - NAT 1004'!$B$47),
IF(AND(VLOOKUP($C130,'Employee information'!$B:$M,COLUMNS('Employee information'!$B:$M),0)=4,
VLOOKUP($C130,'Employee information'!$B:$J,COLUMNS('Employee information'!$B:$J),0)="Foreign resident"),
TRUNC(TRUNC($AN130)*'Tax scales - NAT 1004'!$B$48),
"")),
"")</f>
        <v/>
      </c>
      <c r="AS130" s="118" t="str">
        <f>IFERROR(
IF(VLOOKUP($C130,'Employee information'!$B:$M,COLUMNS('Employee information'!$B:$M),0)=5,
IF($E$2="Fortnightly",
ROUND(
ROUND((((TRUNC($AN130/2,0)+0.99))*VLOOKUP((TRUNC($AN130/2,0)+0.99),'Tax scales - NAT 1004'!$A$53:$C$59,2,1)-VLOOKUP((TRUNC($AN130/2,0)+0.99),'Tax scales - NAT 1004'!$A$53:$C$59,3,1)),0)
*2,
0),
IF(AND($E$2="Monthly",ROUND($AN130-TRUNC($AN130),2)=0.33),
ROUND(
ROUND(((TRUNC(($AN130+0.01)*3/13,0)+0.99)*VLOOKUP((TRUNC(($AN130+0.01)*3/13,0)+0.99),'Tax scales - NAT 1004'!$A$53:$C$59,2,1)-VLOOKUP((TRUNC(($AN130+0.01)*3/13,0)+0.99),'Tax scales - NAT 1004'!$A$53:$C$59,3,1)),0)
*13/3,
0),
IF($E$2="Monthly",
ROUND(
ROUND(((TRUNC($AN130*3/13,0)+0.99)*VLOOKUP((TRUNC($AN130*3/13,0)+0.99),'Tax scales - NAT 1004'!$A$53:$C$59,2,1)-VLOOKUP((TRUNC($AN130*3/13,0)+0.99),'Tax scales - NAT 1004'!$A$53:$C$59,3,1)),0)
*13/3,
0),
""))),
""),
"")</f>
        <v/>
      </c>
      <c r="AT130" s="118" t="str">
        <f>IFERROR(
IF(VLOOKUP($C130,'Employee information'!$B:$M,COLUMNS('Employee information'!$B:$M),0)=6,
IF($E$2="Fortnightly",
ROUND(
ROUND((((TRUNC($AN130/2,0)+0.99))*VLOOKUP((TRUNC($AN130/2,0)+0.99),'Tax scales - NAT 1004'!$A$65:$C$73,2,1)-VLOOKUP((TRUNC($AN130/2,0)+0.99),'Tax scales - NAT 1004'!$A$65:$C$73,3,1)),0)
*2,
0),
IF(AND($E$2="Monthly",ROUND($AN130-TRUNC($AN130),2)=0.33),
ROUND(
ROUND(((TRUNC(($AN130+0.01)*3/13,0)+0.99)*VLOOKUP((TRUNC(($AN130+0.01)*3/13,0)+0.99),'Tax scales - NAT 1004'!$A$65:$C$73,2,1)-VLOOKUP((TRUNC(($AN130+0.01)*3/13,0)+0.99),'Tax scales - NAT 1004'!$A$65:$C$73,3,1)),0)
*13/3,
0),
IF($E$2="Monthly",
ROUND(
ROUND(((TRUNC($AN130*3/13,0)+0.99)*VLOOKUP((TRUNC($AN130*3/13,0)+0.99),'Tax scales - NAT 1004'!$A$65:$C$73,2,1)-VLOOKUP((TRUNC($AN130*3/13,0)+0.99),'Tax scales - NAT 1004'!$A$65:$C$73,3,1)),0)
*13/3,
0),
""))),
""),
"")</f>
        <v/>
      </c>
      <c r="AU130" s="118" t="str">
        <f>IFERROR(
IF(VLOOKUP($C130,'Employee information'!$B:$M,COLUMNS('Employee information'!$B:$M),0)=11,
IF($E$2="Fortnightly",
ROUND(
ROUND((((TRUNC($AN130/2,0)+0.99))*VLOOKUP((TRUNC($AN130/2,0)+0.99),'Tax scales - NAT 3539'!$A$14:$C$38,2,1)-VLOOKUP((TRUNC($AN130/2,0)+0.99),'Tax scales - NAT 3539'!$A$14:$C$38,3,1)),0)
*2,
0),
IF(AND($E$2="Monthly",ROUND($AN130-TRUNC($AN130),2)=0.33),
ROUND(
ROUND(((TRUNC(($AN130+0.01)*3/13,0)+0.99)*VLOOKUP((TRUNC(($AN130+0.01)*3/13,0)+0.99),'Tax scales - NAT 3539'!$A$14:$C$38,2,1)-VLOOKUP((TRUNC(($AN130+0.01)*3/13,0)+0.99),'Tax scales - NAT 3539'!$A$14:$C$38,3,1)),0)
*13/3,
0),
IF($E$2="Monthly",
ROUND(
ROUND(((TRUNC($AN130*3/13,0)+0.99)*VLOOKUP((TRUNC($AN130*3/13,0)+0.99),'Tax scales - NAT 3539'!$A$14:$C$38,2,1)-VLOOKUP((TRUNC($AN130*3/13,0)+0.99),'Tax scales - NAT 3539'!$A$14:$C$38,3,1)),0)
*13/3,
0),
""))),
""),
"")</f>
        <v/>
      </c>
      <c r="AV130" s="118" t="str">
        <f>IFERROR(
IF(VLOOKUP($C130,'Employee information'!$B:$M,COLUMNS('Employee information'!$B:$M),0)=22,
IF($E$2="Fortnightly",
ROUND(
ROUND((((TRUNC($AN130/2,0)+0.99))*VLOOKUP((TRUNC($AN130/2,0)+0.99),'Tax scales - NAT 3539'!$A$43:$C$69,2,1)-VLOOKUP((TRUNC($AN130/2,0)+0.99),'Tax scales - NAT 3539'!$A$43:$C$69,3,1)),0)
*2,
0),
IF(AND($E$2="Monthly",ROUND($AN130-TRUNC($AN130),2)=0.33),
ROUND(
ROUND(((TRUNC(($AN130+0.01)*3/13,0)+0.99)*VLOOKUP((TRUNC(($AN130+0.01)*3/13,0)+0.99),'Tax scales - NAT 3539'!$A$43:$C$69,2,1)-VLOOKUP((TRUNC(($AN130+0.01)*3/13,0)+0.99),'Tax scales - NAT 3539'!$A$43:$C$69,3,1)),0)
*13/3,
0),
IF($E$2="Monthly",
ROUND(
ROUND(((TRUNC($AN130*3/13,0)+0.99)*VLOOKUP((TRUNC($AN130*3/13,0)+0.99),'Tax scales - NAT 3539'!$A$43:$C$69,2,1)-VLOOKUP((TRUNC($AN130*3/13,0)+0.99),'Tax scales - NAT 3539'!$A$43:$C$69,3,1)),0)
*13/3,
0),
""))),
""),
"")</f>
        <v/>
      </c>
      <c r="AW130" s="118" t="str">
        <f>IFERROR(
IF(VLOOKUP($C130,'Employee information'!$B:$M,COLUMNS('Employee information'!$B:$M),0)=33,
IF($E$2="Fortnightly",
ROUND(
ROUND((((TRUNC($AN130/2,0)+0.99))*VLOOKUP((TRUNC($AN130/2,0)+0.99),'Tax scales - NAT 3539'!$A$74:$C$94,2,1)-VLOOKUP((TRUNC($AN130/2,0)+0.99),'Tax scales - NAT 3539'!$A$74:$C$94,3,1)),0)
*2,
0),
IF(AND($E$2="Monthly",ROUND($AN130-TRUNC($AN130),2)=0.33),
ROUND(
ROUND(((TRUNC(($AN130+0.01)*3/13,0)+0.99)*VLOOKUP((TRUNC(($AN130+0.01)*3/13,0)+0.99),'Tax scales - NAT 3539'!$A$74:$C$94,2,1)-VLOOKUP((TRUNC(($AN130+0.01)*3/13,0)+0.99),'Tax scales - NAT 3539'!$A$74:$C$94,3,1)),0)
*13/3,
0),
IF($E$2="Monthly",
ROUND(
ROUND(((TRUNC($AN130*3/13,0)+0.99)*VLOOKUP((TRUNC($AN130*3/13,0)+0.99),'Tax scales - NAT 3539'!$A$74:$C$94,2,1)-VLOOKUP((TRUNC($AN130*3/13,0)+0.99),'Tax scales - NAT 3539'!$A$74:$C$94,3,1)),0)
*13/3,
0),
""))),
""),
"")</f>
        <v/>
      </c>
      <c r="AX130" s="118">
        <f>IFERROR(
IF(VLOOKUP($C130,'Employee information'!$B:$M,COLUMNS('Employee information'!$B:$M),0)=55,
IF($E$2="Fortnightly",
ROUND(
ROUND((((TRUNC($AN130/2,0)+0.99))*VLOOKUP((TRUNC($AN130/2,0)+0.99),'Tax scales - NAT 3539'!$A$99:$C$123,2,1)-VLOOKUP((TRUNC($AN130/2,0)+0.99),'Tax scales - NAT 3539'!$A$99:$C$123,3,1)),0)
*2,
0),
IF(AND($E$2="Monthly",ROUND($AN130-TRUNC($AN130),2)=0.33),
ROUND(
ROUND(((TRUNC(($AN130+0.01)*3/13,0)+0.99)*VLOOKUP((TRUNC(($AN130+0.01)*3/13,0)+0.99),'Tax scales - NAT 3539'!$A$99:$C$123,2,1)-VLOOKUP((TRUNC(($AN130+0.01)*3/13,0)+0.99),'Tax scales - NAT 3539'!$A$99:$C$123,3,1)),0)
*13/3,
0),
IF($E$2="Monthly",
ROUND(
ROUND(((TRUNC($AN130*3/13,0)+0.99)*VLOOKUP((TRUNC($AN130*3/13,0)+0.99),'Tax scales - NAT 3539'!$A$99:$C$123,2,1)-VLOOKUP((TRUNC($AN130*3/13,0)+0.99),'Tax scales - NAT 3539'!$A$99:$C$123,3,1)),0)
*13/3,
0),
""))),
""),
"")</f>
        <v>3104</v>
      </c>
      <c r="AY130" s="118" t="str">
        <f>IFERROR(
IF(VLOOKUP($C130,'Employee information'!$B:$M,COLUMNS('Employee information'!$B:$M),0)=66,
IF($E$2="Fortnightly",
ROUND(
ROUND((((TRUNC($AN130/2,0)+0.99))*VLOOKUP((TRUNC($AN130/2,0)+0.99),'Tax scales - NAT 3539'!$A$127:$C$154,2,1)-VLOOKUP((TRUNC($AN130/2,0)+0.99),'Tax scales - NAT 3539'!$A$127:$C$154,3,1)),0)
*2,
0),
IF(AND($E$2="Monthly",ROUND($AN130-TRUNC($AN130),2)=0.33),
ROUND(
ROUND(((TRUNC(($AN130+0.01)*3/13,0)+0.99)*VLOOKUP((TRUNC(($AN130+0.01)*3/13,0)+0.99),'Tax scales - NAT 3539'!$A$127:$C$154,2,1)-VLOOKUP((TRUNC(($AN130+0.01)*3/13,0)+0.99),'Tax scales - NAT 3539'!$A$127:$C$154,3,1)),0)
*13/3,
0),
IF($E$2="Monthly",
ROUND(
ROUND(((TRUNC($AN130*3/13,0)+0.99)*VLOOKUP((TRUNC($AN130*3/13,0)+0.99),'Tax scales - NAT 3539'!$A$127:$C$154,2,1)-VLOOKUP((TRUNC($AN130*3/13,0)+0.99),'Tax scales - NAT 3539'!$A$127:$C$154,3,1)),0)
*13/3,
0),
""))),
""),
"")</f>
        <v/>
      </c>
      <c r="AZ130" s="118">
        <f>IFERROR(
HLOOKUP(VLOOKUP($C130,'Employee information'!$B:$M,COLUMNS('Employee information'!$B:$M),0),'PAYG worksheet'!$AO$126:$AY$145,COUNTA($C$127:$C130)+1,0),
0)</f>
        <v>3104</v>
      </c>
      <c r="BA130" s="118"/>
      <c r="BB130" s="118">
        <f t="shared" si="139"/>
        <v>4588.3076923076924</v>
      </c>
      <c r="BC130" s="119">
        <f>IFERROR(
IF(OR($AE130=1,$AE130=""),SUM($P130,$AA130,$AC130,$AK130)*VLOOKUP($C130,'Employee information'!$B:$Q,COLUMNS('Employee information'!$B:$H),0),
IF($AE130=0,SUM($P130,$AA130,$AK130)*VLOOKUP($C130,'Employee information'!$B:$Q,COLUMNS('Employee information'!$B:$H),0),
0)),
0)</f>
        <v>730.76923076923083</v>
      </c>
      <c r="BE130" s="114">
        <f t="shared" si="124"/>
        <v>38601.538461538461</v>
      </c>
      <c r="BF130" s="114">
        <f t="shared" si="125"/>
        <v>38461.538461538461</v>
      </c>
      <c r="BG130" s="114">
        <f t="shared" si="126"/>
        <v>0</v>
      </c>
      <c r="BH130" s="114">
        <f t="shared" si="127"/>
        <v>140</v>
      </c>
      <c r="BI130" s="114">
        <f t="shared" si="128"/>
        <v>15520</v>
      </c>
      <c r="BJ130" s="114">
        <f t="shared" si="129"/>
        <v>0</v>
      </c>
      <c r="BK130" s="114">
        <f t="shared" si="130"/>
        <v>0</v>
      </c>
      <c r="BL130" s="114">
        <f t="shared" si="140"/>
        <v>0</v>
      </c>
      <c r="BM130" s="114">
        <f t="shared" si="131"/>
        <v>3653.8461538461543</v>
      </c>
    </row>
    <row r="131" spans="1:65" x14ac:dyDescent="0.25">
      <c r="A131" s="228">
        <f t="shared" si="119"/>
        <v>5</v>
      </c>
      <c r="C131" s="278" t="s">
        <v>16</v>
      </c>
      <c r="E131" s="103">
        <f>IF($C131="",0,
IF(AND($E$2="Monthly",$A131&gt;12),0,
IF($E$2="Monthly",VLOOKUP($C131,'Employee information'!$B:$AM,COLUMNS('Employee information'!$B:S),0),
IF($E$2="Fortnightly",VLOOKUP($C131,'Employee information'!$B:$AM,COLUMNS('Employee information'!$B:R),0),
0))))</f>
        <v>75</v>
      </c>
      <c r="F131" s="106"/>
      <c r="G131" s="106"/>
      <c r="H131" s="106"/>
      <c r="I131" s="106"/>
      <c r="J131" s="103">
        <f t="shared" si="132"/>
        <v>75</v>
      </c>
      <c r="L131" s="113">
        <f>IF(AND($E$2="Monthly",$A131&gt;12),"",
IFERROR($J131*VLOOKUP($C131,'Employee information'!$B:$AI,COLUMNS('Employee information'!$B:$P),0),0))</f>
        <v>4125</v>
      </c>
      <c r="M131" s="114">
        <f t="shared" si="133"/>
        <v>20625</v>
      </c>
      <c r="O131" s="103">
        <f t="shared" si="134"/>
        <v>75</v>
      </c>
      <c r="P131" s="113">
        <f>IFERROR(
IF(AND($E$2="Monthly",$A131&gt;12),0,
$O131*VLOOKUP($C131,'Employee information'!$B:$AI,COLUMNS('Employee information'!$B:$P),0)),
0)</f>
        <v>4125</v>
      </c>
      <c r="R131" s="114">
        <f t="shared" si="120"/>
        <v>20625</v>
      </c>
      <c r="T131" s="103"/>
      <c r="U131" s="103"/>
      <c r="V131" s="282">
        <f>IF($C131="","",
IF(AND($E$2="Monthly",$A131&gt;12),"",
$T131*VLOOKUP($C131,'Employee information'!$B:$P,COLUMNS('Employee information'!$B:$P),0)))</f>
        <v>0</v>
      </c>
      <c r="W131" s="282">
        <f>IF($C131="","",
IF(AND($E$2="Monthly",$A131&gt;12),"",
$U131*VLOOKUP($C131,'Employee information'!$B:$P,COLUMNS('Employee information'!$B:$P),0)))</f>
        <v>0</v>
      </c>
      <c r="X131" s="114">
        <f t="shared" si="121"/>
        <v>0</v>
      </c>
      <c r="Y131" s="114">
        <f t="shared" si="122"/>
        <v>0</v>
      </c>
      <c r="AA131" s="118">
        <f>IFERROR(
IF(OR('Basic payroll data'!$D$12="",'Basic payroll data'!$D$12="No"),0,
$T131*VLOOKUP($C131,'Employee information'!$B:$P,COLUMNS('Employee information'!$B:$P),0)*AL_loading_perc),
0)</f>
        <v>0</v>
      </c>
      <c r="AC131" s="118"/>
      <c r="AD131" s="118"/>
      <c r="AE131" s="283" t="str">
        <f t="shared" si="135"/>
        <v/>
      </c>
      <c r="AF131" s="283" t="str">
        <f t="shared" si="136"/>
        <v/>
      </c>
      <c r="AG131" s="118"/>
      <c r="AH131" s="118"/>
      <c r="AI131" s="283" t="str">
        <f t="shared" si="137"/>
        <v/>
      </c>
      <c r="AJ131" s="118"/>
      <c r="AK131" s="118"/>
      <c r="AM131" s="118">
        <f t="shared" si="138"/>
        <v>4125</v>
      </c>
      <c r="AN131" s="118">
        <f t="shared" si="123"/>
        <v>4125</v>
      </c>
      <c r="AO131" s="118" t="str">
        <f>IFERROR(
IF(VLOOKUP($C131,'Employee information'!$B:$M,COLUMNS('Employee information'!$B:$M),0)=1,
IF($E$2="Fortnightly",
ROUND(
ROUND((((TRUNC($AN131/2,0)+0.99))*VLOOKUP((TRUNC($AN131/2,0)+0.99),'Tax scales - NAT 1004'!$A$12:$C$18,2,1)-VLOOKUP((TRUNC($AN131/2,0)+0.99),'Tax scales - NAT 1004'!$A$12:$C$18,3,1)),0)
*2,
0),
IF(AND($E$2="Monthly",ROUND($AN131-TRUNC($AN131),2)=0.33),
ROUND(
ROUND(((TRUNC(($AN131+0.01)*3/13,0)+0.99)*VLOOKUP((TRUNC(($AN131+0.01)*3/13,0)+0.99),'Tax scales - NAT 1004'!$A$12:$C$18,2,1)-VLOOKUP((TRUNC(($AN131+0.01)*3/13,0)+0.99),'Tax scales - NAT 1004'!$A$12:$C$18,3,1)),0)
*13/3,
0),
IF($E$2="Monthly",
ROUND(
ROUND(((TRUNC($AN131*3/13,0)+0.99)*VLOOKUP((TRUNC($AN131*3/13,0)+0.99),'Tax scales - NAT 1004'!$A$12:$C$18,2,1)-VLOOKUP((TRUNC($AN131*3/13,0)+0.99),'Tax scales - NAT 1004'!$A$12:$C$18,3,1)),0)
*13/3,
0),
""))),
""),
"")</f>
        <v/>
      </c>
      <c r="AP131" s="118" t="str">
        <f>IFERROR(
IF(VLOOKUP($C131,'Employee information'!$B:$M,COLUMNS('Employee information'!$B:$M),0)=2,
IF($E$2="Fortnightly",
ROUND(
ROUND((((TRUNC($AN131/2,0)+0.99))*VLOOKUP((TRUNC($AN131/2,0)+0.99),'Tax scales - NAT 1004'!$A$25:$C$33,2,1)-VLOOKUP((TRUNC($AN131/2,0)+0.99),'Tax scales - NAT 1004'!$A$25:$C$33,3,1)),0)
*2,
0),
IF(AND($E$2="Monthly",ROUND($AN131-TRUNC($AN131),2)=0.33),
ROUND(
ROUND(((TRUNC(($AN131+0.01)*3/13,0)+0.99)*VLOOKUP((TRUNC(($AN131+0.01)*3/13,0)+0.99),'Tax scales - NAT 1004'!$A$25:$C$33,2,1)-VLOOKUP((TRUNC(($AN131+0.01)*3/13,0)+0.99),'Tax scales - NAT 1004'!$A$25:$C$33,3,1)),0)
*13/3,
0),
IF($E$2="Monthly",
ROUND(
ROUND(((TRUNC($AN131*3/13,0)+0.99)*VLOOKUP((TRUNC($AN131*3/13,0)+0.99),'Tax scales - NAT 1004'!$A$25:$C$33,2,1)-VLOOKUP((TRUNC($AN131*3/13,0)+0.99),'Tax scales - NAT 1004'!$A$25:$C$33,3,1)),0)
*13/3,
0),
""))),
""),
"")</f>
        <v/>
      </c>
      <c r="AQ131" s="118" t="str">
        <f>IFERROR(
IF(VLOOKUP($C131,'Employee information'!$B:$M,COLUMNS('Employee information'!$B:$M),0)=3,
IF($E$2="Fortnightly",
ROUND(
ROUND((((TRUNC($AN131/2,0)+0.99))*VLOOKUP((TRUNC($AN131/2,0)+0.99),'Tax scales - NAT 1004'!$A$39:$C$41,2,1)-VLOOKUP((TRUNC($AN131/2,0)+0.99),'Tax scales - NAT 1004'!$A$39:$C$41,3,1)),0)
*2,
0),
IF(AND($E$2="Monthly",ROUND($AN131-TRUNC($AN131),2)=0.33),
ROUND(
ROUND(((TRUNC(($AN131+0.01)*3/13,0)+0.99)*VLOOKUP((TRUNC(($AN131+0.01)*3/13,0)+0.99),'Tax scales - NAT 1004'!$A$39:$C$41,2,1)-VLOOKUP((TRUNC(($AN131+0.01)*3/13,0)+0.99),'Tax scales - NAT 1004'!$A$39:$C$41,3,1)),0)
*13/3,
0),
IF($E$2="Monthly",
ROUND(
ROUND(((TRUNC($AN131*3/13,0)+0.99)*VLOOKUP((TRUNC($AN131*3/13,0)+0.99),'Tax scales - NAT 1004'!$A$39:$C$41,2,1)-VLOOKUP((TRUNC($AN131*3/13,0)+0.99),'Tax scales - NAT 1004'!$A$39:$C$41,3,1)),0)
*13/3,
0),
""))),
""),
"")</f>
        <v/>
      </c>
      <c r="AR131" s="118" t="str">
        <f>IFERROR(
IF(AND(VLOOKUP($C131,'Employee information'!$B:$M,COLUMNS('Employee information'!$B:$M),0)=4,
VLOOKUP($C131,'Employee information'!$B:$J,COLUMNS('Employee information'!$B:$J),0)="Resident"),
TRUNC(TRUNC($AN131)*'Tax scales - NAT 1004'!$B$47),
IF(AND(VLOOKUP($C131,'Employee information'!$B:$M,COLUMNS('Employee information'!$B:$M),0)=4,
VLOOKUP($C131,'Employee information'!$B:$J,COLUMNS('Employee information'!$B:$J),0)="Foreign resident"),
TRUNC(TRUNC($AN131)*'Tax scales - NAT 1004'!$B$48),
"")),
"")</f>
        <v/>
      </c>
      <c r="AS131" s="118" t="str">
        <f>IFERROR(
IF(VLOOKUP($C131,'Employee information'!$B:$M,COLUMNS('Employee information'!$B:$M),0)=5,
IF($E$2="Fortnightly",
ROUND(
ROUND((((TRUNC($AN131/2,0)+0.99))*VLOOKUP((TRUNC($AN131/2,0)+0.99),'Tax scales - NAT 1004'!$A$53:$C$59,2,1)-VLOOKUP((TRUNC($AN131/2,0)+0.99),'Tax scales - NAT 1004'!$A$53:$C$59,3,1)),0)
*2,
0),
IF(AND($E$2="Monthly",ROUND($AN131-TRUNC($AN131),2)=0.33),
ROUND(
ROUND(((TRUNC(($AN131+0.01)*3/13,0)+0.99)*VLOOKUP((TRUNC(($AN131+0.01)*3/13,0)+0.99),'Tax scales - NAT 1004'!$A$53:$C$59,2,1)-VLOOKUP((TRUNC(($AN131+0.01)*3/13,0)+0.99),'Tax scales - NAT 1004'!$A$53:$C$59,3,1)),0)
*13/3,
0),
IF($E$2="Monthly",
ROUND(
ROUND(((TRUNC($AN131*3/13,0)+0.99)*VLOOKUP((TRUNC($AN131*3/13,0)+0.99),'Tax scales - NAT 1004'!$A$53:$C$59,2,1)-VLOOKUP((TRUNC($AN131*3/13,0)+0.99),'Tax scales - NAT 1004'!$A$53:$C$59,3,1)),0)
*13/3,
0),
""))),
""),
"")</f>
        <v/>
      </c>
      <c r="AT131" s="118" t="str">
        <f>IFERROR(
IF(VLOOKUP($C131,'Employee information'!$B:$M,COLUMNS('Employee information'!$B:$M),0)=6,
IF($E$2="Fortnightly",
ROUND(
ROUND((((TRUNC($AN131/2,0)+0.99))*VLOOKUP((TRUNC($AN131/2,0)+0.99),'Tax scales - NAT 1004'!$A$65:$C$73,2,1)-VLOOKUP((TRUNC($AN131/2,0)+0.99),'Tax scales - NAT 1004'!$A$65:$C$73,3,1)),0)
*2,
0),
IF(AND($E$2="Monthly",ROUND($AN131-TRUNC($AN131),2)=0.33),
ROUND(
ROUND(((TRUNC(($AN131+0.01)*3/13,0)+0.99)*VLOOKUP((TRUNC(($AN131+0.01)*3/13,0)+0.99),'Tax scales - NAT 1004'!$A$65:$C$73,2,1)-VLOOKUP((TRUNC(($AN131+0.01)*3/13,0)+0.99),'Tax scales - NAT 1004'!$A$65:$C$73,3,1)),0)
*13/3,
0),
IF($E$2="Monthly",
ROUND(
ROUND(((TRUNC($AN131*3/13,0)+0.99)*VLOOKUP((TRUNC($AN131*3/13,0)+0.99),'Tax scales - NAT 1004'!$A$65:$C$73,2,1)-VLOOKUP((TRUNC($AN131*3/13,0)+0.99),'Tax scales - NAT 1004'!$A$65:$C$73,3,1)),0)
*13/3,
0),
""))),
""),
"")</f>
        <v/>
      </c>
      <c r="AU131" s="118">
        <f>IFERROR(
IF(VLOOKUP($C131,'Employee information'!$B:$M,COLUMNS('Employee information'!$B:$M),0)=11,
IF($E$2="Fortnightly",
ROUND(
ROUND((((TRUNC($AN131/2,0)+0.99))*VLOOKUP((TRUNC($AN131/2,0)+0.99),'Tax scales - NAT 3539'!$A$14:$C$38,2,1)-VLOOKUP((TRUNC($AN131/2,0)+0.99),'Tax scales - NAT 3539'!$A$14:$C$38,3,1)),0)
*2,
0),
IF(AND($E$2="Monthly",ROUND($AN131-TRUNC($AN131),2)=0.33),
ROUND(
ROUND(((TRUNC(($AN131+0.01)*3/13,0)+0.99)*VLOOKUP((TRUNC(($AN131+0.01)*3/13,0)+0.99),'Tax scales - NAT 3539'!$A$14:$C$38,2,1)-VLOOKUP((TRUNC(($AN131+0.01)*3/13,0)+0.99),'Tax scales - NAT 3539'!$A$14:$C$38,3,1)),0)
*13/3,
0),
IF($E$2="Monthly",
ROUND(
ROUND(((TRUNC($AN131*3/13,0)+0.99)*VLOOKUP((TRUNC($AN131*3/13,0)+0.99),'Tax scales - NAT 3539'!$A$14:$C$38,2,1)-VLOOKUP((TRUNC($AN131*3/13,0)+0.99),'Tax scales - NAT 3539'!$A$14:$C$38,3,1)),0)
*13/3,
0),
""))),
""),
"")</f>
        <v>1680</v>
      </c>
      <c r="AV131" s="118" t="str">
        <f>IFERROR(
IF(VLOOKUP($C131,'Employee information'!$B:$M,COLUMNS('Employee information'!$B:$M),0)=22,
IF($E$2="Fortnightly",
ROUND(
ROUND((((TRUNC($AN131/2,0)+0.99))*VLOOKUP((TRUNC($AN131/2,0)+0.99),'Tax scales - NAT 3539'!$A$43:$C$69,2,1)-VLOOKUP((TRUNC($AN131/2,0)+0.99),'Tax scales - NAT 3539'!$A$43:$C$69,3,1)),0)
*2,
0),
IF(AND($E$2="Monthly",ROUND($AN131-TRUNC($AN131),2)=0.33),
ROUND(
ROUND(((TRUNC(($AN131+0.01)*3/13,0)+0.99)*VLOOKUP((TRUNC(($AN131+0.01)*3/13,0)+0.99),'Tax scales - NAT 3539'!$A$43:$C$69,2,1)-VLOOKUP((TRUNC(($AN131+0.01)*3/13,0)+0.99),'Tax scales - NAT 3539'!$A$43:$C$69,3,1)),0)
*13/3,
0),
IF($E$2="Monthly",
ROUND(
ROUND(((TRUNC($AN131*3/13,0)+0.99)*VLOOKUP((TRUNC($AN131*3/13,0)+0.99),'Tax scales - NAT 3539'!$A$43:$C$69,2,1)-VLOOKUP((TRUNC($AN131*3/13,0)+0.99),'Tax scales - NAT 3539'!$A$43:$C$69,3,1)),0)
*13/3,
0),
""))),
""),
"")</f>
        <v/>
      </c>
      <c r="AW131" s="118" t="str">
        <f>IFERROR(
IF(VLOOKUP($C131,'Employee information'!$B:$M,COLUMNS('Employee information'!$B:$M),0)=33,
IF($E$2="Fortnightly",
ROUND(
ROUND((((TRUNC($AN131/2,0)+0.99))*VLOOKUP((TRUNC($AN131/2,0)+0.99),'Tax scales - NAT 3539'!$A$74:$C$94,2,1)-VLOOKUP((TRUNC($AN131/2,0)+0.99),'Tax scales - NAT 3539'!$A$74:$C$94,3,1)),0)
*2,
0),
IF(AND($E$2="Monthly",ROUND($AN131-TRUNC($AN131),2)=0.33),
ROUND(
ROUND(((TRUNC(($AN131+0.01)*3/13,0)+0.99)*VLOOKUP((TRUNC(($AN131+0.01)*3/13,0)+0.99),'Tax scales - NAT 3539'!$A$74:$C$94,2,1)-VLOOKUP((TRUNC(($AN131+0.01)*3/13,0)+0.99),'Tax scales - NAT 3539'!$A$74:$C$94,3,1)),0)
*13/3,
0),
IF($E$2="Monthly",
ROUND(
ROUND(((TRUNC($AN131*3/13,0)+0.99)*VLOOKUP((TRUNC($AN131*3/13,0)+0.99),'Tax scales - NAT 3539'!$A$74:$C$94,2,1)-VLOOKUP((TRUNC($AN131*3/13,0)+0.99),'Tax scales - NAT 3539'!$A$74:$C$94,3,1)),0)
*13/3,
0),
""))),
""),
"")</f>
        <v/>
      </c>
      <c r="AX131" s="118" t="str">
        <f>IFERROR(
IF(VLOOKUP($C131,'Employee information'!$B:$M,COLUMNS('Employee information'!$B:$M),0)=55,
IF($E$2="Fortnightly",
ROUND(
ROUND((((TRUNC($AN131/2,0)+0.99))*VLOOKUP((TRUNC($AN131/2,0)+0.99),'Tax scales - NAT 3539'!$A$99:$C$123,2,1)-VLOOKUP((TRUNC($AN131/2,0)+0.99),'Tax scales - NAT 3539'!$A$99:$C$123,3,1)),0)
*2,
0),
IF(AND($E$2="Monthly",ROUND($AN131-TRUNC($AN131),2)=0.33),
ROUND(
ROUND(((TRUNC(($AN131+0.01)*3/13,0)+0.99)*VLOOKUP((TRUNC(($AN131+0.01)*3/13,0)+0.99),'Tax scales - NAT 3539'!$A$99:$C$123,2,1)-VLOOKUP((TRUNC(($AN131+0.01)*3/13,0)+0.99),'Tax scales - NAT 3539'!$A$99:$C$123,3,1)),0)
*13/3,
0),
IF($E$2="Monthly",
ROUND(
ROUND(((TRUNC($AN131*3/13,0)+0.99)*VLOOKUP((TRUNC($AN131*3/13,0)+0.99),'Tax scales - NAT 3539'!$A$99:$C$123,2,1)-VLOOKUP((TRUNC($AN131*3/13,0)+0.99),'Tax scales - NAT 3539'!$A$99:$C$123,3,1)),0)
*13/3,
0),
""))),
""),
"")</f>
        <v/>
      </c>
      <c r="AY131" s="118" t="str">
        <f>IFERROR(
IF(VLOOKUP($C131,'Employee information'!$B:$M,COLUMNS('Employee information'!$B:$M),0)=66,
IF($E$2="Fortnightly",
ROUND(
ROUND((((TRUNC($AN131/2,0)+0.99))*VLOOKUP((TRUNC($AN131/2,0)+0.99),'Tax scales - NAT 3539'!$A$127:$C$154,2,1)-VLOOKUP((TRUNC($AN131/2,0)+0.99),'Tax scales - NAT 3539'!$A$127:$C$154,3,1)),0)
*2,
0),
IF(AND($E$2="Monthly",ROUND($AN131-TRUNC($AN131),2)=0.33),
ROUND(
ROUND(((TRUNC(($AN131+0.01)*3/13,0)+0.99)*VLOOKUP((TRUNC(($AN131+0.01)*3/13,0)+0.99),'Tax scales - NAT 3539'!$A$127:$C$154,2,1)-VLOOKUP((TRUNC(($AN131+0.01)*3/13,0)+0.99),'Tax scales - NAT 3539'!$A$127:$C$154,3,1)),0)
*13/3,
0),
IF($E$2="Monthly",
ROUND(
ROUND(((TRUNC($AN131*3/13,0)+0.99)*VLOOKUP((TRUNC($AN131*3/13,0)+0.99),'Tax scales - NAT 3539'!$A$127:$C$154,2,1)-VLOOKUP((TRUNC($AN131*3/13,0)+0.99),'Tax scales - NAT 3539'!$A$127:$C$154,3,1)),0)
*13/3,
0),
""))),
""),
"")</f>
        <v/>
      </c>
      <c r="AZ131" s="118">
        <f>IFERROR(
HLOOKUP(VLOOKUP($C131,'Employee information'!$B:$M,COLUMNS('Employee information'!$B:$M),0),'PAYG worksheet'!$AO$126:$AY$145,COUNTA($C$127:$C131)+1,0),
0)</f>
        <v>1680</v>
      </c>
      <c r="BA131" s="118"/>
      <c r="BB131" s="118">
        <f t="shared" si="139"/>
        <v>2445</v>
      </c>
      <c r="BC131" s="119">
        <f>IFERROR(
IF(OR($AE131=1,$AE131=""),SUM($P131,$AA131,$AC131,$AK131)*VLOOKUP($C131,'Employee information'!$B:$Q,COLUMNS('Employee information'!$B:$H),0),
IF($AE131=0,SUM($P131,$AA131,$AK131)*VLOOKUP($C131,'Employee information'!$B:$Q,COLUMNS('Employee information'!$B:$H),0),
0)),
0)</f>
        <v>391.875</v>
      </c>
      <c r="BE131" s="114">
        <f t="shared" si="124"/>
        <v>20725</v>
      </c>
      <c r="BF131" s="114">
        <f t="shared" si="125"/>
        <v>20725</v>
      </c>
      <c r="BG131" s="114">
        <f t="shared" si="126"/>
        <v>0</v>
      </c>
      <c r="BH131" s="114">
        <f t="shared" si="127"/>
        <v>0</v>
      </c>
      <c r="BI131" s="114">
        <f t="shared" si="128"/>
        <v>8448</v>
      </c>
      <c r="BJ131" s="114">
        <f t="shared" si="129"/>
        <v>0</v>
      </c>
      <c r="BK131" s="114">
        <f t="shared" si="130"/>
        <v>0</v>
      </c>
      <c r="BL131" s="114">
        <f t="shared" si="140"/>
        <v>100</v>
      </c>
      <c r="BM131" s="114">
        <f t="shared" si="131"/>
        <v>1968.875</v>
      </c>
    </row>
    <row r="132" spans="1:65" x14ac:dyDescent="0.25">
      <c r="A132" s="228">
        <f t="shared" si="119"/>
        <v>5</v>
      </c>
      <c r="C132" s="278" t="s">
        <v>17</v>
      </c>
      <c r="E132" s="103">
        <f>IF($C132="",0,
IF(AND($E$2="Monthly",$A132&gt;12),0,
IF($E$2="Monthly",VLOOKUP($C132,'Employee information'!$B:$AM,COLUMNS('Employee information'!$B:S),0),
IF($E$2="Fortnightly",VLOOKUP($C132,'Employee information'!$B:$AM,COLUMNS('Employee information'!$B:R),0),
0))))</f>
        <v>75</v>
      </c>
      <c r="F132" s="106"/>
      <c r="G132" s="106"/>
      <c r="H132" s="106"/>
      <c r="I132" s="106"/>
      <c r="J132" s="103">
        <f t="shared" si="132"/>
        <v>75</v>
      </c>
      <c r="L132" s="113">
        <f>IF(AND($E$2="Monthly",$A132&gt;12),"",
IFERROR($J132*VLOOKUP($C132,'Employee information'!$B:$AI,COLUMNS('Employee information'!$B:$P),0),0))</f>
        <v>2500</v>
      </c>
      <c r="M132" s="114">
        <f t="shared" si="133"/>
        <v>12500</v>
      </c>
      <c r="O132" s="103">
        <f t="shared" si="134"/>
        <v>75</v>
      </c>
      <c r="P132" s="113">
        <f>IFERROR(
IF(AND($E$2="Monthly",$A132&gt;12),0,
$O132*VLOOKUP($C132,'Employee information'!$B:$AI,COLUMNS('Employee information'!$B:$P),0)),
0)</f>
        <v>2500</v>
      </c>
      <c r="R132" s="114">
        <f t="shared" si="120"/>
        <v>12500</v>
      </c>
      <c r="T132" s="103"/>
      <c r="U132" s="103"/>
      <c r="V132" s="282">
        <f>IF($C132="","",
IF(AND($E$2="Monthly",$A132&gt;12),"",
$T132*VLOOKUP($C132,'Employee information'!$B:$P,COLUMNS('Employee information'!$B:$P),0)))</f>
        <v>0</v>
      </c>
      <c r="W132" s="282">
        <f>IF($C132="","",
IF(AND($E$2="Monthly",$A132&gt;12),"",
$U132*VLOOKUP($C132,'Employee information'!$B:$P,COLUMNS('Employee information'!$B:$P),0)))</f>
        <v>0</v>
      </c>
      <c r="X132" s="114">
        <f t="shared" si="121"/>
        <v>0</v>
      </c>
      <c r="Y132" s="114">
        <f t="shared" si="122"/>
        <v>0</v>
      </c>
      <c r="AA132" s="118">
        <f>IFERROR(
IF(OR('Basic payroll data'!$D$12="",'Basic payroll data'!$D$12="No"),0,
$T132*VLOOKUP($C132,'Employee information'!$B:$P,COLUMNS('Employee information'!$B:$P),0)*AL_loading_perc),
0)</f>
        <v>0</v>
      </c>
      <c r="AC132" s="118"/>
      <c r="AD132" s="118"/>
      <c r="AE132" s="283" t="str">
        <f t="shared" si="135"/>
        <v/>
      </c>
      <c r="AF132" s="283" t="str">
        <f t="shared" si="136"/>
        <v/>
      </c>
      <c r="AG132" s="118"/>
      <c r="AH132" s="118"/>
      <c r="AI132" s="283" t="str">
        <f t="shared" si="137"/>
        <v/>
      </c>
      <c r="AJ132" s="118"/>
      <c r="AK132" s="118"/>
      <c r="AM132" s="118">
        <f t="shared" si="138"/>
        <v>2500</v>
      </c>
      <c r="AN132" s="118">
        <f t="shared" si="123"/>
        <v>2500</v>
      </c>
      <c r="AO132" s="118" t="str">
        <f>IFERROR(
IF(VLOOKUP($C132,'Employee information'!$B:$M,COLUMNS('Employee information'!$B:$M),0)=1,
IF($E$2="Fortnightly",
ROUND(
ROUND((((TRUNC($AN132/2,0)+0.99))*VLOOKUP((TRUNC($AN132/2,0)+0.99),'Tax scales - NAT 1004'!$A$12:$C$18,2,1)-VLOOKUP((TRUNC($AN132/2,0)+0.99),'Tax scales - NAT 1004'!$A$12:$C$18,3,1)),0)
*2,
0),
IF(AND($E$2="Monthly",ROUND($AN132-TRUNC($AN132),2)=0.33),
ROUND(
ROUND(((TRUNC(($AN132+0.01)*3/13,0)+0.99)*VLOOKUP((TRUNC(($AN132+0.01)*3/13,0)+0.99),'Tax scales - NAT 1004'!$A$12:$C$18,2,1)-VLOOKUP((TRUNC(($AN132+0.01)*3/13,0)+0.99),'Tax scales - NAT 1004'!$A$12:$C$18,3,1)),0)
*13/3,
0),
IF($E$2="Monthly",
ROUND(
ROUND(((TRUNC($AN132*3/13,0)+0.99)*VLOOKUP((TRUNC($AN132*3/13,0)+0.99),'Tax scales - NAT 1004'!$A$12:$C$18,2,1)-VLOOKUP((TRUNC($AN132*3/13,0)+0.99),'Tax scales - NAT 1004'!$A$12:$C$18,3,1)),0)
*13/3,
0),
""))),
""),
"")</f>
        <v/>
      </c>
      <c r="AP132" s="118" t="str">
        <f>IFERROR(
IF(VLOOKUP($C132,'Employee information'!$B:$M,COLUMNS('Employee information'!$B:$M),0)=2,
IF($E$2="Fortnightly",
ROUND(
ROUND((((TRUNC($AN132/2,0)+0.99))*VLOOKUP((TRUNC($AN132/2,0)+0.99),'Tax scales - NAT 1004'!$A$25:$C$33,2,1)-VLOOKUP((TRUNC($AN132/2,0)+0.99),'Tax scales - NAT 1004'!$A$25:$C$33,3,1)),0)
*2,
0),
IF(AND($E$2="Monthly",ROUND($AN132-TRUNC($AN132),2)=0.33),
ROUND(
ROUND(((TRUNC(($AN132+0.01)*3/13,0)+0.99)*VLOOKUP((TRUNC(($AN132+0.01)*3/13,0)+0.99),'Tax scales - NAT 1004'!$A$25:$C$33,2,1)-VLOOKUP((TRUNC(($AN132+0.01)*3/13,0)+0.99),'Tax scales - NAT 1004'!$A$25:$C$33,3,1)),0)
*13/3,
0),
IF($E$2="Monthly",
ROUND(
ROUND(((TRUNC($AN132*3/13,0)+0.99)*VLOOKUP((TRUNC($AN132*3/13,0)+0.99),'Tax scales - NAT 1004'!$A$25:$C$33,2,1)-VLOOKUP((TRUNC($AN132*3/13,0)+0.99),'Tax scales - NAT 1004'!$A$25:$C$33,3,1)),0)
*13/3,
0),
""))),
""),
"")</f>
        <v/>
      </c>
      <c r="AQ132" s="118" t="str">
        <f>IFERROR(
IF(VLOOKUP($C132,'Employee information'!$B:$M,COLUMNS('Employee information'!$B:$M),0)=3,
IF($E$2="Fortnightly",
ROUND(
ROUND((((TRUNC($AN132/2,0)+0.99))*VLOOKUP((TRUNC($AN132/2,0)+0.99),'Tax scales - NAT 1004'!$A$39:$C$41,2,1)-VLOOKUP((TRUNC($AN132/2,0)+0.99),'Tax scales - NAT 1004'!$A$39:$C$41,3,1)),0)
*2,
0),
IF(AND($E$2="Monthly",ROUND($AN132-TRUNC($AN132),2)=0.33),
ROUND(
ROUND(((TRUNC(($AN132+0.01)*3/13,0)+0.99)*VLOOKUP((TRUNC(($AN132+0.01)*3/13,0)+0.99),'Tax scales - NAT 1004'!$A$39:$C$41,2,1)-VLOOKUP((TRUNC(($AN132+0.01)*3/13,0)+0.99),'Tax scales - NAT 1004'!$A$39:$C$41,3,1)),0)
*13/3,
0),
IF($E$2="Monthly",
ROUND(
ROUND(((TRUNC($AN132*3/13,0)+0.99)*VLOOKUP((TRUNC($AN132*3/13,0)+0.99),'Tax scales - NAT 1004'!$A$39:$C$41,2,1)-VLOOKUP((TRUNC($AN132*3/13,0)+0.99),'Tax scales - NAT 1004'!$A$39:$C$41,3,1)),0)
*13/3,
0),
""))),
""),
"")</f>
        <v/>
      </c>
      <c r="AR132" s="118">
        <f>IFERROR(
IF(AND(VLOOKUP($C132,'Employee information'!$B:$M,COLUMNS('Employee information'!$B:$M),0)=4,
VLOOKUP($C132,'Employee information'!$B:$J,COLUMNS('Employee information'!$B:$J),0)="Resident"),
TRUNC(TRUNC($AN132)*'Tax scales - NAT 1004'!$B$47),
IF(AND(VLOOKUP($C132,'Employee information'!$B:$M,COLUMNS('Employee information'!$B:$M),0)=4,
VLOOKUP($C132,'Employee information'!$B:$J,COLUMNS('Employee information'!$B:$J),0)="Foreign resident"),
TRUNC(TRUNC($AN132)*'Tax scales - NAT 1004'!$B$48),
"")),
"")</f>
        <v>1175</v>
      </c>
      <c r="AS132" s="118" t="str">
        <f>IFERROR(
IF(VLOOKUP($C132,'Employee information'!$B:$M,COLUMNS('Employee information'!$B:$M),0)=5,
IF($E$2="Fortnightly",
ROUND(
ROUND((((TRUNC($AN132/2,0)+0.99))*VLOOKUP((TRUNC($AN132/2,0)+0.99),'Tax scales - NAT 1004'!$A$53:$C$59,2,1)-VLOOKUP((TRUNC($AN132/2,0)+0.99),'Tax scales - NAT 1004'!$A$53:$C$59,3,1)),0)
*2,
0),
IF(AND($E$2="Monthly",ROUND($AN132-TRUNC($AN132),2)=0.33),
ROUND(
ROUND(((TRUNC(($AN132+0.01)*3/13,0)+0.99)*VLOOKUP((TRUNC(($AN132+0.01)*3/13,0)+0.99),'Tax scales - NAT 1004'!$A$53:$C$59,2,1)-VLOOKUP((TRUNC(($AN132+0.01)*3/13,0)+0.99),'Tax scales - NAT 1004'!$A$53:$C$59,3,1)),0)
*13/3,
0),
IF($E$2="Monthly",
ROUND(
ROUND(((TRUNC($AN132*3/13,0)+0.99)*VLOOKUP((TRUNC($AN132*3/13,0)+0.99),'Tax scales - NAT 1004'!$A$53:$C$59,2,1)-VLOOKUP((TRUNC($AN132*3/13,0)+0.99),'Tax scales - NAT 1004'!$A$53:$C$59,3,1)),0)
*13/3,
0),
""))),
""),
"")</f>
        <v/>
      </c>
      <c r="AT132" s="118" t="str">
        <f>IFERROR(
IF(VLOOKUP($C132,'Employee information'!$B:$M,COLUMNS('Employee information'!$B:$M),0)=6,
IF($E$2="Fortnightly",
ROUND(
ROUND((((TRUNC($AN132/2,0)+0.99))*VLOOKUP((TRUNC($AN132/2,0)+0.99),'Tax scales - NAT 1004'!$A$65:$C$73,2,1)-VLOOKUP((TRUNC($AN132/2,0)+0.99),'Tax scales - NAT 1004'!$A$65:$C$73,3,1)),0)
*2,
0),
IF(AND($E$2="Monthly",ROUND($AN132-TRUNC($AN132),2)=0.33),
ROUND(
ROUND(((TRUNC(($AN132+0.01)*3/13,0)+0.99)*VLOOKUP((TRUNC(($AN132+0.01)*3/13,0)+0.99),'Tax scales - NAT 1004'!$A$65:$C$73,2,1)-VLOOKUP((TRUNC(($AN132+0.01)*3/13,0)+0.99),'Tax scales - NAT 1004'!$A$65:$C$73,3,1)),0)
*13/3,
0),
IF($E$2="Monthly",
ROUND(
ROUND(((TRUNC($AN132*3/13,0)+0.99)*VLOOKUP((TRUNC($AN132*3/13,0)+0.99),'Tax scales - NAT 1004'!$A$65:$C$73,2,1)-VLOOKUP((TRUNC($AN132*3/13,0)+0.99),'Tax scales - NAT 1004'!$A$65:$C$73,3,1)),0)
*13/3,
0),
""))),
""),
"")</f>
        <v/>
      </c>
      <c r="AU132" s="118" t="str">
        <f>IFERROR(
IF(VLOOKUP($C132,'Employee information'!$B:$M,COLUMNS('Employee information'!$B:$M),0)=11,
IF($E$2="Fortnightly",
ROUND(
ROUND((((TRUNC($AN132/2,0)+0.99))*VLOOKUP((TRUNC($AN132/2,0)+0.99),'Tax scales - NAT 3539'!$A$14:$C$38,2,1)-VLOOKUP((TRUNC($AN132/2,0)+0.99),'Tax scales - NAT 3539'!$A$14:$C$38,3,1)),0)
*2,
0),
IF(AND($E$2="Monthly",ROUND($AN132-TRUNC($AN132),2)=0.33),
ROUND(
ROUND(((TRUNC(($AN132+0.01)*3/13,0)+0.99)*VLOOKUP((TRUNC(($AN132+0.01)*3/13,0)+0.99),'Tax scales - NAT 3539'!$A$14:$C$38,2,1)-VLOOKUP((TRUNC(($AN132+0.01)*3/13,0)+0.99),'Tax scales - NAT 3539'!$A$14:$C$38,3,1)),0)
*13/3,
0),
IF($E$2="Monthly",
ROUND(
ROUND(((TRUNC($AN132*3/13,0)+0.99)*VLOOKUP((TRUNC($AN132*3/13,0)+0.99),'Tax scales - NAT 3539'!$A$14:$C$38,2,1)-VLOOKUP((TRUNC($AN132*3/13,0)+0.99),'Tax scales - NAT 3539'!$A$14:$C$38,3,1)),0)
*13/3,
0),
""))),
""),
"")</f>
        <v/>
      </c>
      <c r="AV132" s="118" t="str">
        <f>IFERROR(
IF(VLOOKUP($C132,'Employee information'!$B:$M,COLUMNS('Employee information'!$B:$M),0)=22,
IF($E$2="Fortnightly",
ROUND(
ROUND((((TRUNC($AN132/2,0)+0.99))*VLOOKUP((TRUNC($AN132/2,0)+0.99),'Tax scales - NAT 3539'!$A$43:$C$69,2,1)-VLOOKUP((TRUNC($AN132/2,0)+0.99),'Tax scales - NAT 3539'!$A$43:$C$69,3,1)),0)
*2,
0),
IF(AND($E$2="Monthly",ROUND($AN132-TRUNC($AN132),2)=0.33),
ROUND(
ROUND(((TRUNC(($AN132+0.01)*3/13,0)+0.99)*VLOOKUP((TRUNC(($AN132+0.01)*3/13,0)+0.99),'Tax scales - NAT 3539'!$A$43:$C$69,2,1)-VLOOKUP((TRUNC(($AN132+0.01)*3/13,0)+0.99),'Tax scales - NAT 3539'!$A$43:$C$69,3,1)),0)
*13/3,
0),
IF($E$2="Monthly",
ROUND(
ROUND(((TRUNC($AN132*3/13,0)+0.99)*VLOOKUP((TRUNC($AN132*3/13,0)+0.99),'Tax scales - NAT 3539'!$A$43:$C$69,2,1)-VLOOKUP((TRUNC($AN132*3/13,0)+0.99),'Tax scales - NAT 3539'!$A$43:$C$69,3,1)),0)
*13/3,
0),
""))),
""),
"")</f>
        <v/>
      </c>
      <c r="AW132" s="118" t="str">
        <f>IFERROR(
IF(VLOOKUP($C132,'Employee information'!$B:$M,COLUMNS('Employee information'!$B:$M),0)=33,
IF($E$2="Fortnightly",
ROUND(
ROUND((((TRUNC($AN132/2,0)+0.99))*VLOOKUP((TRUNC($AN132/2,0)+0.99),'Tax scales - NAT 3539'!$A$74:$C$94,2,1)-VLOOKUP((TRUNC($AN132/2,0)+0.99),'Tax scales - NAT 3539'!$A$74:$C$94,3,1)),0)
*2,
0),
IF(AND($E$2="Monthly",ROUND($AN132-TRUNC($AN132),2)=0.33),
ROUND(
ROUND(((TRUNC(($AN132+0.01)*3/13,0)+0.99)*VLOOKUP((TRUNC(($AN132+0.01)*3/13,0)+0.99),'Tax scales - NAT 3539'!$A$74:$C$94,2,1)-VLOOKUP((TRUNC(($AN132+0.01)*3/13,0)+0.99),'Tax scales - NAT 3539'!$A$74:$C$94,3,1)),0)
*13/3,
0),
IF($E$2="Monthly",
ROUND(
ROUND(((TRUNC($AN132*3/13,0)+0.99)*VLOOKUP((TRUNC($AN132*3/13,0)+0.99),'Tax scales - NAT 3539'!$A$74:$C$94,2,1)-VLOOKUP((TRUNC($AN132*3/13,0)+0.99),'Tax scales - NAT 3539'!$A$74:$C$94,3,1)),0)
*13/3,
0),
""))),
""),
"")</f>
        <v/>
      </c>
      <c r="AX132" s="118" t="str">
        <f>IFERROR(
IF(VLOOKUP($C132,'Employee information'!$B:$M,COLUMNS('Employee information'!$B:$M),0)=55,
IF($E$2="Fortnightly",
ROUND(
ROUND((((TRUNC($AN132/2,0)+0.99))*VLOOKUP((TRUNC($AN132/2,0)+0.99),'Tax scales - NAT 3539'!$A$99:$C$123,2,1)-VLOOKUP((TRUNC($AN132/2,0)+0.99),'Tax scales - NAT 3539'!$A$99:$C$123,3,1)),0)
*2,
0),
IF(AND($E$2="Monthly",ROUND($AN132-TRUNC($AN132),2)=0.33),
ROUND(
ROUND(((TRUNC(($AN132+0.01)*3/13,0)+0.99)*VLOOKUP((TRUNC(($AN132+0.01)*3/13,0)+0.99),'Tax scales - NAT 3539'!$A$99:$C$123,2,1)-VLOOKUP((TRUNC(($AN132+0.01)*3/13,0)+0.99),'Tax scales - NAT 3539'!$A$99:$C$123,3,1)),0)
*13/3,
0),
IF($E$2="Monthly",
ROUND(
ROUND(((TRUNC($AN132*3/13,0)+0.99)*VLOOKUP((TRUNC($AN132*3/13,0)+0.99),'Tax scales - NAT 3539'!$A$99:$C$123,2,1)-VLOOKUP((TRUNC($AN132*3/13,0)+0.99),'Tax scales - NAT 3539'!$A$99:$C$123,3,1)),0)
*13/3,
0),
""))),
""),
"")</f>
        <v/>
      </c>
      <c r="AY132" s="118" t="str">
        <f>IFERROR(
IF(VLOOKUP($C132,'Employee information'!$B:$M,COLUMNS('Employee information'!$B:$M),0)=66,
IF($E$2="Fortnightly",
ROUND(
ROUND((((TRUNC($AN132/2,0)+0.99))*VLOOKUP((TRUNC($AN132/2,0)+0.99),'Tax scales - NAT 3539'!$A$127:$C$154,2,1)-VLOOKUP((TRUNC($AN132/2,0)+0.99),'Tax scales - NAT 3539'!$A$127:$C$154,3,1)),0)
*2,
0),
IF(AND($E$2="Monthly",ROUND($AN132-TRUNC($AN132),2)=0.33),
ROUND(
ROUND(((TRUNC(($AN132+0.01)*3/13,0)+0.99)*VLOOKUP((TRUNC(($AN132+0.01)*3/13,0)+0.99),'Tax scales - NAT 3539'!$A$127:$C$154,2,1)-VLOOKUP((TRUNC(($AN132+0.01)*3/13,0)+0.99),'Tax scales - NAT 3539'!$A$127:$C$154,3,1)),0)
*13/3,
0),
IF($E$2="Monthly",
ROUND(
ROUND(((TRUNC($AN132*3/13,0)+0.99)*VLOOKUP((TRUNC($AN132*3/13,0)+0.99),'Tax scales - NAT 3539'!$A$127:$C$154,2,1)-VLOOKUP((TRUNC($AN132*3/13,0)+0.99),'Tax scales - NAT 3539'!$A$127:$C$154,3,1)),0)
*13/3,
0),
""))),
""),
"")</f>
        <v/>
      </c>
      <c r="AZ132" s="118">
        <f>IFERROR(
HLOOKUP(VLOOKUP($C132,'Employee information'!$B:$M,COLUMNS('Employee information'!$B:$M),0),'PAYG worksheet'!$AO$126:$AY$145,COUNTA($C$127:$C132)+1,0),
0)</f>
        <v>1175</v>
      </c>
      <c r="BA132" s="118"/>
      <c r="BB132" s="118">
        <f t="shared" si="139"/>
        <v>1325</v>
      </c>
      <c r="BC132" s="119">
        <f>IFERROR(
IF(OR($AE132=1,$AE132=""),SUM($P132,$AA132,$AC132,$AK132)*VLOOKUP($C132,'Employee information'!$B:$Q,COLUMNS('Employee information'!$B:$H),0),
IF($AE132=0,SUM($P132,$AA132,$AK132)*VLOOKUP($C132,'Employee information'!$B:$Q,COLUMNS('Employee information'!$B:$H),0),
0)),
0)</f>
        <v>237.5</v>
      </c>
      <c r="BE132" s="114">
        <f t="shared" si="124"/>
        <v>12500</v>
      </c>
      <c r="BF132" s="114">
        <f t="shared" si="125"/>
        <v>12500</v>
      </c>
      <c r="BG132" s="114">
        <f t="shared" si="126"/>
        <v>0</v>
      </c>
      <c r="BH132" s="114">
        <f t="shared" si="127"/>
        <v>0</v>
      </c>
      <c r="BI132" s="114">
        <f t="shared" si="128"/>
        <v>5875</v>
      </c>
      <c r="BJ132" s="114">
        <f t="shared" si="129"/>
        <v>0</v>
      </c>
      <c r="BK132" s="114">
        <f t="shared" si="130"/>
        <v>0</v>
      </c>
      <c r="BL132" s="114">
        <f t="shared" si="140"/>
        <v>0</v>
      </c>
      <c r="BM132" s="114">
        <f t="shared" si="131"/>
        <v>1187.5</v>
      </c>
    </row>
    <row r="133" spans="1:65" x14ac:dyDescent="0.25">
      <c r="A133" s="228">
        <f t="shared" si="119"/>
        <v>5</v>
      </c>
      <c r="C133" s="278" t="s">
        <v>95</v>
      </c>
      <c r="E133" s="103">
        <f>IF($C133="",0,
IF(AND($E$2="Monthly",$A133&gt;12),0,
IF($E$2="Monthly",VLOOKUP($C133,'Employee information'!$B:$AM,COLUMNS('Employee information'!$B:S),0),
IF($E$2="Fortnightly",VLOOKUP($C133,'Employee information'!$B:$AM,COLUMNS('Employee information'!$B:R),0),
0))))</f>
        <v>45</v>
      </c>
      <c r="F133" s="106"/>
      <c r="G133" s="106"/>
      <c r="H133" s="106"/>
      <c r="I133" s="106"/>
      <c r="J133" s="103">
        <f t="shared" si="132"/>
        <v>45</v>
      </c>
      <c r="L133" s="113">
        <f>IF(AND($E$2="Monthly",$A133&gt;12),"",
IFERROR($J133*VLOOKUP($C133,'Employee information'!$B:$AI,COLUMNS('Employee information'!$B:$P),0),0))</f>
        <v>1107.6923076923078</v>
      </c>
      <c r="M133" s="114">
        <f t="shared" si="133"/>
        <v>5538.461538461539</v>
      </c>
      <c r="O133" s="103">
        <f t="shared" si="134"/>
        <v>45</v>
      </c>
      <c r="P133" s="113">
        <f>IFERROR(
IF(AND($E$2="Monthly",$A133&gt;12),0,
$O133*VLOOKUP($C133,'Employee information'!$B:$AI,COLUMNS('Employee information'!$B:$P),0)),
0)</f>
        <v>1107.6923076923078</v>
      </c>
      <c r="R133" s="114">
        <f t="shared" si="120"/>
        <v>5538.461538461539</v>
      </c>
      <c r="T133" s="103"/>
      <c r="U133" s="103"/>
      <c r="V133" s="282">
        <f>IF($C133="","",
IF(AND($E$2="Monthly",$A133&gt;12),"",
$T133*VLOOKUP($C133,'Employee information'!$B:$P,COLUMNS('Employee information'!$B:$P),0)))</f>
        <v>0</v>
      </c>
      <c r="W133" s="282">
        <f>IF($C133="","",
IF(AND($E$2="Monthly",$A133&gt;12),"",
$U133*VLOOKUP($C133,'Employee information'!$B:$P,COLUMNS('Employee information'!$B:$P),0)))</f>
        <v>0</v>
      </c>
      <c r="X133" s="114">
        <f t="shared" si="121"/>
        <v>0</v>
      </c>
      <c r="Y133" s="114">
        <f t="shared" si="122"/>
        <v>0</v>
      </c>
      <c r="AA133" s="118">
        <f>IFERROR(
IF(OR('Basic payroll data'!$D$12="",'Basic payroll data'!$D$12="No"),0,
$T133*VLOOKUP($C133,'Employee information'!$B:$P,COLUMNS('Employee information'!$B:$P),0)*AL_loading_perc),
0)</f>
        <v>0</v>
      </c>
      <c r="AC133" s="118"/>
      <c r="AD133" s="118"/>
      <c r="AE133" s="283" t="str">
        <f t="shared" si="135"/>
        <v/>
      </c>
      <c r="AF133" s="283" t="str">
        <f t="shared" si="136"/>
        <v/>
      </c>
      <c r="AG133" s="118"/>
      <c r="AH133" s="118"/>
      <c r="AI133" s="283" t="str">
        <f t="shared" si="137"/>
        <v/>
      </c>
      <c r="AJ133" s="118"/>
      <c r="AK133" s="118"/>
      <c r="AM133" s="118">
        <f t="shared" si="138"/>
        <v>1107.6923076923078</v>
      </c>
      <c r="AN133" s="118">
        <f t="shared" si="123"/>
        <v>1107.6923076923078</v>
      </c>
      <c r="AO133" s="118" t="str">
        <f>IFERROR(
IF(VLOOKUP($C133,'Employee information'!$B:$M,COLUMNS('Employee information'!$B:$M),0)=1,
IF($E$2="Fortnightly",
ROUND(
ROUND((((TRUNC($AN133/2,0)+0.99))*VLOOKUP((TRUNC($AN133/2,0)+0.99),'Tax scales - NAT 1004'!$A$12:$C$18,2,1)-VLOOKUP((TRUNC($AN133/2,0)+0.99),'Tax scales - NAT 1004'!$A$12:$C$18,3,1)),0)
*2,
0),
IF(AND($E$2="Monthly",ROUND($AN133-TRUNC($AN133),2)=0.33),
ROUND(
ROUND(((TRUNC(($AN133+0.01)*3/13,0)+0.99)*VLOOKUP((TRUNC(($AN133+0.01)*3/13,0)+0.99),'Tax scales - NAT 1004'!$A$12:$C$18,2,1)-VLOOKUP((TRUNC(($AN133+0.01)*3/13,0)+0.99),'Tax scales - NAT 1004'!$A$12:$C$18,3,1)),0)
*13/3,
0),
IF($E$2="Monthly",
ROUND(
ROUND(((TRUNC($AN133*3/13,0)+0.99)*VLOOKUP((TRUNC($AN133*3/13,0)+0.99),'Tax scales - NAT 1004'!$A$12:$C$18,2,1)-VLOOKUP((TRUNC($AN133*3/13,0)+0.99),'Tax scales - NAT 1004'!$A$12:$C$18,3,1)),0)
*13/3,
0),
""))),
""),
"")</f>
        <v/>
      </c>
      <c r="AP133" s="118" t="str">
        <f>IFERROR(
IF(VLOOKUP($C133,'Employee information'!$B:$M,COLUMNS('Employee information'!$B:$M),0)=2,
IF($E$2="Fortnightly",
ROUND(
ROUND((((TRUNC($AN133/2,0)+0.99))*VLOOKUP((TRUNC($AN133/2,0)+0.99),'Tax scales - NAT 1004'!$A$25:$C$33,2,1)-VLOOKUP((TRUNC($AN133/2,0)+0.99),'Tax scales - NAT 1004'!$A$25:$C$33,3,1)),0)
*2,
0),
IF(AND($E$2="Monthly",ROUND($AN133-TRUNC($AN133),2)=0.33),
ROUND(
ROUND(((TRUNC(($AN133+0.01)*3/13,0)+0.99)*VLOOKUP((TRUNC(($AN133+0.01)*3/13,0)+0.99),'Tax scales - NAT 1004'!$A$25:$C$33,2,1)-VLOOKUP((TRUNC(($AN133+0.01)*3/13,0)+0.99),'Tax scales - NAT 1004'!$A$25:$C$33,3,1)),0)
*13/3,
0),
IF($E$2="Monthly",
ROUND(
ROUND(((TRUNC($AN133*3/13,0)+0.99)*VLOOKUP((TRUNC($AN133*3/13,0)+0.99),'Tax scales - NAT 1004'!$A$25:$C$33,2,1)-VLOOKUP((TRUNC($AN133*3/13,0)+0.99),'Tax scales - NAT 1004'!$A$25:$C$33,3,1)),0)
*13/3,
0),
""))),
""),
"")</f>
        <v/>
      </c>
      <c r="AQ133" s="118" t="str">
        <f>IFERROR(
IF(VLOOKUP($C133,'Employee information'!$B:$M,COLUMNS('Employee information'!$B:$M),0)=3,
IF($E$2="Fortnightly",
ROUND(
ROUND((((TRUNC($AN133/2,0)+0.99))*VLOOKUP((TRUNC($AN133/2,0)+0.99),'Tax scales - NAT 1004'!$A$39:$C$41,2,1)-VLOOKUP((TRUNC($AN133/2,0)+0.99),'Tax scales - NAT 1004'!$A$39:$C$41,3,1)),0)
*2,
0),
IF(AND($E$2="Monthly",ROUND($AN133-TRUNC($AN133),2)=0.33),
ROUND(
ROUND(((TRUNC(($AN133+0.01)*3/13,0)+0.99)*VLOOKUP((TRUNC(($AN133+0.01)*3/13,0)+0.99),'Tax scales - NAT 1004'!$A$39:$C$41,2,1)-VLOOKUP((TRUNC(($AN133+0.01)*3/13,0)+0.99),'Tax scales - NAT 1004'!$A$39:$C$41,3,1)),0)
*13/3,
0),
IF($E$2="Monthly",
ROUND(
ROUND(((TRUNC($AN133*3/13,0)+0.99)*VLOOKUP((TRUNC($AN133*3/13,0)+0.99),'Tax scales - NAT 1004'!$A$39:$C$41,2,1)-VLOOKUP((TRUNC($AN133*3/13,0)+0.99),'Tax scales - NAT 1004'!$A$39:$C$41,3,1)),0)
*13/3,
0),
""))),
""),
"")</f>
        <v/>
      </c>
      <c r="AR133" s="118" t="str">
        <f>IFERROR(
IF(AND(VLOOKUP($C133,'Employee information'!$B:$M,COLUMNS('Employee information'!$B:$M),0)=4,
VLOOKUP($C133,'Employee information'!$B:$J,COLUMNS('Employee information'!$B:$J),0)="Resident"),
TRUNC(TRUNC($AN133)*'Tax scales - NAT 1004'!$B$47),
IF(AND(VLOOKUP($C133,'Employee information'!$B:$M,COLUMNS('Employee information'!$B:$M),0)=4,
VLOOKUP($C133,'Employee information'!$B:$J,COLUMNS('Employee information'!$B:$J),0)="Foreign resident"),
TRUNC(TRUNC($AN133)*'Tax scales - NAT 1004'!$B$48),
"")),
"")</f>
        <v/>
      </c>
      <c r="AS133" s="118" t="str">
        <f>IFERROR(
IF(VLOOKUP($C133,'Employee information'!$B:$M,COLUMNS('Employee information'!$B:$M),0)=5,
IF($E$2="Fortnightly",
ROUND(
ROUND((((TRUNC($AN133/2,0)+0.99))*VLOOKUP((TRUNC($AN133/2,0)+0.99),'Tax scales - NAT 1004'!$A$53:$C$59,2,1)-VLOOKUP((TRUNC($AN133/2,0)+0.99),'Tax scales - NAT 1004'!$A$53:$C$59,3,1)),0)
*2,
0),
IF(AND($E$2="Monthly",ROUND($AN133-TRUNC($AN133),2)=0.33),
ROUND(
ROUND(((TRUNC(($AN133+0.01)*3/13,0)+0.99)*VLOOKUP((TRUNC(($AN133+0.01)*3/13,0)+0.99),'Tax scales - NAT 1004'!$A$53:$C$59,2,1)-VLOOKUP((TRUNC(($AN133+0.01)*3/13,0)+0.99),'Tax scales - NAT 1004'!$A$53:$C$59,3,1)),0)
*13/3,
0),
IF($E$2="Monthly",
ROUND(
ROUND(((TRUNC($AN133*3/13,0)+0.99)*VLOOKUP((TRUNC($AN133*3/13,0)+0.99),'Tax scales - NAT 1004'!$A$53:$C$59,2,1)-VLOOKUP((TRUNC($AN133*3/13,0)+0.99),'Tax scales - NAT 1004'!$A$53:$C$59,3,1)),0)
*13/3,
0),
""))),
""),
"")</f>
        <v/>
      </c>
      <c r="AT133" s="118" t="str">
        <f>IFERROR(
IF(VLOOKUP($C133,'Employee information'!$B:$M,COLUMNS('Employee information'!$B:$M),0)=6,
IF($E$2="Fortnightly",
ROUND(
ROUND((((TRUNC($AN133/2,0)+0.99))*VLOOKUP((TRUNC($AN133/2,0)+0.99),'Tax scales - NAT 1004'!$A$65:$C$73,2,1)-VLOOKUP((TRUNC($AN133/2,0)+0.99),'Tax scales - NAT 1004'!$A$65:$C$73,3,1)),0)
*2,
0),
IF(AND($E$2="Monthly",ROUND($AN133-TRUNC($AN133),2)=0.33),
ROUND(
ROUND(((TRUNC(($AN133+0.01)*3/13,0)+0.99)*VLOOKUP((TRUNC(($AN133+0.01)*3/13,0)+0.99),'Tax scales - NAT 1004'!$A$65:$C$73,2,1)-VLOOKUP((TRUNC(($AN133+0.01)*3/13,0)+0.99),'Tax scales - NAT 1004'!$A$65:$C$73,3,1)),0)
*13/3,
0),
IF($E$2="Monthly",
ROUND(
ROUND(((TRUNC($AN133*3/13,0)+0.99)*VLOOKUP((TRUNC($AN133*3/13,0)+0.99),'Tax scales - NAT 1004'!$A$65:$C$73,2,1)-VLOOKUP((TRUNC($AN133*3/13,0)+0.99),'Tax scales - NAT 1004'!$A$65:$C$73,3,1)),0)
*13/3,
0),
""))),
""),
"")</f>
        <v/>
      </c>
      <c r="AU133" s="118" t="str">
        <f>IFERROR(
IF(VLOOKUP($C133,'Employee information'!$B:$M,COLUMNS('Employee information'!$B:$M),0)=11,
IF($E$2="Fortnightly",
ROUND(
ROUND((((TRUNC($AN133/2,0)+0.99))*VLOOKUP((TRUNC($AN133/2,0)+0.99),'Tax scales - NAT 3539'!$A$14:$C$38,2,1)-VLOOKUP((TRUNC($AN133/2,0)+0.99),'Tax scales - NAT 3539'!$A$14:$C$38,3,1)),0)
*2,
0),
IF(AND($E$2="Monthly",ROUND($AN133-TRUNC($AN133),2)=0.33),
ROUND(
ROUND(((TRUNC(($AN133+0.01)*3/13,0)+0.99)*VLOOKUP((TRUNC(($AN133+0.01)*3/13,0)+0.99),'Tax scales - NAT 3539'!$A$14:$C$38,2,1)-VLOOKUP((TRUNC(($AN133+0.01)*3/13,0)+0.99),'Tax scales - NAT 3539'!$A$14:$C$38,3,1)),0)
*13/3,
0),
IF($E$2="Monthly",
ROUND(
ROUND(((TRUNC($AN133*3/13,0)+0.99)*VLOOKUP((TRUNC($AN133*3/13,0)+0.99),'Tax scales - NAT 3539'!$A$14:$C$38,2,1)-VLOOKUP((TRUNC($AN133*3/13,0)+0.99),'Tax scales - NAT 3539'!$A$14:$C$38,3,1)),0)
*13/3,
0),
""))),
""),
"")</f>
        <v/>
      </c>
      <c r="AV133" s="118" t="str">
        <f>IFERROR(
IF(VLOOKUP($C133,'Employee information'!$B:$M,COLUMNS('Employee information'!$B:$M),0)=22,
IF($E$2="Fortnightly",
ROUND(
ROUND((((TRUNC($AN133/2,0)+0.99))*VLOOKUP((TRUNC($AN133/2,0)+0.99),'Tax scales - NAT 3539'!$A$43:$C$69,2,1)-VLOOKUP((TRUNC($AN133/2,0)+0.99),'Tax scales - NAT 3539'!$A$43:$C$69,3,1)),0)
*2,
0),
IF(AND($E$2="Monthly",ROUND($AN133-TRUNC($AN133),2)=0.33),
ROUND(
ROUND(((TRUNC(($AN133+0.01)*3/13,0)+0.99)*VLOOKUP((TRUNC(($AN133+0.01)*3/13,0)+0.99),'Tax scales - NAT 3539'!$A$43:$C$69,2,1)-VLOOKUP((TRUNC(($AN133+0.01)*3/13,0)+0.99),'Tax scales - NAT 3539'!$A$43:$C$69,3,1)),0)
*13/3,
0),
IF($E$2="Monthly",
ROUND(
ROUND(((TRUNC($AN133*3/13,0)+0.99)*VLOOKUP((TRUNC($AN133*3/13,0)+0.99),'Tax scales - NAT 3539'!$A$43:$C$69,2,1)-VLOOKUP((TRUNC($AN133*3/13,0)+0.99),'Tax scales - NAT 3539'!$A$43:$C$69,3,1)),0)
*13/3,
0),
""))),
""),
"")</f>
        <v/>
      </c>
      <c r="AW133" s="118" t="str">
        <f>IFERROR(
IF(VLOOKUP($C133,'Employee information'!$B:$M,COLUMNS('Employee information'!$B:$M),0)=33,
IF($E$2="Fortnightly",
ROUND(
ROUND((((TRUNC($AN133/2,0)+0.99))*VLOOKUP((TRUNC($AN133/2,0)+0.99),'Tax scales - NAT 3539'!$A$74:$C$94,2,1)-VLOOKUP((TRUNC($AN133/2,0)+0.99),'Tax scales - NAT 3539'!$A$74:$C$94,3,1)),0)
*2,
0),
IF(AND($E$2="Monthly",ROUND($AN133-TRUNC($AN133),2)=0.33),
ROUND(
ROUND(((TRUNC(($AN133+0.01)*3/13,0)+0.99)*VLOOKUP((TRUNC(($AN133+0.01)*3/13,0)+0.99),'Tax scales - NAT 3539'!$A$74:$C$94,2,1)-VLOOKUP((TRUNC(($AN133+0.01)*3/13,0)+0.99),'Tax scales - NAT 3539'!$A$74:$C$94,3,1)),0)
*13/3,
0),
IF($E$2="Monthly",
ROUND(
ROUND(((TRUNC($AN133*3/13,0)+0.99)*VLOOKUP((TRUNC($AN133*3/13,0)+0.99),'Tax scales - NAT 3539'!$A$74:$C$94,2,1)-VLOOKUP((TRUNC($AN133*3/13,0)+0.99),'Tax scales - NAT 3539'!$A$74:$C$94,3,1)),0)
*13/3,
0),
""))),
""),
"")</f>
        <v/>
      </c>
      <c r="AX133" s="118" t="str">
        <f>IFERROR(
IF(VLOOKUP($C133,'Employee information'!$B:$M,COLUMNS('Employee information'!$B:$M),0)=55,
IF($E$2="Fortnightly",
ROUND(
ROUND((((TRUNC($AN133/2,0)+0.99))*VLOOKUP((TRUNC($AN133/2,0)+0.99),'Tax scales - NAT 3539'!$A$99:$C$123,2,1)-VLOOKUP((TRUNC($AN133/2,0)+0.99),'Tax scales - NAT 3539'!$A$99:$C$123,3,1)),0)
*2,
0),
IF(AND($E$2="Monthly",ROUND($AN133-TRUNC($AN133),2)=0.33),
ROUND(
ROUND(((TRUNC(($AN133+0.01)*3/13,0)+0.99)*VLOOKUP((TRUNC(($AN133+0.01)*3/13,0)+0.99),'Tax scales - NAT 3539'!$A$99:$C$123,2,1)-VLOOKUP((TRUNC(($AN133+0.01)*3/13,0)+0.99),'Tax scales - NAT 3539'!$A$99:$C$123,3,1)),0)
*13/3,
0),
IF($E$2="Monthly",
ROUND(
ROUND(((TRUNC($AN133*3/13,0)+0.99)*VLOOKUP((TRUNC($AN133*3/13,0)+0.99),'Tax scales - NAT 3539'!$A$99:$C$123,2,1)-VLOOKUP((TRUNC($AN133*3/13,0)+0.99),'Tax scales - NAT 3539'!$A$99:$C$123,3,1)),0)
*13/3,
0),
""))),
""),
"")</f>
        <v/>
      </c>
      <c r="AY133" s="118">
        <f>IFERROR(
IF(VLOOKUP($C133,'Employee information'!$B:$M,COLUMNS('Employee information'!$B:$M),0)=66,
IF($E$2="Fortnightly",
ROUND(
ROUND((((TRUNC($AN133/2,0)+0.99))*VLOOKUP((TRUNC($AN133/2,0)+0.99),'Tax scales - NAT 3539'!$A$127:$C$154,2,1)-VLOOKUP((TRUNC($AN133/2,0)+0.99),'Tax scales - NAT 3539'!$A$127:$C$154,3,1)),0)
*2,
0),
IF(AND($E$2="Monthly",ROUND($AN133-TRUNC($AN133),2)=0.33),
ROUND(
ROUND(((TRUNC(($AN133+0.01)*3/13,0)+0.99)*VLOOKUP((TRUNC(($AN133+0.01)*3/13,0)+0.99),'Tax scales - NAT 3539'!$A$127:$C$154,2,1)-VLOOKUP((TRUNC(($AN133+0.01)*3/13,0)+0.99),'Tax scales - NAT 3539'!$A$127:$C$154,3,1)),0)
*13/3,
0),
IF($E$2="Monthly",
ROUND(
ROUND(((TRUNC($AN133*3/13,0)+0.99)*VLOOKUP((TRUNC($AN133*3/13,0)+0.99),'Tax scales - NAT 3539'!$A$127:$C$154,2,1)-VLOOKUP((TRUNC($AN133*3/13,0)+0.99),'Tax scales - NAT 3539'!$A$127:$C$154,3,1)),0)
*13/3,
0),
""))),
""),
"")</f>
        <v>74</v>
      </c>
      <c r="AZ133" s="118">
        <f>IFERROR(
HLOOKUP(VLOOKUP($C133,'Employee information'!$B:$M,COLUMNS('Employee information'!$B:$M),0),'PAYG worksheet'!$AO$126:$AY$145,COUNTA($C$127:$C133)+1,0),
0)</f>
        <v>74</v>
      </c>
      <c r="BA133" s="118"/>
      <c r="BB133" s="118">
        <f t="shared" si="139"/>
        <v>1033.6923076923078</v>
      </c>
      <c r="BC133" s="119">
        <f>IFERROR(
IF(OR($AE133=1,$AE133=""),SUM($P133,$AA133,$AC133,$AK133)*VLOOKUP($C133,'Employee information'!$B:$Q,COLUMNS('Employee information'!$B:$H),0),
IF($AE133=0,SUM($P133,$AA133,$AK133)*VLOOKUP($C133,'Employee information'!$B:$Q,COLUMNS('Employee information'!$B:$H),0),
0)),
0)</f>
        <v>105.23076923076924</v>
      </c>
      <c r="BE133" s="114">
        <f t="shared" si="124"/>
        <v>5538.461538461539</v>
      </c>
      <c r="BF133" s="114">
        <f t="shared" si="125"/>
        <v>5538.461538461539</v>
      </c>
      <c r="BG133" s="114">
        <f t="shared" si="126"/>
        <v>0</v>
      </c>
      <c r="BH133" s="114">
        <f t="shared" si="127"/>
        <v>0</v>
      </c>
      <c r="BI133" s="114">
        <f t="shared" si="128"/>
        <v>370</v>
      </c>
      <c r="BJ133" s="114">
        <f t="shared" si="129"/>
        <v>0</v>
      </c>
      <c r="BK133" s="114">
        <f t="shared" si="130"/>
        <v>0</v>
      </c>
      <c r="BL133" s="114">
        <f t="shared" si="140"/>
        <v>0</v>
      </c>
      <c r="BM133" s="114">
        <f t="shared" si="131"/>
        <v>526.15384615384619</v>
      </c>
    </row>
    <row r="134" spans="1:65" x14ac:dyDescent="0.25">
      <c r="A134" s="228">
        <f t="shared" si="119"/>
        <v>5</v>
      </c>
      <c r="C134" s="278"/>
      <c r="E134" s="103">
        <f>IF($C134="",0,
IF(AND($E$2="Monthly",$A134&gt;12),0,
IF($E$2="Monthly",VLOOKUP($C134,'Employee information'!$B:$AM,COLUMNS('Employee information'!$B:S),0),
IF($E$2="Fortnightly",VLOOKUP($C134,'Employee information'!$B:$AM,COLUMNS('Employee information'!$B:R),0),
0))))</f>
        <v>0</v>
      </c>
      <c r="F134" s="106"/>
      <c r="G134" s="106"/>
      <c r="H134" s="106"/>
      <c r="I134" s="106"/>
      <c r="J134" s="103">
        <f>IF($E$2="Monthly",
IF(AND($E$2="Monthly",$H134&lt;&gt;""),$H134,
IF(AND($E$2="Monthly",$E134=0),SUM($F134:$G134),
$E134)),
IF($E$2="Fortnightly",
IF(AND($E$2="Fortnightly",$H134&lt;&gt;""),$H134,
IF(AND($E$2="Fortnightly",$F134&lt;&gt;"",$E134&lt;&gt;0),$F134,
IF(AND($E$2="Fortnightly",$E134=0),SUM($F134:$G134),
$E134)))))</f>
        <v>0</v>
      </c>
      <c r="L134" s="113">
        <f>IF(AND($E$2="Monthly",$A134&gt;12),"",
IFERROR($J134*VLOOKUP($C134,'Employee information'!$B:$AI,COLUMNS('Employee information'!$B:$P),0),0))</f>
        <v>0</v>
      </c>
      <c r="M134" s="114">
        <f t="shared" si="133"/>
        <v>0</v>
      </c>
      <c r="O134" s="103">
        <f t="shared" si="134"/>
        <v>0</v>
      </c>
      <c r="P134" s="113">
        <f>IFERROR(
IF(AND($E$2="Monthly",$A134&gt;12),0,
$O134*VLOOKUP($C134,'Employee information'!$B:$AI,COLUMNS('Employee information'!$B:$P),0)),
0)</f>
        <v>0</v>
      </c>
      <c r="R134" s="114">
        <f t="shared" si="120"/>
        <v>0</v>
      </c>
      <c r="T134" s="103"/>
      <c r="U134" s="103"/>
      <c r="V134" s="282" t="str">
        <f>IF($C134="","",
IF(AND($E$2="Monthly",$A134&gt;12),"",
$T134*VLOOKUP($C134,'Employee information'!$B:$P,COLUMNS('Employee information'!$B:$P),0)))</f>
        <v/>
      </c>
      <c r="W134" s="282" t="str">
        <f>IF($C134="","",
IF(AND($E$2="Monthly",$A134&gt;12),"",
$U134*VLOOKUP($C134,'Employee information'!$B:$P,COLUMNS('Employee information'!$B:$P),0)))</f>
        <v/>
      </c>
      <c r="X134" s="114">
        <f t="shared" si="121"/>
        <v>0</v>
      </c>
      <c r="Y134" s="114">
        <f t="shared" si="122"/>
        <v>0</v>
      </c>
      <c r="AA134" s="118">
        <f>IFERROR(
IF(OR('Basic payroll data'!$D$12="",'Basic payroll data'!$D$12="No"),0,
$T134*VLOOKUP($C134,'Employee information'!$B:$P,COLUMNS('Employee information'!$B:$P),0)*AL_loading_perc),
0)</f>
        <v>0</v>
      </c>
      <c r="AC134" s="118"/>
      <c r="AD134" s="118"/>
      <c r="AE134" s="283" t="str">
        <f t="shared" si="135"/>
        <v/>
      </c>
      <c r="AF134" s="283" t="str">
        <f t="shared" si="136"/>
        <v/>
      </c>
      <c r="AG134" s="118"/>
      <c r="AH134" s="118"/>
      <c r="AI134" s="283" t="str">
        <f t="shared" si="137"/>
        <v/>
      </c>
      <c r="AJ134" s="118"/>
      <c r="AK134" s="118"/>
      <c r="AM134" s="118">
        <f t="shared" si="138"/>
        <v>0</v>
      </c>
      <c r="AN134" s="118">
        <f t="shared" si="123"/>
        <v>0</v>
      </c>
      <c r="AO134" s="118" t="str">
        <f>IFERROR(
IF(VLOOKUP($C134,'Employee information'!$B:$M,COLUMNS('Employee information'!$B:$M),0)=1,
IF($E$2="Fortnightly",
ROUND(
ROUND((((TRUNC($AN134/2,0)+0.99))*VLOOKUP((TRUNC($AN134/2,0)+0.99),'Tax scales - NAT 1004'!$A$12:$C$18,2,1)-VLOOKUP((TRUNC($AN134/2,0)+0.99),'Tax scales - NAT 1004'!$A$12:$C$18,3,1)),0)
*2,
0),
IF(AND($E$2="Monthly",ROUND($AN134-TRUNC($AN134),2)=0.33),
ROUND(
ROUND(((TRUNC(($AN134+0.01)*3/13,0)+0.99)*VLOOKUP((TRUNC(($AN134+0.01)*3/13,0)+0.99),'Tax scales - NAT 1004'!$A$12:$C$18,2,1)-VLOOKUP((TRUNC(($AN134+0.01)*3/13,0)+0.99),'Tax scales - NAT 1004'!$A$12:$C$18,3,1)),0)
*13/3,
0),
IF($E$2="Monthly",
ROUND(
ROUND(((TRUNC($AN134*3/13,0)+0.99)*VLOOKUP((TRUNC($AN134*3/13,0)+0.99),'Tax scales - NAT 1004'!$A$12:$C$18,2,1)-VLOOKUP((TRUNC($AN134*3/13,0)+0.99),'Tax scales - NAT 1004'!$A$12:$C$18,3,1)),0)
*13/3,
0),
""))),
""),
"")</f>
        <v/>
      </c>
      <c r="AP134" s="118" t="str">
        <f>IFERROR(
IF(VLOOKUP($C134,'Employee information'!$B:$M,COLUMNS('Employee information'!$B:$M),0)=2,
IF($E$2="Fortnightly",
ROUND(
ROUND((((TRUNC($AN134/2,0)+0.99))*VLOOKUP((TRUNC($AN134/2,0)+0.99),'Tax scales - NAT 1004'!$A$25:$C$33,2,1)-VLOOKUP((TRUNC($AN134/2,0)+0.99),'Tax scales - NAT 1004'!$A$25:$C$33,3,1)),0)
*2,
0),
IF(AND($E$2="Monthly",ROUND($AN134-TRUNC($AN134),2)=0.33),
ROUND(
ROUND(((TRUNC(($AN134+0.01)*3/13,0)+0.99)*VLOOKUP((TRUNC(($AN134+0.01)*3/13,0)+0.99),'Tax scales - NAT 1004'!$A$25:$C$33,2,1)-VLOOKUP((TRUNC(($AN134+0.01)*3/13,0)+0.99),'Tax scales - NAT 1004'!$A$25:$C$33,3,1)),0)
*13/3,
0),
IF($E$2="Monthly",
ROUND(
ROUND(((TRUNC($AN134*3/13,0)+0.99)*VLOOKUP((TRUNC($AN134*3/13,0)+0.99),'Tax scales - NAT 1004'!$A$25:$C$33,2,1)-VLOOKUP((TRUNC($AN134*3/13,0)+0.99),'Tax scales - NAT 1004'!$A$25:$C$33,3,1)),0)
*13/3,
0),
""))),
""),
"")</f>
        <v/>
      </c>
      <c r="AQ134" s="118" t="str">
        <f>IFERROR(
IF(VLOOKUP($C134,'Employee information'!$B:$M,COLUMNS('Employee information'!$B:$M),0)=3,
IF($E$2="Fortnightly",
ROUND(
ROUND((((TRUNC($AN134/2,0)+0.99))*VLOOKUP((TRUNC($AN134/2,0)+0.99),'Tax scales - NAT 1004'!$A$39:$C$41,2,1)-VLOOKUP((TRUNC($AN134/2,0)+0.99),'Tax scales - NAT 1004'!$A$39:$C$41,3,1)),0)
*2,
0),
IF(AND($E$2="Monthly",ROUND($AN134-TRUNC($AN134),2)=0.33),
ROUND(
ROUND(((TRUNC(($AN134+0.01)*3/13,0)+0.99)*VLOOKUP((TRUNC(($AN134+0.01)*3/13,0)+0.99),'Tax scales - NAT 1004'!$A$39:$C$41,2,1)-VLOOKUP((TRUNC(($AN134+0.01)*3/13,0)+0.99),'Tax scales - NAT 1004'!$A$39:$C$41,3,1)),0)
*13/3,
0),
IF($E$2="Monthly",
ROUND(
ROUND(((TRUNC($AN134*3/13,0)+0.99)*VLOOKUP((TRUNC($AN134*3/13,0)+0.99),'Tax scales - NAT 1004'!$A$39:$C$41,2,1)-VLOOKUP((TRUNC($AN134*3/13,0)+0.99),'Tax scales - NAT 1004'!$A$39:$C$41,3,1)),0)
*13/3,
0),
""))),
""),
"")</f>
        <v/>
      </c>
      <c r="AR134" s="118" t="str">
        <f>IFERROR(
IF(AND(VLOOKUP($C134,'Employee information'!$B:$M,COLUMNS('Employee information'!$B:$M),0)=4,
VLOOKUP($C134,'Employee information'!$B:$J,COLUMNS('Employee information'!$B:$J),0)="Resident"),
TRUNC(TRUNC($AN134)*'Tax scales - NAT 1004'!$B$47),
IF(AND(VLOOKUP($C134,'Employee information'!$B:$M,COLUMNS('Employee information'!$B:$M),0)=4,
VLOOKUP($C134,'Employee information'!$B:$J,COLUMNS('Employee information'!$B:$J),0)="Foreign resident"),
TRUNC(TRUNC($AN134)*'Tax scales - NAT 1004'!$B$48),
"")),
"")</f>
        <v/>
      </c>
      <c r="AS134" s="118" t="str">
        <f>IFERROR(
IF(VLOOKUP($C134,'Employee information'!$B:$M,COLUMNS('Employee information'!$B:$M),0)=5,
IF($E$2="Fortnightly",
ROUND(
ROUND((((TRUNC($AN134/2,0)+0.99))*VLOOKUP((TRUNC($AN134/2,0)+0.99),'Tax scales - NAT 1004'!$A$53:$C$59,2,1)-VLOOKUP((TRUNC($AN134/2,0)+0.99),'Tax scales - NAT 1004'!$A$53:$C$59,3,1)),0)
*2,
0),
IF(AND($E$2="Monthly",ROUND($AN134-TRUNC($AN134),2)=0.33),
ROUND(
ROUND(((TRUNC(($AN134+0.01)*3/13,0)+0.99)*VLOOKUP((TRUNC(($AN134+0.01)*3/13,0)+0.99),'Tax scales - NAT 1004'!$A$53:$C$59,2,1)-VLOOKUP((TRUNC(($AN134+0.01)*3/13,0)+0.99),'Tax scales - NAT 1004'!$A$53:$C$59,3,1)),0)
*13/3,
0),
IF($E$2="Monthly",
ROUND(
ROUND(((TRUNC($AN134*3/13,0)+0.99)*VLOOKUP((TRUNC($AN134*3/13,0)+0.99),'Tax scales - NAT 1004'!$A$53:$C$59,2,1)-VLOOKUP((TRUNC($AN134*3/13,0)+0.99),'Tax scales - NAT 1004'!$A$53:$C$59,3,1)),0)
*13/3,
0),
""))),
""),
"")</f>
        <v/>
      </c>
      <c r="AT134" s="118" t="str">
        <f>IFERROR(
IF(VLOOKUP($C134,'Employee information'!$B:$M,COLUMNS('Employee information'!$B:$M),0)=6,
IF($E$2="Fortnightly",
ROUND(
ROUND((((TRUNC($AN134/2,0)+0.99))*VLOOKUP((TRUNC($AN134/2,0)+0.99),'Tax scales - NAT 1004'!$A$65:$C$73,2,1)-VLOOKUP((TRUNC($AN134/2,0)+0.99),'Tax scales - NAT 1004'!$A$65:$C$73,3,1)),0)
*2,
0),
IF(AND($E$2="Monthly",ROUND($AN134-TRUNC($AN134),2)=0.33),
ROUND(
ROUND(((TRUNC(($AN134+0.01)*3/13,0)+0.99)*VLOOKUP((TRUNC(($AN134+0.01)*3/13,0)+0.99),'Tax scales - NAT 1004'!$A$65:$C$73,2,1)-VLOOKUP((TRUNC(($AN134+0.01)*3/13,0)+0.99),'Tax scales - NAT 1004'!$A$65:$C$73,3,1)),0)
*13/3,
0),
IF($E$2="Monthly",
ROUND(
ROUND(((TRUNC($AN134*3/13,0)+0.99)*VLOOKUP((TRUNC($AN134*3/13,0)+0.99),'Tax scales - NAT 1004'!$A$65:$C$73,2,1)-VLOOKUP((TRUNC($AN134*3/13,0)+0.99),'Tax scales - NAT 1004'!$A$65:$C$73,3,1)),0)
*13/3,
0),
""))),
""),
"")</f>
        <v/>
      </c>
      <c r="AU134" s="118" t="str">
        <f>IFERROR(
IF(VLOOKUP($C134,'Employee information'!$B:$M,COLUMNS('Employee information'!$B:$M),0)=11,
IF($E$2="Fortnightly",
ROUND(
ROUND((((TRUNC($AN134/2,0)+0.99))*VLOOKUP((TRUNC($AN134/2,0)+0.99),'Tax scales - NAT 3539'!$A$14:$C$38,2,1)-VLOOKUP((TRUNC($AN134/2,0)+0.99),'Tax scales - NAT 3539'!$A$14:$C$38,3,1)),0)
*2,
0),
IF(AND($E$2="Monthly",ROUND($AN134-TRUNC($AN134),2)=0.33),
ROUND(
ROUND(((TRUNC(($AN134+0.01)*3/13,0)+0.99)*VLOOKUP((TRUNC(($AN134+0.01)*3/13,0)+0.99),'Tax scales - NAT 3539'!$A$14:$C$38,2,1)-VLOOKUP((TRUNC(($AN134+0.01)*3/13,0)+0.99),'Tax scales - NAT 3539'!$A$14:$C$38,3,1)),0)
*13/3,
0),
IF($E$2="Monthly",
ROUND(
ROUND(((TRUNC($AN134*3/13,0)+0.99)*VLOOKUP((TRUNC($AN134*3/13,0)+0.99),'Tax scales - NAT 3539'!$A$14:$C$38,2,1)-VLOOKUP((TRUNC($AN134*3/13,0)+0.99),'Tax scales - NAT 3539'!$A$14:$C$38,3,1)),0)
*13/3,
0),
""))),
""),
"")</f>
        <v/>
      </c>
      <c r="AV134" s="118" t="str">
        <f>IFERROR(
IF(VLOOKUP($C134,'Employee information'!$B:$M,COLUMNS('Employee information'!$B:$M),0)=22,
IF($E$2="Fortnightly",
ROUND(
ROUND((((TRUNC($AN134/2,0)+0.99))*VLOOKUP((TRUNC($AN134/2,0)+0.99),'Tax scales - NAT 3539'!$A$43:$C$69,2,1)-VLOOKUP((TRUNC($AN134/2,0)+0.99),'Tax scales - NAT 3539'!$A$43:$C$69,3,1)),0)
*2,
0),
IF(AND($E$2="Monthly",ROUND($AN134-TRUNC($AN134),2)=0.33),
ROUND(
ROUND(((TRUNC(($AN134+0.01)*3/13,0)+0.99)*VLOOKUP((TRUNC(($AN134+0.01)*3/13,0)+0.99),'Tax scales - NAT 3539'!$A$43:$C$69,2,1)-VLOOKUP((TRUNC(($AN134+0.01)*3/13,0)+0.99),'Tax scales - NAT 3539'!$A$43:$C$69,3,1)),0)
*13/3,
0),
IF($E$2="Monthly",
ROUND(
ROUND(((TRUNC($AN134*3/13,0)+0.99)*VLOOKUP((TRUNC($AN134*3/13,0)+0.99),'Tax scales - NAT 3539'!$A$43:$C$69,2,1)-VLOOKUP((TRUNC($AN134*3/13,0)+0.99),'Tax scales - NAT 3539'!$A$43:$C$69,3,1)),0)
*13/3,
0),
""))),
""),
"")</f>
        <v/>
      </c>
      <c r="AW134" s="118" t="str">
        <f>IFERROR(
IF(VLOOKUP($C134,'Employee information'!$B:$M,COLUMNS('Employee information'!$B:$M),0)=33,
IF($E$2="Fortnightly",
ROUND(
ROUND((((TRUNC($AN134/2,0)+0.99))*VLOOKUP((TRUNC($AN134/2,0)+0.99),'Tax scales - NAT 3539'!$A$74:$C$94,2,1)-VLOOKUP((TRUNC($AN134/2,0)+0.99),'Tax scales - NAT 3539'!$A$74:$C$94,3,1)),0)
*2,
0),
IF(AND($E$2="Monthly",ROUND($AN134-TRUNC($AN134),2)=0.33),
ROUND(
ROUND(((TRUNC(($AN134+0.01)*3/13,0)+0.99)*VLOOKUP((TRUNC(($AN134+0.01)*3/13,0)+0.99),'Tax scales - NAT 3539'!$A$74:$C$94,2,1)-VLOOKUP((TRUNC(($AN134+0.01)*3/13,0)+0.99),'Tax scales - NAT 3539'!$A$74:$C$94,3,1)),0)
*13/3,
0),
IF($E$2="Monthly",
ROUND(
ROUND(((TRUNC($AN134*3/13,0)+0.99)*VLOOKUP((TRUNC($AN134*3/13,0)+0.99),'Tax scales - NAT 3539'!$A$74:$C$94,2,1)-VLOOKUP((TRUNC($AN134*3/13,0)+0.99),'Tax scales - NAT 3539'!$A$74:$C$94,3,1)),0)
*13/3,
0),
""))),
""),
"")</f>
        <v/>
      </c>
      <c r="AX134" s="118" t="str">
        <f>IFERROR(
IF(VLOOKUP($C134,'Employee information'!$B:$M,COLUMNS('Employee information'!$B:$M),0)=55,
IF($E$2="Fortnightly",
ROUND(
ROUND((((TRUNC($AN134/2,0)+0.99))*VLOOKUP((TRUNC($AN134/2,0)+0.99),'Tax scales - NAT 3539'!$A$99:$C$123,2,1)-VLOOKUP((TRUNC($AN134/2,0)+0.99),'Tax scales - NAT 3539'!$A$99:$C$123,3,1)),0)
*2,
0),
IF(AND($E$2="Monthly",ROUND($AN134-TRUNC($AN134),2)=0.33),
ROUND(
ROUND(((TRUNC(($AN134+0.01)*3/13,0)+0.99)*VLOOKUP((TRUNC(($AN134+0.01)*3/13,0)+0.99),'Tax scales - NAT 3539'!$A$99:$C$123,2,1)-VLOOKUP((TRUNC(($AN134+0.01)*3/13,0)+0.99),'Tax scales - NAT 3539'!$A$99:$C$123,3,1)),0)
*13/3,
0),
IF($E$2="Monthly",
ROUND(
ROUND(((TRUNC($AN134*3/13,0)+0.99)*VLOOKUP((TRUNC($AN134*3/13,0)+0.99),'Tax scales - NAT 3539'!$A$99:$C$123,2,1)-VLOOKUP((TRUNC($AN134*3/13,0)+0.99),'Tax scales - NAT 3539'!$A$99:$C$123,3,1)),0)
*13/3,
0),
""))),
""),
"")</f>
        <v/>
      </c>
      <c r="AY134" s="118" t="str">
        <f>IFERROR(
IF(VLOOKUP($C134,'Employee information'!$B:$M,COLUMNS('Employee information'!$B:$M),0)=66,
IF($E$2="Fortnightly",
ROUND(
ROUND((((TRUNC($AN134/2,0)+0.99))*VLOOKUP((TRUNC($AN134/2,0)+0.99),'Tax scales - NAT 3539'!$A$127:$C$154,2,1)-VLOOKUP((TRUNC($AN134/2,0)+0.99),'Tax scales - NAT 3539'!$A$127:$C$154,3,1)),0)
*2,
0),
IF(AND($E$2="Monthly",ROUND($AN134-TRUNC($AN134),2)=0.33),
ROUND(
ROUND(((TRUNC(($AN134+0.01)*3/13,0)+0.99)*VLOOKUP((TRUNC(($AN134+0.01)*3/13,0)+0.99),'Tax scales - NAT 3539'!$A$127:$C$154,2,1)-VLOOKUP((TRUNC(($AN134+0.01)*3/13,0)+0.99),'Tax scales - NAT 3539'!$A$127:$C$154,3,1)),0)
*13/3,
0),
IF($E$2="Monthly",
ROUND(
ROUND(((TRUNC($AN134*3/13,0)+0.99)*VLOOKUP((TRUNC($AN134*3/13,0)+0.99),'Tax scales - NAT 3539'!$A$127:$C$154,2,1)-VLOOKUP((TRUNC($AN134*3/13,0)+0.99),'Tax scales - NAT 3539'!$A$127:$C$154,3,1)),0)
*13/3,
0),
""))),
""),
"")</f>
        <v/>
      </c>
      <c r="AZ134" s="118">
        <f>IFERROR(
HLOOKUP(VLOOKUP($C134,'Employee information'!$B:$M,COLUMNS('Employee information'!$B:$M),0),'PAYG worksheet'!$AO$126:$AY$145,COUNTA($C$127:$C134)+1,0),
0)</f>
        <v>0</v>
      </c>
      <c r="BA134" s="118"/>
      <c r="BB134" s="118">
        <f t="shared" si="139"/>
        <v>0</v>
      </c>
      <c r="BC134" s="119">
        <f>IFERROR(
IF(OR($AE134=1,$AE134=""),SUM($P134,$AA134,$AC134,$AK134)*VLOOKUP($C134,'Employee information'!$B:$Q,COLUMNS('Employee information'!$B:$H),0),
IF($AE134=0,SUM($P134,$AA134,$AK134)*VLOOKUP($C134,'Employee information'!$B:$Q,COLUMNS('Employee information'!$B:$H),0),
0)),
0)</f>
        <v>0</v>
      </c>
      <c r="BE134" s="114">
        <f t="shared" si="124"/>
        <v>0</v>
      </c>
      <c r="BF134" s="114">
        <f t="shared" si="125"/>
        <v>0</v>
      </c>
      <c r="BG134" s="114">
        <f t="shared" si="126"/>
        <v>0</v>
      </c>
      <c r="BH134" s="114">
        <f t="shared" si="127"/>
        <v>0</v>
      </c>
      <c r="BI134" s="114">
        <f t="shared" si="128"/>
        <v>0</v>
      </c>
      <c r="BJ134" s="114">
        <f t="shared" si="129"/>
        <v>0</v>
      </c>
      <c r="BK134" s="114">
        <f t="shared" si="130"/>
        <v>0</v>
      </c>
      <c r="BL134" s="114">
        <f t="shared" si="140"/>
        <v>0</v>
      </c>
      <c r="BM134" s="114">
        <f t="shared" si="131"/>
        <v>0</v>
      </c>
    </row>
    <row r="135" spans="1:65" x14ac:dyDescent="0.25">
      <c r="A135" s="228">
        <f t="shared" si="119"/>
        <v>5</v>
      </c>
      <c r="C135" s="278"/>
      <c r="E135" s="103">
        <f>IF($C135="",0,
IF(AND($E$2="Monthly",$A135&gt;12),0,
IF($E$2="Monthly",VLOOKUP($C135,'Employee information'!$B:$AM,COLUMNS('Employee information'!$B:S),0),
IF($E$2="Fortnightly",VLOOKUP($C135,'Employee information'!$B:$AM,COLUMNS('Employee information'!$B:R),0),
0))))</f>
        <v>0</v>
      </c>
      <c r="F135" s="106"/>
      <c r="G135" s="106"/>
      <c r="H135" s="106"/>
      <c r="I135" s="106"/>
      <c r="J135" s="103">
        <f t="shared" si="132"/>
        <v>0</v>
      </c>
      <c r="L135" s="113">
        <f>IF(AND($E$2="Monthly",$A135&gt;12),"",
IFERROR($J135*VLOOKUP($C135,'Employee information'!$B:$AI,COLUMNS('Employee information'!$B:$P),0),0))</f>
        <v>0</v>
      </c>
      <c r="M135" s="114">
        <f t="shared" si="133"/>
        <v>0</v>
      </c>
      <c r="O135" s="103">
        <f t="shared" si="134"/>
        <v>0</v>
      </c>
      <c r="P135" s="113">
        <f>IFERROR(
IF(AND($E$2="Monthly",$A135&gt;12),0,
$O135*VLOOKUP($C135,'Employee information'!$B:$AI,COLUMNS('Employee information'!$B:$P),0)),
0)</f>
        <v>0</v>
      </c>
      <c r="R135" s="114">
        <f t="shared" si="120"/>
        <v>0</v>
      </c>
      <c r="T135" s="103"/>
      <c r="U135" s="103"/>
      <c r="V135" s="282" t="str">
        <f>IF($C135="","",
IF(AND($E$2="Monthly",$A135&gt;12),"",
$T135*VLOOKUP($C135,'Employee information'!$B:$P,COLUMNS('Employee information'!$B:$P),0)))</f>
        <v/>
      </c>
      <c r="W135" s="282" t="str">
        <f>IF($C135="","",
IF(AND($E$2="Monthly",$A135&gt;12),"",
$U135*VLOOKUP($C135,'Employee information'!$B:$P,COLUMNS('Employee information'!$B:$P),0)))</f>
        <v/>
      </c>
      <c r="X135" s="114">
        <f t="shared" si="121"/>
        <v>0</v>
      </c>
      <c r="Y135" s="114">
        <f t="shared" si="122"/>
        <v>0</v>
      </c>
      <c r="AA135" s="118">
        <f>IFERROR(
IF(OR('Basic payroll data'!$D$12="",'Basic payroll data'!$D$12="No"),0,
$T135*VLOOKUP($C135,'Employee information'!$B:$P,COLUMNS('Employee information'!$B:$P),0)*AL_loading_perc),
0)</f>
        <v>0</v>
      </c>
      <c r="AC135" s="118"/>
      <c r="AD135" s="118"/>
      <c r="AE135" s="283" t="str">
        <f t="shared" si="135"/>
        <v/>
      </c>
      <c r="AF135" s="283" t="str">
        <f t="shared" si="136"/>
        <v/>
      </c>
      <c r="AG135" s="118"/>
      <c r="AH135" s="118"/>
      <c r="AI135" s="283" t="str">
        <f t="shared" si="137"/>
        <v/>
      </c>
      <c r="AJ135" s="118"/>
      <c r="AK135" s="118"/>
      <c r="AM135" s="118">
        <f t="shared" si="138"/>
        <v>0</v>
      </c>
      <c r="AN135" s="118">
        <f t="shared" si="123"/>
        <v>0</v>
      </c>
      <c r="AO135" s="118" t="str">
        <f>IFERROR(
IF(VLOOKUP($C135,'Employee information'!$B:$M,COLUMNS('Employee information'!$B:$M),0)=1,
IF($E$2="Fortnightly",
ROUND(
ROUND((((TRUNC($AN135/2,0)+0.99))*VLOOKUP((TRUNC($AN135/2,0)+0.99),'Tax scales - NAT 1004'!$A$12:$C$18,2,1)-VLOOKUP((TRUNC($AN135/2,0)+0.99),'Tax scales - NAT 1004'!$A$12:$C$18,3,1)),0)
*2,
0),
IF(AND($E$2="Monthly",ROUND($AN135-TRUNC($AN135),2)=0.33),
ROUND(
ROUND(((TRUNC(($AN135+0.01)*3/13,0)+0.99)*VLOOKUP((TRUNC(($AN135+0.01)*3/13,0)+0.99),'Tax scales - NAT 1004'!$A$12:$C$18,2,1)-VLOOKUP((TRUNC(($AN135+0.01)*3/13,0)+0.99),'Tax scales - NAT 1004'!$A$12:$C$18,3,1)),0)
*13/3,
0),
IF($E$2="Monthly",
ROUND(
ROUND(((TRUNC($AN135*3/13,0)+0.99)*VLOOKUP((TRUNC($AN135*3/13,0)+0.99),'Tax scales - NAT 1004'!$A$12:$C$18,2,1)-VLOOKUP((TRUNC($AN135*3/13,0)+0.99),'Tax scales - NAT 1004'!$A$12:$C$18,3,1)),0)
*13/3,
0),
""))),
""),
"")</f>
        <v/>
      </c>
      <c r="AP135" s="118" t="str">
        <f>IFERROR(
IF(VLOOKUP($C135,'Employee information'!$B:$M,COLUMNS('Employee information'!$B:$M),0)=2,
IF($E$2="Fortnightly",
ROUND(
ROUND((((TRUNC($AN135/2,0)+0.99))*VLOOKUP((TRUNC($AN135/2,0)+0.99),'Tax scales - NAT 1004'!$A$25:$C$33,2,1)-VLOOKUP((TRUNC($AN135/2,0)+0.99),'Tax scales - NAT 1004'!$A$25:$C$33,3,1)),0)
*2,
0),
IF(AND($E$2="Monthly",ROUND($AN135-TRUNC($AN135),2)=0.33),
ROUND(
ROUND(((TRUNC(($AN135+0.01)*3/13,0)+0.99)*VLOOKUP((TRUNC(($AN135+0.01)*3/13,0)+0.99),'Tax scales - NAT 1004'!$A$25:$C$33,2,1)-VLOOKUP((TRUNC(($AN135+0.01)*3/13,0)+0.99),'Tax scales - NAT 1004'!$A$25:$C$33,3,1)),0)
*13/3,
0),
IF($E$2="Monthly",
ROUND(
ROUND(((TRUNC($AN135*3/13,0)+0.99)*VLOOKUP((TRUNC($AN135*3/13,0)+0.99),'Tax scales - NAT 1004'!$A$25:$C$33,2,1)-VLOOKUP((TRUNC($AN135*3/13,0)+0.99),'Tax scales - NAT 1004'!$A$25:$C$33,3,1)),0)
*13/3,
0),
""))),
""),
"")</f>
        <v/>
      </c>
      <c r="AQ135" s="118" t="str">
        <f>IFERROR(
IF(VLOOKUP($C135,'Employee information'!$B:$M,COLUMNS('Employee information'!$B:$M),0)=3,
IF($E$2="Fortnightly",
ROUND(
ROUND((((TRUNC($AN135/2,0)+0.99))*VLOOKUP((TRUNC($AN135/2,0)+0.99),'Tax scales - NAT 1004'!$A$39:$C$41,2,1)-VLOOKUP((TRUNC($AN135/2,0)+0.99),'Tax scales - NAT 1004'!$A$39:$C$41,3,1)),0)
*2,
0),
IF(AND($E$2="Monthly",ROUND($AN135-TRUNC($AN135),2)=0.33),
ROUND(
ROUND(((TRUNC(($AN135+0.01)*3/13,0)+0.99)*VLOOKUP((TRUNC(($AN135+0.01)*3/13,0)+0.99),'Tax scales - NAT 1004'!$A$39:$C$41,2,1)-VLOOKUP((TRUNC(($AN135+0.01)*3/13,0)+0.99),'Tax scales - NAT 1004'!$A$39:$C$41,3,1)),0)
*13/3,
0),
IF($E$2="Monthly",
ROUND(
ROUND(((TRUNC($AN135*3/13,0)+0.99)*VLOOKUP((TRUNC($AN135*3/13,0)+0.99),'Tax scales - NAT 1004'!$A$39:$C$41,2,1)-VLOOKUP((TRUNC($AN135*3/13,0)+0.99),'Tax scales - NAT 1004'!$A$39:$C$41,3,1)),0)
*13/3,
0),
""))),
""),
"")</f>
        <v/>
      </c>
      <c r="AR135" s="118" t="str">
        <f>IFERROR(
IF(AND(VLOOKUP($C135,'Employee information'!$B:$M,COLUMNS('Employee information'!$B:$M),0)=4,
VLOOKUP($C135,'Employee information'!$B:$J,COLUMNS('Employee information'!$B:$J),0)="Resident"),
TRUNC(TRUNC($AN135)*'Tax scales - NAT 1004'!$B$47),
IF(AND(VLOOKUP($C135,'Employee information'!$B:$M,COLUMNS('Employee information'!$B:$M),0)=4,
VLOOKUP($C135,'Employee information'!$B:$J,COLUMNS('Employee information'!$B:$J),0)="Foreign resident"),
TRUNC(TRUNC($AN135)*'Tax scales - NAT 1004'!$B$48),
"")),
"")</f>
        <v/>
      </c>
      <c r="AS135" s="118" t="str">
        <f>IFERROR(
IF(VLOOKUP($C135,'Employee information'!$B:$M,COLUMNS('Employee information'!$B:$M),0)=5,
IF($E$2="Fortnightly",
ROUND(
ROUND((((TRUNC($AN135/2,0)+0.99))*VLOOKUP((TRUNC($AN135/2,0)+0.99),'Tax scales - NAT 1004'!$A$53:$C$59,2,1)-VLOOKUP((TRUNC($AN135/2,0)+0.99),'Tax scales - NAT 1004'!$A$53:$C$59,3,1)),0)
*2,
0),
IF(AND($E$2="Monthly",ROUND($AN135-TRUNC($AN135),2)=0.33),
ROUND(
ROUND(((TRUNC(($AN135+0.01)*3/13,0)+0.99)*VLOOKUP((TRUNC(($AN135+0.01)*3/13,0)+0.99),'Tax scales - NAT 1004'!$A$53:$C$59,2,1)-VLOOKUP((TRUNC(($AN135+0.01)*3/13,0)+0.99),'Tax scales - NAT 1004'!$A$53:$C$59,3,1)),0)
*13/3,
0),
IF($E$2="Monthly",
ROUND(
ROUND(((TRUNC($AN135*3/13,0)+0.99)*VLOOKUP((TRUNC($AN135*3/13,0)+0.99),'Tax scales - NAT 1004'!$A$53:$C$59,2,1)-VLOOKUP((TRUNC($AN135*3/13,0)+0.99),'Tax scales - NAT 1004'!$A$53:$C$59,3,1)),0)
*13/3,
0),
""))),
""),
"")</f>
        <v/>
      </c>
      <c r="AT135" s="118" t="str">
        <f>IFERROR(
IF(VLOOKUP($C135,'Employee information'!$B:$M,COLUMNS('Employee information'!$B:$M),0)=6,
IF($E$2="Fortnightly",
ROUND(
ROUND((((TRUNC($AN135/2,0)+0.99))*VLOOKUP((TRUNC($AN135/2,0)+0.99),'Tax scales - NAT 1004'!$A$65:$C$73,2,1)-VLOOKUP((TRUNC($AN135/2,0)+0.99),'Tax scales - NAT 1004'!$A$65:$C$73,3,1)),0)
*2,
0),
IF(AND($E$2="Monthly",ROUND($AN135-TRUNC($AN135),2)=0.33),
ROUND(
ROUND(((TRUNC(($AN135+0.01)*3/13,0)+0.99)*VLOOKUP((TRUNC(($AN135+0.01)*3/13,0)+0.99),'Tax scales - NAT 1004'!$A$65:$C$73,2,1)-VLOOKUP((TRUNC(($AN135+0.01)*3/13,0)+0.99),'Tax scales - NAT 1004'!$A$65:$C$73,3,1)),0)
*13/3,
0),
IF($E$2="Monthly",
ROUND(
ROUND(((TRUNC($AN135*3/13,0)+0.99)*VLOOKUP((TRUNC($AN135*3/13,0)+0.99),'Tax scales - NAT 1004'!$A$65:$C$73,2,1)-VLOOKUP((TRUNC($AN135*3/13,0)+0.99),'Tax scales - NAT 1004'!$A$65:$C$73,3,1)),0)
*13/3,
0),
""))),
""),
"")</f>
        <v/>
      </c>
      <c r="AU135" s="118" t="str">
        <f>IFERROR(
IF(VLOOKUP($C135,'Employee information'!$B:$M,COLUMNS('Employee information'!$B:$M),0)=11,
IF($E$2="Fortnightly",
ROUND(
ROUND((((TRUNC($AN135/2,0)+0.99))*VLOOKUP((TRUNC($AN135/2,0)+0.99),'Tax scales - NAT 3539'!$A$14:$C$38,2,1)-VLOOKUP((TRUNC($AN135/2,0)+0.99),'Tax scales - NAT 3539'!$A$14:$C$38,3,1)),0)
*2,
0),
IF(AND($E$2="Monthly",ROUND($AN135-TRUNC($AN135),2)=0.33),
ROUND(
ROUND(((TRUNC(($AN135+0.01)*3/13,0)+0.99)*VLOOKUP((TRUNC(($AN135+0.01)*3/13,0)+0.99),'Tax scales - NAT 3539'!$A$14:$C$38,2,1)-VLOOKUP((TRUNC(($AN135+0.01)*3/13,0)+0.99),'Tax scales - NAT 3539'!$A$14:$C$38,3,1)),0)
*13/3,
0),
IF($E$2="Monthly",
ROUND(
ROUND(((TRUNC($AN135*3/13,0)+0.99)*VLOOKUP((TRUNC($AN135*3/13,0)+0.99),'Tax scales - NAT 3539'!$A$14:$C$38,2,1)-VLOOKUP((TRUNC($AN135*3/13,0)+0.99),'Tax scales - NAT 3539'!$A$14:$C$38,3,1)),0)
*13/3,
0),
""))),
""),
"")</f>
        <v/>
      </c>
      <c r="AV135" s="118" t="str">
        <f>IFERROR(
IF(VLOOKUP($C135,'Employee information'!$B:$M,COLUMNS('Employee information'!$B:$M),0)=22,
IF($E$2="Fortnightly",
ROUND(
ROUND((((TRUNC($AN135/2,0)+0.99))*VLOOKUP((TRUNC($AN135/2,0)+0.99),'Tax scales - NAT 3539'!$A$43:$C$69,2,1)-VLOOKUP((TRUNC($AN135/2,0)+0.99),'Tax scales - NAT 3539'!$A$43:$C$69,3,1)),0)
*2,
0),
IF(AND($E$2="Monthly",ROUND($AN135-TRUNC($AN135),2)=0.33),
ROUND(
ROUND(((TRUNC(($AN135+0.01)*3/13,0)+0.99)*VLOOKUP((TRUNC(($AN135+0.01)*3/13,0)+0.99),'Tax scales - NAT 3539'!$A$43:$C$69,2,1)-VLOOKUP((TRUNC(($AN135+0.01)*3/13,0)+0.99),'Tax scales - NAT 3539'!$A$43:$C$69,3,1)),0)
*13/3,
0),
IF($E$2="Monthly",
ROUND(
ROUND(((TRUNC($AN135*3/13,0)+0.99)*VLOOKUP((TRUNC($AN135*3/13,0)+0.99),'Tax scales - NAT 3539'!$A$43:$C$69,2,1)-VLOOKUP((TRUNC($AN135*3/13,0)+0.99),'Tax scales - NAT 3539'!$A$43:$C$69,3,1)),0)
*13/3,
0),
""))),
""),
"")</f>
        <v/>
      </c>
      <c r="AW135" s="118" t="str">
        <f>IFERROR(
IF(VLOOKUP($C135,'Employee information'!$B:$M,COLUMNS('Employee information'!$B:$M),0)=33,
IF($E$2="Fortnightly",
ROUND(
ROUND((((TRUNC($AN135/2,0)+0.99))*VLOOKUP((TRUNC($AN135/2,0)+0.99),'Tax scales - NAT 3539'!$A$74:$C$94,2,1)-VLOOKUP((TRUNC($AN135/2,0)+0.99),'Tax scales - NAT 3539'!$A$74:$C$94,3,1)),0)
*2,
0),
IF(AND($E$2="Monthly",ROUND($AN135-TRUNC($AN135),2)=0.33),
ROUND(
ROUND(((TRUNC(($AN135+0.01)*3/13,0)+0.99)*VLOOKUP((TRUNC(($AN135+0.01)*3/13,0)+0.99),'Tax scales - NAT 3539'!$A$74:$C$94,2,1)-VLOOKUP((TRUNC(($AN135+0.01)*3/13,0)+0.99),'Tax scales - NAT 3539'!$A$74:$C$94,3,1)),0)
*13/3,
0),
IF($E$2="Monthly",
ROUND(
ROUND(((TRUNC($AN135*3/13,0)+0.99)*VLOOKUP((TRUNC($AN135*3/13,0)+0.99),'Tax scales - NAT 3539'!$A$74:$C$94,2,1)-VLOOKUP((TRUNC($AN135*3/13,0)+0.99),'Tax scales - NAT 3539'!$A$74:$C$94,3,1)),0)
*13/3,
0),
""))),
""),
"")</f>
        <v/>
      </c>
      <c r="AX135" s="118" t="str">
        <f>IFERROR(
IF(VLOOKUP($C135,'Employee information'!$B:$M,COLUMNS('Employee information'!$B:$M),0)=55,
IF($E$2="Fortnightly",
ROUND(
ROUND((((TRUNC($AN135/2,0)+0.99))*VLOOKUP((TRUNC($AN135/2,0)+0.99),'Tax scales - NAT 3539'!$A$99:$C$123,2,1)-VLOOKUP((TRUNC($AN135/2,0)+0.99),'Tax scales - NAT 3539'!$A$99:$C$123,3,1)),0)
*2,
0),
IF(AND($E$2="Monthly",ROUND($AN135-TRUNC($AN135),2)=0.33),
ROUND(
ROUND(((TRUNC(($AN135+0.01)*3/13,0)+0.99)*VLOOKUP((TRUNC(($AN135+0.01)*3/13,0)+0.99),'Tax scales - NAT 3539'!$A$99:$C$123,2,1)-VLOOKUP((TRUNC(($AN135+0.01)*3/13,0)+0.99),'Tax scales - NAT 3539'!$A$99:$C$123,3,1)),0)
*13/3,
0),
IF($E$2="Monthly",
ROUND(
ROUND(((TRUNC($AN135*3/13,0)+0.99)*VLOOKUP((TRUNC($AN135*3/13,0)+0.99),'Tax scales - NAT 3539'!$A$99:$C$123,2,1)-VLOOKUP((TRUNC($AN135*3/13,0)+0.99),'Tax scales - NAT 3539'!$A$99:$C$123,3,1)),0)
*13/3,
0),
""))),
""),
"")</f>
        <v/>
      </c>
      <c r="AY135" s="118" t="str">
        <f>IFERROR(
IF(VLOOKUP($C135,'Employee information'!$B:$M,COLUMNS('Employee information'!$B:$M),0)=66,
IF($E$2="Fortnightly",
ROUND(
ROUND((((TRUNC($AN135/2,0)+0.99))*VLOOKUP((TRUNC($AN135/2,0)+0.99),'Tax scales - NAT 3539'!$A$127:$C$154,2,1)-VLOOKUP((TRUNC($AN135/2,0)+0.99),'Tax scales - NAT 3539'!$A$127:$C$154,3,1)),0)
*2,
0),
IF(AND($E$2="Monthly",ROUND($AN135-TRUNC($AN135),2)=0.33),
ROUND(
ROUND(((TRUNC(($AN135+0.01)*3/13,0)+0.99)*VLOOKUP((TRUNC(($AN135+0.01)*3/13,0)+0.99),'Tax scales - NAT 3539'!$A$127:$C$154,2,1)-VLOOKUP((TRUNC(($AN135+0.01)*3/13,0)+0.99),'Tax scales - NAT 3539'!$A$127:$C$154,3,1)),0)
*13/3,
0),
IF($E$2="Monthly",
ROUND(
ROUND(((TRUNC($AN135*3/13,0)+0.99)*VLOOKUP((TRUNC($AN135*3/13,0)+0.99),'Tax scales - NAT 3539'!$A$127:$C$154,2,1)-VLOOKUP((TRUNC($AN135*3/13,0)+0.99),'Tax scales - NAT 3539'!$A$127:$C$154,3,1)),0)
*13/3,
0),
""))),
""),
"")</f>
        <v/>
      </c>
      <c r="AZ135" s="118">
        <f>IFERROR(
HLOOKUP(VLOOKUP($C135,'Employee information'!$B:$M,COLUMNS('Employee information'!$B:$M),0),'PAYG worksheet'!$AO$126:$AY$145,COUNTA($C$127:$C135)+1,0),
0)</f>
        <v>0</v>
      </c>
      <c r="BA135" s="118"/>
      <c r="BB135" s="118">
        <f t="shared" si="139"/>
        <v>0</v>
      </c>
      <c r="BC135" s="119">
        <f>IFERROR(
IF(OR($AE135=1,$AE135=""),SUM($P135,$AA135,$AC135,$AK135)*VLOOKUP($C135,'Employee information'!$B:$Q,COLUMNS('Employee information'!$B:$H),0),
IF($AE135=0,SUM($P135,$AA135,$AK135)*VLOOKUP($C135,'Employee information'!$B:$Q,COLUMNS('Employee information'!$B:$H),0),
0)),
0)</f>
        <v>0</v>
      </c>
      <c r="BE135" s="114">
        <f t="shared" si="124"/>
        <v>0</v>
      </c>
      <c r="BF135" s="114">
        <f t="shared" si="125"/>
        <v>0</v>
      </c>
      <c r="BG135" s="114">
        <f t="shared" si="126"/>
        <v>0</v>
      </c>
      <c r="BH135" s="114">
        <f t="shared" si="127"/>
        <v>0</v>
      </c>
      <c r="BI135" s="114">
        <f t="shared" si="128"/>
        <v>0</v>
      </c>
      <c r="BJ135" s="114">
        <f t="shared" si="129"/>
        <v>0</v>
      </c>
      <c r="BK135" s="114">
        <f t="shared" si="130"/>
        <v>0</v>
      </c>
      <c r="BL135" s="114">
        <f t="shared" si="140"/>
        <v>0</v>
      </c>
      <c r="BM135" s="114">
        <f t="shared" si="131"/>
        <v>0</v>
      </c>
    </row>
    <row r="136" spans="1:65" x14ac:dyDescent="0.25">
      <c r="A136" s="228">
        <f t="shared" si="119"/>
        <v>5</v>
      </c>
      <c r="C136" s="278"/>
      <c r="E136" s="103">
        <f>IF($C136="",0,
IF(AND($E$2="Monthly",$A136&gt;12),0,
IF($E$2="Monthly",VLOOKUP($C136,'Employee information'!$B:$AM,COLUMNS('Employee information'!$B:S),0),
IF($E$2="Fortnightly",VLOOKUP($C136,'Employee information'!$B:$AM,COLUMNS('Employee information'!$B:R),0),
0))))</f>
        <v>0</v>
      </c>
      <c r="F136" s="106"/>
      <c r="G136" s="106"/>
      <c r="H136" s="106"/>
      <c r="I136" s="106"/>
      <c r="J136" s="103">
        <f t="shared" si="132"/>
        <v>0</v>
      </c>
      <c r="L136" s="113">
        <f>IF(AND($E$2="Monthly",$A136&gt;12),"",
IFERROR($J136*VLOOKUP($C136,'Employee information'!$B:$AI,COLUMNS('Employee information'!$B:$P),0),0))</f>
        <v>0</v>
      </c>
      <c r="M136" s="114">
        <f t="shared" si="133"/>
        <v>0</v>
      </c>
      <c r="O136" s="103">
        <f>IF($E$2="Monthly",
IF(AND($E$2="Monthly",$H136&lt;&gt;""),$H136,
IF(AND($E$2="Monthly",$E136=0),$F136,
$E136)),
IF($E$2="Fortnightly",
IF(AND($E$2="Fortnightly",$H136&lt;&gt;""),$H136,
IF(AND($E$2="Fortnightly",$F136&lt;&gt;"",$E136&lt;&gt;0),$F136,
IF(AND($E$2="Fortnightly",$E136=0),$F136,
$E136)))))</f>
        <v>0</v>
      </c>
      <c r="P136" s="113">
        <f>IFERROR(
IF(AND($E$2="Monthly",$A136&gt;12),0,
$O136*VLOOKUP($C136,'Employee information'!$B:$AI,COLUMNS('Employee information'!$B:$P),0)),
0)</f>
        <v>0</v>
      </c>
      <c r="R136" s="114">
        <f t="shared" si="120"/>
        <v>0</v>
      </c>
      <c r="T136" s="103"/>
      <c r="U136" s="103"/>
      <c r="V136" s="282" t="str">
        <f>IF($C136="","",
IF(AND($E$2="Monthly",$A136&gt;12),"",
$T136*VLOOKUP($C136,'Employee information'!$B:$P,COLUMNS('Employee information'!$B:$P),0)))</f>
        <v/>
      </c>
      <c r="W136" s="282" t="str">
        <f>IF($C136="","",
IF(AND($E$2="Monthly",$A136&gt;12),"",
$U136*VLOOKUP($C136,'Employee information'!$B:$P,COLUMNS('Employee information'!$B:$P),0)))</f>
        <v/>
      </c>
      <c r="X136" s="114">
        <f t="shared" si="121"/>
        <v>0</v>
      </c>
      <c r="Y136" s="114">
        <f t="shared" si="122"/>
        <v>0</v>
      </c>
      <c r="AA136" s="118">
        <f>IFERROR(
IF(OR('Basic payroll data'!$D$12="",'Basic payroll data'!$D$12="No"),0,
$T136*VLOOKUP($C136,'Employee information'!$B:$P,COLUMNS('Employee information'!$B:$P),0)*AL_loading_perc),
0)</f>
        <v>0</v>
      </c>
      <c r="AC136" s="118"/>
      <c r="AD136" s="118"/>
      <c r="AE136" s="283" t="str">
        <f t="shared" si="135"/>
        <v/>
      </c>
      <c r="AF136" s="283" t="str">
        <f t="shared" si="136"/>
        <v/>
      </c>
      <c r="AG136" s="118"/>
      <c r="AH136" s="118"/>
      <c r="AI136" s="283" t="str">
        <f t="shared" si="137"/>
        <v/>
      </c>
      <c r="AJ136" s="118"/>
      <c r="AK136" s="118"/>
      <c r="AM136" s="118">
        <f t="shared" si="138"/>
        <v>0</v>
      </c>
      <c r="AN136" s="118">
        <f t="shared" si="123"/>
        <v>0</v>
      </c>
      <c r="AO136" s="118" t="str">
        <f>IFERROR(
IF(VLOOKUP($C136,'Employee information'!$B:$M,COLUMNS('Employee information'!$B:$M),0)=1,
IF($E$2="Fortnightly",
ROUND(
ROUND((((TRUNC($AN136/2,0)+0.99))*VLOOKUP((TRUNC($AN136/2,0)+0.99),'Tax scales - NAT 1004'!$A$12:$C$18,2,1)-VLOOKUP((TRUNC($AN136/2,0)+0.99),'Tax scales - NAT 1004'!$A$12:$C$18,3,1)),0)
*2,
0),
IF(AND($E$2="Monthly",ROUND($AN136-TRUNC($AN136),2)=0.33),
ROUND(
ROUND(((TRUNC(($AN136+0.01)*3/13,0)+0.99)*VLOOKUP((TRUNC(($AN136+0.01)*3/13,0)+0.99),'Tax scales - NAT 1004'!$A$12:$C$18,2,1)-VLOOKUP((TRUNC(($AN136+0.01)*3/13,0)+0.99),'Tax scales - NAT 1004'!$A$12:$C$18,3,1)),0)
*13/3,
0),
IF($E$2="Monthly",
ROUND(
ROUND(((TRUNC($AN136*3/13,0)+0.99)*VLOOKUP((TRUNC($AN136*3/13,0)+0.99),'Tax scales - NAT 1004'!$A$12:$C$18,2,1)-VLOOKUP((TRUNC($AN136*3/13,0)+0.99),'Tax scales - NAT 1004'!$A$12:$C$18,3,1)),0)
*13/3,
0),
""))),
""),
"")</f>
        <v/>
      </c>
      <c r="AP136" s="118" t="str">
        <f>IFERROR(
IF(VLOOKUP($C136,'Employee information'!$B:$M,COLUMNS('Employee information'!$B:$M),0)=2,
IF($E$2="Fortnightly",
ROUND(
ROUND((((TRUNC($AN136/2,0)+0.99))*VLOOKUP((TRUNC($AN136/2,0)+0.99),'Tax scales - NAT 1004'!$A$25:$C$33,2,1)-VLOOKUP((TRUNC($AN136/2,0)+0.99),'Tax scales - NAT 1004'!$A$25:$C$33,3,1)),0)
*2,
0),
IF(AND($E$2="Monthly",ROUND($AN136-TRUNC($AN136),2)=0.33),
ROUND(
ROUND(((TRUNC(($AN136+0.01)*3/13,0)+0.99)*VLOOKUP((TRUNC(($AN136+0.01)*3/13,0)+0.99),'Tax scales - NAT 1004'!$A$25:$C$33,2,1)-VLOOKUP((TRUNC(($AN136+0.01)*3/13,0)+0.99),'Tax scales - NAT 1004'!$A$25:$C$33,3,1)),0)
*13/3,
0),
IF($E$2="Monthly",
ROUND(
ROUND(((TRUNC($AN136*3/13,0)+0.99)*VLOOKUP((TRUNC($AN136*3/13,0)+0.99),'Tax scales - NAT 1004'!$A$25:$C$33,2,1)-VLOOKUP((TRUNC($AN136*3/13,0)+0.99),'Tax scales - NAT 1004'!$A$25:$C$33,3,1)),0)
*13/3,
0),
""))),
""),
"")</f>
        <v/>
      </c>
      <c r="AQ136" s="118" t="str">
        <f>IFERROR(
IF(VLOOKUP($C136,'Employee information'!$B:$M,COLUMNS('Employee information'!$B:$M),0)=3,
IF($E$2="Fortnightly",
ROUND(
ROUND((((TRUNC($AN136/2,0)+0.99))*VLOOKUP((TRUNC($AN136/2,0)+0.99),'Tax scales - NAT 1004'!$A$39:$C$41,2,1)-VLOOKUP((TRUNC($AN136/2,0)+0.99),'Tax scales - NAT 1004'!$A$39:$C$41,3,1)),0)
*2,
0),
IF(AND($E$2="Monthly",ROUND($AN136-TRUNC($AN136),2)=0.33),
ROUND(
ROUND(((TRUNC(($AN136+0.01)*3/13,0)+0.99)*VLOOKUP((TRUNC(($AN136+0.01)*3/13,0)+0.99),'Tax scales - NAT 1004'!$A$39:$C$41,2,1)-VLOOKUP((TRUNC(($AN136+0.01)*3/13,0)+0.99),'Tax scales - NAT 1004'!$A$39:$C$41,3,1)),0)
*13/3,
0),
IF($E$2="Monthly",
ROUND(
ROUND(((TRUNC($AN136*3/13,0)+0.99)*VLOOKUP((TRUNC($AN136*3/13,0)+0.99),'Tax scales - NAT 1004'!$A$39:$C$41,2,1)-VLOOKUP((TRUNC($AN136*3/13,0)+0.99),'Tax scales - NAT 1004'!$A$39:$C$41,3,1)),0)
*13/3,
0),
""))),
""),
"")</f>
        <v/>
      </c>
      <c r="AR136" s="118" t="str">
        <f>IFERROR(
IF(AND(VLOOKUP($C136,'Employee information'!$B:$M,COLUMNS('Employee information'!$B:$M),0)=4,
VLOOKUP($C136,'Employee information'!$B:$J,COLUMNS('Employee information'!$B:$J),0)="Resident"),
TRUNC(TRUNC($AN136)*'Tax scales - NAT 1004'!$B$47),
IF(AND(VLOOKUP($C136,'Employee information'!$B:$M,COLUMNS('Employee information'!$B:$M),0)=4,
VLOOKUP($C136,'Employee information'!$B:$J,COLUMNS('Employee information'!$B:$J),0)="Foreign resident"),
TRUNC(TRUNC($AN136)*'Tax scales - NAT 1004'!$B$48),
"")),
"")</f>
        <v/>
      </c>
      <c r="AS136" s="118" t="str">
        <f>IFERROR(
IF(VLOOKUP($C136,'Employee information'!$B:$M,COLUMNS('Employee information'!$B:$M),0)=5,
IF($E$2="Fortnightly",
ROUND(
ROUND((((TRUNC($AN136/2,0)+0.99))*VLOOKUP((TRUNC($AN136/2,0)+0.99),'Tax scales - NAT 1004'!$A$53:$C$59,2,1)-VLOOKUP((TRUNC($AN136/2,0)+0.99),'Tax scales - NAT 1004'!$A$53:$C$59,3,1)),0)
*2,
0),
IF(AND($E$2="Monthly",ROUND($AN136-TRUNC($AN136),2)=0.33),
ROUND(
ROUND(((TRUNC(($AN136+0.01)*3/13,0)+0.99)*VLOOKUP((TRUNC(($AN136+0.01)*3/13,0)+0.99),'Tax scales - NAT 1004'!$A$53:$C$59,2,1)-VLOOKUP((TRUNC(($AN136+0.01)*3/13,0)+0.99),'Tax scales - NAT 1004'!$A$53:$C$59,3,1)),0)
*13/3,
0),
IF($E$2="Monthly",
ROUND(
ROUND(((TRUNC($AN136*3/13,0)+0.99)*VLOOKUP((TRUNC($AN136*3/13,0)+0.99),'Tax scales - NAT 1004'!$A$53:$C$59,2,1)-VLOOKUP((TRUNC($AN136*3/13,0)+0.99),'Tax scales - NAT 1004'!$A$53:$C$59,3,1)),0)
*13/3,
0),
""))),
""),
"")</f>
        <v/>
      </c>
      <c r="AT136" s="118" t="str">
        <f>IFERROR(
IF(VLOOKUP($C136,'Employee information'!$B:$M,COLUMNS('Employee information'!$B:$M),0)=6,
IF($E$2="Fortnightly",
ROUND(
ROUND((((TRUNC($AN136/2,0)+0.99))*VLOOKUP((TRUNC($AN136/2,0)+0.99),'Tax scales - NAT 1004'!$A$65:$C$73,2,1)-VLOOKUP((TRUNC($AN136/2,0)+0.99),'Tax scales - NAT 1004'!$A$65:$C$73,3,1)),0)
*2,
0),
IF(AND($E$2="Monthly",ROUND($AN136-TRUNC($AN136),2)=0.33),
ROUND(
ROUND(((TRUNC(($AN136+0.01)*3/13,0)+0.99)*VLOOKUP((TRUNC(($AN136+0.01)*3/13,0)+0.99),'Tax scales - NAT 1004'!$A$65:$C$73,2,1)-VLOOKUP((TRUNC(($AN136+0.01)*3/13,0)+0.99),'Tax scales - NAT 1004'!$A$65:$C$73,3,1)),0)
*13/3,
0),
IF($E$2="Monthly",
ROUND(
ROUND(((TRUNC($AN136*3/13,0)+0.99)*VLOOKUP((TRUNC($AN136*3/13,0)+0.99),'Tax scales - NAT 1004'!$A$65:$C$73,2,1)-VLOOKUP((TRUNC($AN136*3/13,0)+0.99),'Tax scales - NAT 1004'!$A$65:$C$73,3,1)),0)
*13/3,
0),
""))),
""),
"")</f>
        <v/>
      </c>
      <c r="AU136" s="118" t="str">
        <f>IFERROR(
IF(VLOOKUP($C136,'Employee information'!$B:$M,COLUMNS('Employee information'!$B:$M),0)=11,
IF($E$2="Fortnightly",
ROUND(
ROUND((((TRUNC($AN136/2,0)+0.99))*VLOOKUP((TRUNC($AN136/2,0)+0.99),'Tax scales - NAT 3539'!$A$14:$C$38,2,1)-VLOOKUP((TRUNC($AN136/2,0)+0.99),'Tax scales - NAT 3539'!$A$14:$C$38,3,1)),0)
*2,
0),
IF(AND($E$2="Monthly",ROUND($AN136-TRUNC($AN136),2)=0.33),
ROUND(
ROUND(((TRUNC(($AN136+0.01)*3/13,0)+0.99)*VLOOKUP((TRUNC(($AN136+0.01)*3/13,0)+0.99),'Tax scales - NAT 3539'!$A$14:$C$38,2,1)-VLOOKUP((TRUNC(($AN136+0.01)*3/13,0)+0.99),'Tax scales - NAT 3539'!$A$14:$C$38,3,1)),0)
*13/3,
0),
IF($E$2="Monthly",
ROUND(
ROUND(((TRUNC($AN136*3/13,0)+0.99)*VLOOKUP((TRUNC($AN136*3/13,0)+0.99),'Tax scales - NAT 3539'!$A$14:$C$38,2,1)-VLOOKUP((TRUNC($AN136*3/13,0)+0.99),'Tax scales - NAT 3539'!$A$14:$C$38,3,1)),0)
*13/3,
0),
""))),
""),
"")</f>
        <v/>
      </c>
      <c r="AV136" s="118" t="str">
        <f>IFERROR(
IF(VLOOKUP($C136,'Employee information'!$B:$M,COLUMNS('Employee information'!$B:$M),0)=22,
IF($E$2="Fortnightly",
ROUND(
ROUND((((TRUNC($AN136/2,0)+0.99))*VLOOKUP((TRUNC($AN136/2,0)+0.99),'Tax scales - NAT 3539'!$A$43:$C$69,2,1)-VLOOKUP((TRUNC($AN136/2,0)+0.99),'Tax scales - NAT 3539'!$A$43:$C$69,3,1)),0)
*2,
0),
IF(AND($E$2="Monthly",ROUND($AN136-TRUNC($AN136),2)=0.33),
ROUND(
ROUND(((TRUNC(($AN136+0.01)*3/13,0)+0.99)*VLOOKUP((TRUNC(($AN136+0.01)*3/13,0)+0.99),'Tax scales - NAT 3539'!$A$43:$C$69,2,1)-VLOOKUP((TRUNC(($AN136+0.01)*3/13,0)+0.99),'Tax scales - NAT 3539'!$A$43:$C$69,3,1)),0)
*13/3,
0),
IF($E$2="Monthly",
ROUND(
ROUND(((TRUNC($AN136*3/13,0)+0.99)*VLOOKUP((TRUNC($AN136*3/13,0)+0.99),'Tax scales - NAT 3539'!$A$43:$C$69,2,1)-VLOOKUP((TRUNC($AN136*3/13,0)+0.99),'Tax scales - NAT 3539'!$A$43:$C$69,3,1)),0)
*13/3,
0),
""))),
""),
"")</f>
        <v/>
      </c>
      <c r="AW136" s="118" t="str">
        <f>IFERROR(
IF(VLOOKUP($C136,'Employee information'!$B:$M,COLUMNS('Employee information'!$B:$M),0)=33,
IF($E$2="Fortnightly",
ROUND(
ROUND((((TRUNC($AN136/2,0)+0.99))*VLOOKUP((TRUNC($AN136/2,0)+0.99),'Tax scales - NAT 3539'!$A$74:$C$94,2,1)-VLOOKUP((TRUNC($AN136/2,0)+0.99),'Tax scales - NAT 3539'!$A$74:$C$94,3,1)),0)
*2,
0),
IF(AND($E$2="Monthly",ROUND($AN136-TRUNC($AN136),2)=0.33),
ROUND(
ROUND(((TRUNC(($AN136+0.01)*3/13,0)+0.99)*VLOOKUP((TRUNC(($AN136+0.01)*3/13,0)+0.99),'Tax scales - NAT 3539'!$A$74:$C$94,2,1)-VLOOKUP((TRUNC(($AN136+0.01)*3/13,0)+0.99),'Tax scales - NAT 3539'!$A$74:$C$94,3,1)),0)
*13/3,
0),
IF($E$2="Monthly",
ROUND(
ROUND(((TRUNC($AN136*3/13,0)+0.99)*VLOOKUP((TRUNC($AN136*3/13,0)+0.99),'Tax scales - NAT 3539'!$A$74:$C$94,2,1)-VLOOKUP((TRUNC($AN136*3/13,0)+0.99),'Tax scales - NAT 3539'!$A$74:$C$94,3,1)),0)
*13/3,
0),
""))),
""),
"")</f>
        <v/>
      </c>
      <c r="AX136" s="118" t="str">
        <f>IFERROR(
IF(VLOOKUP($C136,'Employee information'!$B:$M,COLUMNS('Employee information'!$B:$M),0)=55,
IF($E$2="Fortnightly",
ROUND(
ROUND((((TRUNC($AN136/2,0)+0.99))*VLOOKUP((TRUNC($AN136/2,0)+0.99),'Tax scales - NAT 3539'!$A$99:$C$123,2,1)-VLOOKUP((TRUNC($AN136/2,0)+0.99),'Tax scales - NAT 3539'!$A$99:$C$123,3,1)),0)
*2,
0),
IF(AND($E$2="Monthly",ROUND($AN136-TRUNC($AN136),2)=0.33),
ROUND(
ROUND(((TRUNC(($AN136+0.01)*3/13,0)+0.99)*VLOOKUP((TRUNC(($AN136+0.01)*3/13,0)+0.99),'Tax scales - NAT 3539'!$A$99:$C$123,2,1)-VLOOKUP((TRUNC(($AN136+0.01)*3/13,0)+0.99),'Tax scales - NAT 3539'!$A$99:$C$123,3,1)),0)
*13/3,
0),
IF($E$2="Monthly",
ROUND(
ROUND(((TRUNC($AN136*3/13,0)+0.99)*VLOOKUP((TRUNC($AN136*3/13,0)+0.99),'Tax scales - NAT 3539'!$A$99:$C$123,2,1)-VLOOKUP((TRUNC($AN136*3/13,0)+0.99),'Tax scales - NAT 3539'!$A$99:$C$123,3,1)),0)
*13/3,
0),
""))),
""),
"")</f>
        <v/>
      </c>
      <c r="AY136" s="118" t="str">
        <f>IFERROR(
IF(VLOOKUP($C136,'Employee information'!$B:$M,COLUMNS('Employee information'!$B:$M),0)=66,
IF($E$2="Fortnightly",
ROUND(
ROUND((((TRUNC($AN136/2,0)+0.99))*VLOOKUP((TRUNC($AN136/2,0)+0.99),'Tax scales - NAT 3539'!$A$127:$C$154,2,1)-VLOOKUP((TRUNC($AN136/2,0)+0.99),'Tax scales - NAT 3539'!$A$127:$C$154,3,1)),0)
*2,
0),
IF(AND($E$2="Monthly",ROUND($AN136-TRUNC($AN136),2)=0.33),
ROUND(
ROUND(((TRUNC(($AN136+0.01)*3/13,0)+0.99)*VLOOKUP((TRUNC(($AN136+0.01)*3/13,0)+0.99),'Tax scales - NAT 3539'!$A$127:$C$154,2,1)-VLOOKUP((TRUNC(($AN136+0.01)*3/13,0)+0.99),'Tax scales - NAT 3539'!$A$127:$C$154,3,1)),0)
*13/3,
0),
IF($E$2="Monthly",
ROUND(
ROUND(((TRUNC($AN136*3/13,0)+0.99)*VLOOKUP((TRUNC($AN136*3/13,0)+0.99),'Tax scales - NAT 3539'!$A$127:$C$154,2,1)-VLOOKUP((TRUNC($AN136*3/13,0)+0.99),'Tax scales - NAT 3539'!$A$127:$C$154,3,1)),0)
*13/3,
0),
""))),
""),
"")</f>
        <v/>
      </c>
      <c r="AZ136" s="118">
        <f>IFERROR(
HLOOKUP(VLOOKUP($C136,'Employee information'!$B:$M,COLUMNS('Employee information'!$B:$M),0),'PAYG worksheet'!$AO$126:$AY$145,COUNTA($C$127:$C136)+1,0),
0)</f>
        <v>0</v>
      </c>
      <c r="BA136" s="118"/>
      <c r="BB136" s="118">
        <f t="shared" si="139"/>
        <v>0</v>
      </c>
      <c r="BC136" s="119">
        <f>IFERROR(
IF(OR($AE136=1,$AE136=""),SUM($P136,$AA136,$AC136,$AK136)*VLOOKUP($C136,'Employee information'!$B:$Q,COLUMNS('Employee information'!$B:$H),0),
IF($AE136=0,SUM($P136,$AA136,$AK136)*VLOOKUP($C136,'Employee information'!$B:$Q,COLUMNS('Employee information'!$B:$H),0),
0)),
0)</f>
        <v>0</v>
      </c>
      <c r="BE136" s="114">
        <f t="shared" si="124"/>
        <v>0</v>
      </c>
      <c r="BF136" s="114">
        <f t="shared" si="125"/>
        <v>0</v>
      </c>
      <c r="BG136" s="114">
        <f t="shared" si="126"/>
        <v>0</v>
      </c>
      <c r="BH136" s="114">
        <f t="shared" si="127"/>
        <v>0</v>
      </c>
      <c r="BI136" s="114">
        <f t="shared" si="128"/>
        <v>0</v>
      </c>
      <c r="BJ136" s="114">
        <f t="shared" si="129"/>
        <v>0</v>
      </c>
      <c r="BK136" s="114">
        <f t="shared" si="130"/>
        <v>0</v>
      </c>
      <c r="BL136" s="114">
        <f t="shared" si="140"/>
        <v>0</v>
      </c>
      <c r="BM136" s="114">
        <f t="shared" si="131"/>
        <v>0</v>
      </c>
    </row>
    <row r="137" spans="1:65" x14ac:dyDescent="0.25">
      <c r="A137" s="228">
        <f t="shared" si="119"/>
        <v>5</v>
      </c>
      <c r="C137" s="278"/>
      <c r="E137" s="103">
        <f>IF($C137="",0,
IF(AND($E$2="Monthly",$A137&gt;12),0,
IF($E$2="Monthly",VLOOKUP($C137,'Employee information'!$B:$AM,COLUMNS('Employee information'!$B:S),0),
IF($E$2="Fortnightly",VLOOKUP($C137,'Employee information'!$B:$AM,COLUMNS('Employee information'!$B:R),0),
0))))</f>
        <v>0</v>
      </c>
      <c r="F137" s="106"/>
      <c r="G137" s="106"/>
      <c r="H137" s="106"/>
      <c r="I137" s="106"/>
      <c r="J137" s="103">
        <f t="shared" si="132"/>
        <v>0</v>
      </c>
      <c r="L137" s="113">
        <f>IF(AND($E$2="Monthly",$A137&gt;12),"",
IFERROR($J137*VLOOKUP($C137,'Employee information'!$B:$AI,COLUMNS('Employee information'!$B:$P),0),0))</f>
        <v>0</v>
      </c>
      <c r="M137" s="114">
        <f t="shared" si="133"/>
        <v>0</v>
      </c>
      <c r="O137" s="103">
        <f t="shared" si="134"/>
        <v>0</v>
      </c>
      <c r="P137" s="113">
        <f>IFERROR(
IF(AND($E$2="Monthly",$A137&gt;12),0,
$O137*VLOOKUP($C137,'Employee information'!$B:$AI,COLUMNS('Employee information'!$B:$P),0)),
0)</f>
        <v>0</v>
      </c>
      <c r="R137" s="114">
        <f t="shared" si="120"/>
        <v>0</v>
      </c>
      <c r="T137" s="103"/>
      <c r="U137" s="103"/>
      <c r="V137" s="282" t="str">
        <f>IF($C137="","",
IF(AND($E$2="Monthly",$A137&gt;12),"",
$T137*VLOOKUP($C137,'Employee information'!$B:$P,COLUMNS('Employee information'!$B:$P),0)))</f>
        <v/>
      </c>
      <c r="W137" s="282" t="str">
        <f>IF($C137="","",
IF(AND($E$2="Monthly",$A137&gt;12),"",
$U137*VLOOKUP($C137,'Employee information'!$B:$P,COLUMNS('Employee information'!$B:$P),0)))</f>
        <v/>
      </c>
      <c r="X137" s="114">
        <f t="shared" si="121"/>
        <v>0</v>
      </c>
      <c r="Y137" s="114">
        <f t="shared" si="122"/>
        <v>0</v>
      </c>
      <c r="AA137" s="118">
        <f>IFERROR(
IF(OR('Basic payroll data'!$D$12="",'Basic payroll data'!$D$12="No"),0,
$T137*VLOOKUP($C137,'Employee information'!$B:$P,COLUMNS('Employee information'!$B:$P),0)*AL_loading_perc),
0)</f>
        <v>0</v>
      </c>
      <c r="AC137" s="118"/>
      <c r="AD137" s="118"/>
      <c r="AE137" s="283" t="str">
        <f t="shared" si="135"/>
        <v/>
      </c>
      <c r="AF137" s="283" t="str">
        <f t="shared" si="136"/>
        <v/>
      </c>
      <c r="AG137" s="118"/>
      <c r="AH137" s="118"/>
      <c r="AI137" s="283" t="str">
        <f t="shared" si="137"/>
        <v/>
      </c>
      <c r="AJ137" s="118"/>
      <c r="AK137" s="118"/>
      <c r="AM137" s="118">
        <f t="shared" si="138"/>
        <v>0</v>
      </c>
      <c r="AN137" s="118">
        <f t="shared" si="123"/>
        <v>0</v>
      </c>
      <c r="AO137" s="118" t="str">
        <f>IFERROR(
IF(VLOOKUP($C137,'Employee information'!$B:$M,COLUMNS('Employee information'!$B:$M),0)=1,
IF($E$2="Fortnightly",
ROUND(
ROUND((((TRUNC($AN137/2,0)+0.99))*VLOOKUP((TRUNC($AN137/2,0)+0.99),'Tax scales - NAT 1004'!$A$12:$C$18,2,1)-VLOOKUP((TRUNC($AN137/2,0)+0.99),'Tax scales - NAT 1004'!$A$12:$C$18,3,1)),0)
*2,
0),
IF(AND($E$2="Monthly",ROUND($AN137-TRUNC($AN137),2)=0.33),
ROUND(
ROUND(((TRUNC(($AN137+0.01)*3/13,0)+0.99)*VLOOKUP((TRUNC(($AN137+0.01)*3/13,0)+0.99),'Tax scales - NAT 1004'!$A$12:$C$18,2,1)-VLOOKUP((TRUNC(($AN137+0.01)*3/13,0)+0.99),'Tax scales - NAT 1004'!$A$12:$C$18,3,1)),0)
*13/3,
0),
IF($E$2="Monthly",
ROUND(
ROUND(((TRUNC($AN137*3/13,0)+0.99)*VLOOKUP((TRUNC($AN137*3/13,0)+0.99),'Tax scales - NAT 1004'!$A$12:$C$18,2,1)-VLOOKUP((TRUNC($AN137*3/13,0)+0.99),'Tax scales - NAT 1004'!$A$12:$C$18,3,1)),0)
*13/3,
0),
""))),
""),
"")</f>
        <v/>
      </c>
      <c r="AP137" s="118" t="str">
        <f>IFERROR(
IF(VLOOKUP($C137,'Employee information'!$B:$M,COLUMNS('Employee information'!$B:$M),0)=2,
IF($E$2="Fortnightly",
ROUND(
ROUND((((TRUNC($AN137/2,0)+0.99))*VLOOKUP((TRUNC($AN137/2,0)+0.99),'Tax scales - NAT 1004'!$A$25:$C$33,2,1)-VLOOKUP((TRUNC($AN137/2,0)+0.99),'Tax scales - NAT 1004'!$A$25:$C$33,3,1)),0)
*2,
0),
IF(AND($E$2="Monthly",ROUND($AN137-TRUNC($AN137),2)=0.33),
ROUND(
ROUND(((TRUNC(($AN137+0.01)*3/13,0)+0.99)*VLOOKUP((TRUNC(($AN137+0.01)*3/13,0)+0.99),'Tax scales - NAT 1004'!$A$25:$C$33,2,1)-VLOOKUP((TRUNC(($AN137+0.01)*3/13,0)+0.99),'Tax scales - NAT 1004'!$A$25:$C$33,3,1)),0)
*13/3,
0),
IF($E$2="Monthly",
ROUND(
ROUND(((TRUNC($AN137*3/13,0)+0.99)*VLOOKUP((TRUNC($AN137*3/13,0)+0.99),'Tax scales - NAT 1004'!$A$25:$C$33,2,1)-VLOOKUP((TRUNC($AN137*3/13,0)+0.99),'Tax scales - NAT 1004'!$A$25:$C$33,3,1)),0)
*13/3,
0),
""))),
""),
"")</f>
        <v/>
      </c>
      <c r="AQ137" s="118" t="str">
        <f>IFERROR(
IF(VLOOKUP($C137,'Employee information'!$B:$M,COLUMNS('Employee information'!$B:$M),0)=3,
IF($E$2="Fortnightly",
ROUND(
ROUND((((TRUNC($AN137/2,0)+0.99))*VLOOKUP((TRUNC($AN137/2,0)+0.99),'Tax scales - NAT 1004'!$A$39:$C$41,2,1)-VLOOKUP((TRUNC($AN137/2,0)+0.99),'Tax scales - NAT 1004'!$A$39:$C$41,3,1)),0)
*2,
0),
IF(AND($E$2="Monthly",ROUND($AN137-TRUNC($AN137),2)=0.33),
ROUND(
ROUND(((TRUNC(($AN137+0.01)*3/13,0)+0.99)*VLOOKUP((TRUNC(($AN137+0.01)*3/13,0)+0.99),'Tax scales - NAT 1004'!$A$39:$C$41,2,1)-VLOOKUP((TRUNC(($AN137+0.01)*3/13,0)+0.99),'Tax scales - NAT 1004'!$A$39:$C$41,3,1)),0)
*13/3,
0),
IF($E$2="Monthly",
ROUND(
ROUND(((TRUNC($AN137*3/13,0)+0.99)*VLOOKUP((TRUNC($AN137*3/13,0)+0.99),'Tax scales - NAT 1004'!$A$39:$C$41,2,1)-VLOOKUP((TRUNC($AN137*3/13,0)+0.99),'Tax scales - NAT 1004'!$A$39:$C$41,3,1)),0)
*13/3,
0),
""))),
""),
"")</f>
        <v/>
      </c>
      <c r="AR137" s="118" t="str">
        <f>IFERROR(
IF(AND(VLOOKUP($C137,'Employee information'!$B:$M,COLUMNS('Employee information'!$B:$M),0)=4,
VLOOKUP($C137,'Employee information'!$B:$J,COLUMNS('Employee information'!$B:$J),0)="Resident"),
TRUNC(TRUNC($AN137)*'Tax scales - NAT 1004'!$B$47),
IF(AND(VLOOKUP($C137,'Employee information'!$B:$M,COLUMNS('Employee information'!$B:$M),0)=4,
VLOOKUP($C137,'Employee information'!$B:$J,COLUMNS('Employee information'!$B:$J),0)="Foreign resident"),
TRUNC(TRUNC($AN137)*'Tax scales - NAT 1004'!$B$48),
"")),
"")</f>
        <v/>
      </c>
      <c r="AS137" s="118" t="str">
        <f>IFERROR(
IF(VLOOKUP($C137,'Employee information'!$B:$M,COLUMNS('Employee information'!$B:$M),0)=5,
IF($E$2="Fortnightly",
ROUND(
ROUND((((TRUNC($AN137/2,0)+0.99))*VLOOKUP((TRUNC($AN137/2,0)+0.99),'Tax scales - NAT 1004'!$A$53:$C$59,2,1)-VLOOKUP((TRUNC($AN137/2,0)+0.99),'Tax scales - NAT 1004'!$A$53:$C$59,3,1)),0)
*2,
0),
IF(AND($E$2="Monthly",ROUND($AN137-TRUNC($AN137),2)=0.33),
ROUND(
ROUND(((TRUNC(($AN137+0.01)*3/13,0)+0.99)*VLOOKUP((TRUNC(($AN137+0.01)*3/13,0)+0.99),'Tax scales - NAT 1004'!$A$53:$C$59,2,1)-VLOOKUP((TRUNC(($AN137+0.01)*3/13,0)+0.99),'Tax scales - NAT 1004'!$A$53:$C$59,3,1)),0)
*13/3,
0),
IF($E$2="Monthly",
ROUND(
ROUND(((TRUNC($AN137*3/13,0)+0.99)*VLOOKUP((TRUNC($AN137*3/13,0)+0.99),'Tax scales - NAT 1004'!$A$53:$C$59,2,1)-VLOOKUP((TRUNC($AN137*3/13,0)+0.99),'Tax scales - NAT 1004'!$A$53:$C$59,3,1)),0)
*13/3,
0),
""))),
""),
"")</f>
        <v/>
      </c>
      <c r="AT137" s="118" t="str">
        <f>IFERROR(
IF(VLOOKUP($C137,'Employee information'!$B:$M,COLUMNS('Employee information'!$B:$M),0)=6,
IF($E$2="Fortnightly",
ROUND(
ROUND((((TRUNC($AN137/2,0)+0.99))*VLOOKUP((TRUNC($AN137/2,0)+0.99),'Tax scales - NAT 1004'!$A$65:$C$73,2,1)-VLOOKUP((TRUNC($AN137/2,0)+0.99),'Tax scales - NAT 1004'!$A$65:$C$73,3,1)),0)
*2,
0),
IF(AND($E$2="Monthly",ROUND($AN137-TRUNC($AN137),2)=0.33),
ROUND(
ROUND(((TRUNC(($AN137+0.01)*3/13,0)+0.99)*VLOOKUP((TRUNC(($AN137+0.01)*3/13,0)+0.99),'Tax scales - NAT 1004'!$A$65:$C$73,2,1)-VLOOKUP((TRUNC(($AN137+0.01)*3/13,0)+0.99),'Tax scales - NAT 1004'!$A$65:$C$73,3,1)),0)
*13/3,
0),
IF($E$2="Monthly",
ROUND(
ROUND(((TRUNC($AN137*3/13,0)+0.99)*VLOOKUP((TRUNC($AN137*3/13,0)+0.99),'Tax scales - NAT 1004'!$A$65:$C$73,2,1)-VLOOKUP((TRUNC($AN137*3/13,0)+0.99),'Tax scales - NAT 1004'!$A$65:$C$73,3,1)),0)
*13/3,
0),
""))),
""),
"")</f>
        <v/>
      </c>
      <c r="AU137" s="118" t="str">
        <f>IFERROR(
IF(VLOOKUP($C137,'Employee information'!$B:$M,COLUMNS('Employee information'!$B:$M),0)=11,
IF($E$2="Fortnightly",
ROUND(
ROUND((((TRUNC($AN137/2,0)+0.99))*VLOOKUP((TRUNC($AN137/2,0)+0.99),'Tax scales - NAT 3539'!$A$14:$C$38,2,1)-VLOOKUP((TRUNC($AN137/2,0)+0.99),'Tax scales - NAT 3539'!$A$14:$C$38,3,1)),0)
*2,
0),
IF(AND($E$2="Monthly",ROUND($AN137-TRUNC($AN137),2)=0.33),
ROUND(
ROUND(((TRUNC(($AN137+0.01)*3/13,0)+0.99)*VLOOKUP((TRUNC(($AN137+0.01)*3/13,0)+0.99),'Tax scales - NAT 3539'!$A$14:$C$38,2,1)-VLOOKUP((TRUNC(($AN137+0.01)*3/13,0)+0.99),'Tax scales - NAT 3539'!$A$14:$C$38,3,1)),0)
*13/3,
0),
IF($E$2="Monthly",
ROUND(
ROUND(((TRUNC($AN137*3/13,0)+0.99)*VLOOKUP((TRUNC($AN137*3/13,0)+0.99),'Tax scales - NAT 3539'!$A$14:$C$38,2,1)-VLOOKUP((TRUNC($AN137*3/13,0)+0.99),'Tax scales - NAT 3539'!$A$14:$C$38,3,1)),0)
*13/3,
0),
""))),
""),
"")</f>
        <v/>
      </c>
      <c r="AV137" s="118" t="str">
        <f>IFERROR(
IF(VLOOKUP($C137,'Employee information'!$B:$M,COLUMNS('Employee information'!$B:$M),0)=22,
IF($E$2="Fortnightly",
ROUND(
ROUND((((TRUNC($AN137/2,0)+0.99))*VLOOKUP((TRUNC($AN137/2,0)+0.99),'Tax scales - NAT 3539'!$A$43:$C$69,2,1)-VLOOKUP((TRUNC($AN137/2,0)+0.99),'Tax scales - NAT 3539'!$A$43:$C$69,3,1)),0)
*2,
0),
IF(AND($E$2="Monthly",ROUND($AN137-TRUNC($AN137),2)=0.33),
ROUND(
ROUND(((TRUNC(($AN137+0.01)*3/13,0)+0.99)*VLOOKUP((TRUNC(($AN137+0.01)*3/13,0)+0.99),'Tax scales - NAT 3539'!$A$43:$C$69,2,1)-VLOOKUP((TRUNC(($AN137+0.01)*3/13,0)+0.99),'Tax scales - NAT 3539'!$A$43:$C$69,3,1)),0)
*13/3,
0),
IF($E$2="Monthly",
ROUND(
ROUND(((TRUNC($AN137*3/13,0)+0.99)*VLOOKUP((TRUNC($AN137*3/13,0)+0.99),'Tax scales - NAT 3539'!$A$43:$C$69,2,1)-VLOOKUP((TRUNC($AN137*3/13,0)+0.99),'Tax scales - NAT 3539'!$A$43:$C$69,3,1)),0)
*13/3,
0),
""))),
""),
"")</f>
        <v/>
      </c>
      <c r="AW137" s="118" t="str">
        <f>IFERROR(
IF(VLOOKUP($C137,'Employee information'!$B:$M,COLUMNS('Employee information'!$B:$M),0)=33,
IF($E$2="Fortnightly",
ROUND(
ROUND((((TRUNC($AN137/2,0)+0.99))*VLOOKUP((TRUNC($AN137/2,0)+0.99),'Tax scales - NAT 3539'!$A$74:$C$94,2,1)-VLOOKUP((TRUNC($AN137/2,0)+0.99),'Tax scales - NAT 3539'!$A$74:$C$94,3,1)),0)
*2,
0),
IF(AND($E$2="Monthly",ROUND($AN137-TRUNC($AN137),2)=0.33),
ROUND(
ROUND(((TRUNC(($AN137+0.01)*3/13,0)+0.99)*VLOOKUP((TRUNC(($AN137+0.01)*3/13,0)+0.99),'Tax scales - NAT 3539'!$A$74:$C$94,2,1)-VLOOKUP((TRUNC(($AN137+0.01)*3/13,0)+0.99),'Tax scales - NAT 3539'!$A$74:$C$94,3,1)),0)
*13/3,
0),
IF($E$2="Monthly",
ROUND(
ROUND(((TRUNC($AN137*3/13,0)+0.99)*VLOOKUP((TRUNC($AN137*3/13,0)+0.99),'Tax scales - NAT 3539'!$A$74:$C$94,2,1)-VLOOKUP((TRUNC($AN137*3/13,0)+0.99),'Tax scales - NAT 3539'!$A$74:$C$94,3,1)),0)
*13/3,
0),
""))),
""),
"")</f>
        <v/>
      </c>
      <c r="AX137" s="118" t="str">
        <f>IFERROR(
IF(VLOOKUP($C137,'Employee information'!$B:$M,COLUMNS('Employee information'!$B:$M),0)=55,
IF($E$2="Fortnightly",
ROUND(
ROUND((((TRUNC($AN137/2,0)+0.99))*VLOOKUP((TRUNC($AN137/2,0)+0.99),'Tax scales - NAT 3539'!$A$99:$C$123,2,1)-VLOOKUP((TRUNC($AN137/2,0)+0.99),'Tax scales - NAT 3539'!$A$99:$C$123,3,1)),0)
*2,
0),
IF(AND($E$2="Monthly",ROUND($AN137-TRUNC($AN137),2)=0.33),
ROUND(
ROUND(((TRUNC(($AN137+0.01)*3/13,0)+0.99)*VLOOKUP((TRUNC(($AN137+0.01)*3/13,0)+0.99),'Tax scales - NAT 3539'!$A$99:$C$123,2,1)-VLOOKUP((TRUNC(($AN137+0.01)*3/13,0)+0.99),'Tax scales - NAT 3539'!$A$99:$C$123,3,1)),0)
*13/3,
0),
IF($E$2="Monthly",
ROUND(
ROUND(((TRUNC($AN137*3/13,0)+0.99)*VLOOKUP((TRUNC($AN137*3/13,0)+0.99),'Tax scales - NAT 3539'!$A$99:$C$123,2,1)-VLOOKUP((TRUNC($AN137*3/13,0)+0.99),'Tax scales - NAT 3539'!$A$99:$C$123,3,1)),0)
*13/3,
0),
""))),
""),
"")</f>
        <v/>
      </c>
      <c r="AY137" s="118" t="str">
        <f>IFERROR(
IF(VLOOKUP($C137,'Employee information'!$B:$M,COLUMNS('Employee information'!$B:$M),0)=66,
IF($E$2="Fortnightly",
ROUND(
ROUND((((TRUNC($AN137/2,0)+0.99))*VLOOKUP((TRUNC($AN137/2,0)+0.99),'Tax scales - NAT 3539'!$A$127:$C$154,2,1)-VLOOKUP((TRUNC($AN137/2,0)+0.99),'Tax scales - NAT 3539'!$A$127:$C$154,3,1)),0)
*2,
0),
IF(AND($E$2="Monthly",ROUND($AN137-TRUNC($AN137),2)=0.33),
ROUND(
ROUND(((TRUNC(($AN137+0.01)*3/13,0)+0.99)*VLOOKUP((TRUNC(($AN137+0.01)*3/13,0)+0.99),'Tax scales - NAT 3539'!$A$127:$C$154,2,1)-VLOOKUP((TRUNC(($AN137+0.01)*3/13,0)+0.99),'Tax scales - NAT 3539'!$A$127:$C$154,3,1)),0)
*13/3,
0),
IF($E$2="Monthly",
ROUND(
ROUND(((TRUNC($AN137*3/13,0)+0.99)*VLOOKUP((TRUNC($AN137*3/13,0)+0.99),'Tax scales - NAT 3539'!$A$127:$C$154,2,1)-VLOOKUP((TRUNC($AN137*3/13,0)+0.99),'Tax scales - NAT 3539'!$A$127:$C$154,3,1)),0)
*13/3,
0),
""))),
""),
"")</f>
        <v/>
      </c>
      <c r="AZ137" s="118">
        <f>IFERROR(
HLOOKUP(VLOOKUP($C137,'Employee information'!$B:$M,COLUMNS('Employee information'!$B:$M),0),'PAYG worksheet'!$AO$126:$AY$145,COUNTA($C$127:$C137)+1,0),
0)</f>
        <v>0</v>
      </c>
      <c r="BA137" s="118"/>
      <c r="BB137" s="118">
        <f t="shared" si="139"/>
        <v>0</v>
      </c>
      <c r="BC137" s="119">
        <f>IFERROR(
IF(OR($AE137=1,$AE137=""),SUM($P137,$AA137,$AC137,$AK137)*VLOOKUP($C137,'Employee information'!$B:$Q,COLUMNS('Employee information'!$B:$H),0),
IF($AE137=0,SUM($P137,$AA137,$AK137)*VLOOKUP($C137,'Employee information'!$B:$Q,COLUMNS('Employee information'!$B:$H),0),
0)),
0)</f>
        <v>0</v>
      </c>
      <c r="BE137" s="114">
        <f t="shared" si="124"/>
        <v>0</v>
      </c>
      <c r="BF137" s="114">
        <f t="shared" si="125"/>
        <v>0</v>
      </c>
      <c r="BG137" s="114">
        <f t="shared" si="126"/>
        <v>0</v>
      </c>
      <c r="BH137" s="114">
        <f t="shared" si="127"/>
        <v>0</v>
      </c>
      <c r="BI137" s="114">
        <f t="shared" si="128"/>
        <v>0</v>
      </c>
      <c r="BJ137" s="114">
        <f t="shared" si="129"/>
        <v>0</v>
      </c>
      <c r="BK137" s="114">
        <f t="shared" si="130"/>
        <v>0</v>
      </c>
      <c r="BL137" s="114">
        <f t="shared" si="140"/>
        <v>0</v>
      </c>
      <c r="BM137" s="114">
        <f t="shared" si="131"/>
        <v>0</v>
      </c>
    </row>
    <row r="138" spans="1:65" x14ac:dyDescent="0.25">
      <c r="A138" s="228">
        <f t="shared" si="119"/>
        <v>5</v>
      </c>
      <c r="C138" s="278"/>
      <c r="E138" s="103">
        <f>IF($C138="",0,
IF(AND($E$2="Monthly",$A138&gt;12),0,
IF($E$2="Monthly",VLOOKUP($C138,'Employee information'!$B:$AM,COLUMNS('Employee information'!$B:S),0),
IF($E$2="Fortnightly",VLOOKUP($C138,'Employee information'!$B:$AM,COLUMNS('Employee information'!$B:R),0),
0))))</f>
        <v>0</v>
      </c>
      <c r="F138" s="106"/>
      <c r="G138" s="106"/>
      <c r="H138" s="106"/>
      <c r="I138" s="106"/>
      <c r="J138" s="103">
        <f t="shared" si="132"/>
        <v>0</v>
      </c>
      <c r="L138" s="113">
        <f>IF(AND($E$2="Monthly",$A138&gt;12),"",
IFERROR($J138*VLOOKUP($C138,'Employee information'!$B:$AI,COLUMNS('Employee information'!$B:$P),0),0))</f>
        <v>0</v>
      </c>
      <c r="M138" s="114">
        <f t="shared" si="133"/>
        <v>0</v>
      </c>
      <c r="O138" s="103">
        <f t="shared" si="134"/>
        <v>0</v>
      </c>
      <c r="P138" s="113">
        <f>IFERROR(
IF(AND($E$2="Monthly",$A138&gt;12),0,
$O138*VLOOKUP($C138,'Employee information'!$B:$AI,COLUMNS('Employee information'!$B:$P),0)),
0)</f>
        <v>0</v>
      </c>
      <c r="R138" s="114">
        <f t="shared" si="120"/>
        <v>0</v>
      </c>
      <c r="T138" s="103"/>
      <c r="U138" s="103"/>
      <c r="V138" s="282" t="str">
        <f>IF($C138="","",
IF(AND($E$2="Monthly",$A138&gt;12),"",
$T138*VLOOKUP($C138,'Employee information'!$B:$P,COLUMNS('Employee information'!$B:$P),0)))</f>
        <v/>
      </c>
      <c r="W138" s="282" t="str">
        <f>IF($C138="","",
IF(AND($E$2="Monthly",$A138&gt;12),"",
$U138*VLOOKUP($C138,'Employee information'!$B:$P,COLUMNS('Employee information'!$B:$P),0)))</f>
        <v/>
      </c>
      <c r="X138" s="114">
        <f t="shared" si="121"/>
        <v>0</v>
      </c>
      <c r="Y138" s="114">
        <f t="shared" si="122"/>
        <v>0</v>
      </c>
      <c r="AA138" s="118">
        <f>IFERROR(
IF(OR('Basic payroll data'!$D$12="",'Basic payroll data'!$D$12="No"),0,
$T138*VLOOKUP($C138,'Employee information'!$B:$P,COLUMNS('Employee information'!$B:$P),0)*AL_loading_perc),
0)</f>
        <v>0</v>
      </c>
      <c r="AC138" s="118"/>
      <c r="AD138" s="118"/>
      <c r="AE138" s="283" t="str">
        <f t="shared" si="135"/>
        <v/>
      </c>
      <c r="AF138" s="283" t="str">
        <f t="shared" si="136"/>
        <v/>
      </c>
      <c r="AG138" s="118"/>
      <c r="AH138" s="118"/>
      <c r="AI138" s="283" t="str">
        <f t="shared" si="137"/>
        <v/>
      </c>
      <c r="AJ138" s="118"/>
      <c r="AK138" s="118"/>
      <c r="AM138" s="118">
        <f t="shared" si="138"/>
        <v>0</v>
      </c>
      <c r="AN138" s="118">
        <f t="shared" si="123"/>
        <v>0</v>
      </c>
      <c r="AO138" s="118" t="str">
        <f>IFERROR(
IF(VLOOKUP($C138,'Employee information'!$B:$M,COLUMNS('Employee information'!$B:$M),0)=1,
IF($E$2="Fortnightly",
ROUND(
ROUND((((TRUNC($AN138/2,0)+0.99))*VLOOKUP((TRUNC($AN138/2,0)+0.99),'Tax scales - NAT 1004'!$A$12:$C$18,2,1)-VLOOKUP((TRUNC($AN138/2,0)+0.99),'Tax scales - NAT 1004'!$A$12:$C$18,3,1)),0)
*2,
0),
IF(AND($E$2="Monthly",ROUND($AN138-TRUNC($AN138),2)=0.33),
ROUND(
ROUND(((TRUNC(($AN138+0.01)*3/13,0)+0.99)*VLOOKUP((TRUNC(($AN138+0.01)*3/13,0)+0.99),'Tax scales - NAT 1004'!$A$12:$C$18,2,1)-VLOOKUP((TRUNC(($AN138+0.01)*3/13,0)+0.99),'Tax scales - NAT 1004'!$A$12:$C$18,3,1)),0)
*13/3,
0),
IF($E$2="Monthly",
ROUND(
ROUND(((TRUNC($AN138*3/13,0)+0.99)*VLOOKUP((TRUNC($AN138*3/13,0)+0.99),'Tax scales - NAT 1004'!$A$12:$C$18,2,1)-VLOOKUP((TRUNC($AN138*3/13,0)+0.99),'Tax scales - NAT 1004'!$A$12:$C$18,3,1)),0)
*13/3,
0),
""))),
""),
"")</f>
        <v/>
      </c>
      <c r="AP138" s="118" t="str">
        <f>IFERROR(
IF(VLOOKUP($C138,'Employee information'!$B:$M,COLUMNS('Employee information'!$B:$M),0)=2,
IF($E$2="Fortnightly",
ROUND(
ROUND((((TRUNC($AN138/2,0)+0.99))*VLOOKUP((TRUNC($AN138/2,0)+0.99),'Tax scales - NAT 1004'!$A$25:$C$33,2,1)-VLOOKUP((TRUNC($AN138/2,0)+0.99),'Tax scales - NAT 1004'!$A$25:$C$33,3,1)),0)
*2,
0),
IF(AND($E$2="Monthly",ROUND($AN138-TRUNC($AN138),2)=0.33),
ROUND(
ROUND(((TRUNC(($AN138+0.01)*3/13,0)+0.99)*VLOOKUP((TRUNC(($AN138+0.01)*3/13,0)+0.99),'Tax scales - NAT 1004'!$A$25:$C$33,2,1)-VLOOKUP((TRUNC(($AN138+0.01)*3/13,0)+0.99),'Tax scales - NAT 1004'!$A$25:$C$33,3,1)),0)
*13/3,
0),
IF($E$2="Monthly",
ROUND(
ROUND(((TRUNC($AN138*3/13,0)+0.99)*VLOOKUP((TRUNC($AN138*3/13,0)+0.99),'Tax scales - NAT 1004'!$A$25:$C$33,2,1)-VLOOKUP((TRUNC($AN138*3/13,0)+0.99),'Tax scales - NAT 1004'!$A$25:$C$33,3,1)),0)
*13/3,
0),
""))),
""),
"")</f>
        <v/>
      </c>
      <c r="AQ138" s="118" t="str">
        <f>IFERROR(
IF(VLOOKUP($C138,'Employee information'!$B:$M,COLUMNS('Employee information'!$B:$M),0)=3,
IF($E$2="Fortnightly",
ROUND(
ROUND((((TRUNC($AN138/2,0)+0.99))*VLOOKUP((TRUNC($AN138/2,0)+0.99),'Tax scales - NAT 1004'!$A$39:$C$41,2,1)-VLOOKUP((TRUNC($AN138/2,0)+0.99),'Tax scales - NAT 1004'!$A$39:$C$41,3,1)),0)
*2,
0),
IF(AND($E$2="Monthly",ROUND($AN138-TRUNC($AN138),2)=0.33),
ROUND(
ROUND(((TRUNC(($AN138+0.01)*3/13,0)+0.99)*VLOOKUP((TRUNC(($AN138+0.01)*3/13,0)+0.99),'Tax scales - NAT 1004'!$A$39:$C$41,2,1)-VLOOKUP((TRUNC(($AN138+0.01)*3/13,0)+0.99),'Tax scales - NAT 1004'!$A$39:$C$41,3,1)),0)
*13/3,
0),
IF($E$2="Monthly",
ROUND(
ROUND(((TRUNC($AN138*3/13,0)+0.99)*VLOOKUP((TRUNC($AN138*3/13,0)+0.99),'Tax scales - NAT 1004'!$A$39:$C$41,2,1)-VLOOKUP((TRUNC($AN138*3/13,0)+0.99),'Tax scales - NAT 1004'!$A$39:$C$41,3,1)),0)
*13/3,
0),
""))),
""),
"")</f>
        <v/>
      </c>
      <c r="AR138" s="118" t="str">
        <f>IFERROR(
IF(AND(VLOOKUP($C138,'Employee information'!$B:$M,COLUMNS('Employee information'!$B:$M),0)=4,
VLOOKUP($C138,'Employee information'!$B:$J,COLUMNS('Employee information'!$B:$J),0)="Resident"),
TRUNC(TRUNC($AN138)*'Tax scales - NAT 1004'!$B$47),
IF(AND(VLOOKUP($C138,'Employee information'!$B:$M,COLUMNS('Employee information'!$B:$M),0)=4,
VLOOKUP($C138,'Employee information'!$B:$J,COLUMNS('Employee information'!$B:$J),0)="Foreign resident"),
TRUNC(TRUNC($AN138)*'Tax scales - NAT 1004'!$B$48),
"")),
"")</f>
        <v/>
      </c>
      <c r="AS138" s="118" t="str">
        <f>IFERROR(
IF(VLOOKUP($C138,'Employee information'!$B:$M,COLUMNS('Employee information'!$B:$M),0)=5,
IF($E$2="Fortnightly",
ROUND(
ROUND((((TRUNC($AN138/2,0)+0.99))*VLOOKUP((TRUNC($AN138/2,0)+0.99),'Tax scales - NAT 1004'!$A$53:$C$59,2,1)-VLOOKUP((TRUNC($AN138/2,0)+0.99),'Tax scales - NAT 1004'!$A$53:$C$59,3,1)),0)
*2,
0),
IF(AND($E$2="Monthly",ROUND($AN138-TRUNC($AN138),2)=0.33),
ROUND(
ROUND(((TRUNC(($AN138+0.01)*3/13,0)+0.99)*VLOOKUP((TRUNC(($AN138+0.01)*3/13,0)+0.99),'Tax scales - NAT 1004'!$A$53:$C$59,2,1)-VLOOKUP((TRUNC(($AN138+0.01)*3/13,0)+0.99),'Tax scales - NAT 1004'!$A$53:$C$59,3,1)),0)
*13/3,
0),
IF($E$2="Monthly",
ROUND(
ROUND(((TRUNC($AN138*3/13,0)+0.99)*VLOOKUP((TRUNC($AN138*3/13,0)+0.99),'Tax scales - NAT 1004'!$A$53:$C$59,2,1)-VLOOKUP((TRUNC($AN138*3/13,0)+0.99),'Tax scales - NAT 1004'!$A$53:$C$59,3,1)),0)
*13/3,
0),
""))),
""),
"")</f>
        <v/>
      </c>
      <c r="AT138" s="118" t="str">
        <f>IFERROR(
IF(VLOOKUP($C138,'Employee information'!$B:$M,COLUMNS('Employee information'!$B:$M),0)=6,
IF($E$2="Fortnightly",
ROUND(
ROUND((((TRUNC($AN138/2,0)+0.99))*VLOOKUP((TRUNC($AN138/2,0)+0.99),'Tax scales - NAT 1004'!$A$65:$C$73,2,1)-VLOOKUP((TRUNC($AN138/2,0)+0.99),'Tax scales - NAT 1004'!$A$65:$C$73,3,1)),0)
*2,
0),
IF(AND($E$2="Monthly",ROUND($AN138-TRUNC($AN138),2)=0.33),
ROUND(
ROUND(((TRUNC(($AN138+0.01)*3/13,0)+0.99)*VLOOKUP((TRUNC(($AN138+0.01)*3/13,0)+0.99),'Tax scales - NAT 1004'!$A$65:$C$73,2,1)-VLOOKUP((TRUNC(($AN138+0.01)*3/13,0)+0.99),'Tax scales - NAT 1004'!$A$65:$C$73,3,1)),0)
*13/3,
0),
IF($E$2="Monthly",
ROUND(
ROUND(((TRUNC($AN138*3/13,0)+0.99)*VLOOKUP((TRUNC($AN138*3/13,0)+0.99),'Tax scales - NAT 1004'!$A$65:$C$73,2,1)-VLOOKUP((TRUNC($AN138*3/13,0)+0.99),'Tax scales - NAT 1004'!$A$65:$C$73,3,1)),0)
*13/3,
0),
""))),
""),
"")</f>
        <v/>
      </c>
      <c r="AU138" s="118" t="str">
        <f>IFERROR(
IF(VLOOKUP($C138,'Employee information'!$B:$M,COLUMNS('Employee information'!$B:$M),0)=11,
IF($E$2="Fortnightly",
ROUND(
ROUND((((TRUNC($AN138/2,0)+0.99))*VLOOKUP((TRUNC($AN138/2,0)+0.99),'Tax scales - NAT 3539'!$A$14:$C$38,2,1)-VLOOKUP((TRUNC($AN138/2,0)+0.99),'Tax scales - NAT 3539'!$A$14:$C$38,3,1)),0)
*2,
0),
IF(AND($E$2="Monthly",ROUND($AN138-TRUNC($AN138),2)=0.33),
ROUND(
ROUND(((TRUNC(($AN138+0.01)*3/13,0)+0.99)*VLOOKUP((TRUNC(($AN138+0.01)*3/13,0)+0.99),'Tax scales - NAT 3539'!$A$14:$C$38,2,1)-VLOOKUP((TRUNC(($AN138+0.01)*3/13,0)+0.99),'Tax scales - NAT 3539'!$A$14:$C$38,3,1)),0)
*13/3,
0),
IF($E$2="Monthly",
ROUND(
ROUND(((TRUNC($AN138*3/13,0)+0.99)*VLOOKUP((TRUNC($AN138*3/13,0)+0.99),'Tax scales - NAT 3539'!$A$14:$C$38,2,1)-VLOOKUP((TRUNC($AN138*3/13,0)+0.99),'Tax scales - NAT 3539'!$A$14:$C$38,3,1)),0)
*13/3,
0),
""))),
""),
"")</f>
        <v/>
      </c>
      <c r="AV138" s="118" t="str">
        <f>IFERROR(
IF(VLOOKUP($C138,'Employee information'!$B:$M,COLUMNS('Employee information'!$B:$M),0)=22,
IF($E$2="Fortnightly",
ROUND(
ROUND((((TRUNC($AN138/2,0)+0.99))*VLOOKUP((TRUNC($AN138/2,0)+0.99),'Tax scales - NAT 3539'!$A$43:$C$69,2,1)-VLOOKUP((TRUNC($AN138/2,0)+0.99),'Tax scales - NAT 3539'!$A$43:$C$69,3,1)),0)
*2,
0),
IF(AND($E$2="Monthly",ROUND($AN138-TRUNC($AN138),2)=0.33),
ROUND(
ROUND(((TRUNC(($AN138+0.01)*3/13,0)+0.99)*VLOOKUP((TRUNC(($AN138+0.01)*3/13,0)+0.99),'Tax scales - NAT 3539'!$A$43:$C$69,2,1)-VLOOKUP((TRUNC(($AN138+0.01)*3/13,0)+0.99),'Tax scales - NAT 3539'!$A$43:$C$69,3,1)),0)
*13/3,
0),
IF($E$2="Monthly",
ROUND(
ROUND(((TRUNC($AN138*3/13,0)+0.99)*VLOOKUP((TRUNC($AN138*3/13,0)+0.99),'Tax scales - NAT 3539'!$A$43:$C$69,2,1)-VLOOKUP((TRUNC($AN138*3/13,0)+0.99),'Tax scales - NAT 3539'!$A$43:$C$69,3,1)),0)
*13/3,
0),
""))),
""),
"")</f>
        <v/>
      </c>
      <c r="AW138" s="118" t="str">
        <f>IFERROR(
IF(VLOOKUP($C138,'Employee information'!$B:$M,COLUMNS('Employee information'!$B:$M),0)=33,
IF($E$2="Fortnightly",
ROUND(
ROUND((((TRUNC($AN138/2,0)+0.99))*VLOOKUP((TRUNC($AN138/2,0)+0.99),'Tax scales - NAT 3539'!$A$74:$C$94,2,1)-VLOOKUP((TRUNC($AN138/2,0)+0.99),'Tax scales - NAT 3539'!$A$74:$C$94,3,1)),0)
*2,
0),
IF(AND($E$2="Monthly",ROUND($AN138-TRUNC($AN138),2)=0.33),
ROUND(
ROUND(((TRUNC(($AN138+0.01)*3/13,0)+0.99)*VLOOKUP((TRUNC(($AN138+0.01)*3/13,0)+0.99),'Tax scales - NAT 3539'!$A$74:$C$94,2,1)-VLOOKUP((TRUNC(($AN138+0.01)*3/13,0)+0.99),'Tax scales - NAT 3539'!$A$74:$C$94,3,1)),0)
*13/3,
0),
IF($E$2="Monthly",
ROUND(
ROUND(((TRUNC($AN138*3/13,0)+0.99)*VLOOKUP((TRUNC($AN138*3/13,0)+0.99),'Tax scales - NAT 3539'!$A$74:$C$94,2,1)-VLOOKUP((TRUNC($AN138*3/13,0)+0.99),'Tax scales - NAT 3539'!$A$74:$C$94,3,1)),0)
*13/3,
0),
""))),
""),
"")</f>
        <v/>
      </c>
      <c r="AX138" s="118" t="str">
        <f>IFERROR(
IF(VLOOKUP($C138,'Employee information'!$B:$M,COLUMNS('Employee information'!$B:$M),0)=55,
IF($E$2="Fortnightly",
ROUND(
ROUND((((TRUNC($AN138/2,0)+0.99))*VLOOKUP((TRUNC($AN138/2,0)+0.99),'Tax scales - NAT 3539'!$A$99:$C$123,2,1)-VLOOKUP((TRUNC($AN138/2,0)+0.99),'Tax scales - NAT 3539'!$A$99:$C$123,3,1)),0)
*2,
0),
IF(AND($E$2="Monthly",ROUND($AN138-TRUNC($AN138),2)=0.33),
ROUND(
ROUND(((TRUNC(($AN138+0.01)*3/13,0)+0.99)*VLOOKUP((TRUNC(($AN138+0.01)*3/13,0)+0.99),'Tax scales - NAT 3539'!$A$99:$C$123,2,1)-VLOOKUP((TRUNC(($AN138+0.01)*3/13,0)+0.99),'Tax scales - NAT 3539'!$A$99:$C$123,3,1)),0)
*13/3,
0),
IF($E$2="Monthly",
ROUND(
ROUND(((TRUNC($AN138*3/13,0)+0.99)*VLOOKUP((TRUNC($AN138*3/13,0)+0.99),'Tax scales - NAT 3539'!$A$99:$C$123,2,1)-VLOOKUP((TRUNC($AN138*3/13,0)+0.99),'Tax scales - NAT 3539'!$A$99:$C$123,3,1)),0)
*13/3,
0),
""))),
""),
"")</f>
        <v/>
      </c>
      <c r="AY138" s="118" t="str">
        <f>IFERROR(
IF(VLOOKUP($C138,'Employee information'!$B:$M,COLUMNS('Employee information'!$B:$M),0)=66,
IF($E$2="Fortnightly",
ROUND(
ROUND((((TRUNC($AN138/2,0)+0.99))*VLOOKUP((TRUNC($AN138/2,0)+0.99),'Tax scales - NAT 3539'!$A$127:$C$154,2,1)-VLOOKUP((TRUNC($AN138/2,0)+0.99),'Tax scales - NAT 3539'!$A$127:$C$154,3,1)),0)
*2,
0),
IF(AND($E$2="Monthly",ROUND($AN138-TRUNC($AN138),2)=0.33),
ROUND(
ROUND(((TRUNC(($AN138+0.01)*3/13,0)+0.99)*VLOOKUP((TRUNC(($AN138+0.01)*3/13,0)+0.99),'Tax scales - NAT 3539'!$A$127:$C$154,2,1)-VLOOKUP((TRUNC(($AN138+0.01)*3/13,0)+0.99),'Tax scales - NAT 3539'!$A$127:$C$154,3,1)),0)
*13/3,
0),
IF($E$2="Monthly",
ROUND(
ROUND(((TRUNC($AN138*3/13,0)+0.99)*VLOOKUP((TRUNC($AN138*3/13,0)+0.99),'Tax scales - NAT 3539'!$A$127:$C$154,2,1)-VLOOKUP((TRUNC($AN138*3/13,0)+0.99),'Tax scales - NAT 3539'!$A$127:$C$154,3,1)),0)
*13/3,
0),
""))),
""),
"")</f>
        <v/>
      </c>
      <c r="AZ138" s="118">
        <f>IFERROR(
HLOOKUP(VLOOKUP($C138,'Employee information'!$B:$M,COLUMNS('Employee information'!$B:$M),0),'PAYG worksheet'!$AO$126:$AY$145,COUNTA($C$127:$C138)+1,0),
0)</f>
        <v>0</v>
      </c>
      <c r="BA138" s="118"/>
      <c r="BB138" s="118">
        <f t="shared" si="139"/>
        <v>0</v>
      </c>
      <c r="BC138" s="119">
        <f>IFERROR(
IF(OR($AE138=1,$AE138=""),SUM($P138,$AA138,$AC138,$AK138)*VLOOKUP($C138,'Employee information'!$B:$Q,COLUMNS('Employee information'!$B:$H),0),
IF($AE138=0,SUM($P138,$AA138,$AK138)*VLOOKUP($C138,'Employee information'!$B:$Q,COLUMNS('Employee information'!$B:$H),0),
0)),
0)</f>
        <v>0</v>
      </c>
      <c r="BE138" s="114">
        <f t="shared" si="124"/>
        <v>0</v>
      </c>
      <c r="BF138" s="114">
        <f t="shared" si="125"/>
        <v>0</v>
      </c>
      <c r="BG138" s="114">
        <f t="shared" si="126"/>
        <v>0</v>
      </c>
      <c r="BH138" s="114">
        <f t="shared" si="127"/>
        <v>0</v>
      </c>
      <c r="BI138" s="114">
        <f t="shared" si="128"/>
        <v>0</v>
      </c>
      <c r="BJ138" s="114">
        <f t="shared" si="129"/>
        <v>0</v>
      </c>
      <c r="BK138" s="114">
        <f t="shared" si="130"/>
        <v>0</v>
      </c>
      <c r="BL138" s="114">
        <f t="shared" si="140"/>
        <v>0</v>
      </c>
      <c r="BM138" s="114">
        <f t="shared" si="131"/>
        <v>0</v>
      </c>
    </row>
    <row r="139" spans="1:65" x14ac:dyDescent="0.25">
      <c r="A139" s="228">
        <f t="shared" si="119"/>
        <v>5</v>
      </c>
      <c r="C139" s="278"/>
      <c r="E139" s="103">
        <f>IF($C139="",0,
IF(AND($E$2="Monthly",$A139&gt;12),0,
IF($E$2="Monthly",VLOOKUP($C139,'Employee information'!$B:$AM,COLUMNS('Employee information'!$B:S),0),
IF($E$2="Fortnightly",VLOOKUP($C139,'Employee information'!$B:$AM,COLUMNS('Employee information'!$B:R),0),
0))))</f>
        <v>0</v>
      </c>
      <c r="F139" s="106"/>
      <c r="G139" s="106"/>
      <c r="H139" s="106"/>
      <c r="I139" s="106"/>
      <c r="J139" s="103">
        <f t="shared" si="132"/>
        <v>0</v>
      </c>
      <c r="L139" s="113">
        <f>IF(AND($E$2="Monthly",$A139&gt;12),"",
IFERROR($J139*VLOOKUP($C139,'Employee information'!$B:$AI,COLUMNS('Employee information'!$B:$P),0),0))</f>
        <v>0</v>
      </c>
      <c r="M139" s="114">
        <f t="shared" si="133"/>
        <v>0</v>
      </c>
      <c r="O139" s="103">
        <f t="shared" si="134"/>
        <v>0</v>
      </c>
      <c r="P139" s="113">
        <f>IFERROR(
IF(AND($E$2="Monthly",$A139&gt;12),0,
$O139*VLOOKUP($C139,'Employee information'!$B:$AI,COLUMNS('Employee information'!$B:$P),0)),
0)</f>
        <v>0</v>
      </c>
      <c r="R139" s="114">
        <f t="shared" si="120"/>
        <v>0</v>
      </c>
      <c r="T139" s="103"/>
      <c r="U139" s="103"/>
      <c r="V139" s="282" t="str">
        <f>IF($C139="","",
IF(AND($E$2="Monthly",$A139&gt;12),"",
$T139*VLOOKUP($C139,'Employee information'!$B:$P,COLUMNS('Employee information'!$B:$P),0)))</f>
        <v/>
      </c>
      <c r="W139" s="282" t="str">
        <f>IF($C139="","",
IF(AND($E$2="Monthly",$A139&gt;12),"",
$U139*VLOOKUP($C139,'Employee information'!$B:$P,COLUMNS('Employee information'!$B:$P),0)))</f>
        <v/>
      </c>
      <c r="X139" s="114">
        <f t="shared" si="121"/>
        <v>0</v>
      </c>
      <c r="Y139" s="114">
        <f t="shared" si="122"/>
        <v>0</v>
      </c>
      <c r="AA139" s="118">
        <f>IFERROR(
IF(OR('Basic payroll data'!$D$12="",'Basic payroll data'!$D$12="No"),0,
$T139*VLOOKUP($C139,'Employee information'!$B:$P,COLUMNS('Employee information'!$B:$P),0)*AL_loading_perc),
0)</f>
        <v>0</v>
      </c>
      <c r="AC139" s="118"/>
      <c r="AD139" s="118"/>
      <c r="AE139" s="283" t="str">
        <f t="shared" si="135"/>
        <v/>
      </c>
      <c r="AF139" s="283" t="str">
        <f t="shared" si="136"/>
        <v/>
      </c>
      <c r="AG139" s="118"/>
      <c r="AH139" s="118"/>
      <c r="AI139" s="283" t="str">
        <f t="shared" si="137"/>
        <v/>
      </c>
      <c r="AJ139" s="118"/>
      <c r="AK139" s="118"/>
      <c r="AM139" s="118">
        <f t="shared" si="138"/>
        <v>0</v>
      </c>
      <c r="AN139" s="118">
        <f t="shared" si="123"/>
        <v>0</v>
      </c>
      <c r="AO139" s="118" t="str">
        <f>IFERROR(
IF(VLOOKUP($C139,'Employee information'!$B:$M,COLUMNS('Employee information'!$B:$M),0)=1,
IF($E$2="Fortnightly",
ROUND(
ROUND((((TRUNC($AN139/2,0)+0.99))*VLOOKUP((TRUNC($AN139/2,0)+0.99),'Tax scales - NAT 1004'!$A$12:$C$18,2,1)-VLOOKUP((TRUNC($AN139/2,0)+0.99),'Tax scales - NAT 1004'!$A$12:$C$18,3,1)),0)
*2,
0),
IF(AND($E$2="Monthly",ROUND($AN139-TRUNC($AN139),2)=0.33),
ROUND(
ROUND(((TRUNC(($AN139+0.01)*3/13,0)+0.99)*VLOOKUP((TRUNC(($AN139+0.01)*3/13,0)+0.99),'Tax scales - NAT 1004'!$A$12:$C$18,2,1)-VLOOKUP((TRUNC(($AN139+0.01)*3/13,0)+0.99),'Tax scales - NAT 1004'!$A$12:$C$18,3,1)),0)
*13/3,
0),
IF($E$2="Monthly",
ROUND(
ROUND(((TRUNC($AN139*3/13,0)+0.99)*VLOOKUP((TRUNC($AN139*3/13,0)+0.99),'Tax scales - NAT 1004'!$A$12:$C$18,2,1)-VLOOKUP((TRUNC($AN139*3/13,0)+0.99),'Tax scales - NAT 1004'!$A$12:$C$18,3,1)),0)
*13/3,
0),
""))),
""),
"")</f>
        <v/>
      </c>
      <c r="AP139" s="118" t="str">
        <f>IFERROR(
IF(VLOOKUP($C139,'Employee information'!$B:$M,COLUMNS('Employee information'!$B:$M),0)=2,
IF($E$2="Fortnightly",
ROUND(
ROUND((((TRUNC($AN139/2,0)+0.99))*VLOOKUP((TRUNC($AN139/2,0)+0.99),'Tax scales - NAT 1004'!$A$25:$C$33,2,1)-VLOOKUP((TRUNC($AN139/2,0)+0.99),'Tax scales - NAT 1004'!$A$25:$C$33,3,1)),0)
*2,
0),
IF(AND($E$2="Monthly",ROUND($AN139-TRUNC($AN139),2)=0.33),
ROUND(
ROUND(((TRUNC(($AN139+0.01)*3/13,0)+0.99)*VLOOKUP((TRUNC(($AN139+0.01)*3/13,0)+0.99),'Tax scales - NAT 1004'!$A$25:$C$33,2,1)-VLOOKUP((TRUNC(($AN139+0.01)*3/13,0)+0.99),'Tax scales - NAT 1004'!$A$25:$C$33,3,1)),0)
*13/3,
0),
IF($E$2="Monthly",
ROUND(
ROUND(((TRUNC($AN139*3/13,0)+0.99)*VLOOKUP((TRUNC($AN139*3/13,0)+0.99),'Tax scales - NAT 1004'!$A$25:$C$33,2,1)-VLOOKUP((TRUNC($AN139*3/13,0)+0.99),'Tax scales - NAT 1004'!$A$25:$C$33,3,1)),0)
*13/3,
0),
""))),
""),
"")</f>
        <v/>
      </c>
      <c r="AQ139" s="118" t="str">
        <f>IFERROR(
IF(VLOOKUP($C139,'Employee information'!$B:$M,COLUMNS('Employee information'!$B:$M),0)=3,
IF($E$2="Fortnightly",
ROUND(
ROUND((((TRUNC($AN139/2,0)+0.99))*VLOOKUP((TRUNC($AN139/2,0)+0.99),'Tax scales - NAT 1004'!$A$39:$C$41,2,1)-VLOOKUP((TRUNC($AN139/2,0)+0.99),'Tax scales - NAT 1004'!$A$39:$C$41,3,1)),0)
*2,
0),
IF(AND($E$2="Monthly",ROUND($AN139-TRUNC($AN139),2)=0.33),
ROUND(
ROUND(((TRUNC(($AN139+0.01)*3/13,0)+0.99)*VLOOKUP((TRUNC(($AN139+0.01)*3/13,0)+0.99),'Tax scales - NAT 1004'!$A$39:$C$41,2,1)-VLOOKUP((TRUNC(($AN139+0.01)*3/13,0)+0.99),'Tax scales - NAT 1004'!$A$39:$C$41,3,1)),0)
*13/3,
0),
IF($E$2="Monthly",
ROUND(
ROUND(((TRUNC($AN139*3/13,0)+0.99)*VLOOKUP((TRUNC($AN139*3/13,0)+0.99),'Tax scales - NAT 1004'!$A$39:$C$41,2,1)-VLOOKUP((TRUNC($AN139*3/13,0)+0.99),'Tax scales - NAT 1004'!$A$39:$C$41,3,1)),0)
*13/3,
0),
""))),
""),
"")</f>
        <v/>
      </c>
      <c r="AR139" s="118" t="str">
        <f>IFERROR(
IF(AND(VLOOKUP($C139,'Employee information'!$B:$M,COLUMNS('Employee information'!$B:$M),0)=4,
VLOOKUP($C139,'Employee information'!$B:$J,COLUMNS('Employee information'!$B:$J),0)="Resident"),
TRUNC(TRUNC($AN139)*'Tax scales - NAT 1004'!$B$47),
IF(AND(VLOOKUP($C139,'Employee information'!$B:$M,COLUMNS('Employee information'!$B:$M),0)=4,
VLOOKUP($C139,'Employee information'!$B:$J,COLUMNS('Employee information'!$B:$J),0)="Foreign resident"),
TRUNC(TRUNC($AN139)*'Tax scales - NAT 1004'!$B$48),
"")),
"")</f>
        <v/>
      </c>
      <c r="AS139" s="118" t="str">
        <f>IFERROR(
IF(VLOOKUP($C139,'Employee information'!$B:$M,COLUMNS('Employee information'!$B:$M),0)=5,
IF($E$2="Fortnightly",
ROUND(
ROUND((((TRUNC($AN139/2,0)+0.99))*VLOOKUP((TRUNC($AN139/2,0)+0.99),'Tax scales - NAT 1004'!$A$53:$C$59,2,1)-VLOOKUP((TRUNC($AN139/2,0)+0.99),'Tax scales - NAT 1004'!$A$53:$C$59,3,1)),0)
*2,
0),
IF(AND($E$2="Monthly",ROUND($AN139-TRUNC($AN139),2)=0.33),
ROUND(
ROUND(((TRUNC(($AN139+0.01)*3/13,0)+0.99)*VLOOKUP((TRUNC(($AN139+0.01)*3/13,0)+0.99),'Tax scales - NAT 1004'!$A$53:$C$59,2,1)-VLOOKUP((TRUNC(($AN139+0.01)*3/13,0)+0.99),'Tax scales - NAT 1004'!$A$53:$C$59,3,1)),0)
*13/3,
0),
IF($E$2="Monthly",
ROUND(
ROUND(((TRUNC($AN139*3/13,0)+0.99)*VLOOKUP((TRUNC($AN139*3/13,0)+0.99),'Tax scales - NAT 1004'!$A$53:$C$59,2,1)-VLOOKUP((TRUNC($AN139*3/13,0)+0.99),'Tax scales - NAT 1004'!$A$53:$C$59,3,1)),0)
*13/3,
0),
""))),
""),
"")</f>
        <v/>
      </c>
      <c r="AT139" s="118" t="str">
        <f>IFERROR(
IF(VLOOKUP($C139,'Employee information'!$B:$M,COLUMNS('Employee information'!$B:$M),0)=6,
IF($E$2="Fortnightly",
ROUND(
ROUND((((TRUNC($AN139/2,0)+0.99))*VLOOKUP((TRUNC($AN139/2,0)+0.99),'Tax scales - NAT 1004'!$A$65:$C$73,2,1)-VLOOKUP((TRUNC($AN139/2,0)+0.99),'Tax scales - NAT 1004'!$A$65:$C$73,3,1)),0)
*2,
0),
IF(AND($E$2="Monthly",ROUND($AN139-TRUNC($AN139),2)=0.33),
ROUND(
ROUND(((TRUNC(($AN139+0.01)*3/13,0)+0.99)*VLOOKUP((TRUNC(($AN139+0.01)*3/13,0)+0.99),'Tax scales - NAT 1004'!$A$65:$C$73,2,1)-VLOOKUP((TRUNC(($AN139+0.01)*3/13,0)+0.99),'Tax scales - NAT 1004'!$A$65:$C$73,3,1)),0)
*13/3,
0),
IF($E$2="Monthly",
ROUND(
ROUND(((TRUNC($AN139*3/13,0)+0.99)*VLOOKUP((TRUNC($AN139*3/13,0)+0.99),'Tax scales - NAT 1004'!$A$65:$C$73,2,1)-VLOOKUP((TRUNC($AN139*3/13,0)+0.99),'Tax scales - NAT 1004'!$A$65:$C$73,3,1)),0)
*13/3,
0),
""))),
""),
"")</f>
        <v/>
      </c>
      <c r="AU139" s="118" t="str">
        <f>IFERROR(
IF(VLOOKUP($C139,'Employee information'!$B:$M,COLUMNS('Employee information'!$B:$M),0)=11,
IF($E$2="Fortnightly",
ROUND(
ROUND((((TRUNC($AN139/2,0)+0.99))*VLOOKUP((TRUNC($AN139/2,0)+0.99),'Tax scales - NAT 3539'!$A$14:$C$38,2,1)-VLOOKUP((TRUNC($AN139/2,0)+0.99),'Tax scales - NAT 3539'!$A$14:$C$38,3,1)),0)
*2,
0),
IF(AND($E$2="Monthly",ROUND($AN139-TRUNC($AN139),2)=0.33),
ROUND(
ROUND(((TRUNC(($AN139+0.01)*3/13,0)+0.99)*VLOOKUP((TRUNC(($AN139+0.01)*3/13,0)+0.99),'Tax scales - NAT 3539'!$A$14:$C$38,2,1)-VLOOKUP((TRUNC(($AN139+0.01)*3/13,0)+0.99),'Tax scales - NAT 3539'!$A$14:$C$38,3,1)),0)
*13/3,
0),
IF($E$2="Monthly",
ROUND(
ROUND(((TRUNC($AN139*3/13,0)+0.99)*VLOOKUP((TRUNC($AN139*3/13,0)+0.99),'Tax scales - NAT 3539'!$A$14:$C$38,2,1)-VLOOKUP((TRUNC($AN139*3/13,0)+0.99),'Tax scales - NAT 3539'!$A$14:$C$38,3,1)),0)
*13/3,
0),
""))),
""),
"")</f>
        <v/>
      </c>
      <c r="AV139" s="118" t="str">
        <f>IFERROR(
IF(VLOOKUP($C139,'Employee information'!$B:$M,COLUMNS('Employee information'!$B:$M),0)=22,
IF($E$2="Fortnightly",
ROUND(
ROUND((((TRUNC($AN139/2,0)+0.99))*VLOOKUP((TRUNC($AN139/2,0)+0.99),'Tax scales - NAT 3539'!$A$43:$C$69,2,1)-VLOOKUP((TRUNC($AN139/2,0)+0.99),'Tax scales - NAT 3539'!$A$43:$C$69,3,1)),0)
*2,
0),
IF(AND($E$2="Monthly",ROUND($AN139-TRUNC($AN139),2)=0.33),
ROUND(
ROUND(((TRUNC(($AN139+0.01)*3/13,0)+0.99)*VLOOKUP((TRUNC(($AN139+0.01)*3/13,0)+0.99),'Tax scales - NAT 3539'!$A$43:$C$69,2,1)-VLOOKUP((TRUNC(($AN139+0.01)*3/13,0)+0.99),'Tax scales - NAT 3539'!$A$43:$C$69,3,1)),0)
*13/3,
0),
IF($E$2="Monthly",
ROUND(
ROUND(((TRUNC($AN139*3/13,0)+0.99)*VLOOKUP((TRUNC($AN139*3/13,0)+0.99),'Tax scales - NAT 3539'!$A$43:$C$69,2,1)-VLOOKUP((TRUNC($AN139*3/13,0)+0.99),'Tax scales - NAT 3539'!$A$43:$C$69,3,1)),0)
*13/3,
0),
""))),
""),
"")</f>
        <v/>
      </c>
      <c r="AW139" s="118" t="str">
        <f>IFERROR(
IF(VLOOKUP($C139,'Employee information'!$B:$M,COLUMNS('Employee information'!$B:$M),0)=33,
IF($E$2="Fortnightly",
ROUND(
ROUND((((TRUNC($AN139/2,0)+0.99))*VLOOKUP((TRUNC($AN139/2,0)+0.99),'Tax scales - NAT 3539'!$A$74:$C$94,2,1)-VLOOKUP((TRUNC($AN139/2,0)+0.99),'Tax scales - NAT 3539'!$A$74:$C$94,3,1)),0)
*2,
0),
IF(AND($E$2="Monthly",ROUND($AN139-TRUNC($AN139),2)=0.33),
ROUND(
ROUND(((TRUNC(($AN139+0.01)*3/13,0)+0.99)*VLOOKUP((TRUNC(($AN139+0.01)*3/13,0)+0.99),'Tax scales - NAT 3539'!$A$74:$C$94,2,1)-VLOOKUP((TRUNC(($AN139+0.01)*3/13,0)+0.99),'Tax scales - NAT 3539'!$A$74:$C$94,3,1)),0)
*13/3,
0),
IF($E$2="Monthly",
ROUND(
ROUND(((TRUNC($AN139*3/13,0)+0.99)*VLOOKUP((TRUNC($AN139*3/13,0)+0.99),'Tax scales - NAT 3539'!$A$74:$C$94,2,1)-VLOOKUP((TRUNC($AN139*3/13,0)+0.99),'Tax scales - NAT 3539'!$A$74:$C$94,3,1)),0)
*13/3,
0),
""))),
""),
"")</f>
        <v/>
      </c>
      <c r="AX139" s="118" t="str">
        <f>IFERROR(
IF(VLOOKUP($C139,'Employee information'!$B:$M,COLUMNS('Employee information'!$B:$M),0)=55,
IF($E$2="Fortnightly",
ROUND(
ROUND((((TRUNC($AN139/2,0)+0.99))*VLOOKUP((TRUNC($AN139/2,0)+0.99),'Tax scales - NAT 3539'!$A$99:$C$123,2,1)-VLOOKUP((TRUNC($AN139/2,0)+0.99),'Tax scales - NAT 3539'!$A$99:$C$123,3,1)),0)
*2,
0),
IF(AND($E$2="Monthly",ROUND($AN139-TRUNC($AN139),2)=0.33),
ROUND(
ROUND(((TRUNC(($AN139+0.01)*3/13,0)+0.99)*VLOOKUP((TRUNC(($AN139+0.01)*3/13,0)+0.99),'Tax scales - NAT 3539'!$A$99:$C$123,2,1)-VLOOKUP((TRUNC(($AN139+0.01)*3/13,0)+0.99),'Tax scales - NAT 3539'!$A$99:$C$123,3,1)),0)
*13/3,
0),
IF($E$2="Monthly",
ROUND(
ROUND(((TRUNC($AN139*3/13,0)+0.99)*VLOOKUP((TRUNC($AN139*3/13,0)+0.99),'Tax scales - NAT 3539'!$A$99:$C$123,2,1)-VLOOKUP((TRUNC($AN139*3/13,0)+0.99),'Tax scales - NAT 3539'!$A$99:$C$123,3,1)),0)
*13/3,
0),
""))),
""),
"")</f>
        <v/>
      </c>
      <c r="AY139" s="118" t="str">
        <f>IFERROR(
IF(VLOOKUP($C139,'Employee information'!$B:$M,COLUMNS('Employee information'!$B:$M),0)=66,
IF($E$2="Fortnightly",
ROUND(
ROUND((((TRUNC($AN139/2,0)+0.99))*VLOOKUP((TRUNC($AN139/2,0)+0.99),'Tax scales - NAT 3539'!$A$127:$C$154,2,1)-VLOOKUP((TRUNC($AN139/2,0)+0.99),'Tax scales - NAT 3539'!$A$127:$C$154,3,1)),0)
*2,
0),
IF(AND($E$2="Monthly",ROUND($AN139-TRUNC($AN139),2)=0.33),
ROUND(
ROUND(((TRUNC(($AN139+0.01)*3/13,0)+0.99)*VLOOKUP((TRUNC(($AN139+0.01)*3/13,0)+0.99),'Tax scales - NAT 3539'!$A$127:$C$154,2,1)-VLOOKUP((TRUNC(($AN139+0.01)*3/13,0)+0.99),'Tax scales - NAT 3539'!$A$127:$C$154,3,1)),0)
*13/3,
0),
IF($E$2="Monthly",
ROUND(
ROUND(((TRUNC($AN139*3/13,0)+0.99)*VLOOKUP((TRUNC($AN139*3/13,0)+0.99),'Tax scales - NAT 3539'!$A$127:$C$154,2,1)-VLOOKUP((TRUNC($AN139*3/13,0)+0.99),'Tax scales - NAT 3539'!$A$127:$C$154,3,1)),0)
*13/3,
0),
""))),
""),
"")</f>
        <v/>
      </c>
      <c r="AZ139" s="118">
        <f>IFERROR(
HLOOKUP(VLOOKUP($C139,'Employee information'!$B:$M,COLUMNS('Employee information'!$B:$M),0),'PAYG worksheet'!$AO$126:$AY$145,COUNTA($C$127:$C139)+1,0),
0)</f>
        <v>0</v>
      </c>
      <c r="BA139" s="118"/>
      <c r="BB139" s="118">
        <f t="shared" si="139"/>
        <v>0</v>
      </c>
      <c r="BC139" s="119">
        <f>IFERROR(
IF(OR($AE139=1,$AE139=""),SUM($P139,$AA139,$AC139,$AK139)*VLOOKUP($C139,'Employee information'!$B:$Q,COLUMNS('Employee information'!$B:$H),0),
IF($AE139=0,SUM($P139,$AA139,$AK139)*VLOOKUP($C139,'Employee information'!$B:$Q,COLUMNS('Employee information'!$B:$H),0),
0)),
0)</f>
        <v>0</v>
      </c>
      <c r="BE139" s="114">
        <f t="shared" si="124"/>
        <v>0</v>
      </c>
      <c r="BF139" s="114">
        <f t="shared" si="125"/>
        <v>0</v>
      </c>
      <c r="BG139" s="114">
        <f t="shared" si="126"/>
        <v>0</v>
      </c>
      <c r="BH139" s="114">
        <f t="shared" si="127"/>
        <v>0</v>
      </c>
      <c r="BI139" s="114">
        <f t="shared" si="128"/>
        <v>0</v>
      </c>
      <c r="BJ139" s="114">
        <f t="shared" si="129"/>
        <v>0</v>
      </c>
      <c r="BK139" s="114">
        <f t="shared" si="130"/>
        <v>0</v>
      </c>
      <c r="BL139" s="114">
        <f t="shared" si="140"/>
        <v>0</v>
      </c>
      <c r="BM139" s="114">
        <f t="shared" si="131"/>
        <v>0</v>
      </c>
    </row>
    <row r="140" spans="1:65" x14ac:dyDescent="0.25">
      <c r="A140" s="228">
        <f t="shared" si="119"/>
        <v>5</v>
      </c>
      <c r="C140" s="278"/>
      <c r="E140" s="103">
        <f>IF($C140="",0,
IF(AND($E$2="Monthly",$A140&gt;12),0,
IF($E$2="Monthly",VLOOKUP($C140,'Employee information'!$B:$AM,COLUMNS('Employee information'!$B:S),0),
IF($E$2="Fortnightly",VLOOKUP($C140,'Employee information'!$B:$AM,COLUMNS('Employee information'!$B:R),0),
0))))</f>
        <v>0</v>
      </c>
      <c r="F140" s="106"/>
      <c r="G140" s="106"/>
      <c r="H140" s="106"/>
      <c r="I140" s="106"/>
      <c r="J140" s="103">
        <f t="shared" si="132"/>
        <v>0</v>
      </c>
      <c r="L140" s="113">
        <f>IF(AND($E$2="Monthly",$A140&gt;12),"",
IFERROR($J140*VLOOKUP($C140,'Employee information'!$B:$AI,COLUMNS('Employee information'!$B:$P),0),0))</f>
        <v>0</v>
      </c>
      <c r="M140" s="114">
        <f t="shared" si="133"/>
        <v>0</v>
      </c>
      <c r="O140" s="103">
        <f t="shared" si="134"/>
        <v>0</v>
      </c>
      <c r="P140" s="113">
        <f>IFERROR(
IF(AND($E$2="Monthly",$A140&gt;12),0,
$O140*VLOOKUP($C140,'Employee information'!$B:$AI,COLUMNS('Employee information'!$B:$P),0)),
0)</f>
        <v>0</v>
      </c>
      <c r="R140" s="114">
        <f t="shared" si="120"/>
        <v>0</v>
      </c>
      <c r="T140" s="103"/>
      <c r="U140" s="103"/>
      <c r="V140" s="282" t="str">
        <f>IF($C140="","",
IF(AND($E$2="Monthly",$A140&gt;12),"",
$T140*VLOOKUP($C140,'Employee information'!$B:$P,COLUMNS('Employee information'!$B:$P),0)))</f>
        <v/>
      </c>
      <c r="W140" s="282" t="str">
        <f>IF($C140="","",
IF(AND($E$2="Monthly",$A140&gt;12),"",
$U140*VLOOKUP($C140,'Employee information'!$B:$P,COLUMNS('Employee information'!$B:$P),0)))</f>
        <v/>
      </c>
      <c r="X140" s="114">
        <f t="shared" si="121"/>
        <v>0</v>
      </c>
      <c r="Y140" s="114">
        <f t="shared" si="122"/>
        <v>0</v>
      </c>
      <c r="AA140" s="118">
        <f>IFERROR(
IF(OR('Basic payroll data'!$D$12="",'Basic payroll data'!$D$12="No"),0,
$T140*VLOOKUP($C140,'Employee information'!$B:$P,COLUMNS('Employee information'!$B:$P),0)*AL_loading_perc),
0)</f>
        <v>0</v>
      </c>
      <c r="AC140" s="118"/>
      <c r="AD140" s="118"/>
      <c r="AE140" s="283" t="str">
        <f t="shared" si="135"/>
        <v/>
      </c>
      <c r="AF140" s="283" t="str">
        <f t="shared" si="136"/>
        <v/>
      </c>
      <c r="AG140" s="118"/>
      <c r="AH140" s="118"/>
      <c r="AI140" s="283" t="str">
        <f t="shared" si="137"/>
        <v/>
      </c>
      <c r="AJ140" s="118"/>
      <c r="AK140" s="118"/>
      <c r="AM140" s="118">
        <f t="shared" si="138"/>
        <v>0</v>
      </c>
      <c r="AN140" s="118">
        <f t="shared" si="123"/>
        <v>0</v>
      </c>
      <c r="AO140" s="118" t="str">
        <f>IFERROR(
IF(VLOOKUP($C140,'Employee information'!$B:$M,COLUMNS('Employee information'!$B:$M),0)=1,
IF($E$2="Fortnightly",
ROUND(
ROUND((((TRUNC($AN140/2,0)+0.99))*VLOOKUP((TRUNC($AN140/2,0)+0.99),'Tax scales - NAT 1004'!$A$12:$C$18,2,1)-VLOOKUP((TRUNC($AN140/2,0)+0.99),'Tax scales - NAT 1004'!$A$12:$C$18,3,1)),0)
*2,
0),
IF(AND($E$2="Monthly",ROUND($AN140-TRUNC($AN140),2)=0.33),
ROUND(
ROUND(((TRUNC(($AN140+0.01)*3/13,0)+0.99)*VLOOKUP((TRUNC(($AN140+0.01)*3/13,0)+0.99),'Tax scales - NAT 1004'!$A$12:$C$18,2,1)-VLOOKUP((TRUNC(($AN140+0.01)*3/13,0)+0.99),'Tax scales - NAT 1004'!$A$12:$C$18,3,1)),0)
*13/3,
0),
IF($E$2="Monthly",
ROUND(
ROUND(((TRUNC($AN140*3/13,0)+0.99)*VLOOKUP((TRUNC($AN140*3/13,0)+0.99),'Tax scales - NAT 1004'!$A$12:$C$18,2,1)-VLOOKUP((TRUNC($AN140*3/13,0)+0.99),'Tax scales - NAT 1004'!$A$12:$C$18,3,1)),0)
*13/3,
0),
""))),
""),
"")</f>
        <v/>
      </c>
      <c r="AP140" s="118" t="str">
        <f>IFERROR(
IF(VLOOKUP($C140,'Employee information'!$B:$M,COLUMNS('Employee information'!$B:$M),0)=2,
IF($E$2="Fortnightly",
ROUND(
ROUND((((TRUNC($AN140/2,0)+0.99))*VLOOKUP((TRUNC($AN140/2,0)+0.99),'Tax scales - NAT 1004'!$A$25:$C$33,2,1)-VLOOKUP((TRUNC($AN140/2,0)+0.99),'Tax scales - NAT 1004'!$A$25:$C$33,3,1)),0)
*2,
0),
IF(AND($E$2="Monthly",ROUND($AN140-TRUNC($AN140),2)=0.33),
ROUND(
ROUND(((TRUNC(($AN140+0.01)*3/13,0)+0.99)*VLOOKUP((TRUNC(($AN140+0.01)*3/13,0)+0.99),'Tax scales - NAT 1004'!$A$25:$C$33,2,1)-VLOOKUP((TRUNC(($AN140+0.01)*3/13,0)+0.99),'Tax scales - NAT 1004'!$A$25:$C$33,3,1)),0)
*13/3,
0),
IF($E$2="Monthly",
ROUND(
ROUND(((TRUNC($AN140*3/13,0)+0.99)*VLOOKUP((TRUNC($AN140*3/13,0)+0.99),'Tax scales - NAT 1004'!$A$25:$C$33,2,1)-VLOOKUP((TRUNC($AN140*3/13,0)+0.99),'Tax scales - NAT 1004'!$A$25:$C$33,3,1)),0)
*13/3,
0),
""))),
""),
"")</f>
        <v/>
      </c>
      <c r="AQ140" s="118" t="str">
        <f>IFERROR(
IF(VLOOKUP($C140,'Employee information'!$B:$M,COLUMNS('Employee information'!$B:$M),0)=3,
IF($E$2="Fortnightly",
ROUND(
ROUND((((TRUNC($AN140/2,0)+0.99))*VLOOKUP((TRUNC($AN140/2,0)+0.99),'Tax scales - NAT 1004'!$A$39:$C$41,2,1)-VLOOKUP((TRUNC($AN140/2,0)+0.99),'Tax scales - NAT 1004'!$A$39:$C$41,3,1)),0)
*2,
0),
IF(AND($E$2="Monthly",ROUND($AN140-TRUNC($AN140),2)=0.33),
ROUND(
ROUND(((TRUNC(($AN140+0.01)*3/13,0)+0.99)*VLOOKUP((TRUNC(($AN140+0.01)*3/13,0)+0.99),'Tax scales - NAT 1004'!$A$39:$C$41,2,1)-VLOOKUP((TRUNC(($AN140+0.01)*3/13,0)+0.99),'Tax scales - NAT 1004'!$A$39:$C$41,3,1)),0)
*13/3,
0),
IF($E$2="Monthly",
ROUND(
ROUND(((TRUNC($AN140*3/13,0)+0.99)*VLOOKUP((TRUNC($AN140*3/13,0)+0.99),'Tax scales - NAT 1004'!$A$39:$C$41,2,1)-VLOOKUP((TRUNC($AN140*3/13,0)+0.99),'Tax scales - NAT 1004'!$A$39:$C$41,3,1)),0)
*13/3,
0),
""))),
""),
"")</f>
        <v/>
      </c>
      <c r="AR140" s="118" t="str">
        <f>IFERROR(
IF(AND(VLOOKUP($C140,'Employee information'!$B:$M,COLUMNS('Employee information'!$B:$M),0)=4,
VLOOKUP($C140,'Employee information'!$B:$J,COLUMNS('Employee information'!$B:$J),0)="Resident"),
TRUNC(TRUNC($AN140)*'Tax scales - NAT 1004'!$B$47),
IF(AND(VLOOKUP($C140,'Employee information'!$B:$M,COLUMNS('Employee information'!$B:$M),0)=4,
VLOOKUP($C140,'Employee information'!$B:$J,COLUMNS('Employee information'!$B:$J),0)="Foreign resident"),
TRUNC(TRUNC($AN140)*'Tax scales - NAT 1004'!$B$48),
"")),
"")</f>
        <v/>
      </c>
      <c r="AS140" s="118" t="str">
        <f>IFERROR(
IF(VLOOKUP($C140,'Employee information'!$B:$M,COLUMNS('Employee information'!$B:$M),0)=5,
IF($E$2="Fortnightly",
ROUND(
ROUND((((TRUNC($AN140/2,0)+0.99))*VLOOKUP((TRUNC($AN140/2,0)+0.99),'Tax scales - NAT 1004'!$A$53:$C$59,2,1)-VLOOKUP((TRUNC($AN140/2,0)+0.99),'Tax scales - NAT 1004'!$A$53:$C$59,3,1)),0)
*2,
0),
IF(AND($E$2="Monthly",ROUND($AN140-TRUNC($AN140),2)=0.33),
ROUND(
ROUND(((TRUNC(($AN140+0.01)*3/13,0)+0.99)*VLOOKUP((TRUNC(($AN140+0.01)*3/13,0)+0.99),'Tax scales - NAT 1004'!$A$53:$C$59,2,1)-VLOOKUP((TRUNC(($AN140+0.01)*3/13,0)+0.99),'Tax scales - NAT 1004'!$A$53:$C$59,3,1)),0)
*13/3,
0),
IF($E$2="Monthly",
ROUND(
ROUND(((TRUNC($AN140*3/13,0)+0.99)*VLOOKUP((TRUNC($AN140*3/13,0)+0.99),'Tax scales - NAT 1004'!$A$53:$C$59,2,1)-VLOOKUP((TRUNC($AN140*3/13,0)+0.99),'Tax scales - NAT 1004'!$A$53:$C$59,3,1)),0)
*13/3,
0),
""))),
""),
"")</f>
        <v/>
      </c>
      <c r="AT140" s="118" t="str">
        <f>IFERROR(
IF(VLOOKUP($C140,'Employee information'!$B:$M,COLUMNS('Employee information'!$B:$M),0)=6,
IF($E$2="Fortnightly",
ROUND(
ROUND((((TRUNC($AN140/2,0)+0.99))*VLOOKUP((TRUNC($AN140/2,0)+0.99),'Tax scales - NAT 1004'!$A$65:$C$73,2,1)-VLOOKUP((TRUNC($AN140/2,0)+0.99),'Tax scales - NAT 1004'!$A$65:$C$73,3,1)),0)
*2,
0),
IF(AND($E$2="Monthly",ROUND($AN140-TRUNC($AN140),2)=0.33),
ROUND(
ROUND(((TRUNC(($AN140+0.01)*3/13,0)+0.99)*VLOOKUP((TRUNC(($AN140+0.01)*3/13,0)+0.99),'Tax scales - NAT 1004'!$A$65:$C$73,2,1)-VLOOKUP((TRUNC(($AN140+0.01)*3/13,0)+0.99),'Tax scales - NAT 1004'!$A$65:$C$73,3,1)),0)
*13/3,
0),
IF($E$2="Monthly",
ROUND(
ROUND(((TRUNC($AN140*3/13,0)+0.99)*VLOOKUP((TRUNC($AN140*3/13,0)+0.99),'Tax scales - NAT 1004'!$A$65:$C$73,2,1)-VLOOKUP((TRUNC($AN140*3/13,0)+0.99),'Tax scales - NAT 1004'!$A$65:$C$73,3,1)),0)
*13/3,
0),
""))),
""),
"")</f>
        <v/>
      </c>
      <c r="AU140" s="118" t="str">
        <f>IFERROR(
IF(VLOOKUP($C140,'Employee information'!$B:$M,COLUMNS('Employee information'!$B:$M),0)=11,
IF($E$2="Fortnightly",
ROUND(
ROUND((((TRUNC($AN140/2,0)+0.99))*VLOOKUP((TRUNC($AN140/2,0)+0.99),'Tax scales - NAT 3539'!$A$14:$C$38,2,1)-VLOOKUP((TRUNC($AN140/2,0)+0.99),'Tax scales - NAT 3539'!$A$14:$C$38,3,1)),0)
*2,
0),
IF(AND($E$2="Monthly",ROUND($AN140-TRUNC($AN140),2)=0.33),
ROUND(
ROUND(((TRUNC(($AN140+0.01)*3/13,0)+0.99)*VLOOKUP((TRUNC(($AN140+0.01)*3/13,0)+0.99),'Tax scales - NAT 3539'!$A$14:$C$38,2,1)-VLOOKUP((TRUNC(($AN140+0.01)*3/13,0)+0.99),'Tax scales - NAT 3539'!$A$14:$C$38,3,1)),0)
*13/3,
0),
IF($E$2="Monthly",
ROUND(
ROUND(((TRUNC($AN140*3/13,0)+0.99)*VLOOKUP((TRUNC($AN140*3/13,0)+0.99),'Tax scales - NAT 3539'!$A$14:$C$38,2,1)-VLOOKUP((TRUNC($AN140*3/13,0)+0.99),'Tax scales - NAT 3539'!$A$14:$C$38,3,1)),0)
*13/3,
0),
""))),
""),
"")</f>
        <v/>
      </c>
      <c r="AV140" s="118" t="str">
        <f>IFERROR(
IF(VLOOKUP($C140,'Employee information'!$B:$M,COLUMNS('Employee information'!$B:$M),0)=22,
IF($E$2="Fortnightly",
ROUND(
ROUND((((TRUNC($AN140/2,0)+0.99))*VLOOKUP((TRUNC($AN140/2,0)+0.99),'Tax scales - NAT 3539'!$A$43:$C$69,2,1)-VLOOKUP((TRUNC($AN140/2,0)+0.99),'Tax scales - NAT 3539'!$A$43:$C$69,3,1)),0)
*2,
0),
IF(AND($E$2="Monthly",ROUND($AN140-TRUNC($AN140),2)=0.33),
ROUND(
ROUND(((TRUNC(($AN140+0.01)*3/13,0)+0.99)*VLOOKUP((TRUNC(($AN140+0.01)*3/13,0)+0.99),'Tax scales - NAT 3539'!$A$43:$C$69,2,1)-VLOOKUP((TRUNC(($AN140+0.01)*3/13,0)+0.99),'Tax scales - NAT 3539'!$A$43:$C$69,3,1)),0)
*13/3,
0),
IF($E$2="Monthly",
ROUND(
ROUND(((TRUNC($AN140*3/13,0)+0.99)*VLOOKUP((TRUNC($AN140*3/13,0)+0.99),'Tax scales - NAT 3539'!$A$43:$C$69,2,1)-VLOOKUP((TRUNC($AN140*3/13,0)+0.99),'Tax scales - NAT 3539'!$A$43:$C$69,3,1)),0)
*13/3,
0),
""))),
""),
"")</f>
        <v/>
      </c>
      <c r="AW140" s="118" t="str">
        <f>IFERROR(
IF(VLOOKUP($C140,'Employee information'!$B:$M,COLUMNS('Employee information'!$B:$M),0)=33,
IF($E$2="Fortnightly",
ROUND(
ROUND((((TRUNC($AN140/2,0)+0.99))*VLOOKUP((TRUNC($AN140/2,0)+0.99),'Tax scales - NAT 3539'!$A$74:$C$94,2,1)-VLOOKUP((TRUNC($AN140/2,0)+0.99),'Tax scales - NAT 3539'!$A$74:$C$94,3,1)),0)
*2,
0),
IF(AND($E$2="Monthly",ROUND($AN140-TRUNC($AN140),2)=0.33),
ROUND(
ROUND(((TRUNC(($AN140+0.01)*3/13,0)+0.99)*VLOOKUP((TRUNC(($AN140+0.01)*3/13,0)+0.99),'Tax scales - NAT 3539'!$A$74:$C$94,2,1)-VLOOKUP((TRUNC(($AN140+0.01)*3/13,0)+0.99),'Tax scales - NAT 3539'!$A$74:$C$94,3,1)),0)
*13/3,
0),
IF($E$2="Monthly",
ROUND(
ROUND(((TRUNC($AN140*3/13,0)+0.99)*VLOOKUP((TRUNC($AN140*3/13,0)+0.99),'Tax scales - NAT 3539'!$A$74:$C$94,2,1)-VLOOKUP((TRUNC($AN140*3/13,0)+0.99),'Tax scales - NAT 3539'!$A$74:$C$94,3,1)),0)
*13/3,
0),
""))),
""),
"")</f>
        <v/>
      </c>
      <c r="AX140" s="118" t="str">
        <f>IFERROR(
IF(VLOOKUP($C140,'Employee information'!$B:$M,COLUMNS('Employee information'!$B:$M),0)=55,
IF($E$2="Fortnightly",
ROUND(
ROUND((((TRUNC($AN140/2,0)+0.99))*VLOOKUP((TRUNC($AN140/2,0)+0.99),'Tax scales - NAT 3539'!$A$99:$C$123,2,1)-VLOOKUP((TRUNC($AN140/2,0)+0.99),'Tax scales - NAT 3539'!$A$99:$C$123,3,1)),0)
*2,
0),
IF(AND($E$2="Monthly",ROUND($AN140-TRUNC($AN140),2)=0.33),
ROUND(
ROUND(((TRUNC(($AN140+0.01)*3/13,0)+0.99)*VLOOKUP((TRUNC(($AN140+0.01)*3/13,0)+0.99),'Tax scales - NAT 3539'!$A$99:$C$123,2,1)-VLOOKUP((TRUNC(($AN140+0.01)*3/13,0)+0.99),'Tax scales - NAT 3539'!$A$99:$C$123,3,1)),0)
*13/3,
0),
IF($E$2="Monthly",
ROUND(
ROUND(((TRUNC($AN140*3/13,0)+0.99)*VLOOKUP((TRUNC($AN140*3/13,0)+0.99),'Tax scales - NAT 3539'!$A$99:$C$123,2,1)-VLOOKUP((TRUNC($AN140*3/13,0)+0.99),'Tax scales - NAT 3539'!$A$99:$C$123,3,1)),0)
*13/3,
0),
""))),
""),
"")</f>
        <v/>
      </c>
      <c r="AY140" s="118" t="str">
        <f>IFERROR(
IF(VLOOKUP($C140,'Employee information'!$B:$M,COLUMNS('Employee information'!$B:$M),0)=66,
IF($E$2="Fortnightly",
ROUND(
ROUND((((TRUNC($AN140/2,0)+0.99))*VLOOKUP((TRUNC($AN140/2,0)+0.99),'Tax scales - NAT 3539'!$A$127:$C$154,2,1)-VLOOKUP((TRUNC($AN140/2,0)+0.99),'Tax scales - NAT 3539'!$A$127:$C$154,3,1)),0)
*2,
0),
IF(AND($E$2="Monthly",ROUND($AN140-TRUNC($AN140),2)=0.33),
ROUND(
ROUND(((TRUNC(($AN140+0.01)*3/13,0)+0.99)*VLOOKUP((TRUNC(($AN140+0.01)*3/13,0)+0.99),'Tax scales - NAT 3539'!$A$127:$C$154,2,1)-VLOOKUP((TRUNC(($AN140+0.01)*3/13,0)+0.99),'Tax scales - NAT 3539'!$A$127:$C$154,3,1)),0)
*13/3,
0),
IF($E$2="Monthly",
ROUND(
ROUND(((TRUNC($AN140*3/13,0)+0.99)*VLOOKUP((TRUNC($AN140*3/13,0)+0.99),'Tax scales - NAT 3539'!$A$127:$C$154,2,1)-VLOOKUP((TRUNC($AN140*3/13,0)+0.99),'Tax scales - NAT 3539'!$A$127:$C$154,3,1)),0)
*13/3,
0),
""))),
""),
"")</f>
        <v/>
      </c>
      <c r="AZ140" s="118">
        <f>IFERROR(
HLOOKUP(VLOOKUP($C140,'Employee information'!$B:$M,COLUMNS('Employee information'!$B:$M),0),'PAYG worksheet'!$AO$126:$AY$145,COUNTA($C$127:$C140)+1,0),
0)</f>
        <v>0</v>
      </c>
      <c r="BA140" s="118"/>
      <c r="BB140" s="118">
        <f t="shared" si="139"/>
        <v>0</v>
      </c>
      <c r="BC140" s="119">
        <f>IFERROR(
IF(OR($AE140=1,$AE140=""),SUM($P140,$AA140,$AC140,$AK140)*VLOOKUP($C140,'Employee information'!$B:$Q,COLUMNS('Employee information'!$B:$H),0),
IF($AE140=0,SUM($P140,$AA140,$AK140)*VLOOKUP($C140,'Employee information'!$B:$Q,COLUMNS('Employee information'!$B:$H),0),
0)),
0)</f>
        <v>0</v>
      </c>
      <c r="BE140" s="114">
        <f t="shared" si="124"/>
        <v>0</v>
      </c>
      <c r="BF140" s="114">
        <f t="shared" si="125"/>
        <v>0</v>
      </c>
      <c r="BG140" s="114">
        <f t="shared" si="126"/>
        <v>0</v>
      </c>
      <c r="BH140" s="114">
        <f t="shared" si="127"/>
        <v>0</v>
      </c>
      <c r="BI140" s="114">
        <f t="shared" si="128"/>
        <v>0</v>
      </c>
      <c r="BJ140" s="114">
        <f t="shared" si="129"/>
        <v>0</v>
      </c>
      <c r="BK140" s="114">
        <f t="shared" si="130"/>
        <v>0</v>
      </c>
      <c r="BL140" s="114">
        <f t="shared" si="140"/>
        <v>0</v>
      </c>
      <c r="BM140" s="114">
        <f t="shared" si="131"/>
        <v>0</v>
      </c>
    </row>
    <row r="141" spans="1:65" x14ac:dyDescent="0.25">
      <c r="A141" s="228">
        <f t="shared" si="119"/>
        <v>5</v>
      </c>
      <c r="C141" s="278"/>
      <c r="E141" s="103">
        <f>IF($C141="",0,
IF(AND($E$2="Monthly",$A141&gt;12),0,
IF($E$2="Monthly",VLOOKUP($C141,'Employee information'!$B:$AM,COLUMNS('Employee information'!$B:S),0),
IF($E$2="Fortnightly",VLOOKUP($C141,'Employee information'!$B:$AM,COLUMNS('Employee information'!$B:R),0),
0))))</f>
        <v>0</v>
      </c>
      <c r="F141" s="106"/>
      <c r="G141" s="106"/>
      <c r="H141" s="106"/>
      <c r="I141" s="106"/>
      <c r="J141" s="103">
        <f t="shared" si="132"/>
        <v>0</v>
      </c>
      <c r="L141" s="113">
        <f>IF(AND($E$2="Monthly",$A141&gt;12),"",
IFERROR($J141*VLOOKUP($C141,'Employee information'!$B:$AI,COLUMNS('Employee information'!$B:$P),0),0))</f>
        <v>0</v>
      </c>
      <c r="M141" s="114">
        <f t="shared" si="133"/>
        <v>0</v>
      </c>
      <c r="O141" s="103">
        <f t="shared" si="134"/>
        <v>0</v>
      </c>
      <c r="P141" s="113">
        <f>IFERROR(
IF(AND($E$2="Monthly",$A141&gt;12),0,
$O141*VLOOKUP($C141,'Employee information'!$B:$AI,COLUMNS('Employee information'!$B:$P),0)),
0)</f>
        <v>0</v>
      </c>
      <c r="R141" s="114">
        <f t="shared" si="120"/>
        <v>0</v>
      </c>
      <c r="T141" s="103"/>
      <c r="U141" s="103"/>
      <c r="V141" s="282" t="str">
        <f>IF($C141="","",
IF(AND($E$2="Monthly",$A141&gt;12),"",
$T141*VLOOKUP($C141,'Employee information'!$B:$P,COLUMNS('Employee information'!$B:$P),0)))</f>
        <v/>
      </c>
      <c r="W141" s="282" t="str">
        <f>IF($C141="","",
IF(AND($E$2="Monthly",$A141&gt;12),"",
$U141*VLOOKUP($C141,'Employee information'!$B:$P,COLUMNS('Employee information'!$B:$P),0)))</f>
        <v/>
      </c>
      <c r="X141" s="114">
        <f t="shared" si="121"/>
        <v>0</v>
      </c>
      <c r="Y141" s="114">
        <f t="shared" si="122"/>
        <v>0</v>
      </c>
      <c r="AA141" s="118">
        <f>IFERROR(
IF(OR('Basic payroll data'!$D$12="",'Basic payroll data'!$D$12="No"),0,
$T141*VLOOKUP($C141,'Employee information'!$B:$P,COLUMNS('Employee information'!$B:$P),0)*AL_loading_perc),
0)</f>
        <v>0</v>
      </c>
      <c r="AC141" s="118"/>
      <c r="AD141" s="118"/>
      <c r="AE141" s="283" t="str">
        <f t="shared" si="135"/>
        <v/>
      </c>
      <c r="AF141" s="283" t="str">
        <f t="shared" si="136"/>
        <v/>
      </c>
      <c r="AG141" s="118"/>
      <c r="AH141" s="118"/>
      <c r="AI141" s="283" t="str">
        <f t="shared" si="137"/>
        <v/>
      </c>
      <c r="AJ141" s="118"/>
      <c r="AK141" s="118"/>
      <c r="AM141" s="118">
        <f t="shared" si="138"/>
        <v>0</v>
      </c>
      <c r="AN141" s="118">
        <f t="shared" si="123"/>
        <v>0</v>
      </c>
      <c r="AO141" s="118" t="str">
        <f>IFERROR(
IF(VLOOKUP($C141,'Employee information'!$B:$M,COLUMNS('Employee information'!$B:$M),0)=1,
IF($E$2="Fortnightly",
ROUND(
ROUND((((TRUNC($AN141/2,0)+0.99))*VLOOKUP((TRUNC($AN141/2,0)+0.99),'Tax scales - NAT 1004'!$A$12:$C$18,2,1)-VLOOKUP((TRUNC($AN141/2,0)+0.99),'Tax scales - NAT 1004'!$A$12:$C$18,3,1)),0)
*2,
0),
IF(AND($E$2="Monthly",ROUND($AN141-TRUNC($AN141),2)=0.33),
ROUND(
ROUND(((TRUNC(($AN141+0.01)*3/13,0)+0.99)*VLOOKUP((TRUNC(($AN141+0.01)*3/13,0)+0.99),'Tax scales - NAT 1004'!$A$12:$C$18,2,1)-VLOOKUP((TRUNC(($AN141+0.01)*3/13,0)+0.99),'Tax scales - NAT 1004'!$A$12:$C$18,3,1)),0)
*13/3,
0),
IF($E$2="Monthly",
ROUND(
ROUND(((TRUNC($AN141*3/13,0)+0.99)*VLOOKUP((TRUNC($AN141*3/13,0)+0.99),'Tax scales - NAT 1004'!$A$12:$C$18,2,1)-VLOOKUP((TRUNC($AN141*3/13,0)+0.99),'Tax scales - NAT 1004'!$A$12:$C$18,3,1)),0)
*13/3,
0),
""))),
""),
"")</f>
        <v/>
      </c>
      <c r="AP141" s="118" t="str">
        <f>IFERROR(
IF(VLOOKUP($C141,'Employee information'!$B:$M,COLUMNS('Employee information'!$B:$M),0)=2,
IF($E$2="Fortnightly",
ROUND(
ROUND((((TRUNC($AN141/2,0)+0.99))*VLOOKUP((TRUNC($AN141/2,0)+0.99),'Tax scales - NAT 1004'!$A$25:$C$33,2,1)-VLOOKUP((TRUNC($AN141/2,0)+0.99),'Tax scales - NAT 1004'!$A$25:$C$33,3,1)),0)
*2,
0),
IF(AND($E$2="Monthly",ROUND($AN141-TRUNC($AN141),2)=0.33),
ROUND(
ROUND(((TRUNC(($AN141+0.01)*3/13,0)+0.99)*VLOOKUP((TRUNC(($AN141+0.01)*3/13,0)+0.99),'Tax scales - NAT 1004'!$A$25:$C$33,2,1)-VLOOKUP((TRUNC(($AN141+0.01)*3/13,0)+0.99),'Tax scales - NAT 1004'!$A$25:$C$33,3,1)),0)
*13/3,
0),
IF($E$2="Monthly",
ROUND(
ROUND(((TRUNC($AN141*3/13,0)+0.99)*VLOOKUP((TRUNC($AN141*3/13,0)+0.99),'Tax scales - NAT 1004'!$A$25:$C$33,2,1)-VLOOKUP((TRUNC($AN141*3/13,0)+0.99),'Tax scales - NAT 1004'!$A$25:$C$33,3,1)),0)
*13/3,
0),
""))),
""),
"")</f>
        <v/>
      </c>
      <c r="AQ141" s="118" t="str">
        <f>IFERROR(
IF(VLOOKUP($C141,'Employee information'!$B:$M,COLUMNS('Employee information'!$B:$M),0)=3,
IF($E$2="Fortnightly",
ROUND(
ROUND((((TRUNC($AN141/2,0)+0.99))*VLOOKUP((TRUNC($AN141/2,0)+0.99),'Tax scales - NAT 1004'!$A$39:$C$41,2,1)-VLOOKUP((TRUNC($AN141/2,0)+0.99),'Tax scales - NAT 1004'!$A$39:$C$41,3,1)),0)
*2,
0),
IF(AND($E$2="Monthly",ROUND($AN141-TRUNC($AN141),2)=0.33),
ROUND(
ROUND(((TRUNC(($AN141+0.01)*3/13,0)+0.99)*VLOOKUP((TRUNC(($AN141+0.01)*3/13,0)+0.99),'Tax scales - NAT 1004'!$A$39:$C$41,2,1)-VLOOKUP((TRUNC(($AN141+0.01)*3/13,0)+0.99),'Tax scales - NAT 1004'!$A$39:$C$41,3,1)),0)
*13/3,
0),
IF($E$2="Monthly",
ROUND(
ROUND(((TRUNC($AN141*3/13,0)+0.99)*VLOOKUP((TRUNC($AN141*3/13,0)+0.99),'Tax scales - NAT 1004'!$A$39:$C$41,2,1)-VLOOKUP((TRUNC($AN141*3/13,0)+0.99),'Tax scales - NAT 1004'!$A$39:$C$41,3,1)),0)
*13/3,
0),
""))),
""),
"")</f>
        <v/>
      </c>
      <c r="AR141" s="118" t="str">
        <f>IFERROR(
IF(AND(VLOOKUP($C141,'Employee information'!$B:$M,COLUMNS('Employee information'!$B:$M),0)=4,
VLOOKUP($C141,'Employee information'!$B:$J,COLUMNS('Employee information'!$B:$J),0)="Resident"),
TRUNC(TRUNC($AN141)*'Tax scales - NAT 1004'!$B$47),
IF(AND(VLOOKUP($C141,'Employee information'!$B:$M,COLUMNS('Employee information'!$B:$M),0)=4,
VLOOKUP($C141,'Employee information'!$B:$J,COLUMNS('Employee information'!$B:$J),0)="Foreign resident"),
TRUNC(TRUNC($AN141)*'Tax scales - NAT 1004'!$B$48),
"")),
"")</f>
        <v/>
      </c>
      <c r="AS141" s="118" t="str">
        <f>IFERROR(
IF(VLOOKUP($C141,'Employee information'!$B:$M,COLUMNS('Employee information'!$B:$M),0)=5,
IF($E$2="Fortnightly",
ROUND(
ROUND((((TRUNC($AN141/2,0)+0.99))*VLOOKUP((TRUNC($AN141/2,0)+0.99),'Tax scales - NAT 1004'!$A$53:$C$59,2,1)-VLOOKUP((TRUNC($AN141/2,0)+0.99),'Tax scales - NAT 1004'!$A$53:$C$59,3,1)),0)
*2,
0),
IF(AND($E$2="Monthly",ROUND($AN141-TRUNC($AN141),2)=0.33),
ROUND(
ROUND(((TRUNC(($AN141+0.01)*3/13,0)+0.99)*VLOOKUP((TRUNC(($AN141+0.01)*3/13,0)+0.99),'Tax scales - NAT 1004'!$A$53:$C$59,2,1)-VLOOKUP((TRUNC(($AN141+0.01)*3/13,0)+0.99),'Tax scales - NAT 1004'!$A$53:$C$59,3,1)),0)
*13/3,
0),
IF($E$2="Monthly",
ROUND(
ROUND(((TRUNC($AN141*3/13,0)+0.99)*VLOOKUP((TRUNC($AN141*3/13,0)+0.99),'Tax scales - NAT 1004'!$A$53:$C$59,2,1)-VLOOKUP((TRUNC($AN141*3/13,0)+0.99),'Tax scales - NAT 1004'!$A$53:$C$59,3,1)),0)
*13/3,
0),
""))),
""),
"")</f>
        <v/>
      </c>
      <c r="AT141" s="118" t="str">
        <f>IFERROR(
IF(VLOOKUP($C141,'Employee information'!$B:$M,COLUMNS('Employee information'!$B:$M),0)=6,
IF($E$2="Fortnightly",
ROUND(
ROUND((((TRUNC($AN141/2,0)+0.99))*VLOOKUP((TRUNC($AN141/2,0)+0.99),'Tax scales - NAT 1004'!$A$65:$C$73,2,1)-VLOOKUP((TRUNC($AN141/2,0)+0.99),'Tax scales - NAT 1004'!$A$65:$C$73,3,1)),0)
*2,
0),
IF(AND($E$2="Monthly",ROUND($AN141-TRUNC($AN141),2)=0.33),
ROUND(
ROUND(((TRUNC(($AN141+0.01)*3/13,0)+0.99)*VLOOKUP((TRUNC(($AN141+0.01)*3/13,0)+0.99),'Tax scales - NAT 1004'!$A$65:$C$73,2,1)-VLOOKUP((TRUNC(($AN141+0.01)*3/13,0)+0.99),'Tax scales - NAT 1004'!$A$65:$C$73,3,1)),0)
*13/3,
0),
IF($E$2="Monthly",
ROUND(
ROUND(((TRUNC($AN141*3/13,0)+0.99)*VLOOKUP((TRUNC($AN141*3/13,0)+0.99),'Tax scales - NAT 1004'!$A$65:$C$73,2,1)-VLOOKUP((TRUNC($AN141*3/13,0)+0.99),'Tax scales - NAT 1004'!$A$65:$C$73,3,1)),0)
*13/3,
0),
""))),
""),
"")</f>
        <v/>
      </c>
      <c r="AU141" s="118" t="str">
        <f>IFERROR(
IF(VLOOKUP($C141,'Employee information'!$B:$M,COLUMNS('Employee information'!$B:$M),0)=11,
IF($E$2="Fortnightly",
ROUND(
ROUND((((TRUNC($AN141/2,0)+0.99))*VLOOKUP((TRUNC($AN141/2,0)+0.99),'Tax scales - NAT 3539'!$A$14:$C$38,2,1)-VLOOKUP((TRUNC($AN141/2,0)+0.99),'Tax scales - NAT 3539'!$A$14:$C$38,3,1)),0)
*2,
0),
IF(AND($E$2="Monthly",ROUND($AN141-TRUNC($AN141),2)=0.33),
ROUND(
ROUND(((TRUNC(($AN141+0.01)*3/13,0)+0.99)*VLOOKUP((TRUNC(($AN141+0.01)*3/13,0)+0.99),'Tax scales - NAT 3539'!$A$14:$C$38,2,1)-VLOOKUP((TRUNC(($AN141+0.01)*3/13,0)+0.99),'Tax scales - NAT 3539'!$A$14:$C$38,3,1)),0)
*13/3,
0),
IF($E$2="Monthly",
ROUND(
ROUND(((TRUNC($AN141*3/13,0)+0.99)*VLOOKUP((TRUNC($AN141*3/13,0)+0.99),'Tax scales - NAT 3539'!$A$14:$C$38,2,1)-VLOOKUP((TRUNC($AN141*3/13,0)+0.99),'Tax scales - NAT 3539'!$A$14:$C$38,3,1)),0)
*13/3,
0),
""))),
""),
"")</f>
        <v/>
      </c>
      <c r="AV141" s="118" t="str">
        <f>IFERROR(
IF(VLOOKUP($C141,'Employee information'!$B:$M,COLUMNS('Employee information'!$B:$M),0)=22,
IF($E$2="Fortnightly",
ROUND(
ROUND((((TRUNC($AN141/2,0)+0.99))*VLOOKUP((TRUNC($AN141/2,0)+0.99),'Tax scales - NAT 3539'!$A$43:$C$69,2,1)-VLOOKUP((TRUNC($AN141/2,0)+0.99),'Tax scales - NAT 3539'!$A$43:$C$69,3,1)),0)
*2,
0),
IF(AND($E$2="Monthly",ROUND($AN141-TRUNC($AN141),2)=0.33),
ROUND(
ROUND(((TRUNC(($AN141+0.01)*3/13,0)+0.99)*VLOOKUP((TRUNC(($AN141+0.01)*3/13,0)+0.99),'Tax scales - NAT 3539'!$A$43:$C$69,2,1)-VLOOKUP((TRUNC(($AN141+0.01)*3/13,0)+0.99),'Tax scales - NAT 3539'!$A$43:$C$69,3,1)),0)
*13/3,
0),
IF($E$2="Monthly",
ROUND(
ROUND(((TRUNC($AN141*3/13,0)+0.99)*VLOOKUP((TRUNC($AN141*3/13,0)+0.99),'Tax scales - NAT 3539'!$A$43:$C$69,2,1)-VLOOKUP((TRUNC($AN141*3/13,0)+0.99),'Tax scales - NAT 3539'!$A$43:$C$69,3,1)),0)
*13/3,
0),
""))),
""),
"")</f>
        <v/>
      </c>
      <c r="AW141" s="118" t="str">
        <f>IFERROR(
IF(VLOOKUP($C141,'Employee information'!$B:$M,COLUMNS('Employee information'!$B:$M),0)=33,
IF($E$2="Fortnightly",
ROUND(
ROUND((((TRUNC($AN141/2,0)+0.99))*VLOOKUP((TRUNC($AN141/2,0)+0.99),'Tax scales - NAT 3539'!$A$74:$C$94,2,1)-VLOOKUP((TRUNC($AN141/2,0)+0.99),'Tax scales - NAT 3539'!$A$74:$C$94,3,1)),0)
*2,
0),
IF(AND($E$2="Monthly",ROUND($AN141-TRUNC($AN141),2)=0.33),
ROUND(
ROUND(((TRUNC(($AN141+0.01)*3/13,0)+0.99)*VLOOKUP((TRUNC(($AN141+0.01)*3/13,0)+0.99),'Tax scales - NAT 3539'!$A$74:$C$94,2,1)-VLOOKUP((TRUNC(($AN141+0.01)*3/13,0)+0.99),'Tax scales - NAT 3539'!$A$74:$C$94,3,1)),0)
*13/3,
0),
IF($E$2="Monthly",
ROUND(
ROUND(((TRUNC($AN141*3/13,0)+0.99)*VLOOKUP((TRUNC($AN141*3/13,0)+0.99),'Tax scales - NAT 3539'!$A$74:$C$94,2,1)-VLOOKUP((TRUNC($AN141*3/13,0)+0.99),'Tax scales - NAT 3539'!$A$74:$C$94,3,1)),0)
*13/3,
0),
""))),
""),
"")</f>
        <v/>
      </c>
      <c r="AX141" s="118" t="str">
        <f>IFERROR(
IF(VLOOKUP($C141,'Employee information'!$B:$M,COLUMNS('Employee information'!$B:$M),0)=55,
IF($E$2="Fortnightly",
ROUND(
ROUND((((TRUNC($AN141/2,0)+0.99))*VLOOKUP((TRUNC($AN141/2,0)+0.99),'Tax scales - NAT 3539'!$A$99:$C$123,2,1)-VLOOKUP((TRUNC($AN141/2,0)+0.99),'Tax scales - NAT 3539'!$A$99:$C$123,3,1)),0)
*2,
0),
IF(AND($E$2="Monthly",ROUND($AN141-TRUNC($AN141),2)=0.33),
ROUND(
ROUND(((TRUNC(($AN141+0.01)*3/13,0)+0.99)*VLOOKUP((TRUNC(($AN141+0.01)*3/13,0)+0.99),'Tax scales - NAT 3539'!$A$99:$C$123,2,1)-VLOOKUP((TRUNC(($AN141+0.01)*3/13,0)+0.99),'Tax scales - NAT 3539'!$A$99:$C$123,3,1)),0)
*13/3,
0),
IF($E$2="Monthly",
ROUND(
ROUND(((TRUNC($AN141*3/13,0)+0.99)*VLOOKUP((TRUNC($AN141*3/13,0)+0.99),'Tax scales - NAT 3539'!$A$99:$C$123,2,1)-VLOOKUP((TRUNC($AN141*3/13,0)+0.99),'Tax scales - NAT 3539'!$A$99:$C$123,3,1)),0)
*13/3,
0),
""))),
""),
"")</f>
        <v/>
      </c>
      <c r="AY141" s="118" t="str">
        <f>IFERROR(
IF(VLOOKUP($C141,'Employee information'!$B:$M,COLUMNS('Employee information'!$B:$M),0)=66,
IF($E$2="Fortnightly",
ROUND(
ROUND((((TRUNC($AN141/2,0)+0.99))*VLOOKUP((TRUNC($AN141/2,0)+0.99),'Tax scales - NAT 3539'!$A$127:$C$154,2,1)-VLOOKUP((TRUNC($AN141/2,0)+0.99),'Tax scales - NAT 3539'!$A$127:$C$154,3,1)),0)
*2,
0),
IF(AND($E$2="Monthly",ROUND($AN141-TRUNC($AN141),2)=0.33),
ROUND(
ROUND(((TRUNC(($AN141+0.01)*3/13,0)+0.99)*VLOOKUP((TRUNC(($AN141+0.01)*3/13,0)+0.99),'Tax scales - NAT 3539'!$A$127:$C$154,2,1)-VLOOKUP((TRUNC(($AN141+0.01)*3/13,0)+0.99),'Tax scales - NAT 3539'!$A$127:$C$154,3,1)),0)
*13/3,
0),
IF($E$2="Monthly",
ROUND(
ROUND(((TRUNC($AN141*3/13,0)+0.99)*VLOOKUP((TRUNC($AN141*3/13,0)+0.99),'Tax scales - NAT 3539'!$A$127:$C$154,2,1)-VLOOKUP((TRUNC($AN141*3/13,0)+0.99),'Tax scales - NAT 3539'!$A$127:$C$154,3,1)),0)
*13/3,
0),
""))),
""),
"")</f>
        <v/>
      </c>
      <c r="AZ141" s="118">
        <f>IFERROR(
HLOOKUP(VLOOKUP($C141,'Employee information'!$B:$M,COLUMNS('Employee information'!$B:$M),0),'PAYG worksheet'!$AO$126:$AY$145,COUNTA($C$127:$C141)+1,0),
0)</f>
        <v>0</v>
      </c>
      <c r="BA141" s="118"/>
      <c r="BB141" s="118">
        <f t="shared" si="139"/>
        <v>0</v>
      </c>
      <c r="BC141" s="119">
        <f>IFERROR(
IF(OR($AE141=1,$AE141=""),SUM($P141,$AA141,$AC141,$AK141)*VLOOKUP($C141,'Employee information'!$B:$Q,COLUMNS('Employee information'!$B:$H),0),
IF($AE141=0,SUM($P141,$AA141,$AK141)*VLOOKUP($C141,'Employee information'!$B:$Q,COLUMNS('Employee information'!$B:$H),0),
0)),
0)</f>
        <v>0</v>
      </c>
      <c r="BE141" s="114">
        <f t="shared" si="124"/>
        <v>0</v>
      </c>
      <c r="BF141" s="114">
        <f t="shared" si="125"/>
        <v>0</v>
      </c>
      <c r="BG141" s="114">
        <f t="shared" si="126"/>
        <v>0</v>
      </c>
      <c r="BH141" s="114">
        <f t="shared" si="127"/>
        <v>0</v>
      </c>
      <c r="BI141" s="114">
        <f t="shared" si="128"/>
        <v>0</v>
      </c>
      <c r="BJ141" s="114">
        <f t="shared" si="129"/>
        <v>0</v>
      </c>
      <c r="BK141" s="114">
        <f t="shared" si="130"/>
        <v>0</v>
      </c>
      <c r="BL141" s="114">
        <f t="shared" si="140"/>
        <v>0</v>
      </c>
      <c r="BM141" s="114">
        <f t="shared" si="131"/>
        <v>0</v>
      </c>
    </row>
    <row r="142" spans="1:65" x14ac:dyDescent="0.25">
      <c r="A142" s="228">
        <f t="shared" si="119"/>
        <v>5</v>
      </c>
      <c r="C142" s="278"/>
      <c r="E142" s="103">
        <f>IF($C142="",0,
IF(AND($E$2="Monthly",$A142&gt;12),0,
IF($E$2="Monthly",VLOOKUP($C142,'Employee information'!$B:$AM,COLUMNS('Employee information'!$B:S),0),
IF($E$2="Fortnightly",VLOOKUP($C142,'Employee information'!$B:$AM,COLUMNS('Employee information'!$B:R),0),
0))))</f>
        <v>0</v>
      </c>
      <c r="F142" s="106"/>
      <c r="G142" s="106"/>
      <c r="H142" s="106"/>
      <c r="I142" s="106"/>
      <c r="J142" s="103">
        <f t="shared" si="132"/>
        <v>0</v>
      </c>
      <c r="L142" s="113">
        <f>IF(AND($E$2="Monthly",$A142&gt;12),"",
IFERROR($J142*VLOOKUP($C142,'Employee information'!$B:$AI,COLUMNS('Employee information'!$B:$P),0),0))</f>
        <v>0</v>
      </c>
      <c r="M142" s="114">
        <f t="shared" si="133"/>
        <v>0</v>
      </c>
      <c r="O142" s="103">
        <f t="shared" si="134"/>
        <v>0</v>
      </c>
      <c r="P142" s="113">
        <f>IFERROR(
IF(AND($E$2="Monthly",$A142&gt;12),0,
$O142*VLOOKUP($C142,'Employee information'!$B:$AI,COLUMNS('Employee information'!$B:$P),0)),
0)</f>
        <v>0</v>
      </c>
      <c r="R142" s="114">
        <f t="shared" si="120"/>
        <v>0</v>
      </c>
      <c r="T142" s="103"/>
      <c r="U142" s="103"/>
      <c r="V142" s="282" t="str">
        <f>IF($C142="","",
IF(AND($E$2="Monthly",$A142&gt;12),"",
$T142*VLOOKUP($C142,'Employee information'!$B:$P,COLUMNS('Employee information'!$B:$P),0)))</f>
        <v/>
      </c>
      <c r="W142" s="282" t="str">
        <f>IF($C142="","",
IF(AND($E$2="Monthly",$A142&gt;12),"",
$U142*VLOOKUP($C142,'Employee information'!$B:$P,COLUMNS('Employee information'!$B:$P),0)))</f>
        <v/>
      </c>
      <c r="X142" s="114">
        <f t="shared" si="121"/>
        <v>0</v>
      </c>
      <c r="Y142" s="114">
        <f t="shared" si="122"/>
        <v>0</v>
      </c>
      <c r="AA142" s="118">
        <f>IFERROR(
IF(OR('Basic payroll data'!$D$12="",'Basic payroll data'!$D$12="No"),0,
$T142*VLOOKUP($C142,'Employee information'!$B:$P,COLUMNS('Employee information'!$B:$P),0)*AL_loading_perc),
0)</f>
        <v>0</v>
      </c>
      <c r="AC142" s="118"/>
      <c r="AD142" s="118"/>
      <c r="AE142" s="283" t="str">
        <f t="shared" si="135"/>
        <v/>
      </c>
      <c r="AF142" s="283" t="str">
        <f t="shared" si="136"/>
        <v/>
      </c>
      <c r="AG142" s="118"/>
      <c r="AH142" s="118"/>
      <c r="AI142" s="283" t="str">
        <f t="shared" si="137"/>
        <v/>
      </c>
      <c r="AJ142" s="118"/>
      <c r="AK142" s="118"/>
      <c r="AM142" s="118">
        <f t="shared" si="138"/>
        <v>0</v>
      </c>
      <c r="AN142" s="118">
        <f t="shared" si="123"/>
        <v>0</v>
      </c>
      <c r="AO142" s="118" t="str">
        <f>IFERROR(
IF(VLOOKUP($C142,'Employee information'!$B:$M,COLUMNS('Employee information'!$B:$M),0)=1,
IF($E$2="Fortnightly",
ROUND(
ROUND((((TRUNC($AN142/2,0)+0.99))*VLOOKUP((TRUNC($AN142/2,0)+0.99),'Tax scales - NAT 1004'!$A$12:$C$18,2,1)-VLOOKUP((TRUNC($AN142/2,0)+0.99),'Tax scales - NAT 1004'!$A$12:$C$18,3,1)),0)
*2,
0),
IF(AND($E$2="Monthly",ROUND($AN142-TRUNC($AN142),2)=0.33),
ROUND(
ROUND(((TRUNC(($AN142+0.01)*3/13,0)+0.99)*VLOOKUP((TRUNC(($AN142+0.01)*3/13,0)+0.99),'Tax scales - NAT 1004'!$A$12:$C$18,2,1)-VLOOKUP((TRUNC(($AN142+0.01)*3/13,0)+0.99),'Tax scales - NAT 1004'!$A$12:$C$18,3,1)),0)
*13/3,
0),
IF($E$2="Monthly",
ROUND(
ROUND(((TRUNC($AN142*3/13,0)+0.99)*VLOOKUP((TRUNC($AN142*3/13,0)+0.99),'Tax scales - NAT 1004'!$A$12:$C$18,2,1)-VLOOKUP((TRUNC($AN142*3/13,0)+0.99),'Tax scales - NAT 1004'!$A$12:$C$18,3,1)),0)
*13/3,
0),
""))),
""),
"")</f>
        <v/>
      </c>
      <c r="AP142" s="118" t="str">
        <f>IFERROR(
IF(VLOOKUP($C142,'Employee information'!$B:$M,COLUMNS('Employee information'!$B:$M),0)=2,
IF($E$2="Fortnightly",
ROUND(
ROUND((((TRUNC($AN142/2,0)+0.99))*VLOOKUP((TRUNC($AN142/2,0)+0.99),'Tax scales - NAT 1004'!$A$25:$C$33,2,1)-VLOOKUP((TRUNC($AN142/2,0)+0.99),'Tax scales - NAT 1004'!$A$25:$C$33,3,1)),0)
*2,
0),
IF(AND($E$2="Monthly",ROUND($AN142-TRUNC($AN142),2)=0.33),
ROUND(
ROUND(((TRUNC(($AN142+0.01)*3/13,0)+0.99)*VLOOKUP((TRUNC(($AN142+0.01)*3/13,0)+0.99),'Tax scales - NAT 1004'!$A$25:$C$33,2,1)-VLOOKUP((TRUNC(($AN142+0.01)*3/13,0)+0.99),'Tax scales - NAT 1004'!$A$25:$C$33,3,1)),0)
*13/3,
0),
IF($E$2="Monthly",
ROUND(
ROUND(((TRUNC($AN142*3/13,0)+0.99)*VLOOKUP((TRUNC($AN142*3/13,0)+0.99),'Tax scales - NAT 1004'!$A$25:$C$33,2,1)-VLOOKUP((TRUNC($AN142*3/13,0)+0.99),'Tax scales - NAT 1004'!$A$25:$C$33,3,1)),0)
*13/3,
0),
""))),
""),
"")</f>
        <v/>
      </c>
      <c r="AQ142" s="118" t="str">
        <f>IFERROR(
IF(VLOOKUP($C142,'Employee information'!$B:$M,COLUMNS('Employee information'!$B:$M),0)=3,
IF($E$2="Fortnightly",
ROUND(
ROUND((((TRUNC($AN142/2,0)+0.99))*VLOOKUP((TRUNC($AN142/2,0)+0.99),'Tax scales - NAT 1004'!$A$39:$C$41,2,1)-VLOOKUP((TRUNC($AN142/2,0)+0.99),'Tax scales - NAT 1004'!$A$39:$C$41,3,1)),0)
*2,
0),
IF(AND($E$2="Monthly",ROUND($AN142-TRUNC($AN142),2)=0.33),
ROUND(
ROUND(((TRUNC(($AN142+0.01)*3/13,0)+0.99)*VLOOKUP((TRUNC(($AN142+0.01)*3/13,0)+0.99),'Tax scales - NAT 1004'!$A$39:$C$41,2,1)-VLOOKUP((TRUNC(($AN142+0.01)*3/13,0)+0.99),'Tax scales - NAT 1004'!$A$39:$C$41,3,1)),0)
*13/3,
0),
IF($E$2="Monthly",
ROUND(
ROUND(((TRUNC($AN142*3/13,0)+0.99)*VLOOKUP((TRUNC($AN142*3/13,0)+0.99),'Tax scales - NAT 1004'!$A$39:$C$41,2,1)-VLOOKUP((TRUNC($AN142*3/13,0)+0.99),'Tax scales - NAT 1004'!$A$39:$C$41,3,1)),0)
*13/3,
0),
""))),
""),
"")</f>
        <v/>
      </c>
      <c r="AR142" s="118" t="str">
        <f>IFERROR(
IF(AND(VLOOKUP($C142,'Employee information'!$B:$M,COLUMNS('Employee information'!$B:$M),0)=4,
VLOOKUP($C142,'Employee information'!$B:$J,COLUMNS('Employee information'!$B:$J),0)="Resident"),
TRUNC(TRUNC($AN142)*'Tax scales - NAT 1004'!$B$47),
IF(AND(VLOOKUP($C142,'Employee information'!$B:$M,COLUMNS('Employee information'!$B:$M),0)=4,
VLOOKUP($C142,'Employee information'!$B:$J,COLUMNS('Employee information'!$B:$J),0)="Foreign resident"),
TRUNC(TRUNC($AN142)*'Tax scales - NAT 1004'!$B$48),
"")),
"")</f>
        <v/>
      </c>
      <c r="AS142" s="118" t="str">
        <f>IFERROR(
IF(VLOOKUP($C142,'Employee information'!$B:$M,COLUMNS('Employee information'!$B:$M),0)=5,
IF($E$2="Fortnightly",
ROUND(
ROUND((((TRUNC($AN142/2,0)+0.99))*VLOOKUP((TRUNC($AN142/2,0)+0.99),'Tax scales - NAT 1004'!$A$53:$C$59,2,1)-VLOOKUP((TRUNC($AN142/2,0)+0.99),'Tax scales - NAT 1004'!$A$53:$C$59,3,1)),0)
*2,
0),
IF(AND($E$2="Monthly",ROUND($AN142-TRUNC($AN142),2)=0.33),
ROUND(
ROUND(((TRUNC(($AN142+0.01)*3/13,0)+0.99)*VLOOKUP((TRUNC(($AN142+0.01)*3/13,0)+0.99),'Tax scales - NAT 1004'!$A$53:$C$59,2,1)-VLOOKUP((TRUNC(($AN142+0.01)*3/13,0)+0.99),'Tax scales - NAT 1004'!$A$53:$C$59,3,1)),0)
*13/3,
0),
IF($E$2="Monthly",
ROUND(
ROUND(((TRUNC($AN142*3/13,0)+0.99)*VLOOKUP((TRUNC($AN142*3/13,0)+0.99),'Tax scales - NAT 1004'!$A$53:$C$59,2,1)-VLOOKUP((TRUNC($AN142*3/13,0)+0.99),'Tax scales - NAT 1004'!$A$53:$C$59,3,1)),0)
*13/3,
0),
""))),
""),
"")</f>
        <v/>
      </c>
      <c r="AT142" s="118" t="str">
        <f>IFERROR(
IF(VLOOKUP($C142,'Employee information'!$B:$M,COLUMNS('Employee information'!$B:$M),0)=6,
IF($E$2="Fortnightly",
ROUND(
ROUND((((TRUNC($AN142/2,0)+0.99))*VLOOKUP((TRUNC($AN142/2,0)+0.99),'Tax scales - NAT 1004'!$A$65:$C$73,2,1)-VLOOKUP((TRUNC($AN142/2,0)+0.99),'Tax scales - NAT 1004'!$A$65:$C$73,3,1)),0)
*2,
0),
IF(AND($E$2="Monthly",ROUND($AN142-TRUNC($AN142),2)=0.33),
ROUND(
ROUND(((TRUNC(($AN142+0.01)*3/13,0)+0.99)*VLOOKUP((TRUNC(($AN142+0.01)*3/13,0)+0.99),'Tax scales - NAT 1004'!$A$65:$C$73,2,1)-VLOOKUP((TRUNC(($AN142+0.01)*3/13,0)+0.99),'Tax scales - NAT 1004'!$A$65:$C$73,3,1)),0)
*13/3,
0),
IF($E$2="Monthly",
ROUND(
ROUND(((TRUNC($AN142*3/13,0)+0.99)*VLOOKUP((TRUNC($AN142*3/13,0)+0.99),'Tax scales - NAT 1004'!$A$65:$C$73,2,1)-VLOOKUP((TRUNC($AN142*3/13,0)+0.99),'Tax scales - NAT 1004'!$A$65:$C$73,3,1)),0)
*13/3,
0),
""))),
""),
"")</f>
        <v/>
      </c>
      <c r="AU142" s="118" t="str">
        <f>IFERROR(
IF(VLOOKUP($C142,'Employee information'!$B:$M,COLUMNS('Employee information'!$B:$M),0)=11,
IF($E$2="Fortnightly",
ROUND(
ROUND((((TRUNC($AN142/2,0)+0.99))*VLOOKUP((TRUNC($AN142/2,0)+0.99),'Tax scales - NAT 3539'!$A$14:$C$38,2,1)-VLOOKUP((TRUNC($AN142/2,0)+0.99),'Tax scales - NAT 3539'!$A$14:$C$38,3,1)),0)
*2,
0),
IF(AND($E$2="Monthly",ROUND($AN142-TRUNC($AN142),2)=0.33),
ROUND(
ROUND(((TRUNC(($AN142+0.01)*3/13,0)+0.99)*VLOOKUP((TRUNC(($AN142+0.01)*3/13,0)+0.99),'Tax scales - NAT 3539'!$A$14:$C$38,2,1)-VLOOKUP((TRUNC(($AN142+0.01)*3/13,0)+0.99),'Tax scales - NAT 3539'!$A$14:$C$38,3,1)),0)
*13/3,
0),
IF($E$2="Monthly",
ROUND(
ROUND(((TRUNC($AN142*3/13,0)+0.99)*VLOOKUP((TRUNC($AN142*3/13,0)+0.99),'Tax scales - NAT 3539'!$A$14:$C$38,2,1)-VLOOKUP((TRUNC($AN142*3/13,0)+0.99),'Tax scales - NAT 3539'!$A$14:$C$38,3,1)),0)
*13/3,
0),
""))),
""),
"")</f>
        <v/>
      </c>
      <c r="AV142" s="118" t="str">
        <f>IFERROR(
IF(VLOOKUP($C142,'Employee information'!$B:$M,COLUMNS('Employee information'!$B:$M),0)=22,
IF($E$2="Fortnightly",
ROUND(
ROUND((((TRUNC($AN142/2,0)+0.99))*VLOOKUP((TRUNC($AN142/2,0)+0.99),'Tax scales - NAT 3539'!$A$43:$C$69,2,1)-VLOOKUP((TRUNC($AN142/2,0)+0.99),'Tax scales - NAT 3539'!$A$43:$C$69,3,1)),0)
*2,
0),
IF(AND($E$2="Monthly",ROUND($AN142-TRUNC($AN142),2)=0.33),
ROUND(
ROUND(((TRUNC(($AN142+0.01)*3/13,0)+0.99)*VLOOKUP((TRUNC(($AN142+0.01)*3/13,0)+0.99),'Tax scales - NAT 3539'!$A$43:$C$69,2,1)-VLOOKUP((TRUNC(($AN142+0.01)*3/13,0)+0.99),'Tax scales - NAT 3539'!$A$43:$C$69,3,1)),0)
*13/3,
0),
IF($E$2="Monthly",
ROUND(
ROUND(((TRUNC($AN142*3/13,0)+0.99)*VLOOKUP((TRUNC($AN142*3/13,0)+0.99),'Tax scales - NAT 3539'!$A$43:$C$69,2,1)-VLOOKUP((TRUNC($AN142*3/13,0)+0.99),'Tax scales - NAT 3539'!$A$43:$C$69,3,1)),0)
*13/3,
0),
""))),
""),
"")</f>
        <v/>
      </c>
      <c r="AW142" s="118" t="str">
        <f>IFERROR(
IF(VLOOKUP($C142,'Employee information'!$B:$M,COLUMNS('Employee information'!$B:$M),0)=33,
IF($E$2="Fortnightly",
ROUND(
ROUND((((TRUNC($AN142/2,0)+0.99))*VLOOKUP((TRUNC($AN142/2,0)+0.99),'Tax scales - NAT 3539'!$A$74:$C$94,2,1)-VLOOKUP((TRUNC($AN142/2,0)+0.99),'Tax scales - NAT 3539'!$A$74:$C$94,3,1)),0)
*2,
0),
IF(AND($E$2="Monthly",ROUND($AN142-TRUNC($AN142),2)=0.33),
ROUND(
ROUND(((TRUNC(($AN142+0.01)*3/13,0)+0.99)*VLOOKUP((TRUNC(($AN142+0.01)*3/13,0)+0.99),'Tax scales - NAT 3539'!$A$74:$C$94,2,1)-VLOOKUP((TRUNC(($AN142+0.01)*3/13,0)+0.99),'Tax scales - NAT 3539'!$A$74:$C$94,3,1)),0)
*13/3,
0),
IF($E$2="Monthly",
ROUND(
ROUND(((TRUNC($AN142*3/13,0)+0.99)*VLOOKUP((TRUNC($AN142*3/13,0)+0.99),'Tax scales - NAT 3539'!$A$74:$C$94,2,1)-VLOOKUP((TRUNC($AN142*3/13,0)+0.99),'Tax scales - NAT 3539'!$A$74:$C$94,3,1)),0)
*13/3,
0),
""))),
""),
"")</f>
        <v/>
      </c>
      <c r="AX142" s="118" t="str">
        <f>IFERROR(
IF(VLOOKUP($C142,'Employee information'!$B:$M,COLUMNS('Employee information'!$B:$M),0)=55,
IF($E$2="Fortnightly",
ROUND(
ROUND((((TRUNC($AN142/2,0)+0.99))*VLOOKUP((TRUNC($AN142/2,0)+0.99),'Tax scales - NAT 3539'!$A$99:$C$123,2,1)-VLOOKUP((TRUNC($AN142/2,0)+0.99),'Tax scales - NAT 3539'!$A$99:$C$123,3,1)),0)
*2,
0),
IF(AND($E$2="Monthly",ROUND($AN142-TRUNC($AN142),2)=0.33),
ROUND(
ROUND(((TRUNC(($AN142+0.01)*3/13,0)+0.99)*VLOOKUP((TRUNC(($AN142+0.01)*3/13,0)+0.99),'Tax scales - NAT 3539'!$A$99:$C$123,2,1)-VLOOKUP((TRUNC(($AN142+0.01)*3/13,0)+0.99),'Tax scales - NAT 3539'!$A$99:$C$123,3,1)),0)
*13/3,
0),
IF($E$2="Monthly",
ROUND(
ROUND(((TRUNC($AN142*3/13,0)+0.99)*VLOOKUP((TRUNC($AN142*3/13,0)+0.99),'Tax scales - NAT 3539'!$A$99:$C$123,2,1)-VLOOKUP((TRUNC($AN142*3/13,0)+0.99),'Tax scales - NAT 3539'!$A$99:$C$123,3,1)),0)
*13/3,
0),
""))),
""),
"")</f>
        <v/>
      </c>
      <c r="AY142" s="118" t="str">
        <f>IFERROR(
IF(VLOOKUP($C142,'Employee information'!$B:$M,COLUMNS('Employee information'!$B:$M),0)=66,
IF($E$2="Fortnightly",
ROUND(
ROUND((((TRUNC($AN142/2,0)+0.99))*VLOOKUP((TRUNC($AN142/2,0)+0.99),'Tax scales - NAT 3539'!$A$127:$C$154,2,1)-VLOOKUP((TRUNC($AN142/2,0)+0.99),'Tax scales - NAT 3539'!$A$127:$C$154,3,1)),0)
*2,
0),
IF(AND($E$2="Monthly",ROUND($AN142-TRUNC($AN142),2)=0.33),
ROUND(
ROUND(((TRUNC(($AN142+0.01)*3/13,0)+0.99)*VLOOKUP((TRUNC(($AN142+0.01)*3/13,0)+0.99),'Tax scales - NAT 3539'!$A$127:$C$154,2,1)-VLOOKUP((TRUNC(($AN142+0.01)*3/13,0)+0.99),'Tax scales - NAT 3539'!$A$127:$C$154,3,1)),0)
*13/3,
0),
IF($E$2="Monthly",
ROUND(
ROUND(((TRUNC($AN142*3/13,0)+0.99)*VLOOKUP((TRUNC($AN142*3/13,0)+0.99),'Tax scales - NAT 3539'!$A$127:$C$154,2,1)-VLOOKUP((TRUNC($AN142*3/13,0)+0.99),'Tax scales - NAT 3539'!$A$127:$C$154,3,1)),0)
*13/3,
0),
""))),
""),
"")</f>
        <v/>
      </c>
      <c r="AZ142" s="118">
        <f>IFERROR(
HLOOKUP(VLOOKUP($C142,'Employee information'!$B:$M,COLUMNS('Employee information'!$B:$M),0),'PAYG worksheet'!$AO$126:$AY$145,COUNTA($C$127:$C142)+1,0),
0)</f>
        <v>0</v>
      </c>
      <c r="BA142" s="118"/>
      <c r="BB142" s="118">
        <f t="shared" si="139"/>
        <v>0</v>
      </c>
      <c r="BC142" s="119">
        <f>IFERROR(
IF(OR($AE142=1,$AE142=""),SUM($P142,$AA142,$AC142,$AK142)*VLOOKUP($C142,'Employee information'!$B:$Q,COLUMNS('Employee information'!$B:$H),0),
IF($AE142=0,SUM($P142,$AA142,$AK142)*VLOOKUP($C142,'Employee information'!$B:$Q,COLUMNS('Employee information'!$B:$H),0),
0)),
0)</f>
        <v>0</v>
      </c>
      <c r="BE142" s="114">
        <f t="shared" si="124"/>
        <v>0</v>
      </c>
      <c r="BF142" s="114">
        <f t="shared" si="125"/>
        <v>0</v>
      </c>
      <c r="BG142" s="114">
        <f t="shared" si="126"/>
        <v>0</v>
      </c>
      <c r="BH142" s="114">
        <f t="shared" si="127"/>
        <v>0</v>
      </c>
      <c r="BI142" s="114">
        <f t="shared" si="128"/>
        <v>0</v>
      </c>
      <c r="BJ142" s="114">
        <f t="shared" si="129"/>
        <v>0</v>
      </c>
      <c r="BK142" s="114">
        <f t="shared" si="130"/>
        <v>0</v>
      </c>
      <c r="BL142" s="114">
        <f t="shared" si="140"/>
        <v>0</v>
      </c>
      <c r="BM142" s="114">
        <f t="shared" si="131"/>
        <v>0</v>
      </c>
    </row>
    <row r="143" spans="1:65" x14ac:dyDescent="0.25">
      <c r="A143" s="228">
        <f t="shared" si="119"/>
        <v>5</v>
      </c>
      <c r="C143" s="278"/>
      <c r="E143" s="103">
        <f>IF($C143="",0,
IF(AND($E$2="Monthly",$A143&gt;12),0,
IF($E$2="Monthly",VLOOKUP($C143,'Employee information'!$B:$AM,COLUMNS('Employee information'!$B:S),0),
IF($E$2="Fortnightly",VLOOKUP($C143,'Employee information'!$B:$AM,COLUMNS('Employee information'!$B:R),0),
0))))</f>
        <v>0</v>
      </c>
      <c r="F143" s="106"/>
      <c r="G143" s="106"/>
      <c r="H143" s="106"/>
      <c r="I143" s="106"/>
      <c r="J143" s="103">
        <f t="shared" si="132"/>
        <v>0</v>
      </c>
      <c r="L143" s="113">
        <f>IF(AND($E$2="Monthly",$A143&gt;12),"",
IFERROR($J143*VLOOKUP($C143,'Employee information'!$B:$AI,COLUMNS('Employee information'!$B:$P),0),0))</f>
        <v>0</v>
      </c>
      <c r="M143" s="114">
        <f t="shared" si="133"/>
        <v>0</v>
      </c>
      <c r="O143" s="103">
        <f t="shared" si="134"/>
        <v>0</v>
      </c>
      <c r="P143" s="113">
        <f>IFERROR(
IF(AND($E$2="Monthly",$A143&gt;12),0,
$O143*VLOOKUP($C143,'Employee information'!$B:$AI,COLUMNS('Employee information'!$B:$P),0)),
0)</f>
        <v>0</v>
      </c>
      <c r="R143" s="114">
        <f t="shared" si="120"/>
        <v>0</v>
      </c>
      <c r="T143" s="103"/>
      <c r="U143" s="103"/>
      <c r="V143" s="282" t="str">
        <f>IF($C143="","",
IF(AND($E$2="Monthly",$A143&gt;12),"",
$T143*VLOOKUP($C143,'Employee information'!$B:$P,COLUMNS('Employee information'!$B:$P),0)))</f>
        <v/>
      </c>
      <c r="W143" s="282" t="str">
        <f>IF($C143="","",
IF(AND($E$2="Monthly",$A143&gt;12),"",
$U143*VLOOKUP($C143,'Employee information'!$B:$P,COLUMNS('Employee information'!$B:$P),0)))</f>
        <v/>
      </c>
      <c r="X143" s="114">
        <f t="shared" si="121"/>
        <v>0</v>
      </c>
      <c r="Y143" s="114">
        <f t="shared" si="122"/>
        <v>0</v>
      </c>
      <c r="AA143" s="118">
        <f>IFERROR(
IF(OR('Basic payroll data'!$D$12="",'Basic payroll data'!$D$12="No"),0,
$T143*VLOOKUP($C143,'Employee information'!$B:$P,COLUMNS('Employee information'!$B:$P),0)*AL_loading_perc),
0)</f>
        <v>0</v>
      </c>
      <c r="AC143" s="118"/>
      <c r="AD143" s="118"/>
      <c r="AE143" s="283" t="str">
        <f t="shared" si="135"/>
        <v/>
      </c>
      <c r="AF143" s="283" t="str">
        <f t="shared" si="136"/>
        <v/>
      </c>
      <c r="AG143" s="118"/>
      <c r="AH143" s="118"/>
      <c r="AI143" s="283" t="str">
        <f t="shared" si="137"/>
        <v/>
      </c>
      <c r="AJ143" s="118"/>
      <c r="AK143" s="118"/>
      <c r="AM143" s="118">
        <f t="shared" si="138"/>
        <v>0</v>
      </c>
      <c r="AN143" s="118">
        <f t="shared" si="123"/>
        <v>0</v>
      </c>
      <c r="AO143" s="118" t="str">
        <f>IFERROR(
IF(VLOOKUP($C143,'Employee information'!$B:$M,COLUMNS('Employee information'!$B:$M),0)=1,
IF($E$2="Fortnightly",
ROUND(
ROUND((((TRUNC($AN143/2,0)+0.99))*VLOOKUP((TRUNC($AN143/2,0)+0.99),'Tax scales - NAT 1004'!$A$12:$C$18,2,1)-VLOOKUP((TRUNC($AN143/2,0)+0.99),'Tax scales - NAT 1004'!$A$12:$C$18,3,1)),0)
*2,
0),
IF(AND($E$2="Monthly",ROUND($AN143-TRUNC($AN143),2)=0.33),
ROUND(
ROUND(((TRUNC(($AN143+0.01)*3/13,0)+0.99)*VLOOKUP((TRUNC(($AN143+0.01)*3/13,0)+0.99),'Tax scales - NAT 1004'!$A$12:$C$18,2,1)-VLOOKUP((TRUNC(($AN143+0.01)*3/13,0)+0.99),'Tax scales - NAT 1004'!$A$12:$C$18,3,1)),0)
*13/3,
0),
IF($E$2="Monthly",
ROUND(
ROUND(((TRUNC($AN143*3/13,0)+0.99)*VLOOKUP((TRUNC($AN143*3/13,0)+0.99),'Tax scales - NAT 1004'!$A$12:$C$18,2,1)-VLOOKUP((TRUNC($AN143*3/13,0)+0.99),'Tax scales - NAT 1004'!$A$12:$C$18,3,1)),0)
*13/3,
0),
""))),
""),
"")</f>
        <v/>
      </c>
      <c r="AP143" s="118" t="str">
        <f>IFERROR(
IF(VLOOKUP($C143,'Employee information'!$B:$M,COLUMNS('Employee information'!$B:$M),0)=2,
IF($E$2="Fortnightly",
ROUND(
ROUND((((TRUNC($AN143/2,0)+0.99))*VLOOKUP((TRUNC($AN143/2,0)+0.99),'Tax scales - NAT 1004'!$A$25:$C$33,2,1)-VLOOKUP((TRUNC($AN143/2,0)+0.99),'Tax scales - NAT 1004'!$A$25:$C$33,3,1)),0)
*2,
0),
IF(AND($E$2="Monthly",ROUND($AN143-TRUNC($AN143),2)=0.33),
ROUND(
ROUND(((TRUNC(($AN143+0.01)*3/13,0)+0.99)*VLOOKUP((TRUNC(($AN143+0.01)*3/13,0)+0.99),'Tax scales - NAT 1004'!$A$25:$C$33,2,1)-VLOOKUP((TRUNC(($AN143+0.01)*3/13,0)+0.99),'Tax scales - NAT 1004'!$A$25:$C$33,3,1)),0)
*13/3,
0),
IF($E$2="Monthly",
ROUND(
ROUND(((TRUNC($AN143*3/13,0)+0.99)*VLOOKUP((TRUNC($AN143*3/13,0)+0.99),'Tax scales - NAT 1004'!$A$25:$C$33,2,1)-VLOOKUP((TRUNC($AN143*3/13,0)+0.99),'Tax scales - NAT 1004'!$A$25:$C$33,3,1)),0)
*13/3,
0),
""))),
""),
"")</f>
        <v/>
      </c>
      <c r="AQ143" s="118" t="str">
        <f>IFERROR(
IF(VLOOKUP($C143,'Employee information'!$B:$M,COLUMNS('Employee information'!$B:$M),0)=3,
IF($E$2="Fortnightly",
ROUND(
ROUND((((TRUNC($AN143/2,0)+0.99))*VLOOKUP((TRUNC($AN143/2,0)+0.99),'Tax scales - NAT 1004'!$A$39:$C$41,2,1)-VLOOKUP((TRUNC($AN143/2,0)+0.99),'Tax scales - NAT 1004'!$A$39:$C$41,3,1)),0)
*2,
0),
IF(AND($E$2="Monthly",ROUND($AN143-TRUNC($AN143),2)=0.33),
ROUND(
ROUND(((TRUNC(($AN143+0.01)*3/13,0)+0.99)*VLOOKUP((TRUNC(($AN143+0.01)*3/13,0)+0.99),'Tax scales - NAT 1004'!$A$39:$C$41,2,1)-VLOOKUP((TRUNC(($AN143+0.01)*3/13,0)+0.99),'Tax scales - NAT 1004'!$A$39:$C$41,3,1)),0)
*13/3,
0),
IF($E$2="Monthly",
ROUND(
ROUND(((TRUNC($AN143*3/13,0)+0.99)*VLOOKUP((TRUNC($AN143*3/13,0)+0.99),'Tax scales - NAT 1004'!$A$39:$C$41,2,1)-VLOOKUP((TRUNC($AN143*3/13,0)+0.99),'Tax scales - NAT 1004'!$A$39:$C$41,3,1)),0)
*13/3,
0),
""))),
""),
"")</f>
        <v/>
      </c>
      <c r="AR143" s="118" t="str">
        <f>IFERROR(
IF(AND(VLOOKUP($C143,'Employee information'!$B:$M,COLUMNS('Employee information'!$B:$M),0)=4,
VLOOKUP($C143,'Employee information'!$B:$J,COLUMNS('Employee information'!$B:$J),0)="Resident"),
TRUNC(TRUNC($AN143)*'Tax scales - NAT 1004'!$B$47),
IF(AND(VLOOKUP($C143,'Employee information'!$B:$M,COLUMNS('Employee information'!$B:$M),0)=4,
VLOOKUP($C143,'Employee information'!$B:$J,COLUMNS('Employee information'!$B:$J),0)="Foreign resident"),
TRUNC(TRUNC($AN143)*'Tax scales - NAT 1004'!$B$48),
"")),
"")</f>
        <v/>
      </c>
      <c r="AS143" s="118" t="str">
        <f>IFERROR(
IF(VLOOKUP($C143,'Employee information'!$B:$M,COLUMNS('Employee information'!$B:$M),0)=5,
IF($E$2="Fortnightly",
ROUND(
ROUND((((TRUNC($AN143/2,0)+0.99))*VLOOKUP((TRUNC($AN143/2,0)+0.99),'Tax scales - NAT 1004'!$A$53:$C$59,2,1)-VLOOKUP((TRUNC($AN143/2,0)+0.99),'Tax scales - NAT 1004'!$A$53:$C$59,3,1)),0)
*2,
0),
IF(AND($E$2="Monthly",ROUND($AN143-TRUNC($AN143),2)=0.33),
ROUND(
ROUND(((TRUNC(($AN143+0.01)*3/13,0)+0.99)*VLOOKUP((TRUNC(($AN143+0.01)*3/13,0)+0.99),'Tax scales - NAT 1004'!$A$53:$C$59,2,1)-VLOOKUP((TRUNC(($AN143+0.01)*3/13,0)+0.99),'Tax scales - NAT 1004'!$A$53:$C$59,3,1)),0)
*13/3,
0),
IF($E$2="Monthly",
ROUND(
ROUND(((TRUNC($AN143*3/13,0)+0.99)*VLOOKUP((TRUNC($AN143*3/13,0)+0.99),'Tax scales - NAT 1004'!$A$53:$C$59,2,1)-VLOOKUP((TRUNC($AN143*3/13,0)+0.99),'Tax scales - NAT 1004'!$A$53:$C$59,3,1)),0)
*13/3,
0),
""))),
""),
"")</f>
        <v/>
      </c>
      <c r="AT143" s="118" t="str">
        <f>IFERROR(
IF(VLOOKUP($C143,'Employee information'!$B:$M,COLUMNS('Employee information'!$B:$M),0)=6,
IF($E$2="Fortnightly",
ROUND(
ROUND((((TRUNC($AN143/2,0)+0.99))*VLOOKUP((TRUNC($AN143/2,0)+0.99),'Tax scales - NAT 1004'!$A$65:$C$73,2,1)-VLOOKUP((TRUNC($AN143/2,0)+0.99),'Tax scales - NAT 1004'!$A$65:$C$73,3,1)),0)
*2,
0),
IF(AND($E$2="Monthly",ROUND($AN143-TRUNC($AN143),2)=0.33),
ROUND(
ROUND(((TRUNC(($AN143+0.01)*3/13,0)+0.99)*VLOOKUP((TRUNC(($AN143+0.01)*3/13,0)+0.99),'Tax scales - NAT 1004'!$A$65:$C$73,2,1)-VLOOKUP((TRUNC(($AN143+0.01)*3/13,0)+0.99),'Tax scales - NAT 1004'!$A$65:$C$73,3,1)),0)
*13/3,
0),
IF($E$2="Monthly",
ROUND(
ROUND(((TRUNC($AN143*3/13,0)+0.99)*VLOOKUP((TRUNC($AN143*3/13,0)+0.99),'Tax scales - NAT 1004'!$A$65:$C$73,2,1)-VLOOKUP((TRUNC($AN143*3/13,0)+0.99),'Tax scales - NAT 1004'!$A$65:$C$73,3,1)),0)
*13/3,
0),
""))),
""),
"")</f>
        <v/>
      </c>
      <c r="AU143" s="118" t="str">
        <f>IFERROR(
IF(VLOOKUP($C143,'Employee information'!$B:$M,COLUMNS('Employee information'!$B:$M),0)=11,
IF($E$2="Fortnightly",
ROUND(
ROUND((((TRUNC($AN143/2,0)+0.99))*VLOOKUP((TRUNC($AN143/2,0)+0.99),'Tax scales - NAT 3539'!$A$14:$C$38,2,1)-VLOOKUP((TRUNC($AN143/2,0)+0.99),'Tax scales - NAT 3539'!$A$14:$C$38,3,1)),0)
*2,
0),
IF(AND($E$2="Monthly",ROUND($AN143-TRUNC($AN143),2)=0.33),
ROUND(
ROUND(((TRUNC(($AN143+0.01)*3/13,0)+0.99)*VLOOKUP((TRUNC(($AN143+0.01)*3/13,0)+0.99),'Tax scales - NAT 3539'!$A$14:$C$38,2,1)-VLOOKUP((TRUNC(($AN143+0.01)*3/13,0)+0.99),'Tax scales - NAT 3539'!$A$14:$C$38,3,1)),0)
*13/3,
0),
IF($E$2="Monthly",
ROUND(
ROUND(((TRUNC($AN143*3/13,0)+0.99)*VLOOKUP((TRUNC($AN143*3/13,0)+0.99),'Tax scales - NAT 3539'!$A$14:$C$38,2,1)-VLOOKUP((TRUNC($AN143*3/13,0)+0.99),'Tax scales - NAT 3539'!$A$14:$C$38,3,1)),0)
*13/3,
0),
""))),
""),
"")</f>
        <v/>
      </c>
      <c r="AV143" s="118" t="str">
        <f>IFERROR(
IF(VLOOKUP($C143,'Employee information'!$B:$M,COLUMNS('Employee information'!$B:$M),0)=22,
IF($E$2="Fortnightly",
ROUND(
ROUND((((TRUNC($AN143/2,0)+0.99))*VLOOKUP((TRUNC($AN143/2,0)+0.99),'Tax scales - NAT 3539'!$A$43:$C$69,2,1)-VLOOKUP((TRUNC($AN143/2,0)+0.99),'Tax scales - NAT 3539'!$A$43:$C$69,3,1)),0)
*2,
0),
IF(AND($E$2="Monthly",ROUND($AN143-TRUNC($AN143),2)=0.33),
ROUND(
ROUND(((TRUNC(($AN143+0.01)*3/13,0)+0.99)*VLOOKUP((TRUNC(($AN143+0.01)*3/13,0)+0.99),'Tax scales - NAT 3539'!$A$43:$C$69,2,1)-VLOOKUP((TRUNC(($AN143+0.01)*3/13,0)+0.99),'Tax scales - NAT 3539'!$A$43:$C$69,3,1)),0)
*13/3,
0),
IF($E$2="Monthly",
ROUND(
ROUND(((TRUNC($AN143*3/13,0)+0.99)*VLOOKUP((TRUNC($AN143*3/13,0)+0.99),'Tax scales - NAT 3539'!$A$43:$C$69,2,1)-VLOOKUP((TRUNC($AN143*3/13,0)+0.99),'Tax scales - NAT 3539'!$A$43:$C$69,3,1)),0)
*13/3,
0),
""))),
""),
"")</f>
        <v/>
      </c>
      <c r="AW143" s="118" t="str">
        <f>IFERROR(
IF(VLOOKUP($C143,'Employee information'!$B:$M,COLUMNS('Employee information'!$B:$M),0)=33,
IF($E$2="Fortnightly",
ROUND(
ROUND((((TRUNC($AN143/2,0)+0.99))*VLOOKUP((TRUNC($AN143/2,0)+0.99),'Tax scales - NAT 3539'!$A$74:$C$94,2,1)-VLOOKUP((TRUNC($AN143/2,0)+0.99),'Tax scales - NAT 3539'!$A$74:$C$94,3,1)),0)
*2,
0),
IF(AND($E$2="Monthly",ROUND($AN143-TRUNC($AN143),2)=0.33),
ROUND(
ROUND(((TRUNC(($AN143+0.01)*3/13,0)+0.99)*VLOOKUP((TRUNC(($AN143+0.01)*3/13,0)+0.99),'Tax scales - NAT 3539'!$A$74:$C$94,2,1)-VLOOKUP((TRUNC(($AN143+0.01)*3/13,0)+0.99),'Tax scales - NAT 3539'!$A$74:$C$94,3,1)),0)
*13/3,
0),
IF($E$2="Monthly",
ROUND(
ROUND(((TRUNC($AN143*3/13,0)+0.99)*VLOOKUP((TRUNC($AN143*3/13,0)+0.99),'Tax scales - NAT 3539'!$A$74:$C$94,2,1)-VLOOKUP((TRUNC($AN143*3/13,0)+0.99),'Tax scales - NAT 3539'!$A$74:$C$94,3,1)),0)
*13/3,
0),
""))),
""),
"")</f>
        <v/>
      </c>
      <c r="AX143" s="118" t="str">
        <f>IFERROR(
IF(VLOOKUP($C143,'Employee information'!$B:$M,COLUMNS('Employee information'!$B:$M),0)=55,
IF($E$2="Fortnightly",
ROUND(
ROUND((((TRUNC($AN143/2,0)+0.99))*VLOOKUP((TRUNC($AN143/2,0)+0.99),'Tax scales - NAT 3539'!$A$99:$C$123,2,1)-VLOOKUP((TRUNC($AN143/2,0)+0.99),'Tax scales - NAT 3539'!$A$99:$C$123,3,1)),0)
*2,
0),
IF(AND($E$2="Monthly",ROUND($AN143-TRUNC($AN143),2)=0.33),
ROUND(
ROUND(((TRUNC(($AN143+0.01)*3/13,0)+0.99)*VLOOKUP((TRUNC(($AN143+0.01)*3/13,0)+0.99),'Tax scales - NAT 3539'!$A$99:$C$123,2,1)-VLOOKUP((TRUNC(($AN143+0.01)*3/13,0)+0.99),'Tax scales - NAT 3539'!$A$99:$C$123,3,1)),0)
*13/3,
0),
IF($E$2="Monthly",
ROUND(
ROUND(((TRUNC($AN143*3/13,0)+0.99)*VLOOKUP((TRUNC($AN143*3/13,0)+0.99),'Tax scales - NAT 3539'!$A$99:$C$123,2,1)-VLOOKUP((TRUNC($AN143*3/13,0)+0.99),'Tax scales - NAT 3539'!$A$99:$C$123,3,1)),0)
*13/3,
0),
""))),
""),
"")</f>
        <v/>
      </c>
      <c r="AY143" s="118" t="str">
        <f>IFERROR(
IF(VLOOKUP($C143,'Employee information'!$B:$M,COLUMNS('Employee information'!$B:$M),0)=66,
IF($E$2="Fortnightly",
ROUND(
ROUND((((TRUNC($AN143/2,0)+0.99))*VLOOKUP((TRUNC($AN143/2,0)+0.99),'Tax scales - NAT 3539'!$A$127:$C$154,2,1)-VLOOKUP((TRUNC($AN143/2,0)+0.99),'Tax scales - NAT 3539'!$A$127:$C$154,3,1)),0)
*2,
0),
IF(AND($E$2="Monthly",ROUND($AN143-TRUNC($AN143),2)=0.33),
ROUND(
ROUND(((TRUNC(($AN143+0.01)*3/13,0)+0.99)*VLOOKUP((TRUNC(($AN143+0.01)*3/13,0)+0.99),'Tax scales - NAT 3539'!$A$127:$C$154,2,1)-VLOOKUP((TRUNC(($AN143+0.01)*3/13,0)+0.99),'Tax scales - NAT 3539'!$A$127:$C$154,3,1)),0)
*13/3,
0),
IF($E$2="Monthly",
ROUND(
ROUND(((TRUNC($AN143*3/13,0)+0.99)*VLOOKUP((TRUNC($AN143*3/13,0)+0.99),'Tax scales - NAT 3539'!$A$127:$C$154,2,1)-VLOOKUP((TRUNC($AN143*3/13,0)+0.99),'Tax scales - NAT 3539'!$A$127:$C$154,3,1)),0)
*13/3,
0),
""))),
""),
"")</f>
        <v/>
      </c>
      <c r="AZ143" s="118">
        <f>IFERROR(
HLOOKUP(VLOOKUP($C143,'Employee information'!$B:$M,COLUMNS('Employee information'!$B:$M),0),'PAYG worksheet'!$AO$126:$AY$145,COUNTA($C$127:$C143)+1,0),
0)</f>
        <v>0</v>
      </c>
      <c r="BA143" s="118"/>
      <c r="BB143" s="118">
        <f t="shared" si="139"/>
        <v>0</v>
      </c>
      <c r="BC143" s="119">
        <f>IFERROR(
IF(OR($AE143=1,$AE143=""),SUM($P143,$AA143,$AC143,$AK143)*VLOOKUP($C143,'Employee information'!$B:$Q,COLUMNS('Employee information'!$B:$H),0),
IF($AE143=0,SUM($P143,$AA143,$AK143)*VLOOKUP($C143,'Employee information'!$B:$Q,COLUMNS('Employee information'!$B:$H),0),
0)),
0)</f>
        <v>0</v>
      </c>
      <c r="BE143" s="114">
        <f t="shared" si="124"/>
        <v>0</v>
      </c>
      <c r="BF143" s="114">
        <f t="shared" si="125"/>
        <v>0</v>
      </c>
      <c r="BG143" s="114">
        <f t="shared" si="126"/>
        <v>0</v>
      </c>
      <c r="BH143" s="114">
        <f t="shared" si="127"/>
        <v>0</v>
      </c>
      <c r="BI143" s="114">
        <f t="shared" si="128"/>
        <v>0</v>
      </c>
      <c r="BJ143" s="114">
        <f t="shared" si="129"/>
        <v>0</v>
      </c>
      <c r="BK143" s="114">
        <f t="shared" si="130"/>
        <v>0</v>
      </c>
      <c r="BL143" s="114">
        <f t="shared" si="140"/>
        <v>0</v>
      </c>
      <c r="BM143" s="114">
        <f t="shared" si="131"/>
        <v>0</v>
      </c>
    </row>
    <row r="144" spans="1:65" x14ac:dyDescent="0.25">
      <c r="A144" s="228">
        <f t="shared" si="119"/>
        <v>5</v>
      </c>
      <c r="C144" s="278"/>
      <c r="E144" s="103">
        <f>IF($C144="",0,
IF(AND($E$2="Monthly",$A144&gt;12),0,
IF($E$2="Monthly",VLOOKUP($C144,'Employee information'!$B:$AM,COLUMNS('Employee information'!$B:S),0),
IF($E$2="Fortnightly",VLOOKUP($C144,'Employee information'!$B:$AM,COLUMNS('Employee information'!$B:R),0),
0))))</f>
        <v>0</v>
      </c>
      <c r="F144" s="106"/>
      <c r="G144" s="106"/>
      <c r="H144" s="106"/>
      <c r="I144" s="106"/>
      <c r="J144" s="103">
        <f t="shared" si="132"/>
        <v>0</v>
      </c>
      <c r="L144" s="113">
        <f>IF(AND($E$2="Monthly",$A144&gt;12),"",
IFERROR($J144*VLOOKUP($C144,'Employee information'!$B:$AI,COLUMNS('Employee information'!$B:$P),0),0))</f>
        <v>0</v>
      </c>
      <c r="M144" s="114">
        <f t="shared" si="133"/>
        <v>0</v>
      </c>
      <c r="O144" s="103">
        <f t="shared" si="134"/>
        <v>0</v>
      </c>
      <c r="P144" s="113">
        <f>IFERROR(
IF(AND($E$2="Monthly",$A144&gt;12),0,
$O144*VLOOKUP($C144,'Employee information'!$B:$AI,COLUMNS('Employee information'!$B:$P),0)),
0)</f>
        <v>0</v>
      </c>
      <c r="R144" s="114">
        <f t="shared" si="120"/>
        <v>0</v>
      </c>
      <c r="T144" s="103"/>
      <c r="U144" s="103"/>
      <c r="V144" s="282" t="str">
        <f>IF($C144="","",
IF(AND($E$2="Monthly",$A144&gt;12),"",
$T144*VLOOKUP($C144,'Employee information'!$B:$P,COLUMNS('Employee information'!$B:$P),0)))</f>
        <v/>
      </c>
      <c r="W144" s="282" t="str">
        <f>IF($C144="","",
IF(AND($E$2="Monthly",$A144&gt;12),"",
$U144*VLOOKUP($C144,'Employee information'!$B:$P,COLUMNS('Employee information'!$B:$P),0)))</f>
        <v/>
      </c>
      <c r="X144" s="114">
        <f t="shared" si="121"/>
        <v>0</v>
      </c>
      <c r="Y144" s="114">
        <f t="shared" si="122"/>
        <v>0</v>
      </c>
      <c r="AA144" s="118">
        <f>IFERROR(
IF(OR('Basic payroll data'!$D$12="",'Basic payroll data'!$D$12="No"),0,
$T144*VLOOKUP($C144,'Employee information'!$B:$P,COLUMNS('Employee information'!$B:$P),0)*AL_loading_perc),
0)</f>
        <v>0</v>
      </c>
      <c r="AC144" s="118"/>
      <c r="AD144" s="118"/>
      <c r="AE144" s="283" t="str">
        <f t="shared" si="135"/>
        <v/>
      </c>
      <c r="AF144" s="283" t="str">
        <f t="shared" si="136"/>
        <v/>
      </c>
      <c r="AG144" s="118"/>
      <c r="AH144" s="118"/>
      <c r="AI144" s="283" t="str">
        <f t="shared" si="137"/>
        <v/>
      </c>
      <c r="AJ144" s="118"/>
      <c r="AK144" s="118"/>
      <c r="AM144" s="118">
        <f t="shared" si="138"/>
        <v>0</v>
      </c>
      <c r="AN144" s="118">
        <f t="shared" si="123"/>
        <v>0</v>
      </c>
      <c r="AO144" s="118" t="str">
        <f>IFERROR(
IF(VLOOKUP($C144,'Employee information'!$B:$M,COLUMNS('Employee information'!$B:$M),0)=1,
IF($E$2="Fortnightly",
ROUND(
ROUND((((TRUNC($AN144/2,0)+0.99))*VLOOKUP((TRUNC($AN144/2,0)+0.99),'Tax scales - NAT 1004'!$A$12:$C$18,2,1)-VLOOKUP((TRUNC($AN144/2,0)+0.99),'Tax scales - NAT 1004'!$A$12:$C$18,3,1)),0)
*2,
0),
IF(AND($E$2="Monthly",ROUND($AN144-TRUNC($AN144),2)=0.33),
ROUND(
ROUND(((TRUNC(($AN144+0.01)*3/13,0)+0.99)*VLOOKUP((TRUNC(($AN144+0.01)*3/13,0)+0.99),'Tax scales - NAT 1004'!$A$12:$C$18,2,1)-VLOOKUP((TRUNC(($AN144+0.01)*3/13,0)+0.99),'Tax scales - NAT 1004'!$A$12:$C$18,3,1)),0)
*13/3,
0),
IF($E$2="Monthly",
ROUND(
ROUND(((TRUNC($AN144*3/13,0)+0.99)*VLOOKUP((TRUNC($AN144*3/13,0)+0.99),'Tax scales - NAT 1004'!$A$12:$C$18,2,1)-VLOOKUP((TRUNC($AN144*3/13,0)+0.99),'Tax scales - NAT 1004'!$A$12:$C$18,3,1)),0)
*13/3,
0),
""))),
""),
"")</f>
        <v/>
      </c>
      <c r="AP144" s="118" t="str">
        <f>IFERROR(
IF(VLOOKUP($C144,'Employee information'!$B:$M,COLUMNS('Employee information'!$B:$M),0)=2,
IF($E$2="Fortnightly",
ROUND(
ROUND((((TRUNC($AN144/2,0)+0.99))*VLOOKUP((TRUNC($AN144/2,0)+0.99),'Tax scales - NAT 1004'!$A$25:$C$33,2,1)-VLOOKUP((TRUNC($AN144/2,0)+0.99),'Tax scales - NAT 1004'!$A$25:$C$33,3,1)),0)
*2,
0),
IF(AND($E$2="Monthly",ROUND($AN144-TRUNC($AN144),2)=0.33),
ROUND(
ROUND(((TRUNC(($AN144+0.01)*3/13,0)+0.99)*VLOOKUP((TRUNC(($AN144+0.01)*3/13,0)+0.99),'Tax scales - NAT 1004'!$A$25:$C$33,2,1)-VLOOKUP((TRUNC(($AN144+0.01)*3/13,0)+0.99),'Tax scales - NAT 1004'!$A$25:$C$33,3,1)),0)
*13/3,
0),
IF($E$2="Monthly",
ROUND(
ROUND(((TRUNC($AN144*3/13,0)+0.99)*VLOOKUP((TRUNC($AN144*3/13,0)+0.99),'Tax scales - NAT 1004'!$A$25:$C$33,2,1)-VLOOKUP((TRUNC($AN144*3/13,0)+0.99),'Tax scales - NAT 1004'!$A$25:$C$33,3,1)),0)
*13/3,
0),
""))),
""),
"")</f>
        <v/>
      </c>
      <c r="AQ144" s="118" t="str">
        <f>IFERROR(
IF(VLOOKUP($C144,'Employee information'!$B:$M,COLUMNS('Employee information'!$B:$M),0)=3,
IF($E$2="Fortnightly",
ROUND(
ROUND((((TRUNC($AN144/2,0)+0.99))*VLOOKUP((TRUNC($AN144/2,0)+0.99),'Tax scales - NAT 1004'!$A$39:$C$41,2,1)-VLOOKUP((TRUNC($AN144/2,0)+0.99),'Tax scales - NAT 1004'!$A$39:$C$41,3,1)),0)
*2,
0),
IF(AND($E$2="Monthly",ROUND($AN144-TRUNC($AN144),2)=0.33),
ROUND(
ROUND(((TRUNC(($AN144+0.01)*3/13,0)+0.99)*VLOOKUP((TRUNC(($AN144+0.01)*3/13,0)+0.99),'Tax scales - NAT 1004'!$A$39:$C$41,2,1)-VLOOKUP((TRUNC(($AN144+0.01)*3/13,0)+0.99),'Tax scales - NAT 1004'!$A$39:$C$41,3,1)),0)
*13/3,
0),
IF($E$2="Monthly",
ROUND(
ROUND(((TRUNC($AN144*3/13,0)+0.99)*VLOOKUP((TRUNC($AN144*3/13,0)+0.99),'Tax scales - NAT 1004'!$A$39:$C$41,2,1)-VLOOKUP((TRUNC($AN144*3/13,0)+0.99),'Tax scales - NAT 1004'!$A$39:$C$41,3,1)),0)
*13/3,
0),
""))),
""),
"")</f>
        <v/>
      </c>
      <c r="AR144" s="118" t="str">
        <f>IFERROR(
IF(AND(VLOOKUP($C144,'Employee information'!$B:$M,COLUMNS('Employee information'!$B:$M),0)=4,
VLOOKUP($C144,'Employee information'!$B:$J,COLUMNS('Employee information'!$B:$J),0)="Resident"),
TRUNC(TRUNC($AN144)*'Tax scales - NAT 1004'!$B$47),
IF(AND(VLOOKUP($C144,'Employee information'!$B:$M,COLUMNS('Employee information'!$B:$M),0)=4,
VLOOKUP($C144,'Employee information'!$B:$J,COLUMNS('Employee information'!$B:$J),0)="Foreign resident"),
TRUNC(TRUNC($AN144)*'Tax scales - NAT 1004'!$B$48),
"")),
"")</f>
        <v/>
      </c>
      <c r="AS144" s="118" t="str">
        <f>IFERROR(
IF(VLOOKUP($C144,'Employee information'!$B:$M,COLUMNS('Employee information'!$B:$M),0)=5,
IF($E$2="Fortnightly",
ROUND(
ROUND((((TRUNC($AN144/2,0)+0.99))*VLOOKUP((TRUNC($AN144/2,0)+0.99),'Tax scales - NAT 1004'!$A$53:$C$59,2,1)-VLOOKUP((TRUNC($AN144/2,0)+0.99),'Tax scales - NAT 1004'!$A$53:$C$59,3,1)),0)
*2,
0),
IF(AND($E$2="Monthly",ROUND($AN144-TRUNC($AN144),2)=0.33),
ROUND(
ROUND(((TRUNC(($AN144+0.01)*3/13,0)+0.99)*VLOOKUP((TRUNC(($AN144+0.01)*3/13,0)+0.99),'Tax scales - NAT 1004'!$A$53:$C$59,2,1)-VLOOKUP((TRUNC(($AN144+0.01)*3/13,0)+0.99),'Tax scales - NAT 1004'!$A$53:$C$59,3,1)),0)
*13/3,
0),
IF($E$2="Monthly",
ROUND(
ROUND(((TRUNC($AN144*3/13,0)+0.99)*VLOOKUP((TRUNC($AN144*3/13,0)+0.99),'Tax scales - NAT 1004'!$A$53:$C$59,2,1)-VLOOKUP((TRUNC($AN144*3/13,0)+0.99),'Tax scales - NAT 1004'!$A$53:$C$59,3,1)),0)
*13/3,
0),
""))),
""),
"")</f>
        <v/>
      </c>
      <c r="AT144" s="118" t="str">
        <f>IFERROR(
IF(VLOOKUP($C144,'Employee information'!$B:$M,COLUMNS('Employee information'!$B:$M),0)=6,
IF($E$2="Fortnightly",
ROUND(
ROUND((((TRUNC($AN144/2,0)+0.99))*VLOOKUP((TRUNC($AN144/2,0)+0.99),'Tax scales - NAT 1004'!$A$65:$C$73,2,1)-VLOOKUP((TRUNC($AN144/2,0)+0.99),'Tax scales - NAT 1004'!$A$65:$C$73,3,1)),0)
*2,
0),
IF(AND($E$2="Monthly",ROUND($AN144-TRUNC($AN144),2)=0.33),
ROUND(
ROUND(((TRUNC(($AN144+0.01)*3/13,0)+0.99)*VLOOKUP((TRUNC(($AN144+0.01)*3/13,0)+0.99),'Tax scales - NAT 1004'!$A$65:$C$73,2,1)-VLOOKUP((TRUNC(($AN144+0.01)*3/13,0)+0.99),'Tax scales - NAT 1004'!$A$65:$C$73,3,1)),0)
*13/3,
0),
IF($E$2="Monthly",
ROUND(
ROUND(((TRUNC($AN144*3/13,0)+0.99)*VLOOKUP((TRUNC($AN144*3/13,0)+0.99),'Tax scales - NAT 1004'!$A$65:$C$73,2,1)-VLOOKUP((TRUNC($AN144*3/13,0)+0.99),'Tax scales - NAT 1004'!$A$65:$C$73,3,1)),0)
*13/3,
0),
""))),
""),
"")</f>
        <v/>
      </c>
      <c r="AU144" s="118" t="str">
        <f>IFERROR(
IF(VLOOKUP($C144,'Employee information'!$B:$M,COLUMNS('Employee information'!$B:$M),0)=11,
IF($E$2="Fortnightly",
ROUND(
ROUND((((TRUNC($AN144/2,0)+0.99))*VLOOKUP((TRUNC($AN144/2,0)+0.99),'Tax scales - NAT 3539'!$A$14:$C$38,2,1)-VLOOKUP((TRUNC($AN144/2,0)+0.99),'Tax scales - NAT 3539'!$A$14:$C$38,3,1)),0)
*2,
0),
IF(AND($E$2="Monthly",ROUND($AN144-TRUNC($AN144),2)=0.33),
ROUND(
ROUND(((TRUNC(($AN144+0.01)*3/13,0)+0.99)*VLOOKUP((TRUNC(($AN144+0.01)*3/13,0)+0.99),'Tax scales - NAT 3539'!$A$14:$C$38,2,1)-VLOOKUP((TRUNC(($AN144+0.01)*3/13,0)+0.99),'Tax scales - NAT 3539'!$A$14:$C$38,3,1)),0)
*13/3,
0),
IF($E$2="Monthly",
ROUND(
ROUND(((TRUNC($AN144*3/13,0)+0.99)*VLOOKUP((TRUNC($AN144*3/13,0)+0.99),'Tax scales - NAT 3539'!$A$14:$C$38,2,1)-VLOOKUP((TRUNC($AN144*3/13,0)+0.99),'Tax scales - NAT 3539'!$A$14:$C$38,3,1)),0)
*13/3,
0),
""))),
""),
"")</f>
        <v/>
      </c>
      <c r="AV144" s="118" t="str">
        <f>IFERROR(
IF(VLOOKUP($C144,'Employee information'!$B:$M,COLUMNS('Employee information'!$B:$M),0)=22,
IF($E$2="Fortnightly",
ROUND(
ROUND((((TRUNC($AN144/2,0)+0.99))*VLOOKUP((TRUNC($AN144/2,0)+0.99),'Tax scales - NAT 3539'!$A$43:$C$69,2,1)-VLOOKUP((TRUNC($AN144/2,0)+0.99),'Tax scales - NAT 3539'!$A$43:$C$69,3,1)),0)
*2,
0),
IF(AND($E$2="Monthly",ROUND($AN144-TRUNC($AN144),2)=0.33),
ROUND(
ROUND(((TRUNC(($AN144+0.01)*3/13,0)+0.99)*VLOOKUP((TRUNC(($AN144+0.01)*3/13,0)+0.99),'Tax scales - NAT 3539'!$A$43:$C$69,2,1)-VLOOKUP((TRUNC(($AN144+0.01)*3/13,0)+0.99),'Tax scales - NAT 3539'!$A$43:$C$69,3,1)),0)
*13/3,
0),
IF($E$2="Monthly",
ROUND(
ROUND(((TRUNC($AN144*3/13,0)+0.99)*VLOOKUP((TRUNC($AN144*3/13,0)+0.99),'Tax scales - NAT 3539'!$A$43:$C$69,2,1)-VLOOKUP((TRUNC($AN144*3/13,0)+0.99),'Tax scales - NAT 3539'!$A$43:$C$69,3,1)),0)
*13/3,
0),
""))),
""),
"")</f>
        <v/>
      </c>
      <c r="AW144" s="118" t="str">
        <f>IFERROR(
IF(VLOOKUP($C144,'Employee information'!$B:$M,COLUMNS('Employee information'!$B:$M),0)=33,
IF($E$2="Fortnightly",
ROUND(
ROUND((((TRUNC($AN144/2,0)+0.99))*VLOOKUP((TRUNC($AN144/2,0)+0.99),'Tax scales - NAT 3539'!$A$74:$C$94,2,1)-VLOOKUP((TRUNC($AN144/2,0)+0.99),'Tax scales - NAT 3539'!$A$74:$C$94,3,1)),0)
*2,
0),
IF(AND($E$2="Monthly",ROUND($AN144-TRUNC($AN144),2)=0.33),
ROUND(
ROUND(((TRUNC(($AN144+0.01)*3/13,0)+0.99)*VLOOKUP((TRUNC(($AN144+0.01)*3/13,0)+0.99),'Tax scales - NAT 3539'!$A$74:$C$94,2,1)-VLOOKUP((TRUNC(($AN144+0.01)*3/13,0)+0.99),'Tax scales - NAT 3539'!$A$74:$C$94,3,1)),0)
*13/3,
0),
IF($E$2="Monthly",
ROUND(
ROUND(((TRUNC($AN144*3/13,0)+0.99)*VLOOKUP((TRUNC($AN144*3/13,0)+0.99),'Tax scales - NAT 3539'!$A$74:$C$94,2,1)-VLOOKUP((TRUNC($AN144*3/13,0)+0.99),'Tax scales - NAT 3539'!$A$74:$C$94,3,1)),0)
*13/3,
0),
""))),
""),
"")</f>
        <v/>
      </c>
      <c r="AX144" s="118" t="str">
        <f>IFERROR(
IF(VLOOKUP($C144,'Employee information'!$B:$M,COLUMNS('Employee information'!$B:$M),0)=55,
IF($E$2="Fortnightly",
ROUND(
ROUND((((TRUNC($AN144/2,0)+0.99))*VLOOKUP((TRUNC($AN144/2,0)+0.99),'Tax scales - NAT 3539'!$A$99:$C$123,2,1)-VLOOKUP((TRUNC($AN144/2,0)+0.99),'Tax scales - NAT 3539'!$A$99:$C$123,3,1)),0)
*2,
0),
IF(AND($E$2="Monthly",ROUND($AN144-TRUNC($AN144),2)=0.33),
ROUND(
ROUND(((TRUNC(($AN144+0.01)*3/13,0)+0.99)*VLOOKUP((TRUNC(($AN144+0.01)*3/13,0)+0.99),'Tax scales - NAT 3539'!$A$99:$C$123,2,1)-VLOOKUP((TRUNC(($AN144+0.01)*3/13,0)+0.99),'Tax scales - NAT 3539'!$A$99:$C$123,3,1)),0)
*13/3,
0),
IF($E$2="Monthly",
ROUND(
ROUND(((TRUNC($AN144*3/13,0)+0.99)*VLOOKUP((TRUNC($AN144*3/13,0)+0.99),'Tax scales - NAT 3539'!$A$99:$C$123,2,1)-VLOOKUP((TRUNC($AN144*3/13,0)+0.99),'Tax scales - NAT 3539'!$A$99:$C$123,3,1)),0)
*13/3,
0),
""))),
""),
"")</f>
        <v/>
      </c>
      <c r="AY144" s="118" t="str">
        <f>IFERROR(
IF(VLOOKUP($C144,'Employee information'!$B:$M,COLUMNS('Employee information'!$B:$M),0)=66,
IF($E$2="Fortnightly",
ROUND(
ROUND((((TRUNC($AN144/2,0)+0.99))*VLOOKUP((TRUNC($AN144/2,0)+0.99),'Tax scales - NAT 3539'!$A$127:$C$154,2,1)-VLOOKUP((TRUNC($AN144/2,0)+0.99),'Tax scales - NAT 3539'!$A$127:$C$154,3,1)),0)
*2,
0),
IF(AND($E$2="Monthly",ROUND($AN144-TRUNC($AN144),2)=0.33),
ROUND(
ROUND(((TRUNC(($AN144+0.01)*3/13,0)+0.99)*VLOOKUP((TRUNC(($AN144+0.01)*3/13,0)+0.99),'Tax scales - NAT 3539'!$A$127:$C$154,2,1)-VLOOKUP((TRUNC(($AN144+0.01)*3/13,0)+0.99),'Tax scales - NAT 3539'!$A$127:$C$154,3,1)),0)
*13/3,
0),
IF($E$2="Monthly",
ROUND(
ROUND(((TRUNC($AN144*3/13,0)+0.99)*VLOOKUP((TRUNC($AN144*3/13,0)+0.99),'Tax scales - NAT 3539'!$A$127:$C$154,2,1)-VLOOKUP((TRUNC($AN144*3/13,0)+0.99),'Tax scales - NAT 3539'!$A$127:$C$154,3,1)),0)
*13/3,
0),
""))),
""),
"")</f>
        <v/>
      </c>
      <c r="AZ144" s="118">
        <f>IFERROR(
HLOOKUP(VLOOKUP($C144,'Employee information'!$B:$M,COLUMNS('Employee information'!$B:$M),0),'PAYG worksheet'!$AO$126:$AY$145,COUNTA($C$127:$C144)+1,0),
0)</f>
        <v>0</v>
      </c>
      <c r="BA144" s="118"/>
      <c r="BB144" s="118">
        <f t="shared" si="139"/>
        <v>0</v>
      </c>
      <c r="BC144" s="119">
        <f>IFERROR(
IF(OR($AE144=1,$AE144=""),SUM($P144,$AA144,$AC144,$AK144)*VLOOKUP($C144,'Employee information'!$B:$Q,COLUMNS('Employee information'!$B:$H),0),
IF($AE144=0,SUM($P144,$AA144,$AK144)*VLOOKUP($C144,'Employee information'!$B:$Q,COLUMNS('Employee information'!$B:$H),0),
0)),
0)</f>
        <v>0</v>
      </c>
      <c r="BE144" s="114">
        <f t="shared" si="124"/>
        <v>0</v>
      </c>
      <c r="BF144" s="114">
        <f t="shared" si="125"/>
        <v>0</v>
      </c>
      <c r="BG144" s="114">
        <f t="shared" si="126"/>
        <v>0</v>
      </c>
      <c r="BH144" s="114">
        <f t="shared" si="127"/>
        <v>0</v>
      </c>
      <c r="BI144" s="114">
        <f t="shared" si="128"/>
        <v>0</v>
      </c>
      <c r="BJ144" s="114">
        <f t="shared" si="129"/>
        <v>0</v>
      </c>
      <c r="BK144" s="114">
        <f t="shared" si="130"/>
        <v>0</v>
      </c>
      <c r="BL144" s="114">
        <f t="shared" si="140"/>
        <v>0</v>
      </c>
      <c r="BM144" s="114">
        <f t="shared" si="131"/>
        <v>0</v>
      </c>
    </row>
    <row r="145" spans="1:65" x14ac:dyDescent="0.25">
      <c r="A145" s="228">
        <f t="shared" si="119"/>
        <v>5</v>
      </c>
      <c r="C145" s="278"/>
      <c r="E145" s="103">
        <f>IF($C145="",0,
IF(AND($E$2="Monthly",$A145&gt;12),0,
IF($E$2="Monthly",VLOOKUP($C145,'Employee information'!$B:$AM,COLUMNS('Employee information'!$B:S),0),
IF($E$2="Fortnightly",VLOOKUP($C145,'Employee information'!$B:$AM,COLUMNS('Employee information'!$B:R),0),
0))))</f>
        <v>0</v>
      </c>
      <c r="F145" s="106"/>
      <c r="G145" s="106"/>
      <c r="H145" s="106"/>
      <c r="I145" s="106"/>
      <c r="J145" s="103">
        <f t="shared" si="132"/>
        <v>0</v>
      </c>
      <c r="L145" s="113">
        <f>IF(AND($E$2="Monthly",$A145&gt;12),"",
IFERROR($J145*VLOOKUP($C145,'Employee information'!$B:$AI,COLUMNS('Employee information'!$B:$P),0),0))</f>
        <v>0</v>
      </c>
      <c r="M145" s="114">
        <f t="shared" si="133"/>
        <v>0</v>
      </c>
      <c r="O145" s="103">
        <f t="shared" si="134"/>
        <v>0</v>
      </c>
      <c r="P145" s="113">
        <f>IFERROR(
IF(AND($E$2="Monthly",$A145&gt;12),0,
$O145*VLOOKUP($C145,'Employee information'!$B:$AI,COLUMNS('Employee information'!$B:$P),0)),
0)</f>
        <v>0</v>
      </c>
      <c r="R145" s="114">
        <f t="shared" si="120"/>
        <v>0</v>
      </c>
      <c r="T145" s="103"/>
      <c r="U145" s="103"/>
      <c r="V145" s="282" t="str">
        <f>IF($C145="","",
IF(AND($E$2="Monthly",$A145&gt;12),"",
$T145*VLOOKUP($C145,'Employee information'!$B:$P,COLUMNS('Employee information'!$B:$P),0)))</f>
        <v/>
      </c>
      <c r="W145" s="282" t="str">
        <f>IF($C145="","",
IF(AND($E$2="Monthly",$A145&gt;12),"",
$U145*VLOOKUP($C145,'Employee information'!$B:$P,COLUMNS('Employee information'!$B:$P),0)))</f>
        <v/>
      </c>
      <c r="X145" s="114">
        <f t="shared" si="121"/>
        <v>0</v>
      </c>
      <c r="Y145" s="114">
        <f t="shared" si="122"/>
        <v>0</v>
      </c>
      <c r="AA145" s="118">
        <f>IFERROR(
IF(OR('Basic payroll data'!$D$12="",'Basic payroll data'!$D$12="No"),0,
$T145*VLOOKUP($C145,'Employee information'!$B:$P,COLUMNS('Employee information'!$B:$P),0)*AL_loading_perc),
0)</f>
        <v>0</v>
      </c>
      <c r="AC145" s="118"/>
      <c r="AD145" s="118"/>
      <c r="AE145" s="283" t="str">
        <f t="shared" si="135"/>
        <v/>
      </c>
      <c r="AF145" s="283" t="str">
        <f t="shared" si="136"/>
        <v/>
      </c>
      <c r="AG145" s="118"/>
      <c r="AH145" s="118"/>
      <c r="AI145" s="283" t="str">
        <f t="shared" si="137"/>
        <v/>
      </c>
      <c r="AJ145" s="118"/>
      <c r="AK145" s="118"/>
      <c r="AM145" s="118">
        <f t="shared" si="138"/>
        <v>0</v>
      </c>
      <c r="AN145" s="118">
        <f t="shared" si="123"/>
        <v>0</v>
      </c>
      <c r="AO145" s="118" t="str">
        <f>IFERROR(
IF(VLOOKUP($C145,'Employee information'!$B:$M,COLUMNS('Employee information'!$B:$M),0)=1,
IF($E$2="Fortnightly",
ROUND(
ROUND((((TRUNC($AN145/2,0)+0.99))*VLOOKUP((TRUNC($AN145/2,0)+0.99),'Tax scales - NAT 1004'!$A$12:$C$18,2,1)-VLOOKUP((TRUNC($AN145/2,0)+0.99),'Tax scales - NAT 1004'!$A$12:$C$18,3,1)),0)
*2,
0),
IF(AND($E$2="Monthly",ROUND($AN145-TRUNC($AN145),2)=0.33),
ROUND(
ROUND(((TRUNC(($AN145+0.01)*3/13,0)+0.99)*VLOOKUP((TRUNC(($AN145+0.01)*3/13,0)+0.99),'Tax scales - NAT 1004'!$A$12:$C$18,2,1)-VLOOKUP((TRUNC(($AN145+0.01)*3/13,0)+0.99),'Tax scales - NAT 1004'!$A$12:$C$18,3,1)),0)
*13/3,
0),
IF($E$2="Monthly",
ROUND(
ROUND(((TRUNC($AN145*3/13,0)+0.99)*VLOOKUP((TRUNC($AN145*3/13,0)+0.99),'Tax scales - NAT 1004'!$A$12:$C$18,2,1)-VLOOKUP((TRUNC($AN145*3/13,0)+0.99),'Tax scales - NAT 1004'!$A$12:$C$18,3,1)),0)
*13/3,
0),
""))),
""),
"")</f>
        <v/>
      </c>
      <c r="AP145" s="118" t="str">
        <f>IFERROR(
IF(VLOOKUP($C145,'Employee information'!$B:$M,COLUMNS('Employee information'!$B:$M),0)=2,
IF($E$2="Fortnightly",
ROUND(
ROUND((((TRUNC($AN145/2,0)+0.99))*VLOOKUP((TRUNC($AN145/2,0)+0.99),'Tax scales - NAT 1004'!$A$25:$C$33,2,1)-VLOOKUP((TRUNC($AN145/2,0)+0.99),'Tax scales - NAT 1004'!$A$25:$C$33,3,1)),0)
*2,
0),
IF(AND($E$2="Monthly",ROUND($AN145-TRUNC($AN145),2)=0.33),
ROUND(
ROUND(((TRUNC(($AN145+0.01)*3/13,0)+0.99)*VLOOKUP((TRUNC(($AN145+0.01)*3/13,0)+0.99),'Tax scales - NAT 1004'!$A$25:$C$33,2,1)-VLOOKUP((TRUNC(($AN145+0.01)*3/13,0)+0.99),'Tax scales - NAT 1004'!$A$25:$C$33,3,1)),0)
*13/3,
0),
IF($E$2="Monthly",
ROUND(
ROUND(((TRUNC($AN145*3/13,0)+0.99)*VLOOKUP((TRUNC($AN145*3/13,0)+0.99),'Tax scales - NAT 1004'!$A$25:$C$33,2,1)-VLOOKUP((TRUNC($AN145*3/13,0)+0.99),'Tax scales - NAT 1004'!$A$25:$C$33,3,1)),0)
*13/3,
0),
""))),
""),
"")</f>
        <v/>
      </c>
      <c r="AQ145" s="118" t="str">
        <f>IFERROR(
IF(VLOOKUP($C145,'Employee information'!$B:$M,COLUMNS('Employee information'!$B:$M),0)=3,
IF($E$2="Fortnightly",
ROUND(
ROUND((((TRUNC($AN145/2,0)+0.99))*VLOOKUP((TRUNC($AN145/2,0)+0.99),'Tax scales - NAT 1004'!$A$39:$C$41,2,1)-VLOOKUP((TRUNC($AN145/2,0)+0.99),'Tax scales - NAT 1004'!$A$39:$C$41,3,1)),0)
*2,
0),
IF(AND($E$2="Monthly",ROUND($AN145-TRUNC($AN145),2)=0.33),
ROUND(
ROUND(((TRUNC(($AN145+0.01)*3/13,0)+0.99)*VLOOKUP((TRUNC(($AN145+0.01)*3/13,0)+0.99),'Tax scales - NAT 1004'!$A$39:$C$41,2,1)-VLOOKUP((TRUNC(($AN145+0.01)*3/13,0)+0.99),'Tax scales - NAT 1004'!$A$39:$C$41,3,1)),0)
*13/3,
0),
IF($E$2="Monthly",
ROUND(
ROUND(((TRUNC($AN145*3/13,0)+0.99)*VLOOKUP((TRUNC($AN145*3/13,0)+0.99),'Tax scales - NAT 1004'!$A$39:$C$41,2,1)-VLOOKUP((TRUNC($AN145*3/13,0)+0.99),'Tax scales - NAT 1004'!$A$39:$C$41,3,1)),0)
*13/3,
0),
""))),
""),
"")</f>
        <v/>
      </c>
      <c r="AR145" s="118" t="str">
        <f>IFERROR(
IF(AND(VLOOKUP($C145,'Employee information'!$B:$M,COLUMNS('Employee information'!$B:$M),0)=4,
VLOOKUP($C145,'Employee information'!$B:$J,COLUMNS('Employee information'!$B:$J),0)="Resident"),
TRUNC(TRUNC($AN145)*'Tax scales - NAT 1004'!$B$47),
IF(AND(VLOOKUP($C145,'Employee information'!$B:$M,COLUMNS('Employee information'!$B:$M),0)=4,
VLOOKUP($C145,'Employee information'!$B:$J,COLUMNS('Employee information'!$B:$J),0)="Foreign resident"),
TRUNC(TRUNC($AN145)*'Tax scales - NAT 1004'!$B$48),
"")),
"")</f>
        <v/>
      </c>
      <c r="AS145" s="118" t="str">
        <f>IFERROR(
IF(VLOOKUP($C145,'Employee information'!$B:$M,COLUMNS('Employee information'!$B:$M),0)=5,
IF($E$2="Fortnightly",
ROUND(
ROUND((((TRUNC($AN145/2,0)+0.99))*VLOOKUP((TRUNC($AN145/2,0)+0.99),'Tax scales - NAT 1004'!$A$53:$C$59,2,1)-VLOOKUP((TRUNC($AN145/2,0)+0.99),'Tax scales - NAT 1004'!$A$53:$C$59,3,1)),0)
*2,
0),
IF(AND($E$2="Monthly",ROUND($AN145-TRUNC($AN145),2)=0.33),
ROUND(
ROUND(((TRUNC(($AN145+0.01)*3/13,0)+0.99)*VLOOKUP((TRUNC(($AN145+0.01)*3/13,0)+0.99),'Tax scales - NAT 1004'!$A$53:$C$59,2,1)-VLOOKUP((TRUNC(($AN145+0.01)*3/13,0)+0.99),'Tax scales - NAT 1004'!$A$53:$C$59,3,1)),0)
*13/3,
0),
IF($E$2="Monthly",
ROUND(
ROUND(((TRUNC($AN145*3/13,0)+0.99)*VLOOKUP((TRUNC($AN145*3/13,0)+0.99),'Tax scales - NAT 1004'!$A$53:$C$59,2,1)-VLOOKUP((TRUNC($AN145*3/13,0)+0.99),'Tax scales - NAT 1004'!$A$53:$C$59,3,1)),0)
*13/3,
0),
""))),
""),
"")</f>
        <v/>
      </c>
      <c r="AT145" s="118" t="str">
        <f>IFERROR(
IF(VLOOKUP($C145,'Employee information'!$B:$M,COLUMNS('Employee information'!$B:$M),0)=6,
IF($E$2="Fortnightly",
ROUND(
ROUND((((TRUNC($AN145/2,0)+0.99))*VLOOKUP((TRUNC($AN145/2,0)+0.99),'Tax scales - NAT 1004'!$A$65:$C$73,2,1)-VLOOKUP((TRUNC($AN145/2,0)+0.99),'Tax scales - NAT 1004'!$A$65:$C$73,3,1)),0)
*2,
0),
IF(AND($E$2="Monthly",ROUND($AN145-TRUNC($AN145),2)=0.33),
ROUND(
ROUND(((TRUNC(($AN145+0.01)*3/13,0)+0.99)*VLOOKUP((TRUNC(($AN145+0.01)*3/13,0)+0.99),'Tax scales - NAT 1004'!$A$65:$C$73,2,1)-VLOOKUP((TRUNC(($AN145+0.01)*3/13,0)+0.99),'Tax scales - NAT 1004'!$A$65:$C$73,3,1)),0)
*13/3,
0),
IF($E$2="Monthly",
ROUND(
ROUND(((TRUNC($AN145*3/13,0)+0.99)*VLOOKUP((TRUNC($AN145*3/13,0)+0.99),'Tax scales - NAT 1004'!$A$65:$C$73,2,1)-VLOOKUP((TRUNC($AN145*3/13,0)+0.99),'Tax scales - NAT 1004'!$A$65:$C$73,3,1)),0)
*13/3,
0),
""))),
""),
"")</f>
        <v/>
      </c>
      <c r="AU145" s="118" t="str">
        <f>IFERROR(
IF(VLOOKUP($C145,'Employee information'!$B:$M,COLUMNS('Employee information'!$B:$M),0)=11,
IF($E$2="Fortnightly",
ROUND(
ROUND((((TRUNC($AN145/2,0)+0.99))*VLOOKUP((TRUNC($AN145/2,0)+0.99),'Tax scales - NAT 3539'!$A$14:$C$38,2,1)-VLOOKUP((TRUNC($AN145/2,0)+0.99),'Tax scales - NAT 3539'!$A$14:$C$38,3,1)),0)
*2,
0),
IF(AND($E$2="Monthly",ROUND($AN145-TRUNC($AN145),2)=0.33),
ROUND(
ROUND(((TRUNC(($AN145+0.01)*3/13,0)+0.99)*VLOOKUP((TRUNC(($AN145+0.01)*3/13,0)+0.99),'Tax scales - NAT 3539'!$A$14:$C$38,2,1)-VLOOKUP((TRUNC(($AN145+0.01)*3/13,0)+0.99),'Tax scales - NAT 3539'!$A$14:$C$38,3,1)),0)
*13/3,
0),
IF($E$2="Monthly",
ROUND(
ROUND(((TRUNC($AN145*3/13,0)+0.99)*VLOOKUP((TRUNC($AN145*3/13,0)+0.99),'Tax scales - NAT 3539'!$A$14:$C$38,2,1)-VLOOKUP((TRUNC($AN145*3/13,0)+0.99),'Tax scales - NAT 3539'!$A$14:$C$38,3,1)),0)
*13/3,
0),
""))),
""),
"")</f>
        <v/>
      </c>
      <c r="AV145" s="118" t="str">
        <f>IFERROR(
IF(VLOOKUP($C145,'Employee information'!$B:$M,COLUMNS('Employee information'!$B:$M),0)=22,
IF($E$2="Fortnightly",
ROUND(
ROUND((((TRUNC($AN145/2,0)+0.99))*VLOOKUP((TRUNC($AN145/2,0)+0.99),'Tax scales - NAT 3539'!$A$43:$C$69,2,1)-VLOOKUP((TRUNC($AN145/2,0)+0.99),'Tax scales - NAT 3539'!$A$43:$C$69,3,1)),0)
*2,
0),
IF(AND($E$2="Monthly",ROUND($AN145-TRUNC($AN145),2)=0.33),
ROUND(
ROUND(((TRUNC(($AN145+0.01)*3/13,0)+0.99)*VLOOKUP((TRUNC(($AN145+0.01)*3/13,0)+0.99),'Tax scales - NAT 3539'!$A$43:$C$69,2,1)-VLOOKUP((TRUNC(($AN145+0.01)*3/13,0)+0.99),'Tax scales - NAT 3539'!$A$43:$C$69,3,1)),0)
*13/3,
0),
IF($E$2="Monthly",
ROUND(
ROUND(((TRUNC($AN145*3/13,0)+0.99)*VLOOKUP((TRUNC($AN145*3/13,0)+0.99),'Tax scales - NAT 3539'!$A$43:$C$69,2,1)-VLOOKUP((TRUNC($AN145*3/13,0)+0.99),'Tax scales - NAT 3539'!$A$43:$C$69,3,1)),0)
*13/3,
0),
""))),
""),
"")</f>
        <v/>
      </c>
      <c r="AW145" s="118" t="str">
        <f>IFERROR(
IF(VLOOKUP($C145,'Employee information'!$B:$M,COLUMNS('Employee information'!$B:$M),0)=33,
IF($E$2="Fortnightly",
ROUND(
ROUND((((TRUNC($AN145/2,0)+0.99))*VLOOKUP((TRUNC($AN145/2,0)+0.99),'Tax scales - NAT 3539'!$A$74:$C$94,2,1)-VLOOKUP((TRUNC($AN145/2,0)+0.99),'Tax scales - NAT 3539'!$A$74:$C$94,3,1)),0)
*2,
0),
IF(AND($E$2="Monthly",ROUND($AN145-TRUNC($AN145),2)=0.33),
ROUND(
ROUND(((TRUNC(($AN145+0.01)*3/13,0)+0.99)*VLOOKUP((TRUNC(($AN145+0.01)*3/13,0)+0.99),'Tax scales - NAT 3539'!$A$74:$C$94,2,1)-VLOOKUP((TRUNC(($AN145+0.01)*3/13,0)+0.99),'Tax scales - NAT 3539'!$A$74:$C$94,3,1)),0)
*13/3,
0),
IF($E$2="Monthly",
ROUND(
ROUND(((TRUNC($AN145*3/13,0)+0.99)*VLOOKUP((TRUNC($AN145*3/13,0)+0.99),'Tax scales - NAT 3539'!$A$74:$C$94,2,1)-VLOOKUP((TRUNC($AN145*3/13,0)+0.99),'Tax scales - NAT 3539'!$A$74:$C$94,3,1)),0)
*13/3,
0),
""))),
""),
"")</f>
        <v/>
      </c>
      <c r="AX145" s="118" t="str">
        <f>IFERROR(
IF(VLOOKUP($C145,'Employee information'!$B:$M,COLUMNS('Employee information'!$B:$M),0)=55,
IF($E$2="Fortnightly",
ROUND(
ROUND((((TRUNC($AN145/2,0)+0.99))*VLOOKUP((TRUNC($AN145/2,0)+0.99),'Tax scales - NAT 3539'!$A$99:$C$123,2,1)-VLOOKUP((TRUNC($AN145/2,0)+0.99),'Tax scales - NAT 3539'!$A$99:$C$123,3,1)),0)
*2,
0),
IF(AND($E$2="Monthly",ROUND($AN145-TRUNC($AN145),2)=0.33),
ROUND(
ROUND(((TRUNC(($AN145+0.01)*3/13,0)+0.99)*VLOOKUP((TRUNC(($AN145+0.01)*3/13,0)+0.99),'Tax scales - NAT 3539'!$A$99:$C$123,2,1)-VLOOKUP((TRUNC(($AN145+0.01)*3/13,0)+0.99),'Tax scales - NAT 3539'!$A$99:$C$123,3,1)),0)
*13/3,
0),
IF($E$2="Monthly",
ROUND(
ROUND(((TRUNC($AN145*3/13,0)+0.99)*VLOOKUP((TRUNC($AN145*3/13,0)+0.99),'Tax scales - NAT 3539'!$A$99:$C$123,2,1)-VLOOKUP((TRUNC($AN145*3/13,0)+0.99),'Tax scales - NAT 3539'!$A$99:$C$123,3,1)),0)
*13/3,
0),
""))),
""),
"")</f>
        <v/>
      </c>
      <c r="AY145" s="118" t="str">
        <f>IFERROR(
IF(VLOOKUP($C145,'Employee information'!$B:$M,COLUMNS('Employee information'!$B:$M),0)=66,
IF($E$2="Fortnightly",
ROUND(
ROUND((((TRUNC($AN145/2,0)+0.99))*VLOOKUP((TRUNC($AN145/2,0)+0.99),'Tax scales - NAT 3539'!$A$127:$C$154,2,1)-VLOOKUP((TRUNC($AN145/2,0)+0.99),'Tax scales - NAT 3539'!$A$127:$C$154,3,1)),0)
*2,
0),
IF(AND($E$2="Monthly",ROUND($AN145-TRUNC($AN145),2)=0.33),
ROUND(
ROUND(((TRUNC(($AN145+0.01)*3/13,0)+0.99)*VLOOKUP((TRUNC(($AN145+0.01)*3/13,0)+0.99),'Tax scales - NAT 3539'!$A$127:$C$154,2,1)-VLOOKUP((TRUNC(($AN145+0.01)*3/13,0)+0.99),'Tax scales - NAT 3539'!$A$127:$C$154,3,1)),0)
*13/3,
0),
IF($E$2="Monthly",
ROUND(
ROUND(((TRUNC($AN145*3/13,0)+0.99)*VLOOKUP((TRUNC($AN145*3/13,0)+0.99),'Tax scales - NAT 3539'!$A$127:$C$154,2,1)-VLOOKUP((TRUNC($AN145*3/13,0)+0.99),'Tax scales - NAT 3539'!$A$127:$C$154,3,1)),0)
*13/3,
0),
""))),
""),
"")</f>
        <v/>
      </c>
      <c r="AZ145" s="118">
        <f>IFERROR(
HLOOKUP(VLOOKUP($C145,'Employee information'!$B:$M,COLUMNS('Employee information'!$B:$M),0),'PAYG worksheet'!$AO$126:$AY$145,COUNTA($C$127:$C145)+1,0),
0)</f>
        <v>0</v>
      </c>
      <c r="BA145" s="118"/>
      <c r="BB145" s="118">
        <f t="shared" si="139"/>
        <v>0</v>
      </c>
      <c r="BC145" s="119">
        <f>IFERROR(
IF(OR($AE145=1,$AE145=""),SUM($P145,$AA145,$AC145,$AK145)*VLOOKUP($C145,'Employee information'!$B:$Q,COLUMNS('Employee information'!$B:$H),0),
IF($AE145=0,SUM($P145,$AA145,$AK145)*VLOOKUP($C145,'Employee information'!$B:$Q,COLUMNS('Employee information'!$B:$H),0),
0)),
0)</f>
        <v>0</v>
      </c>
      <c r="BE145" s="114">
        <f t="shared" si="124"/>
        <v>0</v>
      </c>
      <c r="BF145" s="114">
        <f t="shared" si="125"/>
        <v>0</v>
      </c>
      <c r="BG145" s="114">
        <f t="shared" si="126"/>
        <v>0</v>
      </c>
      <c r="BH145" s="114">
        <f t="shared" si="127"/>
        <v>0</v>
      </c>
      <c r="BI145" s="114">
        <f t="shared" si="128"/>
        <v>0</v>
      </c>
      <c r="BJ145" s="114">
        <f t="shared" si="129"/>
        <v>0</v>
      </c>
      <c r="BK145" s="114">
        <f t="shared" si="130"/>
        <v>0</v>
      </c>
      <c r="BL145" s="114">
        <f t="shared" si="140"/>
        <v>0</v>
      </c>
      <c r="BM145" s="114">
        <f t="shared" si="131"/>
        <v>0</v>
      </c>
    </row>
    <row r="146" spans="1:65" x14ac:dyDescent="0.25">
      <c r="C146" s="284" t="s">
        <v>39</v>
      </c>
      <c r="D146" s="223"/>
      <c r="E146" s="111">
        <f>SUM(E127:E145)</f>
        <v>345</v>
      </c>
      <c r="F146" s="112">
        <f t="shared" ref="F146:H146" si="141">SUM(F127:F145)</f>
        <v>0</v>
      </c>
      <c r="G146" s="112">
        <f t="shared" si="141"/>
        <v>0</v>
      </c>
      <c r="H146" s="112">
        <f t="shared" si="141"/>
        <v>0</v>
      </c>
      <c r="I146" s="112"/>
      <c r="J146" s="111">
        <f t="shared" ref="J146" si="142">SUM(J127:J145)</f>
        <v>345</v>
      </c>
      <c r="K146" s="223"/>
      <c r="L146" s="115">
        <f>SUM(L127:L145)</f>
        <v>19122.576396206536</v>
      </c>
      <c r="M146" s="115">
        <f>SUM(M127:M145)</f>
        <v>98128.266596417263</v>
      </c>
      <c r="N146" s="223"/>
      <c r="O146" s="116">
        <f>SUM(O127:O145)</f>
        <v>345</v>
      </c>
      <c r="P146" s="117">
        <f>SUM(P127:P145)</f>
        <v>19122.576396206536</v>
      </c>
      <c r="R146" s="117">
        <f>SUM(R127:R145)</f>
        <v>98128.266596417263</v>
      </c>
      <c r="S146" s="223"/>
      <c r="T146" s="116">
        <f>SUM(T127:T145)</f>
        <v>0</v>
      </c>
      <c r="U146" s="116">
        <f t="shared" ref="U146:Y146" si="143">SUM(U127:U145)</f>
        <v>0</v>
      </c>
      <c r="V146" s="285">
        <f t="shared" si="143"/>
        <v>0</v>
      </c>
      <c r="W146" s="285">
        <f t="shared" si="143"/>
        <v>0</v>
      </c>
      <c r="X146" s="285">
        <f t="shared" si="143"/>
        <v>1538.4615384615386</v>
      </c>
      <c r="Y146" s="285">
        <f t="shared" si="143"/>
        <v>801.28205128205127</v>
      </c>
      <c r="Z146" s="223"/>
      <c r="AA146" s="117">
        <f t="shared" ref="AA146" si="144">SUM(AA127:AA145)</f>
        <v>0</v>
      </c>
      <c r="AC146" s="117">
        <f t="shared" ref="AC146" si="145">SUM(AC127:AC145)</f>
        <v>0</v>
      </c>
      <c r="AD146" s="117"/>
      <c r="AE146" s="117"/>
      <c r="AF146" s="117"/>
      <c r="AG146" s="117">
        <f t="shared" ref="AG146" si="146">SUM(AG127:AG145)</f>
        <v>0</v>
      </c>
      <c r="AH146" s="117"/>
      <c r="AI146" s="117"/>
      <c r="AJ146" s="117">
        <f>SUM(AJ127:AJ145)</f>
        <v>0</v>
      </c>
      <c r="AK146" s="117">
        <f>SUM(AK127:AK145)</f>
        <v>0</v>
      </c>
      <c r="AM146" s="117">
        <f t="shared" ref="AM146:AN146" si="147">SUM(AM127:AM145)</f>
        <v>19122.576396206536</v>
      </c>
      <c r="AN146" s="117">
        <f t="shared" si="147"/>
        <v>19122.576396206536</v>
      </c>
      <c r="AO146" s="117"/>
      <c r="AP146" s="117"/>
      <c r="AQ146" s="117"/>
      <c r="AR146" s="117"/>
      <c r="AS146" s="117"/>
      <c r="AT146" s="117"/>
      <c r="AU146" s="117"/>
      <c r="AV146" s="117"/>
      <c r="AW146" s="117"/>
      <c r="AX146" s="117"/>
      <c r="AY146" s="117"/>
      <c r="AZ146" s="117">
        <f>SUM(AZ127:AZ145)</f>
        <v>7481</v>
      </c>
      <c r="BA146" s="117">
        <f>SUM(BA127:BA145)</f>
        <v>0</v>
      </c>
      <c r="BB146" s="117">
        <f>SUM(BB127:BB145)</f>
        <v>11641.576396206534</v>
      </c>
      <c r="BC146" s="117">
        <f t="shared" ref="BC146" si="148">SUM(BC127:BC145)</f>
        <v>1816.6447576396208</v>
      </c>
      <c r="BD146" s="136"/>
      <c r="BE146" s="117">
        <f t="shared" ref="BE146:BM146" si="149">SUM(BE127:BE145)</f>
        <v>98368.266596417263</v>
      </c>
      <c r="BF146" s="117">
        <f t="shared" si="149"/>
        <v>98228.266596417263</v>
      </c>
      <c r="BG146" s="117">
        <f t="shared" si="149"/>
        <v>0</v>
      </c>
      <c r="BH146" s="117">
        <f t="shared" si="149"/>
        <v>140</v>
      </c>
      <c r="BI146" s="117">
        <f t="shared" si="149"/>
        <v>38219</v>
      </c>
      <c r="BJ146" s="117">
        <f t="shared" si="149"/>
        <v>0</v>
      </c>
      <c r="BK146" s="117">
        <f t="shared" si="149"/>
        <v>0</v>
      </c>
      <c r="BL146" s="117">
        <f t="shared" si="149"/>
        <v>100</v>
      </c>
      <c r="BM146" s="117">
        <f t="shared" si="149"/>
        <v>9331.6853266596427</v>
      </c>
    </row>
    <row r="148" spans="1:65" x14ac:dyDescent="0.25">
      <c r="B148" s="228">
        <v>6</v>
      </c>
      <c r="C148" s="230" t="s">
        <v>2</v>
      </c>
      <c r="E148" s="232">
        <v>44166</v>
      </c>
      <c r="F148" s="148" t="s">
        <v>91</v>
      </c>
      <c r="L148" s="286"/>
      <c r="T148" s="127"/>
      <c r="U148" s="127"/>
      <c r="V148" s="127"/>
      <c r="W148" s="127"/>
      <c r="X148" s="127"/>
      <c r="Y148" s="127"/>
    </row>
    <row r="149" spans="1:65" x14ac:dyDescent="0.25">
      <c r="C149" s="230" t="s">
        <v>3</v>
      </c>
      <c r="E149" s="232">
        <v>44196</v>
      </c>
      <c r="F149" s="148" t="s">
        <v>90</v>
      </c>
      <c r="G149" s="229"/>
      <c r="H149" s="229"/>
      <c r="I149" s="229"/>
      <c r="J149" s="229"/>
      <c r="L149" s="164"/>
      <c r="T149" s="127"/>
      <c r="U149" s="127"/>
      <c r="V149" s="127"/>
      <c r="W149" s="127"/>
      <c r="X149" s="127"/>
      <c r="Y149" s="127"/>
    </row>
    <row r="150" spans="1:65" x14ac:dyDescent="0.25">
      <c r="C150" s="233"/>
    </row>
    <row r="151" spans="1:65" ht="34.5" customHeight="1" x14ac:dyDescent="0.25">
      <c r="C151" s="234"/>
      <c r="D151" s="235"/>
      <c r="E151" s="441" t="s">
        <v>4</v>
      </c>
      <c r="F151" s="442"/>
      <c r="G151" s="442"/>
      <c r="H151" s="442"/>
      <c r="I151" s="442"/>
      <c r="J151" s="443"/>
      <c r="L151" s="444" t="s">
        <v>253</v>
      </c>
      <c r="M151" s="445"/>
      <c r="N151" s="235"/>
      <c r="O151" s="444" t="s">
        <v>148</v>
      </c>
      <c r="P151" s="445"/>
      <c r="R151" s="235"/>
      <c r="T151" s="446" t="s">
        <v>269</v>
      </c>
      <c r="U151" s="447"/>
      <c r="V151" s="447"/>
      <c r="W151" s="447"/>
      <c r="X151" s="447"/>
      <c r="Y151" s="447"/>
      <c r="Z151" s="447"/>
      <c r="AA151" s="447"/>
      <c r="AC151" s="438" t="s">
        <v>274</v>
      </c>
      <c r="AD151" s="438"/>
      <c r="AE151" s="438"/>
      <c r="AF151" s="438"/>
      <c r="AG151" s="438"/>
      <c r="AH151" s="438"/>
      <c r="AI151" s="438"/>
      <c r="AJ151" s="438"/>
      <c r="AK151" s="438"/>
      <c r="AM151" s="439" t="s">
        <v>270</v>
      </c>
      <c r="AN151" s="439"/>
      <c r="AO151" s="439"/>
      <c r="AP151" s="439"/>
      <c r="AQ151" s="439"/>
      <c r="AR151" s="439"/>
      <c r="AS151" s="439"/>
      <c r="AT151" s="439"/>
      <c r="AU151" s="439"/>
      <c r="AV151" s="439"/>
      <c r="AW151" s="439"/>
      <c r="AX151" s="439"/>
      <c r="AY151" s="439"/>
      <c r="AZ151" s="439"/>
      <c r="BA151" s="439"/>
      <c r="BB151" s="439"/>
      <c r="BC151" s="440"/>
      <c r="BE151" s="439" t="s">
        <v>246</v>
      </c>
      <c r="BF151" s="439"/>
      <c r="BG151" s="439"/>
      <c r="BH151" s="439"/>
      <c r="BI151" s="439"/>
      <c r="BJ151" s="439"/>
      <c r="BK151" s="439"/>
      <c r="BL151" s="439"/>
      <c r="BM151" s="439"/>
    </row>
    <row r="152" spans="1:65" x14ac:dyDescent="0.25">
      <c r="C152" s="236"/>
      <c r="E152" s="229"/>
      <c r="F152" s="229"/>
      <c r="G152" s="229"/>
      <c r="H152" s="229"/>
      <c r="I152" s="229"/>
      <c r="J152" s="229"/>
      <c r="L152" s="164"/>
      <c r="O152" s="229"/>
      <c r="P152" s="164"/>
      <c r="T152" s="127"/>
      <c r="U152" s="127"/>
      <c r="V152" s="127"/>
      <c r="W152" s="127"/>
      <c r="X152" s="127"/>
      <c r="Y152" s="127"/>
      <c r="AA152" s="229"/>
      <c r="AC152" s="229"/>
      <c r="AD152" s="229"/>
      <c r="AE152" s="229"/>
      <c r="AF152" s="229"/>
      <c r="AG152" s="229"/>
      <c r="AH152" s="229"/>
      <c r="AI152" s="229"/>
      <c r="AJ152" s="229"/>
      <c r="AK152" s="127"/>
      <c r="AM152" s="229"/>
      <c r="AN152" s="229"/>
      <c r="AO152" s="229"/>
      <c r="AP152" s="229"/>
      <c r="AQ152" s="229"/>
      <c r="AR152" s="229"/>
      <c r="AS152" s="229"/>
      <c r="AT152" s="229"/>
      <c r="AU152" s="229"/>
      <c r="AV152" s="229"/>
      <c r="AW152" s="229"/>
      <c r="AX152" s="229"/>
      <c r="AY152" s="229"/>
      <c r="AZ152" s="229"/>
      <c r="BA152" s="229"/>
      <c r="BB152" s="229"/>
      <c r="BC152" s="229"/>
    </row>
    <row r="153" spans="1:65" ht="60" x14ac:dyDescent="0.25">
      <c r="C153" s="238" t="s">
        <v>5</v>
      </c>
      <c r="D153" s="239"/>
      <c r="E153" s="240" t="s">
        <v>268</v>
      </c>
      <c r="F153" s="241" t="s">
        <v>271</v>
      </c>
      <c r="G153" s="242" t="s">
        <v>267</v>
      </c>
      <c r="H153" s="243" t="s">
        <v>266</v>
      </c>
      <c r="I153" s="242" t="s">
        <v>265</v>
      </c>
      <c r="J153" s="244" t="s">
        <v>6</v>
      </c>
      <c r="L153" s="245" t="s">
        <v>7</v>
      </c>
      <c r="M153" s="246" t="s">
        <v>254</v>
      </c>
      <c r="N153" s="247"/>
      <c r="O153" s="248" t="s">
        <v>272</v>
      </c>
      <c r="P153" s="249" t="s">
        <v>200</v>
      </c>
      <c r="R153" s="250" t="s">
        <v>151</v>
      </c>
      <c r="T153" s="251" t="s">
        <v>8</v>
      </c>
      <c r="U153" s="252" t="s">
        <v>9</v>
      </c>
      <c r="V153" s="252" t="s">
        <v>120</v>
      </c>
      <c r="W153" s="252" t="s">
        <v>121</v>
      </c>
      <c r="X153" s="253" t="s">
        <v>118</v>
      </c>
      <c r="Y153" s="254" t="s">
        <v>119</v>
      </c>
      <c r="AA153" s="255" t="s">
        <v>84</v>
      </c>
      <c r="AC153" s="256" t="s">
        <v>142</v>
      </c>
      <c r="AD153" s="256" t="s">
        <v>138</v>
      </c>
      <c r="AE153" s="257" t="s">
        <v>147</v>
      </c>
      <c r="AF153" s="257" t="s">
        <v>149</v>
      </c>
      <c r="AG153" s="256" t="s">
        <v>305</v>
      </c>
      <c r="AH153" s="256" t="s">
        <v>306</v>
      </c>
      <c r="AI153" s="257" t="s">
        <v>150</v>
      </c>
      <c r="AJ153" s="258" t="s">
        <v>250</v>
      </c>
      <c r="AK153" s="259" t="s">
        <v>373</v>
      </c>
      <c r="AM153" s="260" t="s">
        <v>256</v>
      </c>
      <c r="AN153" s="261" t="s">
        <v>372</v>
      </c>
      <c r="AO153" s="253" t="s">
        <v>170</v>
      </c>
      <c r="AP153" s="253" t="s">
        <v>171</v>
      </c>
      <c r="AQ153" s="253" t="s">
        <v>172</v>
      </c>
      <c r="AR153" s="253" t="s">
        <v>173</v>
      </c>
      <c r="AS153" s="253" t="s">
        <v>174</v>
      </c>
      <c r="AT153" s="253" t="s">
        <v>175</v>
      </c>
      <c r="AU153" s="262" t="s">
        <v>210</v>
      </c>
      <c r="AV153" s="262" t="s">
        <v>211</v>
      </c>
      <c r="AW153" s="262" t="s">
        <v>212</v>
      </c>
      <c r="AX153" s="262" t="s">
        <v>213</v>
      </c>
      <c r="AY153" s="263" t="s">
        <v>214</v>
      </c>
      <c r="AZ153" s="264" t="s">
        <v>111</v>
      </c>
      <c r="BA153" s="265" t="s">
        <v>199</v>
      </c>
      <c r="BB153" s="252" t="s">
        <v>223</v>
      </c>
      <c r="BC153" s="260" t="s">
        <v>112</v>
      </c>
      <c r="BE153" s="260" t="s">
        <v>257</v>
      </c>
      <c r="BF153" s="266" t="s">
        <v>255</v>
      </c>
      <c r="BG153" s="262" t="s">
        <v>247</v>
      </c>
      <c r="BH153" s="262" t="s">
        <v>248</v>
      </c>
      <c r="BI153" s="260" t="s">
        <v>249</v>
      </c>
      <c r="BJ153" s="253" t="s">
        <v>199</v>
      </c>
      <c r="BK153" s="262" t="s">
        <v>251</v>
      </c>
      <c r="BL153" s="259" t="s">
        <v>373</v>
      </c>
      <c r="BM153" s="260" t="s">
        <v>252</v>
      </c>
    </row>
    <row r="154" spans="1:65" x14ac:dyDescent="0.25">
      <c r="T154" s="120"/>
      <c r="U154" s="120"/>
      <c r="V154" s="120"/>
      <c r="W154" s="120"/>
      <c r="X154" s="120"/>
      <c r="Y154" s="120"/>
      <c r="AM154" s="267" t="s">
        <v>322</v>
      </c>
      <c r="AN154" s="237"/>
      <c r="AO154" s="237"/>
      <c r="AP154" s="237"/>
      <c r="AQ154" s="237"/>
      <c r="AR154" s="237"/>
      <c r="AS154" s="237"/>
      <c r="AT154" s="237"/>
      <c r="AU154" s="237"/>
      <c r="AV154" s="237"/>
      <c r="AW154" s="237"/>
      <c r="AX154" s="237"/>
      <c r="AY154" s="237"/>
      <c r="AZ154" s="436" t="s">
        <v>320</v>
      </c>
      <c r="BA154" s="437"/>
      <c r="BB154" s="237"/>
      <c r="BC154" s="267" t="s">
        <v>321</v>
      </c>
    </row>
    <row r="155" spans="1:65" x14ac:dyDescent="0.25">
      <c r="A155" s="228">
        <f t="shared" ref="A155:A174" si="150">IF($E$149="","",$B$148)</f>
        <v>6</v>
      </c>
      <c r="C155" s="268"/>
      <c r="D155" s="239"/>
      <c r="E155" s="269"/>
      <c r="F155" s="270"/>
      <c r="G155" s="271"/>
      <c r="H155" s="272"/>
      <c r="I155" s="271"/>
      <c r="J155" s="273"/>
      <c r="O155" s="274"/>
      <c r="P155" s="247"/>
      <c r="T155" s="271"/>
      <c r="U155" s="271"/>
      <c r="V155" s="275"/>
      <c r="W155" s="269"/>
      <c r="X155" s="269"/>
      <c r="Y155" s="269"/>
      <c r="AA155" s="271"/>
      <c r="AC155" s="271"/>
      <c r="AD155" s="271"/>
      <c r="AE155" s="271"/>
      <c r="AF155" s="271"/>
      <c r="AG155" s="271"/>
      <c r="AH155" s="271"/>
      <c r="AI155" s="271"/>
      <c r="AJ155" s="271"/>
      <c r="AK155" s="275"/>
      <c r="AM155" s="271"/>
      <c r="AN155" s="271"/>
      <c r="AO155" s="276">
        <v>1</v>
      </c>
      <c r="AP155" s="276">
        <v>2</v>
      </c>
      <c r="AQ155" s="276">
        <v>3</v>
      </c>
      <c r="AR155" s="277">
        <v>4</v>
      </c>
      <c r="AS155" s="276">
        <v>5</v>
      </c>
      <c r="AT155" s="276">
        <v>6</v>
      </c>
      <c r="AU155" s="276">
        <v>11</v>
      </c>
      <c r="AV155" s="276">
        <v>22</v>
      </c>
      <c r="AW155" s="276">
        <v>33</v>
      </c>
      <c r="AX155" s="276">
        <v>55</v>
      </c>
      <c r="AY155" s="276">
        <v>66</v>
      </c>
      <c r="AZ155" s="271"/>
      <c r="BA155" s="271"/>
      <c r="BB155" s="271"/>
      <c r="BC155" s="273"/>
    </row>
    <row r="156" spans="1:65" x14ac:dyDescent="0.25">
      <c r="A156" s="228">
        <f t="shared" si="150"/>
        <v>6</v>
      </c>
      <c r="C156" s="278" t="s">
        <v>12</v>
      </c>
      <c r="E156" s="103">
        <f>IF($C156="",0,
IF(AND($E$2="Monthly",$A156&gt;12),0,
IF($E$2="Monthly",VLOOKUP($C156,'Employee information'!$B:$AM,COLUMNS('Employee information'!$B:S),0),
IF($E$2="Fortnightly",VLOOKUP($C156,'Employee information'!$B:$AM,COLUMNS('Employee information'!$B:R),0),
0))))</f>
        <v>75</v>
      </c>
      <c r="F156" s="279"/>
      <c r="G156" s="106"/>
      <c r="H156" s="280"/>
      <c r="I156" s="106"/>
      <c r="J156" s="103">
        <f>IF($E$2="Monthly",
IF(AND($E$2="Monthly",$H156&lt;&gt;""),$H156,
IF(AND($E$2="Monthly",$E156=0),SUM($F156:$G156),
$E156)),
IF($E$2="Fortnightly",
IF(AND($E$2="Fortnightly",$H156&lt;&gt;""),$H156,
IF(AND($E$2="Fortnightly",$F156&lt;&gt;"",$E156&lt;&gt;0),$F156,
IF(AND($E$2="Fortnightly",$E156=0),SUM($F156:$G156),
$E156)))))</f>
        <v>75</v>
      </c>
      <c r="L156" s="113">
        <f>IF(AND($E$2="Monthly",$A156&gt;12),"",
IFERROR($J156*VLOOKUP($C156,'Employee information'!$B:$AI,COLUMNS('Employee information'!$B:$P),0),0))</f>
        <v>3697.576396206533</v>
      </c>
      <c r="M156" s="114">
        <f>IF(AND($E$2="Monthly",$A156&gt;12),"",
SUMIFS($L:$L,$C:$C,$C156,$A:$A,"&lt;="&amp;$A156)
)</f>
        <v>22185.458377239196</v>
      </c>
      <c r="O156" s="103">
        <f>IF($E$2="Monthly",
IF(AND($E$2="Monthly",$H156&lt;&gt;""),$H156,
IF(AND($E$2="Monthly",$E156=0),$F156,
$E156)),
IF($E$2="Fortnightly",
IF(AND($E$2="Fortnightly",$H156&lt;&gt;""),$H156,
IF(AND($E$2="Fortnightly",$F156&lt;&gt;"",$E156&lt;&gt;0),$F156,
IF(AND($E$2="Fortnightly",$E156=0),$F156,
$E156)))))</f>
        <v>75</v>
      </c>
      <c r="P156" s="113">
        <f>IFERROR(
IF(AND($E$2="Monthly",$A156&gt;12),0,
$O156*VLOOKUP($C156,'Employee information'!$B:$AI,COLUMNS('Employee information'!$B:$P),0)),
0)</f>
        <v>3697.576396206533</v>
      </c>
      <c r="R156" s="114">
        <f t="shared" ref="R156:R174" si="151">IF(AND($E$2="Monthly",$A156&gt;12),"",
SUMIFS($P:$P,$C:$C,$C156,$A:$A,"&lt;="&amp;$A156)
)</f>
        <v>22185.458377239196</v>
      </c>
      <c r="T156" s="281"/>
      <c r="U156" s="103"/>
      <c r="V156" s="282">
        <f>IF($C156="","",
IF(AND($E$2="Monthly",$A156&gt;12),"",
$T156*VLOOKUP($C156,'Employee information'!$B:$P,COLUMNS('Employee information'!$B:$P),0)))</f>
        <v>0</v>
      </c>
      <c r="W156" s="282">
        <f>IF($C156="","",
IF(AND($E$2="Monthly",$A156&gt;12),"",
$U156*VLOOKUP($C156,'Employee information'!$B:$P,COLUMNS('Employee information'!$B:$P),0)))</f>
        <v>0</v>
      </c>
      <c r="X156" s="114">
        <f t="shared" ref="X156:X174" si="152">IF(AND($E$2="Monthly",$A156&gt;12),"",
SUMIFS($V:$V,$C:$C,$C156,$A:$A,"&lt;="&amp;$A156)
)</f>
        <v>0</v>
      </c>
      <c r="Y156" s="114">
        <f t="shared" ref="Y156:Y174" si="153">IF(AND($E$2="Monthly",$A156&gt;12),"",
SUMIFS($W:$W,$C:$C,$C156,$A:$A,"&lt;="&amp;$A156)
)</f>
        <v>0</v>
      </c>
      <c r="AA156" s="118">
        <f>IFERROR(
IF(OR('Basic payroll data'!$D$12="",'Basic payroll data'!$D$12="No"),0,
$T156*VLOOKUP($C156,'Employee information'!$B:$P,COLUMNS('Employee information'!$B:$P),0)*AL_loading_perc),
0)</f>
        <v>0</v>
      </c>
      <c r="AC156" s="118"/>
      <c r="AD156" s="118"/>
      <c r="AE156" s="283" t="str">
        <f>IF(LEFT($AD156,6)="Is OTE",1,
IF(LEFT($AD156,10)="Is not OTE",0,
""))</f>
        <v/>
      </c>
      <c r="AF156" s="283" t="str">
        <f>IF(RIGHT($AD156,12)="tax withheld",1,
IF(RIGHT($AD156,16)="tax not withheld",0,
""))</f>
        <v/>
      </c>
      <c r="AG156" s="118"/>
      <c r="AH156" s="118"/>
      <c r="AI156" s="283" t="str">
        <f>IF($AH156="FBT",0,
IF($AH156="Not FBT",1,
""))</f>
        <v/>
      </c>
      <c r="AJ156" s="118"/>
      <c r="AK156" s="118"/>
      <c r="AM156" s="118">
        <f>SUM($L156,$AA156,$AC156,$AG156,$AK156)-$AJ156</f>
        <v>3697.576396206533</v>
      </c>
      <c r="AN156" s="118">
        <f t="shared" ref="AN156:AN174" si="154">IF(AND(OR($AF156=1,$AF156=""),OR($AI156=1,$AI156="")),SUM($L156,$AA156,$AC156,$AG156,$AK156)-$AJ156,
IF(AND(OR($AF156=1,$AF156=""),$AI156=0),SUM($L156,$AA156,$AC156,$AK156)-$AJ156,
IF(AND($AF156=0,OR($AI156=1,$AI156="")),SUM($L156,$AA156,$AG156,$AK156)-$AJ156,
IF(AND($AF156=0,$AI156=0),SUM($L156,$AA156,$AK156)-$AJ156,
""))))</f>
        <v>3697.576396206533</v>
      </c>
      <c r="AO156" s="118" t="str">
        <f>IFERROR(
IF(VLOOKUP($C156,'Employee information'!$B:$M,COLUMNS('Employee information'!$B:$M),0)=1,
IF($E$2="Fortnightly",
ROUND(
ROUND((((TRUNC($AN156/2,0)+0.99))*VLOOKUP((TRUNC($AN156/2,0)+0.99),'Tax scales - NAT 1004'!$A$12:$C$18,2,1)-VLOOKUP((TRUNC($AN156/2,0)+0.99),'Tax scales - NAT 1004'!$A$12:$C$18,3,1)),0)
*2,
0),
IF(AND($E$2="Monthly",ROUND($AN156-TRUNC($AN156),2)=0.33),
ROUND(
ROUND(((TRUNC(($AN156+0.01)*3/13,0)+0.99)*VLOOKUP((TRUNC(($AN156+0.01)*3/13,0)+0.99),'Tax scales - NAT 1004'!$A$12:$C$18,2,1)-VLOOKUP((TRUNC(($AN156+0.01)*3/13,0)+0.99),'Tax scales - NAT 1004'!$A$12:$C$18,3,1)),0)
*13/3,
0),
IF($E$2="Monthly",
ROUND(
ROUND(((TRUNC($AN156*3/13,0)+0.99)*VLOOKUP((TRUNC($AN156*3/13,0)+0.99),'Tax scales - NAT 1004'!$A$12:$C$18,2,1)-VLOOKUP((TRUNC($AN156*3/13,0)+0.99),'Tax scales - NAT 1004'!$A$12:$C$18,3,1)),0)
*13/3,
0),
""))),
""),
"")</f>
        <v/>
      </c>
      <c r="AP156" s="118" t="str">
        <f>IFERROR(
IF(VLOOKUP($C156,'Employee information'!$B:$M,COLUMNS('Employee information'!$B:$M),0)=2,
IF($E$2="Fortnightly",
ROUND(
ROUND((((TRUNC($AN156/2,0)+0.99))*VLOOKUP((TRUNC($AN156/2,0)+0.99),'Tax scales - NAT 1004'!$A$25:$C$33,2,1)-VLOOKUP((TRUNC($AN156/2,0)+0.99),'Tax scales - NAT 1004'!$A$25:$C$33,3,1)),0)
*2,
0),
IF(AND($E$2="Monthly",ROUND($AN156-TRUNC($AN156),2)=0.33),
ROUND(
ROUND(((TRUNC(($AN156+0.01)*3/13,0)+0.99)*VLOOKUP((TRUNC(($AN156+0.01)*3/13,0)+0.99),'Tax scales - NAT 1004'!$A$25:$C$33,2,1)-VLOOKUP((TRUNC(($AN156+0.01)*3/13,0)+0.99),'Tax scales - NAT 1004'!$A$25:$C$33,3,1)),0)
*13/3,
0),
IF($E$2="Monthly",
ROUND(
ROUND(((TRUNC($AN156*3/13,0)+0.99)*VLOOKUP((TRUNC($AN156*3/13,0)+0.99),'Tax scales - NAT 1004'!$A$25:$C$33,2,1)-VLOOKUP((TRUNC($AN156*3/13,0)+0.99),'Tax scales - NAT 1004'!$A$25:$C$33,3,1)),0)
*13/3,
0),
""))),
""),
"")</f>
        <v/>
      </c>
      <c r="AQ156" s="118" t="str">
        <f>IFERROR(
IF(VLOOKUP($C156,'Employee information'!$B:$M,COLUMNS('Employee information'!$B:$M),0)=3,
IF($E$2="Fortnightly",
ROUND(
ROUND((((TRUNC($AN156/2,0)+0.99))*VLOOKUP((TRUNC($AN156/2,0)+0.99),'Tax scales - NAT 1004'!$A$39:$C$41,2,1)-VLOOKUP((TRUNC($AN156/2,0)+0.99),'Tax scales - NAT 1004'!$A$39:$C$41,3,1)),0)
*2,
0),
IF(AND($E$2="Monthly",ROUND($AN156-TRUNC($AN156),2)=0.33),
ROUND(
ROUND(((TRUNC(($AN156+0.01)*3/13,0)+0.99)*VLOOKUP((TRUNC(($AN156+0.01)*3/13,0)+0.99),'Tax scales - NAT 1004'!$A$39:$C$41,2,1)-VLOOKUP((TRUNC(($AN156+0.01)*3/13,0)+0.99),'Tax scales - NAT 1004'!$A$39:$C$41,3,1)),0)
*13/3,
0),
IF($E$2="Monthly",
ROUND(
ROUND(((TRUNC($AN156*3/13,0)+0.99)*VLOOKUP((TRUNC($AN156*3/13,0)+0.99),'Tax scales - NAT 1004'!$A$39:$C$41,2,1)-VLOOKUP((TRUNC($AN156*3/13,0)+0.99),'Tax scales - NAT 1004'!$A$39:$C$41,3,1)),0)
*13/3,
0),
""))),
""),
"")</f>
        <v/>
      </c>
      <c r="AR156" s="118" t="str">
        <f>IFERROR(
IF(AND(VLOOKUP($C156,'Employee information'!$B:$M,COLUMNS('Employee information'!$B:$M),0)=4,
VLOOKUP($C156,'Employee information'!$B:$J,COLUMNS('Employee information'!$B:$J),0)="Resident"),
TRUNC(TRUNC($AN156)*'Tax scales - NAT 1004'!$B$47),
IF(AND(VLOOKUP($C156,'Employee information'!$B:$M,COLUMNS('Employee information'!$B:$M),0)=4,
VLOOKUP($C156,'Employee information'!$B:$J,COLUMNS('Employee information'!$B:$J),0)="Foreign resident"),
TRUNC(TRUNC($AN156)*'Tax scales - NAT 1004'!$B$48),
"")),
"")</f>
        <v/>
      </c>
      <c r="AS156" s="118" t="str">
        <f>IFERROR(
IF(VLOOKUP($C156,'Employee information'!$B:$M,COLUMNS('Employee information'!$B:$M),0)=5,
IF($E$2="Fortnightly",
ROUND(
ROUND((((TRUNC($AN156/2,0)+0.99))*VLOOKUP((TRUNC($AN156/2,0)+0.99),'Tax scales - NAT 1004'!$A$53:$C$59,2,1)-VLOOKUP((TRUNC($AN156/2,0)+0.99),'Tax scales - NAT 1004'!$A$53:$C$59,3,1)),0)
*2,
0),
IF(AND($E$2="Monthly",ROUND($AN156-TRUNC($AN156),2)=0.33),
ROUND(
ROUND(((TRUNC(($AN156+0.01)*3/13,0)+0.99)*VLOOKUP((TRUNC(($AN156+0.01)*3/13,0)+0.99),'Tax scales - NAT 1004'!$A$53:$C$59,2,1)-VLOOKUP((TRUNC(($AN156+0.01)*3/13,0)+0.99),'Tax scales - NAT 1004'!$A$53:$C$59,3,1)),0)
*13/3,
0),
IF($E$2="Monthly",
ROUND(
ROUND(((TRUNC($AN156*3/13,0)+0.99)*VLOOKUP((TRUNC($AN156*3/13,0)+0.99),'Tax scales - NAT 1004'!$A$53:$C$59,2,1)-VLOOKUP((TRUNC($AN156*3/13,0)+0.99),'Tax scales - NAT 1004'!$A$53:$C$59,3,1)),0)
*13/3,
0),
""))),
""),
"")</f>
        <v/>
      </c>
      <c r="AT156" s="118" t="str">
        <f>IFERROR(
IF(VLOOKUP($C156,'Employee information'!$B:$M,COLUMNS('Employee information'!$B:$M),0)=6,
IF($E$2="Fortnightly",
ROUND(
ROUND((((TRUNC($AN156/2,0)+0.99))*VLOOKUP((TRUNC($AN156/2,0)+0.99),'Tax scales - NAT 1004'!$A$65:$C$73,2,1)-VLOOKUP((TRUNC($AN156/2,0)+0.99),'Tax scales - NAT 1004'!$A$65:$C$73,3,1)),0)
*2,
0),
IF(AND($E$2="Monthly",ROUND($AN156-TRUNC($AN156),2)=0.33),
ROUND(
ROUND(((TRUNC(($AN156+0.01)*3/13,0)+0.99)*VLOOKUP((TRUNC(($AN156+0.01)*3/13,0)+0.99),'Tax scales - NAT 1004'!$A$65:$C$73,2,1)-VLOOKUP((TRUNC(($AN156+0.01)*3/13,0)+0.99),'Tax scales - NAT 1004'!$A$65:$C$73,3,1)),0)
*13/3,
0),
IF($E$2="Monthly",
ROUND(
ROUND(((TRUNC($AN156*3/13,0)+0.99)*VLOOKUP((TRUNC($AN156*3/13,0)+0.99),'Tax scales - NAT 1004'!$A$65:$C$73,2,1)-VLOOKUP((TRUNC($AN156*3/13,0)+0.99),'Tax scales - NAT 1004'!$A$65:$C$73,3,1)),0)
*13/3,
0),
""))),
""),
"")</f>
        <v/>
      </c>
      <c r="AU156" s="118">
        <f>IFERROR(
IF(VLOOKUP($C156,'Employee information'!$B:$M,COLUMNS('Employee information'!$B:$M),0)=11,
IF($E$2="Fortnightly",
ROUND(
ROUND((((TRUNC($AN156/2,0)+0.99))*VLOOKUP((TRUNC($AN156/2,0)+0.99),'Tax scales - NAT 3539'!$A$14:$C$38,2,1)-VLOOKUP((TRUNC($AN156/2,0)+0.99),'Tax scales - NAT 3539'!$A$14:$C$38,3,1)),0)
*2,
0),
IF(AND($E$2="Monthly",ROUND($AN156-TRUNC($AN156),2)=0.33),
ROUND(
ROUND(((TRUNC(($AN156+0.01)*3/13,0)+0.99)*VLOOKUP((TRUNC(($AN156+0.01)*3/13,0)+0.99),'Tax scales - NAT 3539'!$A$14:$C$38,2,1)-VLOOKUP((TRUNC(($AN156+0.01)*3/13,0)+0.99),'Tax scales - NAT 3539'!$A$14:$C$38,3,1)),0)
*13/3,
0),
IF($E$2="Monthly",
ROUND(
ROUND(((TRUNC($AN156*3/13,0)+0.99)*VLOOKUP((TRUNC($AN156*3/13,0)+0.99),'Tax scales - NAT 3539'!$A$14:$C$38,2,1)-VLOOKUP((TRUNC($AN156*3/13,0)+0.99),'Tax scales - NAT 3539'!$A$14:$C$38,3,1)),0)
*13/3,
0),
""))),
""),
"")</f>
        <v>1448</v>
      </c>
      <c r="AV156" s="118" t="str">
        <f>IFERROR(
IF(VLOOKUP($C156,'Employee information'!$B:$M,COLUMNS('Employee information'!$B:$M),0)=22,
IF($E$2="Fortnightly",
ROUND(
ROUND((((TRUNC($AN156/2,0)+0.99))*VLOOKUP((TRUNC($AN156/2,0)+0.99),'Tax scales - NAT 3539'!$A$43:$C$69,2,1)-VLOOKUP((TRUNC($AN156/2,0)+0.99),'Tax scales - NAT 3539'!$A$43:$C$69,3,1)),0)
*2,
0),
IF(AND($E$2="Monthly",ROUND($AN156-TRUNC($AN156),2)=0.33),
ROUND(
ROUND(((TRUNC(($AN156+0.01)*3/13,0)+0.99)*VLOOKUP((TRUNC(($AN156+0.01)*3/13,0)+0.99),'Tax scales - NAT 3539'!$A$43:$C$69,2,1)-VLOOKUP((TRUNC(($AN156+0.01)*3/13,0)+0.99),'Tax scales - NAT 3539'!$A$43:$C$69,3,1)),0)
*13/3,
0),
IF($E$2="Monthly",
ROUND(
ROUND(((TRUNC($AN156*3/13,0)+0.99)*VLOOKUP((TRUNC($AN156*3/13,0)+0.99),'Tax scales - NAT 3539'!$A$43:$C$69,2,1)-VLOOKUP((TRUNC($AN156*3/13,0)+0.99),'Tax scales - NAT 3539'!$A$43:$C$69,3,1)),0)
*13/3,
0),
""))),
""),
"")</f>
        <v/>
      </c>
      <c r="AW156" s="118" t="str">
        <f>IFERROR(
IF(VLOOKUP($C156,'Employee information'!$B:$M,COLUMNS('Employee information'!$B:$M),0)=33,
IF($E$2="Fortnightly",
ROUND(
ROUND((((TRUNC($AN156/2,0)+0.99))*VLOOKUP((TRUNC($AN156/2,0)+0.99),'Tax scales - NAT 3539'!$A$74:$C$94,2,1)-VLOOKUP((TRUNC($AN156/2,0)+0.99),'Tax scales - NAT 3539'!$A$74:$C$94,3,1)),0)
*2,
0),
IF(AND($E$2="Monthly",ROUND($AN156-TRUNC($AN156),2)=0.33),
ROUND(
ROUND(((TRUNC(($AN156+0.01)*3/13,0)+0.99)*VLOOKUP((TRUNC(($AN156+0.01)*3/13,0)+0.99),'Tax scales - NAT 3539'!$A$74:$C$94,2,1)-VLOOKUP((TRUNC(($AN156+0.01)*3/13,0)+0.99),'Tax scales - NAT 3539'!$A$74:$C$94,3,1)),0)
*13/3,
0),
IF($E$2="Monthly",
ROUND(
ROUND(((TRUNC($AN156*3/13,0)+0.99)*VLOOKUP((TRUNC($AN156*3/13,0)+0.99),'Tax scales - NAT 3539'!$A$74:$C$94,2,1)-VLOOKUP((TRUNC($AN156*3/13,0)+0.99),'Tax scales - NAT 3539'!$A$74:$C$94,3,1)),0)
*13/3,
0),
""))),
""),
"")</f>
        <v/>
      </c>
      <c r="AX156" s="118" t="str">
        <f>IFERROR(
IF(VLOOKUP($C156,'Employee information'!$B:$M,COLUMNS('Employee information'!$B:$M),0)=55,
IF($E$2="Fortnightly",
ROUND(
ROUND((((TRUNC($AN156/2,0)+0.99))*VLOOKUP((TRUNC($AN156/2,0)+0.99),'Tax scales - NAT 3539'!$A$99:$C$123,2,1)-VLOOKUP((TRUNC($AN156/2,0)+0.99),'Tax scales - NAT 3539'!$A$99:$C$123,3,1)),0)
*2,
0),
IF(AND($E$2="Monthly",ROUND($AN156-TRUNC($AN156),2)=0.33),
ROUND(
ROUND(((TRUNC(($AN156+0.01)*3/13,0)+0.99)*VLOOKUP((TRUNC(($AN156+0.01)*3/13,0)+0.99),'Tax scales - NAT 3539'!$A$99:$C$123,2,1)-VLOOKUP((TRUNC(($AN156+0.01)*3/13,0)+0.99),'Tax scales - NAT 3539'!$A$99:$C$123,3,1)),0)
*13/3,
0),
IF($E$2="Monthly",
ROUND(
ROUND(((TRUNC($AN156*3/13,0)+0.99)*VLOOKUP((TRUNC($AN156*3/13,0)+0.99),'Tax scales - NAT 3539'!$A$99:$C$123,2,1)-VLOOKUP((TRUNC($AN156*3/13,0)+0.99),'Tax scales - NAT 3539'!$A$99:$C$123,3,1)),0)
*13/3,
0),
""))),
""),
"")</f>
        <v/>
      </c>
      <c r="AY156" s="118" t="str">
        <f>IFERROR(
IF(VLOOKUP($C156,'Employee information'!$B:$M,COLUMNS('Employee information'!$B:$M),0)=66,
IF($E$2="Fortnightly",
ROUND(
ROUND((((TRUNC($AN156/2,0)+0.99))*VLOOKUP((TRUNC($AN156/2,0)+0.99),'Tax scales - NAT 3539'!$A$127:$C$154,2,1)-VLOOKUP((TRUNC($AN156/2,0)+0.99),'Tax scales - NAT 3539'!$A$127:$C$154,3,1)),0)
*2,
0),
IF(AND($E$2="Monthly",ROUND($AN156-TRUNC($AN156),2)=0.33),
ROUND(
ROUND(((TRUNC(($AN156+0.01)*3/13,0)+0.99)*VLOOKUP((TRUNC(($AN156+0.01)*3/13,0)+0.99),'Tax scales - NAT 3539'!$A$127:$C$154,2,1)-VLOOKUP((TRUNC(($AN156+0.01)*3/13,0)+0.99),'Tax scales - NAT 3539'!$A$127:$C$154,3,1)),0)
*13/3,
0),
IF($E$2="Monthly",
ROUND(
ROUND(((TRUNC($AN156*3/13,0)+0.99)*VLOOKUP((TRUNC($AN156*3/13,0)+0.99),'Tax scales - NAT 3539'!$A$127:$C$154,2,1)-VLOOKUP((TRUNC($AN156*3/13,0)+0.99),'Tax scales - NAT 3539'!$A$127:$C$154,3,1)),0)
*13/3,
0),
""))),
""),
"")</f>
        <v/>
      </c>
      <c r="AZ156" s="118">
        <f>IFERROR(
HLOOKUP(VLOOKUP($C156,'Employee information'!$B:$M,COLUMNS('Employee information'!$B:$M),0),'PAYG worksheet'!$AO$155:$AY$174,COUNTA($C$156:$C156)+1,0),
0)</f>
        <v>1448</v>
      </c>
      <c r="BA156" s="118"/>
      <c r="BB156" s="118">
        <f>IFERROR($AM156-$AZ156-$BA156,"")</f>
        <v>2249.576396206533</v>
      </c>
      <c r="BC156" s="119">
        <f>IFERROR(
IF(OR($AE156=1,$AE156=""),SUM($P156,$AA156,$AC156,$AK156)*VLOOKUP($C156,'Employee information'!$B:$Q,COLUMNS('Employee information'!$B:$H),0),
IF($AE156=0,SUM($P156,$AA156,$AK156)*VLOOKUP($C156,'Employee information'!$B:$Q,COLUMNS('Employee information'!$B:$H),0),
0)),
0)</f>
        <v>351.26975763962065</v>
      </c>
      <c r="BE156" s="114">
        <f t="shared" ref="BE156:BE174" si="155">IF(AND($E$2="Monthly",$A156&gt;12),"",
SUMIFS($AM:$AM,$C:$C,$C156,$A:$A,"&lt;="&amp;$A156)
)</f>
        <v>22185.458377239196</v>
      </c>
      <c r="BF156" s="114">
        <f t="shared" ref="BF156:BF174" si="156">IF(AND($E$2="Monthly",$A156&gt;12),"",
SUMIFS($AN:$AN,$C:$C,$C156,$A:$A,"&lt;="&amp;$A156)
)</f>
        <v>22185.458377239196</v>
      </c>
      <c r="BG156" s="114">
        <f t="shared" ref="BG156:BG174" si="157">IF(AND($E$2="Monthly",$A156&gt;12),"",
SUMIFS($AC:$AC,$C:$C,$C156,$A:$A,"&lt;="&amp;$A156)
)</f>
        <v>0</v>
      </c>
      <c r="BH156" s="114">
        <f t="shared" ref="BH156:BH174" si="158">IF(AND($E$2="Monthly",$A156&gt;12),"",
SUMIFS($AG:$AG,$C:$C,$C156,$A:$A,"&lt;="&amp;$A156)
)</f>
        <v>0</v>
      </c>
      <c r="BI156" s="114">
        <f t="shared" ref="BI156:BI174" si="159">IF(AND($E$2="Monthly",$A156&gt;12),"",
SUMIFS($AZ:$AZ,$C:$C,$C156,$A:$A,"&lt;="&amp;$A156)
)</f>
        <v>8688</v>
      </c>
      <c r="BJ156" s="114">
        <f t="shared" ref="BJ156:BJ174" si="160">IF(AND($E$2="Monthly",$A156&gt;12),"",
SUMIFS($BA:$BA,$C:$C,$C156,$A:$A,"&lt;="&amp;$A156)
)</f>
        <v>0</v>
      </c>
      <c r="BK156" s="114">
        <f t="shared" ref="BK156:BK174" si="161">IF(AND($E$2="Monthly",$A156&gt;12),"",
SUMIFS($AJ:$AJ,$C:$C,$C156,$A:$A,"&lt;="&amp;$A156)
)</f>
        <v>0</v>
      </c>
      <c r="BL156" s="114">
        <f>IF(AND($E$2="Monthly",$A156&gt;12),"",
SUMIFS($AK:$AK,$C:$C,$C156,$A:$A,"&lt;="&amp;$A156)
)</f>
        <v>0</v>
      </c>
      <c r="BM156" s="114">
        <f t="shared" ref="BM156:BM174" si="162">IF(AND($E$2="Monthly",$A156&gt;12),"",
SUMIFS($BC:$BC,$C:$C,$C156,$A:$A,"&lt;="&amp;$A156)
)</f>
        <v>2107.618545837724</v>
      </c>
    </row>
    <row r="157" spans="1:65" x14ac:dyDescent="0.25">
      <c r="A157" s="228">
        <f t="shared" si="150"/>
        <v>6</v>
      </c>
      <c r="C157" s="278" t="s">
        <v>13</v>
      </c>
      <c r="E157" s="103">
        <f>IF($C157="",0,
IF(AND($E$2="Monthly",$A157&gt;12),0,
IF($E$2="Monthly",VLOOKUP($C157,'Employee information'!$B:$AM,COLUMNS('Employee information'!$B:S),0),
IF($E$2="Fortnightly",VLOOKUP($C157,'Employee information'!$B:$AM,COLUMNS('Employee information'!$B:R),0),
0))))</f>
        <v>0</v>
      </c>
      <c r="F157" s="106"/>
      <c r="G157" s="106"/>
      <c r="H157" s="106"/>
      <c r="I157" s="106"/>
      <c r="J157" s="103">
        <f t="shared" ref="J157:J174" si="163">IF($E$2="Monthly",
IF(AND($E$2="Monthly",$H157&lt;&gt;""),$H157,
IF(AND($E$2="Monthly",$E157=0),SUM($F157:$G157),
$E157)),
IF($E$2="Fortnightly",
IF(AND($E$2="Fortnightly",$H157&lt;&gt;""),$H157,
IF(AND($E$2="Fortnightly",$F157&lt;&gt;"",$E157&lt;&gt;0),$F157,
IF(AND($E$2="Fortnightly",$E157=0),SUM($F157:$G157),
$E157)))))</f>
        <v>0</v>
      </c>
      <c r="L157" s="113">
        <f>IF(AND($E$2="Monthly",$A157&gt;12),"",
IFERROR($J157*VLOOKUP($C157,'Employee information'!$B:$AI,COLUMNS('Employee information'!$B:$P),0),0))</f>
        <v>0</v>
      </c>
      <c r="M157" s="114">
        <f t="shared" ref="M157:M174" si="164">IF(AND($E$2="Monthly",$A157&gt;12),"",
SUMIFS($L:$L,$C:$C,$C157,$A:$A,"&lt;="&amp;$A157)
)</f>
        <v>1615.3846153846152</v>
      </c>
      <c r="O157" s="103">
        <f t="shared" ref="O157:O174" si="165">IF($E$2="Monthly",
IF(AND($E$2="Monthly",$H157&lt;&gt;""),$H157,
IF(AND($E$2="Monthly",$E157=0),$F157,
$E157)),
IF($E$2="Fortnightly",
IF(AND($E$2="Fortnightly",$H157&lt;&gt;""),$H157,
IF(AND($E$2="Fortnightly",$F157&lt;&gt;"",$E157&lt;&gt;0),$F157,
IF(AND($E$2="Fortnightly",$E157=0),$F157,
$E157)))))</f>
        <v>0</v>
      </c>
      <c r="P157" s="113">
        <f>IFERROR(
IF(AND($E$2="Monthly",$A157&gt;12),0,
$O157*VLOOKUP($C157,'Employee information'!$B:$AI,COLUMNS('Employee information'!$B:$P),0)),
0)</f>
        <v>0</v>
      </c>
      <c r="R157" s="114">
        <f t="shared" si="151"/>
        <v>1615.3846153846152</v>
      </c>
      <c r="T157" s="103"/>
      <c r="U157" s="103"/>
      <c r="V157" s="282">
        <f>IF($C157="","",
IF(AND($E$2="Monthly",$A157&gt;12),"",
$T157*VLOOKUP($C157,'Employee information'!$B:$P,COLUMNS('Employee information'!$B:$P),0)))</f>
        <v>0</v>
      </c>
      <c r="W157" s="282">
        <f>IF($C157="","",
IF(AND($E$2="Monthly",$A157&gt;12),"",
$U157*VLOOKUP($C157,'Employee information'!$B:$P,COLUMNS('Employee information'!$B:$P),0)))</f>
        <v>0</v>
      </c>
      <c r="X157" s="114">
        <f t="shared" si="152"/>
        <v>0</v>
      </c>
      <c r="Y157" s="114">
        <f t="shared" si="153"/>
        <v>288.46153846153845</v>
      </c>
      <c r="AA157" s="118">
        <f>IFERROR(
IF(OR('Basic payroll data'!$D$12="",'Basic payroll data'!$D$12="No"),0,
$T157*VLOOKUP($C157,'Employee information'!$B:$P,COLUMNS('Employee information'!$B:$P),0)*AL_loading_perc),
0)</f>
        <v>0</v>
      </c>
      <c r="AC157" s="118"/>
      <c r="AD157" s="118"/>
      <c r="AE157" s="283" t="str">
        <f t="shared" ref="AE157:AE174" si="166">IF(LEFT($AD157,6)="Is OTE",1,
IF(LEFT($AD157,10)="Is not OTE",0,
""))</f>
        <v/>
      </c>
      <c r="AF157" s="283" t="str">
        <f t="shared" ref="AF157:AF174" si="167">IF(RIGHT($AD157,12)="tax withheld",1,
IF(RIGHT($AD157,16)="tax not withheld",0,
""))</f>
        <v/>
      </c>
      <c r="AG157" s="118"/>
      <c r="AH157" s="118"/>
      <c r="AI157" s="283" t="str">
        <f t="shared" ref="AI157:AI174" si="168">IF($AH157="FBT",0,
IF($AH157="Not FBT",1,
""))</f>
        <v/>
      </c>
      <c r="AJ157" s="118"/>
      <c r="AK157" s="118"/>
      <c r="AM157" s="118">
        <f t="shared" ref="AM157:AM174" si="169">SUM($L157,$AA157,$AC157,$AG157,$AK157)-$AJ157</f>
        <v>0</v>
      </c>
      <c r="AN157" s="118">
        <f t="shared" si="154"/>
        <v>0</v>
      </c>
      <c r="AO157" s="118" t="str">
        <f>IFERROR(
IF(VLOOKUP($C157,'Employee information'!$B:$M,COLUMNS('Employee information'!$B:$M),0)=1,
IF($E$2="Fortnightly",
ROUND(
ROUND((((TRUNC($AN157/2,0)+0.99))*VLOOKUP((TRUNC($AN157/2,0)+0.99),'Tax scales - NAT 1004'!$A$12:$C$18,2,1)-VLOOKUP((TRUNC($AN157/2,0)+0.99),'Tax scales - NAT 1004'!$A$12:$C$18,3,1)),0)
*2,
0),
IF(AND($E$2="Monthly",ROUND($AN157-TRUNC($AN157),2)=0.33),
ROUND(
ROUND(((TRUNC(($AN157+0.01)*3/13,0)+0.99)*VLOOKUP((TRUNC(($AN157+0.01)*3/13,0)+0.99),'Tax scales - NAT 1004'!$A$12:$C$18,2,1)-VLOOKUP((TRUNC(($AN157+0.01)*3/13,0)+0.99),'Tax scales - NAT 1004'!$A$12:$C$18,3,1)),0)
*13/3,
0),
IF($E$2="Monthly",
ROUND(
ROUND(((TRUNC($AN157*3/13,0)+0.99)*VLOOKUP((TRUNC($AN157*3/13,0)+0.99),'Tax scales - NAT 1004'!$A$12:$C$18,2,1)-VLOOKUP((TRUNC($AN157*3/13,0)+0.99),'Tax scales - NAT 1004'!$A$12:$C$18,3,1)),0)
*13/3,
0),
""))),
""),
"")</f>
        <v/>
      </c>
      <c r="AP157" s="118" t="str">
        <f>IFERROR(
IF(VLOOKUP($C157,'Employee information'!$B:$M,COLUMNS('Employee information'!$B:$M),0)=2,
IF($E$2="Fortnightly",
ROUND(
ROUND((((TRUNC($AN157/2,0)+0.99))*VLOOKUP((TRUNC($AN157/2,0)+0.99),'Tax scales - NAT 1004'!$A$25:$C$33,2,1)-VLOOKUP((TRUNC($AN157/2,0)+0.99),'Tax scales - NAT 1004'!$A$25:$C$33,3,1)),0)
*2,
0),
IF(AND($E$2="Monthly",ROUND($AN157-TRUNC($AN157),2)=0.33),
ROUND(
ROUND(((TRUNC(($AN157+0.01)*3/13,0)+0.99)*VLOOKUP((TRUNC(($AN157+0.01)*3/13,0)+0.99),'Tax scales - NAT 1004'!$A$25:$C$33,2,1)-VLOOKUP((TRUNC(($AN157+0.01)*3/13,0)+0.99),'Tax scales - NAT 1004'!$A$25:$C$33,3,1)),0)
*13/3,
0),
IF($E$2="Monthly",
ROUND(
ROUND(((TRUNC($AN157*3/13,0)+0.99)*VLOOKUP((TRUNC($AN157*3/13,0)+0.99),'Tax scales - NAT 1004'!$A$25:$C$33,2,1)-VLOOKUP((TRUNC($AN157*3/13,0)+0.99),'Tax scales - NAT 1004'!$A$25:$C$33,3,1)),0)
*13/3,
0),
""))),
""),
"")</f>
        <v/>
      </c>
      <c r="AQ157" s="118" t="str">
        <f>IFERROR(
IF(VLOOKUP($C157,'Employee information'!$B:$M,COLUMNS('Employee information'!$B:$M),0)=3,
IF($E$2="Fortnightly",
ROUND(
ROUND((((TRUNC($AN157/2,0)+0.99))*VLOOKUP((TRUNC($AN157/2,0)+0.99),'Tax scales - NAT 1004'!$A$39:$C$41,2,1)-VLOOKUP((TRUNC($AN157/2,0)+0.99),'Tax scales - NAT 1004'!$A$39:$C$41,3,1)),0)
*2,
0),
IF(AND($E$2="Monthly",ROUND($AN157-TRUNC($AN157),2)=0.33),
ROUND(
ROUND(((TRUNC(($AN157+0.01)*3/13,0)+0.99)*VLOOKUP((TRUNC(($AN157+0.01)*3/13,0)+0.99),'Tax scales - NAT 1004'!$A$39:$C$41,2,1)-VLOOKUP((TRUNC(($AN157+0.01)*3/13,0)+0.99),'Tax scales - NAT 1004'!$A$39:$C$41,3,1)),0)
*13/3,
0),
IF($E$2="Monthly",
ROUND(
ROUND(((TRUNC($AN157*3/13,0)+0.99)*VLOOKUP((TRUNC($AN157*3/13,0)+0.99),'Tax scales - NAT 1004'!$A$39:$C$41,2,1)-VLOOKUP((TRUNC($AN157*3/13,0)+0.99),'Tax scales - NAT 1004'!$A$39:$C$41,3,1)),0)
*13/3,
0),
""))),
""),
"")</f>
        <v/>
      </c>
      <c r="AR157" s="118" t="str">
        <f>IFERROR(
IF(AND(VLOOKUP($C157,'Employee information'!$B:$M,COLUMNS('Employee information'!$B:$M),0)=4,
VLOOKUP($C157,'Employee information'!$B:$J,COLUMNS('Employee information'!$B:$J),0)="Resident"),
TRUNC(TRUNC($AN157)*'Tax scales - NAT 1004'!$B$47),
IF(AND(VLOOKUP($C157,'Employee information'!$B:$M,COLUMNS('Employee information'!$B:$M),0)=4,
VLOOKUP($C157,'Employee information'!$B:$J,COLUMNS('Employee information'!$B:$J),0)="Foreign resident"),
TRUNC(TRUNC($AN157)*'Tax scales - NAT 1004'!$B$48),
"")),
"")</f>
        <v/>
      </c>
      <c r="AS157" s="118" t="str">
        <f>IFERROR(
IF(VLOOKUP($C157,'Employee information'!$B:$M,COLUMNS('Employee information'!$B:$M),0)=5,
IF($E$2="Fortnightly",
ROUND(
ROUND((((TRUNC($AN157/2,0)+0.99))*VLOOKUP((TRUNC($AN157/2,0)+0.99),'Tax scales - NAT 1004'!$A$53:$C$59,2,1)-VLOOKUP((TRUNC($AN157/2,0)+0.99),'Tax scales - NAT 1004'!$A$53:$C$59,3,1)),0)
*2,
0),
IF(AND($E$2="Monthly",ROUND($AN157-TRUNC($AN157),2)=0.33),
ROUND(
ROUND(((TRUNC(($AN157+0.01)*3/13,0)+0.99)*VLOOKUP((TRUNC(($AN157+0.01)*3/13,0)+0.99),'Tax scales - NAT 1004'!$A$53:$C$59,2,1)-VLOOKUP((TRUNC(($AN157+0.01)*3/13,0)+0.99),'Tax scales - NAT 1004'!$A$53:$C$59,3,1)),0)
*13/3,
0),
IF($E$2="Monthly",
ROUND(
ROUND(((TRUNC($AN157*3/13,0)+0.99)*VLOOKUP((TRUNC($AN157*3/13,0)+0.99),'Tax scales - NAT 1004'!$A$53:$C$59,2,1)-VLOOKUP((TRUNC($AN157*3/13,0)+0.99),'Tax scales - NAT 1004'!$A$53:$C$59,3,1)),0)
*13/3,
0),
""))),
""),
"")</f>
        <v/>
      </c>
      <c r="AT157" s="118" t="str">
        <f>IFERROR(
IF(VLOOKUP($C157,'Employee information'!$B:$M,COLUMNS('Employee information'!$B:$M),0)=6,
IF($E$2="Fortnightly",
ROUND(
ROUND((((TRUNC($AN157/2,0)+0.99))*VLOOKUP((TRUNC($AN157/2,0)+0.99),'Tax scales - NAT 1004'!$A$65:$C$73,2,1)-VLOOKUP((TRUNC($AN157/2,0)+0.99),'Tax scales - NAT 1004'!$A$65:$C$73,3,1)),0)
*2,
0),
IF(AND($E$2="Monthly",ROUND($AN157-TRUNC($AN157),2)=0.33),
ROUND(
ROUND(((TRUNC(($AN157+0.01)*3/13,0)+0.99)*VLOOKUP((TRUNC(($AN157+0.01)*3/13,0)+0.99),'Tax scales - NAT 1004'!$A$65:$C$73,2,1)-VLOOKUP((TRUNC(($AN157+0.01)*3/13,0)+0.99),'Tax scales - NAT 1004'!$A$65:$C$73,3,1)),0)
*13/3,
0),
IF($E$2="Monthly",
ROUND(
ROUND(((TRUNC($AN157*3/13,0)+0.99)*VLOOKUP((TRUNC($AN157*3/13,0)+0.99),'Tax scales - NAT 1004'!$A$65:$C$73,2,1)-VLOOKUP((TRUNC($AN157*3/13,0)+0.99),'Tax scales - NAT 1004'!$A$65:$C$73,3,1)),0)
*13/3,
0),
""))),
""),
"")</f>
        <v/>
      </c>
      <c r="AU157" s="118">
        <f>IFERROR(
IF(VLOOKUP($C157,'Employee information'!$B:$M,COLUMNS('Employee information'!$B:$M),0)=11,
IF($E$2="Fortnightly",
ROUND(
ROUND((((TRUNC($AN157/2,0)+0.99))*VLOOKUP((TRUNC($AN157/2,0)+0.99),'Tax scales - NAT 3539'!$A$14:$C$38,2,1)-VLOOKUP((TRUNC($AN157/2,0)+0.99),'Tax scales - NAT 3539'!$A$14:$C$38,3,1)),0)
*2,
0),
IF(AND($E$2="Monthly",ROUND($AN157-TRUNC($AN157),2)=0.33),
ROUND(
ROUND(((TRUNC(($AN157+0.01)*3/13,0)+0.99)*VLOOKUP((TRUNC(($AN157+0.01)*3/13,0)+0.99),'Tax scales - NAT 3539'!$A$14:$C$38,2,1)-VLOOKUP((TRUNC(($AN157+0.01)*3/13,0)+0.99),'Tax scales - NAT 3539'!$A$14:$C$38,3,1)),0)
*13/3,
0),
IF($E$2="Monthly",
ROUND(
ROUND(((TRUNC($AN157*3/13,0)+0.99)*VLOOKUP((TRUNC($AN157*3/13,0)+0.99),'Tax scales - NAT 3539'!$A$14:$C$38,2,1)-VLOOKUP((TRUNC($AN157*3/13,0)+0.99),'Tax scales - NAT 3539'!$A$14:$C$38,3,1)),0)
*13/3,
0),
""))),
""),
"")</f>
        <v>0</v>
      </c>
      <c r="AV157" s="118" t="str">
        <f>IFERROR(
IF(VLOOKUP($C157,'Employee information'!$B:$M,COLUMNS('Employee information'!$B:$M),0)=22,
IF($E$2="Fortnightly",
ROUND(
ROUND((((TRUNC($AN157/2,0)+0.99))*VLOOKUP((TRUNC($AN157/2,0)+0.99),'Tax scales - NAT 3539'!$A$43:$C$69,2,1)-VLOOKUP((TRUNC($AN157/2,0)+0.99),'Tax scales - NAT 3539'!$A$43:$C$69,3,1)),0)
*2,
0),
IF(AND($E$2="Monthly",ROUND($AN157-TRUNC($AN157),2)=0.33),
ROUND(
ROUND(((TRUNC(($AN157+0.01)*3/13,0)+0.99)*VLOOKUP((TRUNC(($AN157+0.01)*3/13,0)+0.99),'Tax scales - NAT 3539'!$A$43:$C$69,2,1)-VLOOKUP((TRUNC(($AN157+0.01)*3/13,0)+0.99),'Tax scales - NAT 3539'!$A$43:$C$69,3,1)),0)
*13/3,
0),
IF($E$2="Monthly",
ROUND(
ROUND(((TRUNC($AN157*3/13,0)+0.99)*VLOOKUP((TRUNC($AN157*3/13,0)+0.99),'Tax scales - NAT 3539'!$A$43:$C$69,2,1)-VLOOKUP((TRUNC($AN157*3/13,0)+0.99),'Tax scales - NAT 3539'!$A$43:$C$69,3,1)),0)
*13/3,
0),
""))),
""),
"")</f>
        <v/>
      </c>
      <c r="AW157" s="118" t="str">
        <f>IFERROR(
IF(VLOOKUP($C157,'Employee information'!$B:$M,COLUMNS('Employee information'!$B:$M),0)=33,
IF($E$2="Fortnightly",
ROUND(
ROUND((((TRUNC($AN157/2,0)+0.99))*VLOOKUP((TRUNC($AN157/2,0)+0.99),'Tax scales - NAT 3539'!$A$74:$C$94,2,1)-VLOOKUP((TRUNC($AN157/2,0)+0.99),'Tax scales - NAT 3539'!$A$74:$C$94,3,1)),0)
*2,
0),
IF(AND($E$2="Monthly",ROUND($AN157-TRUNC($AN157),2)=0.33),
ROUND(
ROUND(((TRUNC(($AN157+0.01)*3/13,0)+0.99)*VLOOKUP((TRUNC(($AN157+0.01)*3/13,0)+0.99),'Tax scales - NAT 3539'!$A$74:$C$94,2,1)-VLOOKUP((TRUNC(($AN157+0.01)*3/13,0)+0.99),'Tax scales - NAT 3539'!$A$74:$C$94,3,1)),0)
*13/3,
0),
IF($E$2="Monthly",
ROUND(
ROUND(((TRUNC($AN157*3/13,0)+0.99)*VLOOKUP((TRUNC($AN157*3/13,0)+0.99),'Tax scales - NAT 3539'!$A$74:$C$94,2,1)-VLOOKUP((TRUNC($AN157*3/13,0)+0.99),'Tax scales - NAT 3539'!$A$74:$C$94,3,1)),0)
*13/3,
0),
""))),
""),
"")</f>
        <v/>
      </c>
      <c r="AX157" s="118" t="str">
        <f>IFERROR(
IF(VLOOKUP($C157,'Employee information'!$B:$M,COLUMNS('Employee information'!$B:$M),0)=55,
IF($E$2="Fortnightly",
ROUND(
ROUND((((TRUNC($AN157/2,0)+0.99))*VLOOKUP((TRUNC($AN157/2,0)+0.99),'Tax scales - NAT 3539'!$A$99:$C$123,2,1)-VLOOKUP((TRUNC($AN157/2,0)+0.99),'Tax scales - NAT 3539'!$A$99:$C$123,3,1)),0)
*2,
0),
IF(AND($E$2="Monthly",ROUND($AN157-TRUNC($AN157),2)=0.33),
ROUND(
ROUND(((TRUNC(($AN157+0.01)*3/13,0)+0.99)*VLOOKUP((TRUNC(($AN157+0.01)*3/13,0)+0.99),'Tax scales - NAT 3539'!$A$99:$C$123,2,1)-VLOOKUP((TRUNC(($AN157+0.01)*3/13,0)+0.99),'Tax scales - NAT 3539'!$A$99:$C$123,3,1)),0)
*13/3,
0),
IF($E$2="Monthly",
ROUND(
ROUND(((TRUNC($AN157*3/13,0)+0.99)*VLOOKUP((TRUNC($AN157*3/13,0)+0.99),'Tax scales - NAT 3539'!$A$99:$C$123,2,1)-VLOOKUP((TRUNC($AN157*3/13,0)+0.99),'Tax scales - NAT 3539'!$A$99:$C$123,3,1)),0)
*13/3,
0),
""))),
""),
"")</f>
        <v/>
      </c>
      <c r="AY157" s="118" t="str">
        <f>IFERROR(
IF(VLOOKUP($C157,'Employee information'!$B:$M,COLUMNS('Employee information'!$B:$M),0)=66,
IF($E$2="Fortnightly",
ROUND(
ROUND((((TRUNC($AN157/2,0)+0.99))*VLOOKUP((TRUNC($AN157/2,0)+0.99),'Tax scales - NAT 3539'!$A$127:$C$154,2,1)-VLOOKUP((TRUNC($AN157/2,0)+0.99),'Tax scales - NAT 3539'!$A$127:$C$154,3,1)),0)
*2,
0),
IF(AND($E$2="Monthly",ROUND($AN157-TRUNC($AN157),2)=0.33),
ROUND(
ROUND(((TRUNC(($AN157+0.01)*3/13,0)+0.99)*VLOOKUP((TRUNC(($AN157+0.01)*3/13,0)+0.99),'Tax scales - NAT 3539'!$A$127:$C$154,2,1)-VLOOKUP((TRUNC(($AN157+0.01)*3/13,0)+0.99),'Tax scales - NAT 3539'!$A$127:$C$154,3,1)),0)
*13/3,
0),
IF($E$2="Monthly",
ROUND(
ROUND(((TRUNC($AN157*3/13,0)+0.99)*VLOOKUP((TRUNC($AN157*3/13,0)+0.99),'Tax scales - NAT 3539'!$A$127:$C$154,2,1)-VLOOKUP((TRUNC($AN157*3/13,0)+0.99),'Tax scales - NAT 3539'!$A$127:$C$154,3,1)),0)
*13/3,
0),
""))),
""),
"")</f>
        <v/>
      </c>
      <c r="AZ157" s="118">
        <f>IFERROR(
HLOOKUP(VLOOKUP($C157,'Employee information'!$B:$M,COLUMNS('Employee information'!$B:$M),0),'PAYG worksheet'!$AO$155:$AY$174,COUNTA($C$156:$C157)+1,0),
0)</f>
        <v>0</v>
      </c>
      <c r="BA157" s="118"/>
      <c r="BB157" s="118">
        <f t="shared" ref="BB157:BB174" si="170">IFERROR($AM157-$AZ157-$BA157,"")</f>
        <v>0</v>
      </c>
      <c r="BC157" s="119">
        <f>IFERROR(
IF(OR($AE157=1,$AE157=""),SUM($P157,$AA157,$AC157,$AK157)*VLOOKUP($C157,'Employee information'!$B:$Q,COLUMNS('Employee information'!$B:$H),0),
IF($AE157=0,SUM($P157,$AA157,$AK157)*VLOOKUP($C157,'Employee information'!$B:$Q,COLUMNS('Employee information'!$B:$H),0),
0)),
0)</f>
        <v>0</v>
      </c>
      <c r="BE157" s="114">
        <f t="shared" si="155"/>
        <v>1615.3846153846152</v>
      </c>
      <c r="BF157" s="114">
        <f t="shared" si="156"/>
        <v>1615.3846153846152</v>
      </c>
      <c r="BG157" s="114">
        <f t="shared" si="157"/>
        <v>0</v>
      </c>
      <c r="BH157" s="114">
        <f t="shared" si="158"/>
        <v>0</v>
      </c>
      <c r="BI157" s="114">
        <f t="shared" si="159"/>
        <v>474</v>
      </c>
      <c r="BJ157" s="114">
        <f t="shared" si="160"/>
        <v>0</v>
      </c>
      <c r="BK157" s="114">
        <f t="shared" si="161"/>
        <v>0</v>
      </c>
      <c r="BL157" s="114">
        <f t="shared" ref="BL157:BL174" si="171">IF(AND($E$2="Monthly",$A157&gt;12),"",
SUMIFS($AK:$AK,$C:$C,$C157,$A:$A,"&lt;="&amp;$A157)
)</f>
        <v>0</v>
      </c>
      <c r="BM157" s="114">
        <f t="shared" si="162"/>
        <v>153.46153846153845</v>
      </c>
    </row>
    <row r="158" spans="1:65" x14ac:dyDescent="0.25">
      <c r="A158" s="228">
        <f t="shared" si="150"/>
        <v>6</v>
      </c>
      <c r="C158" s="278" t="s">
        <v>14</v>
      </c>
      <c r="E158" s="103">
        <f>IF($C158="",0,
IF(AND($E$2="Monthly",$A158&gt;12),0,
IF($E$2="Monthly",VLOOKUP($C158,'Employee information'!$B:$AM,COLUMNS('Employee information'!$B:S),0),
IF($E$2="Fortnightly",VLOOKUP($C158,'Employee information'!$B:$AM,COLUMNS('Employee information'!$B:R),0),
0))))</f>
        <v>0</v>
      </c>
      <c r="F158" s="106"/>
      <c r="G158" s="106"/>
      <c r="H158" s="106"/>
      <c r="I158" s="106"/>
      <c r="J158" s="103">
        <f t="shared" si="163"/>
        <v>0</v>
      </c>
      <c r="L158" s="113">
        <f>IF(AND($E$2="Monthly",$A158&gt;12),"",
IFERROR($J158*VLOOKUP($C158,'Employee information'!$B:$AI,COLUMNS('Employee information'!$B:$P),0),0))</f>
        <v>0</v>
      </c>
      <c r="M158" s="114">
        <f t="shared" si="164"/>
        <v>900</v>
      </c>
      <c r="O158" s="103">
        <f t="shared" si="165"/>
        <v>0</v>
      </c>
      <c r="P158" s="113">
        <f>IFERROR(
IF(AND($E$2="Monthly",$A158&gt;12),0,
$O158*VLOOKUP($C158,'Employee information'!$B:$AI,COLUMNS('Employee information'!$B:$P),0)),
0)</f>
        <v>0</v>
      </c>
      <c r="R158" s="114">
        <f t="shared" si="151"/>
        <v>900</v>
      </c>
      <c r="T158" s="103"/>
      <c r="U158" s="103"/>
      <c r="V158" s="282">
        <f>IF($C158="","",
IF(AND($E$2="Monthly",$A158&gt;12),"",
$T158*VLOOKUP($C158,'Employee information'!$B:$P,COLUMNS('Employee information'!$B:$P),0)))</f>
        <v>0</v>
      </c>
      <c r="W158" s="282">
        <f>IF($C158="","",
IF(AND($E$2="Monthly",$A158&gt;12),"",
$U158*VLOOKUP($C158,'Employee information'!$B:$P,COLUMNS('Employee information'!$B:$P),0)))</f>
        <v>0</v>
      </c>
      <c r="X158" s="114">
        <f t="shared" si="152"/>
        <v>0</v>
      </c>
      <c r="Y158" s="114">
        <f t="shared" si="153"/>
        <v>0</v>
      </c>
      <c r="AA158" s="118">
        <f>IFERROR(
IF(OR('Basic payroll data'!$D$12="",'Basic payroll data'!$D$12="No"),0,
$T158*VLOOKUP($C158,'Employee information'!$B:$P,COLUMNS('Employee information'!$B:$P),0)*AL_loading_perc),
0)</f>
        <v>0</v>
      </c>
      <c r="AC158" s="118"/>
      <c r="AD158" s="118"/>
      <c r="AE158" s="283" t="str">
        <f t="shared" si="166"/>
        <v/>
      </c>
      <c r="AF158" s="283" t="str">
        <f t="shared" si="167"/>
        <v/>
      </c>
      <c r="AG158" s="118"/>
      <c r="AH158" s="118"/>
      <c r="AI158" s="283" t="str">
        <f t="shared" si="168"/>
        <v/>
      </c>
      <c r="AJ158" s="118"/>
      <c r="AK158" s="118"/>
      <c r="AM158" s="118">
        <f t="shared" si="169"/>
        <v>0</v>
      </c>
      <c r="AN158" s="118">
        <f t="shared" si="154"/>
        <v>0</v>
      </c>
      <c r="AO158" s="118" t="str">
        <f>IFERROR(
IF(VLOOKUP($C158,'Employee information'!$B:$M,COLUMNS('Employee information'!$B:$M),0)=1,
IF($E$2="Fortnightly",
ROUND(
ROUND((((TRUNC($AN158/2,0)+0.99))*VLOOKUP((TRUNC($AN158/2,0)+0.99),'Tax scales - NAT 1004'!$A$12:$C$18,2,1)-VLOOKUP((TRUNC($AN158/2,0)+0.99),'Tax scales - NAT 1004'!$A$12:$C$18,3,1)),0)
*2,
0),
IF(AND($E$2="Monthly",ROUND($AN158-TRUNC($AN158),2)=0.33),
ROUND(
ROUND(((TRUNC(($AN158+0.01)*3/13,0)+0.99)*VLOOKUP((TRUNC(($AN158+0.01)*3/13,0)+0.99),'Tax scales - NAT 1004'!$A$12:$C$18,2,1)-VLOOKUP((TRUNC(($AN158+0.01)*3/13,0)+0.99),'Tax scales - NAT 1004'!$A$12:$C$18,3,1)),0)
*13/3,
0),
IF($E$2="Monthly",
ROUND(
ROUND(((TRUNC($AN158*3/13,0)+0.99)*VLOOKUP((TRUNC($AN158*3/13,0)+0.99),'Tax scales - NAT 1004'!$A$12:$C$18,2,1)-VLOOKUP((TRUNC($AN158*3/13,0)+0.99),'Tax scales - NAT 1004'!$A$12:$C$18,3,1)),0)
*13/3,
0),
""))),
""),
"")</f>
        <v/>
      </c>
      <c r="AP158" s="118" t="str">
        <f>IFERROR(
IF(VLOOKUP($C158,'Employee information'!$B:$M,COLUMNS('Employee information'!$B:$M),0)=2,
IF($E$2="Fortnightly",
ROUND(
ROUND((((TRUNC($AN158/2,0)+0.99))*VLOOKUP((TRUNC($AN158/2,0)+0.99),'Tax scales - NAT 1004'!$A$25:$C$33,2,1)-VLOOKUP((TRUNC($AN158/2,0)+0.99),'Tax scales - NAT 1004'!$A$25:$C$33,3,1)),0)
*2,
0),
IF(AND($E$2="Monthly",ROUND($AN158-TRUNC($AN158),2)=0.33),
ROUND(
ROUND(((TRUNC(($AN158+0.01)*3/13,0)+0.99)*VLOOKUP((TRUNC(($AN158+0.01)*3/13,0)+0.99),'Tax scales - NAT 1004'!$A$25:$C$33,2,1)-VLOOKUP((TRUNC(($AN158+0.01)*3/13,0)+0.99),'Tax scales - NAT 1004'!$A$25:$C$33,3,1)),0)
*13/3,
0),
IF($E$2="Monthly",
ROUND(
ROUND(((TRUNC($AN158*3/13,0)+0.99)*VLOOKUP((TRUNC($AN158*3/13,0)+0.99),'Tax scales - NAT 1004'!$A$25:$C$33,2,1)-VLOOKUP((TRUNC($AN158*3/13,0)+0.99),'Tax scales - NAT 1004'!$A$25:$C$33,3,1)),0)
*13/3,
0),
""))),
""),
"")</f>
        <v/>
      </c>
      <c r="AQ158" s="118" t="str">
        <f>IFERROR(
IF(VLOOKUP($C158,'Employee information'!$B:$M,COLUMNS('Employee information'!$B:$M),0)=3,
IF($E$2="Fortnightly",
ROUND(
ROUND((((TRUNC($AN158/2,0)+0.99))*VLOOKUP((TRUNC($AN158/2,0)+0.99),'Tax scales - NAT 1004'!$A$39:$C$41,2,1)-VLOOKUP((TRUNC($AN158/2,0)+0.99),'Tax scales - NAT 1004'!$A$39:$C$41,3,1)),0)
*2,
0),
IF(AND($E$2="Monthly",ROUND($AN158-TRUNC($AN158),2)=0.33),
ROUND(
ROUND(((TRUNC(($AN158+0.01)*3/13,0)+0.99)*VLOOKUP((TRUNC(($AN158+0.01)*3/13,0)+0.99),'Tax scales - NAT 1004'!$A$39:$C$41,2,1)-VLOOKUP((TRUNC(($AN158+0.01)*3/13,0)+0.99),'Tax scales - NAT 1004'!$A$39:$C$41,3,1)),0)
*13/3,
0),
IF($E$2="Monthly",
ROUND(
ROUND(((TRUNC($AN158*3/13,0)+0.99)*VLOOKUP((TRUNC($AN158*3/13,0)+0.99),'Tax scales - NAT 1004'!$A$39:$C$41,2,1)-VLOOKUP((TRUNC($AN158*3/13,0)+0.99),'Tax scales - NAT 1004'!$A$39:$C$41,3,1)),0)
*13/3,
0),
""))),
""),
"")</f>
        <v/>
      </c>
      <c r="AR158" s="118" t="str">
        <f>IFERROR(
IF(AND(VLOOKUP($C158,'Employee information'!$B:$M,COLUMNS('Employee information'!$B:$M),0)=4,
VLOOKUP($C158,'Employee information'!$B:$J,COLUMNS('Employee information'!$B:$J),0)="Resident"),
TRUNC(TRUNC($AN158)*'Tax scales - NAT 1004'!$B$47),
IF(AND(VLOOKUP($C158,'Employee information'!$B:$M,COLUMNS('Employee information'!$B:$M),0)=4,
VLOOKUP($C158,'Employee information'!$B:$J,COLUMNS('Employee information'!$B:$J),0)="Foreign resident"),
TRUNC(TRUNC($AN158)*'Tax scales - NAT 1004'!$B$48),
"")),
"")</f>
        <v/>
      </c>
      <c r="AS158" s="118" t="str">
        <f>IFERROR(
IF(VLOOKUP($C158,'Employee information'!$B:$M,COLUMNS('Employee information'!$B:$M),0)=5,
IF($E$2="Fortnightly",
ROUND(
ROUND((((TRUNC($AN158/2,0)+0.99))*VLOOKUP((TRUNC($AN158/2,0)+0.99),'Tax scales - NAT 1004'!$A$53:$C$59,2,1)-VLOOKUP((TRUNC($AN158/2,0)+0.99),'Tax scales - NAT 1004'!$A$53:$C$59,3,1)),0)
*2,
0),
IF(AND($E$2="Monthly",ROUND($AN158-TRUNC($AN158),2)=0.33),
ROUND(
ROUND(((TRUNC(($AN158+0.01)*3/13,0)+0.99)*VLOOKUP((TRUNC(($AN158+0.01)*3/13,0)+0.99),'Tax scales - NAT 1004'!$A$53:$C$59,2,1)-VLOOKUP((TRUNC(($AN158+0.01)*3/13,0)+0.99),'Tax scales - NAT 1004'!$A$53:$C$59,3,1)),0)
*13/3,
0),
IF($E$2="Monthly",
ROUND(
ROUND(((TRUNC($AN158*3/13,0)+0.99)*VLOOKUP((TRUNC($AN158*3/13,0)+0.99),'Tax scales - NAT 1004'!$A$53:$C$59,2,1)-VLOOKUP((TRUNC($AN158*3/13,0)+0.99),'Tax scales - NAT 1004'!$A$53:$C$59,3,1)),0)
*13/3,
0),
""))),
""),
"")</f>
        <v/>
      </c>
      <c r="AT158" s="118" t="str">
        <f>IFERROR(
IF(VLOOKUP($C158,'Employee information'!$B:$M,COLUMNS('Employee information'!$B:$M),0)=6,
IF($E$2="Fortnightly",
ROUND(
ROUND((((TRUNC($AN158/2,0)+0.99))*VLOOKUP((TRUNC($AN158/2,0)+0.99),'Tax scales - NAT 1004'!$A$65:$C$73,2,1)-VLOOKUP((TRUNC($AN158/2,0)+0.99),'Tax scales - NAT 1004'!$A$65:$C$73,3,1)),0)
*2,
0),
IF(AND($E$2="Monthly",ROUND($AN158-TRUNC($AN158),2)=0.33),
ROUND(
ROUND(((TRUNC(($AN158+0.01)*3/13,0)+0.99)*VLOOKUP((TRUNC(($AN158+0.01)*3/13,0)+0.99),'Tax scales - NAT 1004'!$A$65:$C$73,2,1)-VLOOKUP((TRUNC(($AN158+0.01)*3/13,0)+0.99),'Tax scales - NAT 1004'!$A$65:$C$73,3,1)),0)
*13/3,
0),
IF($E$2="Monthly",
ROUND(
ROUND(((TRUNC($AN158*3/13,0)+0.99)*VLOOKUP((TRUNC($AN158*3/13,0)+0.99),'Tax scales - NAT 1004'!$A$65:$C$73,2,1)-VLOOKUP((TRUNC($AN158*3/13,0)+0.99),'Tax scales - NAT 1004'!$A$65:$C$73,3,1)),0)
*13/3,
0),
""))),
""),
"")</f>
        <v/>
      </c>
      <c r="AU158" s="118" t="str">
        <f>IFERROR(
IF(VLOOKUP($C158,'Employee information'!$B:$M,COLUMNS('Employee information'!$B:$M),0)=11,
IF($E$2="Fortnightly",
ROUND(
ROUND((((TRUNC($AN158/2,0)+0.99))*VLOOKUP((TRUNC($AN158/2,0)+0.99),'Tax scales - NAT 3539'!$A$14:$C$38,2,1)-VLOOKUP((TRUNC($AN158/2,0)+0.99),'Tax scales - NAT 3539'!$A$14:$C$38,3,1)),0)
*2,
0),
IF(AND($E$2="Monthly",ROUND($AN158-TRUNC($AN158),2)=0.33),
ROUND(
ROUND(((TRUNC(($AN158+0.01)*3/13,0)+0.99)*VLOOKUP((TRUNC(($AN158+0.01)*3/13,0)+0.99),'Tax scales - NAT 3539'!$A$14:$C$38,2,1)-VLOOKUP((TRUNC(($AN158+0.01)*3/13,0)+0.99),'Tax scales - NAT 3539'!$A$14:$C$38,3,1)),0)
*13/3,
0),
IF($E$2="Monthly",
ROUND(
ROUND(((TRUNC($AN158*3/13,0)+0.99)*VLOOKUP((TRUNC($AN158*3/13,0)+0.99),'Tax scales - NAT 3539'!$A$14:$C$38,2,1)-VLOOKUP((TRUNC($AN158*3/13,0)+0.99),'Tax scales - NAT 3539'!$A$14:$C$38,3,1)),0)
*13/3,
0),
""))),
""),
"")</f>
        <v/>
      </c>
      <c r="AV158" s="118" t="str">
        <f>IFERROR(
IF(VLOOKUP($C158,'Employee information'!$B:$M,COLUMNS('Employee information'!$B:$M),0)=22,
IF($E$2="Fortnightly",
ROUND(
ROUND((((TRUNC($AN158/2,0)+0.99))*VLOOKUP((TRUNC($AN158/2,0)+0.99),'Tax scales - NAT 3539'!$A$43:$C$69,2,1)-VLOOKUP((TRUNC($AN158/2,0)+0.99),'Tax scales - NAT 3539'!$A$43:$C$69,3,1)),0)
*2,
0),
IF(AND($E$2="Monthly",ROUND($AN158-TRUNC($AN158),2)=0.33),
ROUND(
ROUND(((TRUNC(($AN158+0.01)*3/13,0)+0.99)*VLOOKUP((TRUNC(($AN158+0.01)*3/13,0)+0.99),'Tax scales - NAT 3539'!$A$43:$C$69,2,1)-VLOOKUP((TRUNC(($AN158+0.01)*3/13,0)+0.99),'Tax scales - NAT 3539'!$A$43:$C$69,3,1)),0)
*13/3,
0),
IF($E$2="Monthly",
ROUND(
ROUND(((TRUNC($AN158*3/13,0)+0.99)*VLOOKUP((TRUNC($AN158*3/13,0)+0.99),'Tax scales - NAT 3539'!$A$43:$C$69,2,1)-VLOOKUP((TRUNC($AN158*3/13,0)+0.99),'Tax scales - NAT 3539'!$A$43:$C$69,3,1)),0)
*13/3,
0),
""))),
""),
"")</f>
        <v/>
      </c>
      <c r="AW158" s="118">
        <f>IFERROR(
IF(VLOOKUP($C158,'Employee information'!$B:$M,COLUMNS('Employee information'!$B:$M),0)=33,
IF($E$2="Fortnightly",
ROUND(
ROUND((((TRUNC($AN158/2,0)+0.99))*VLOOKUP((TRUNC($AN158/2,0)+0.99),'Tax scales - NAT 3539'!$A$74:$C$94,2,1)-VLOOKUP((TRUNC($AN158/2,0)+0.99),'Tax scales - NAT 3539'!$A$74:$C$94,3,1)),0)
*2,
0),
IF(AND($E$2="Monthly",ROUND($AN158-TRUNC($AN158),2)=0.33),
ROUND(
ROUND(((TRUNC(($AN158+0.01)*3/13,0)+0.99)*VLOOKUP((TRUNC(($AN158+0.01)*3/13,0)+0.99),'Tax scales - NAT 3539'!$A$74:$C$94,2,1)-VLOOKUP((TRUNC(($AN158+0.01)*3/13,0)+0.99),'Tax scales - NAT 3539'!$A$74:$C$94,3,1)),0)
*13/3,
0),
IF($E$2="Monthly",
ROUND(
ROUND(((TRUNC($AN158*3/13,0)+0.99)*VLOOKUP((TRUNC($AN158*3/13,0)+0.99),'Tax scales - NAT 3539'!$A$74:$C$94,2,1)-VLOOKUP((TRUNC($AN158*3/13,0)+0.99),'Tax scales - NAT 3539'!$A$74:$C$94,3,1)),0)
*13/3,
0),
""))),
""),
"")</f>
        <v>0</v>
      </c>
      <c r="AX158" s="118" t="str">
        <f>IFERROR(
IF(VLOOKUP($C158,'Employee information'!$B:$M,COLUMNS('Employee information'!$B:$M),0)=55,
IF($E$2="Fortnightly",
ROUND(
ROUND((((TRUNC($AN158/2,0)+0.99))*VLOOKUP((TRUNC($AN158/2,0)+0.99),'Tax scales - NAT 3539'!$A$99:$C$123,2,1)-VLOOKUP((TRUNC($AN158/2,0)+0.99),'Tax scales - NAT 3539'!$A$99:$C$123,3,1)),0)
*2,
0),
IF(AND($E$2="Monthly",ROUND($AN158-TRUNC($AN158),2)=0.33),
ROUND(
ROUND(((TRUNC(($AN158+0.01)*3/13,0)+0.99)*VLOOKUP((TRUNC(($AN158+0.01)*3/13,0)+0.99),'Tax scales - NAT 3539'!$A$99:$C$123,2,1)-VLOOKUP((TRUNC(($AN158+0.01)*3/13,0)+0.99),'Tax scales - NAT 3539'!$A$99:$C$123,3,1)),0)
*13/3,
0),
IF($E$2="Monthly",
ROUND(
ROUND(((TRUNC($AN158*3/13,0)+0.99)*VLOOKUP((TRUNC($AN158*3/13,0)+0.99),'Tax scales - NAT 3539'!$A$99:$C$123,2,1)-VLOOKUP((TRUNC($AN158*3/13,0)+0.99),'Tax scales - NAT 3539'!$A$99:$C$123,3,1)),0)
*13/3,
0),
""))),
""),
"")</f>
        <v/>
      </c>
      <c r="AY158" s="118" t="str">
        <f>IFERROR(
IF(VLOOKUP($C158,'Employee information'!$B:$M,COLUMNS('Employee information'!$B:$M),0)=66,
IF($E$2="Fortnightly",
ROUND(
ROUND((((TRUNC($AN158/2,0)+0.99))*VLOOKUP((TRUNC($AN158/2,0)+0.99),'Tax scales - NAT 3539'!$A$127:$C$154,2,1)-VLOOKUP((TRUNC($AN158/2,0)+0.99),'Tax scales - NAT 3539'!$A$127:$C$154,3,1)),0)
*2,
0),
IF(AND($E$2="Monthly",ROUND($AN158-TRUNC($AN158),2)=0.33),
ROUND(
ROUND(((TRUNC(($AN158+0.01)*3/13,0)+0.99)*VLOOKUP((TRUNC(($AN158+0.01)*3/13,0)+0.99),'Tax scales - NAT 3539'!$A$127:$C$154,2,1)-VLOOKUP((TRUNC(($AN158+0.01)*3/13,0)+0.99),'Tax scales - NAT 3539'!$A$127:$C$154,3,1)),0)
*13/3,
0),
IF($E$2="Monthly",
ROUND(
ROUND(((TRUNC($AN158*3/13,0)+0.99)*VLOOKUP((TRUNC($AN158*3/13,0)+0.99),'Tax scales - NAT 3539'!$A$127:$C$154,2,1)-VLOOKUP((TRUNC($AN158*3/13,0)+0.99),'Tax scales - NAT 3539'!$A$127:$C$154,3,1)),0)
*13/3,
0),
""))),
""),
"")</f>
        <v/>
      </c>
      <c r="AZ158" s="118">
        <f>IFERROR(
HLOOKUP(VLOOKUP($C158,'Employee information'!$B:$M,COLUMNS('Employee information'!$B:$M),0),'PAYG worksheet'!$AO$155:$AY$174,COUNTA($C$156:$C158)+1,0),
0)</f>
        <v>0</v>
      </c>
      <c r="BA158" s="118"/>
      <c r="BB158" s="118">
        <f t="shared" si="170"/>
        <v>0</v>
      </c>
      <c r="BC158" s="119">
        <f>IFERROR(
IF(OR($AE158=1,$AE158=""),SUM($P158,$AA158,$AC158,$AK158)*VLOOKUP($C158,'Employee information'!$B:$Q,COLUMNS('Employee information'!$B:$H),0),
IF($AE158=0,SUM($P158,$AA158,$AK158)*VLOOKUP($C158,'Employee information'!$B:$Q,COLUMNS('Employee information'!$B:$H),0),
0)),
0)</f>
        <v>0</v>
      </c>
      <c r="BE158" s="114">
        <f t="shared" si="155"/>
        <v>900</v>
      </c>
      <c r="BF158" s="114">
        <f t="shared" si="156"/>
        <v>900</v>
      </c>
      <c r="BG158" s="114">
        <f t="shared" si="157"/>
        <v>0</v>
      </c>
      <c r="BH158" s="114">
        <f t="shared" si="158"/>
        <v>0</v>
      </c>
      <c r="BI158" s="114">
        <f t="shared" si="159"/>
        <v>292</v>
      </c>
      <c r="BJ158" s="114">
        <f t="shared" si="160"/>
        <v>0</v>
      </c>
      <c r="BK158" s="114">
        <f t="shared" si="161"/>
        <v>0</v>
      </c>
      <c r="BL158" s="114">
        <f t="shared" si="171"/>
        <v>0</v>
      </c>
      <c r="BM158" s="114">
        <f t="shared" si="162"/>
        <v>85.5</v>
      </c>
    </row>
    <row r="159" spans="1:65" x14ac:dyDescent="0.25">
      <c r="A159" s="228">
        <f t="shared" si="150"/>
        <v>6</v>
      </c>
      <c r="C159" s="278" t="s">
        <v>15</v>
      </c>
      <c r="E159" s="103">
        <f>IF($C159="",0,
IF(AND($E$2="Monthly",$A159&gt;12),0,
IF($E$2="Monthly",VLOOKUP($C159,'Employee information'!$B:$AM,COLUMNS('Employee information'!$B:S),0),
IF($E$2="Fortnightly",VLOOKUP($C159,'Employee information'!$B:$AM,COLUMNS('Employee information'!$B:R),0),
0))))</f>
        <v>75</v>
      </c>
      <c r="F159" s="106"/>
      <c r="G159" s="106"/>
      <c r="H159" s="106"/>
      <c r="I159" s="106"/>
      <c r="J159" s="103">
        <f t="shared" si="163"/>
        <v>75</v>
      </c>
      <c r="L159" s="113">
        <f>IF(AND($E$2="Monthly",$A159&gt;12),"",
IFERROR($J159*VLOOKUP($C159,'Employee information'!$B:$AI,COLUMNS('Employee information'!$B:$P),0),0))</f>
        <v>7692.3076923076924</v>
      </c>
      <c r="M159" s="114">
        <f t="shared" si="164"/>
        <v>46153.846153846156</v>
      </c>
      <c r="O159" s="103">
        <f t="shared" si="165"/>
        <v>75</v>
      </c>
      <c r="P159" s="113">
        <f>IFERROR(
IF(AND($E$2="Monthly",$A159&gt;12),0,
$O159*VLOOKUP($C159,'Employee information'!$B:$AI,COLUMNS('Employee information'!$B:$P),0)),
0)</f>
        <v>7692.3076923076924</v>
      </c>
      <c r="R159" s="114">
        <f t="shared" si="151"/>
        <v>46153.846153846156</v>
      </c>
      <c r="T159" s="103"/>
      <c r="U159" s="103"/>
      <c r="V159" s="282">
        <f>IF($C159="","",
IF(AND($E$2="Monthly",$A159&gt;12),"",
$T159*VLOOKUP($C159,'Employee information'!$B:$P,COLUMNS('Employee information'!$B:$P),0)))</f>
        <v>0</v>
      </c>
      <c r="W159" s="282">
        <f>IF($C159="","",
IF(AND($E$2="Monthly",$A159&gt;12),"",
$U159*VLOOKUP($C159,'Employee information'!$B:$P,COLUMNS('Employee information'!$B:$P),0)))</f>
        <v>0</v>
      </c>
      <c r="X159" s="114">
        <f t="shared" si="152"/>
        <v>1538.4615384615386</v>
      </c>
      <c r="Y159" s="114">
        <f t="shared" si="153"/>
        <v>512.82051282051282</v>
      </c>
      <c r="AA159" s="118">
        <f>IFERROR(
IF(OR('Basic payroll data'!$D$12="",'Basic payroll data'!$D$12="No"),0,
$T159*VLOOKUP($C159,'Employee information'!$B:$P,COLUMNS('Employee information'!$B:$P),0)*AL_loading_perc),
0)</f>
        <v>0</v>
      </c>
      <c r="AC159" s="118"/>
      <c r="AD159" s="118"/>
      <c r="AE159" s="283" t="str">
        <f t="shared" si="166"/>
        <v/>
      </c>
      <c r="AF159" s="283" t="str">
        <f t="shared" si="167"/>
        <v/>
      </c>
      <c r="AG159" s="118"/>
      <c r="AH159" s="118"/>
      <c r="AI159" s="283" t="str">
        <f t="shared" si="168"/>
        <v/>
      </c>
      <c r="AJ159" s="118"/>
      <c r="AK159" s="118"/>
      <c r="AM159" s="118">
        <f t="shared" si="169"/>
        <v>7692.3076923076924</v>
      </c>
      <c r="AN159" s="118">
        <f t="shared" si="154"/>
        <v>7692.3076923076924</v>
      </c>
      <c r="AO159" s="118" t="str">
        <f>IFERROR(
IF(VLOOKUP($C159,'Employee information'!$B:$M,COLUMNS('Employee information'!$B:$M),0)=1,
IF($E$2="Fortnightly",
ROUND(
ROUND((((TRUNC($AN159/2,0)+0.99))*VLOOKUP((TRUNC($AN159/2,0)+0.99),'Tax scales - NAT 1004'!$A$12:$C$18,2,1)-VLOOKUP((TRUNC($AN159/2,0)+0.99),'Tax scales - NAT 1004'!$A$12:$C$18,3,1)),0)
*2,
0),
IF(AND($E$2="Monthly",ROUND($AN159-TRUNC($AN159),2)=0.33),
ROUND(
ROUND(((TRUNC(($AN159+0.01)*3/13,0)+0.99)*VLOOKUP((TRUNC(($AN159+0.01)*3/13,0)+0.99),'Tax scales - NAT 1004'!$A$12:$C$18,2,1)-VLOOKUP((TRUNC(($AN159+0.01)*3/13,0)+0.99),'Tax scales - NAT 1004'!$A$12:$C$18,3,1)),0)
*13/3,
0),
IF($E$2="Monthly",
ROUND(
ROUND(((TRUNC($AN159*3/13,0)+0.99)*VLOOKUP((TRUNC($AN159*3/13,0)+0.99),'Tax scales - NAT 1004'!$A$12:$C$18,2,1)-VLOOKUP((TRUNC($AN159*3/13,0)+0.99),'Tax scales - NAT 1004'!$A$12:$C$18,3,1)),0)
*13/3,
0),
""))),
""),
"")</f>
        <v/>
      </c>
      <c r="AP159" s="118" t="str">
        <f>IFERROR(
IF(VLOOKUP($C159,'Employee information'!$B:$M,COLUMNS('Employee information'!$B:$M),0)=2,
IF($E$2="Fortnightly",
ROUND(
ROUND((((TRUNC($AN159/2,0)+0.99))*VLOOKUP((TRUNC($AN159/2,0)+0.99),'Tax scales - NAT 1004'!$A$25:$C$33,2,1)-VLOOKUP((TRUNC($AN159/2,0)+0.99),'Tax scales - NAT 1004'!$A$25:$C$33,3,1)),0)
*2,
0),
IF(AND($E$2="Monthly",ROUND($AN159-TRUNC($AN159),2)=0.33),
ROUND(
ROUND(((TRUNC(($AN159+0.01)*3/13,0)+0.99)*VLOOKUP((TRUNC(($AN159+0.01)*3/13,0)+0.99),'Tax scales - NAT 1004'!$A$25:$C$33,2,1)-VLOOKUP((TRUNC(($AN159+0.01)*3/13,0)+0.99),'Tax scales - NAT 1004'!$A$25:$C$33,3,1)),0)
*13/3,
0),
IF($E$2="Monthly",
ROUND(
ROUND(((TRUNC($AN159*3/13,0)+0.99)*VLOOKUP((TRUNC($AN159*3/13,0)+0.99),'Tax scales - NAT 1004'!$A$25:$C$33,2,1)-VLOOKUP((TRUNC($AN159*3/13,0)+0.99),'Tax scales - NAT 1004'!$A$25:$C$33,3,1)),0)
*13/3,
0),
""))),
""),
"")</f>
        <v/>
      </c>
      <c r="AQ159" s="118" t="str">
        <f>IFERROR(
IF(VLOOKUP($C159,'Employee information'!$B:$M,COLUMNS('Employee information'!$B:$M),0)=3,
IF($E$2="Fortnightly",
ROUND(
ROUND((((TRUNC($AN159/2,0)+0.99))*VLOOKUP((TRUNC($AN159/2,0)+0.99),'Tax scales - NAT 1004'!$A$39:$C$41,2,1)-VLOOKUP((TRUNC($AN159/2,0)+0.99),'Tax scales - NAT 1004'!$A$39:$C$41,3,1)),0)
*2,
0),
IF(AND($E$2="Monthly",ROUND($AN159-TRUNC($AN159),2)=0.33),
ROUND(
ROUND(((TRUNC(($AN159+0.01)*3/13,0)+0.99)*VLOOKUP((TRUNC(($AN159+0.01)*3/13,0)+0.99),'Tax scales - NAT 1004'!$A$39:$C$41,2,1)-VLOOKUP((TRUNC(($AN159+0.01)*3/13,0)+0.99),'Tax scales - NAT 1004'!$A$39:$C$41,3,1)),0)
*13/3,
0),
IF($E$2="Monthly",
ROUND(
ROUND(((TRUNC($AN159*3/13,0)+0.99)*VLOOKUP((TRUNC($AN159*3/13,0)+0.99),'Tax scales - NAT 1004'!$A$39:$C$41,2,1)-VLOOKUP((TRUNC($AN159*3/13,0)+0.99),'Tax scales - NAT 1004'!$A$39:$C$41,3,1)),0)
*13/3,
0),
""))),
""),
"")</f>
        <v/>
      </c>
      <c r="AR159" s="118" t="str">
        <f>IFERROR(
IF(AND(VLOOKUP($C159,'Employee information'!$B:$M,COLUMNS('Employee information'!$B:$M),0)=4,
VLOOKUP($C159,'Employee information'!$B:$J,COLUMNS('Employee information'!$B:$J),0)="Resident"),
TRUNC(TRUNC($AN159)*'Tax scales - NAT 1004'!$B$47),
IF(AND(VLOOKUP($C159,'Employee information'!$B:$M,COLUMNS('Employee information'!$B:$M),0)=4,
VLOOKUP($C159,'Employee information'!$B:$J,COLUMNS('Employee information'!$B:$J),0)="Foreign resident"),
TRUNC(TRUNC($AN159)*'Tax scales - NAT 1004'!$B$48),
"")),
"")</f>
        <v/>
      </c>
      <c r="AS159" s="118" t="str">
        <f>IFERROR(
IF(VLOOKUP($C159,'Employee information'!$B:$M,COLUMNS('Employee information'!$B:$M),0)=5,
IF($E$2="Fortnightly",
ROUND(
ROUND((((TRUNC($AN159/2,0)+0.99))*VLOOKUP((TRUNC($AN159/2,0)+0.99),'Tax scales - NAT 1004'!$A$53:$C$59,2,1)-VLOOKUP((TRUNC($AN159/2,0)+0.99),'Tax scales - NAT 1004'!$A$53:$C$59,3,1)),0)
*2,
0),
IF(AND($E$2="Monthly",ROUND($AN159-TRUNC($AN159),2)=0.33),
ROUND(
ROUND(((TRUNC(($AN159+0.01)*3/13,0)+0.99)*VLOOKUP((TRUNC(($AN159+0.01)*3/13,0)+0.99),'Tax scales - NAT 1004'!$A$53:$C$59,2,1)-VLOOKUP((TRUNC(($AN159+0.01)*3/13,0)+0.99),'Tax scales - NAT 1004'!$A$53:$C$59,3,1)),0)
*13/3,
0),
IF($E$2="Monthly",
ROUND(
ROUND(((TRUNC($AN159*3/13,0)+0.99)*VLOOKUP((TRUNC($AN159*3/13,0)+0.99),'Tax scales - NAT 1004'!$A$53:$C$59,2,1)-VLOOKUP((TRUNC($AN159*3/13,0)+0.99),'Tax scales - NAT 1004'!$A$53:$C$59,3,1)),0)
*13/3,
0),
""))),
""),
"")</f>
        <v/>
      </c>
      <c r="AT159" s="118" t="str">
        <f>IFERROR(
IF(VLOOKUP($C159,'Employee information'!$B:$M,COLUMNS('Employee information'!$B:$M),0)=6,
IF($E$2="Fortnightly",
ROUND(
ROUND((((TRUNC($AN159/2,0)+0.99))*VLOOKUP((TRUNC($AN159/2,0)+0.99),'Tax scales - NAT 1004'!$A$65:$C$73,2,1)-VLOOKUP((TRUNC($AN159/2,0)+0.99),'Tax scales - NAT 1004'!$A$65:$C$73,3,1)),0)
*2,
0),
IF(AND($E$2="Monthly",ROUND($AN159-TRUNC($AN159),2)=0.33),
ROUND(
ROUND(((TRUNC(($AN159+0.01)*3/13,0)+0.99)*VLOOKUP((TRUNC(($AN159+0.01)*3/13,0)+0.99),'Tax scales - NAT 1004'!$A$65:$C$73,2,1)-VLOOKUP((TRUNC(($AN159+0.01)*3/13,0)+0.99),'Tax scales - NAT 1004'!$A$65:$C$73,3,1)),0)
*13/3,
0),
IF($E$2="Monthly",
ROUND(
ROUND(((TRUNC($AN159*3/13,0)+0.99)*VLOOKUP((TRUNC($AN159*3/13,0)+0.99),'Tax scales - NAT 1004'!$A$65:$C$73,2,1)-VLOOKUP((TRUNC($AN159*3/13,0)+0.99),'Tax scales - NAT 1004'!$A$65:$C$73,3,1)),0)
*13/3,
0),
""))),
""),
"")</f>
        <v/>
      </c>
      <c r="AU159" s="118" t="str">
        <f>IFERROR(
IF(VLOOKUP($C159,'Employee information'!$B:$M,COLUMNS('Employee information'!$B:$M),0)=11,
IF($E$2="Fortnightly",
ROUND(
ROUND((((TRUNC($AN159/2,0)+0.99))*VLOOKUP((TRUNC($AN159/2,0)+0.99),'Tax scales - NAT 3539'!$A$14:$C$38,2,1)-VLOOKUP((TRUNC($AN159/2,0)+0.99),'Tax scales - NAT 3539'!$A$14:$C$38,3,1)),0)
*2,
0),
IF(AND($E$2="Monthly",ROUND($AN159-TRUNC($AN159),2)=0.33),
ROUND(
ROUND(((TRUNC(($AN159+0.01)*3/13,0)+0.99)*VLOOKUP((TRUNC(($AN159+0.01)*3/13,0)+0.99),'Tax scales - NAT 3539'!$A$14:$C$38,2,1)-VLOOKUP((TRUNC(($AN159+0.01)*3/13,0)+0.99),'Tax scales - NAT 3539'!$A$14:$C$38,3,1)),0)
*13/3,
0),
IF($E$2="Monthly",
ROUND(
ROUND(((TRUNC($AN159*3/13,0)+0.99)*VLOOKUP((TRUNC($AN159*3/13,0)+0.99),'Tax scales - NAT 3539'!$A$14:$C$38,2,1)-VLOOKUP((TRUNC($AN159*3/13,0)+0.99),'Tax scales - NAT 3539'!$A$14:$C$38,3,1)),0)
*13/3,
0),
""))),
""),
"")</f>
        <v/>
      </c>
      <c r="AV159" s="118" t="str">
        <f>IFERROR(
IF(VLOOKUP($C159,'Employee information'!$B:$M,COLUMNS('Employee information'!$B:$M),0)=22,
IF($E$2="Fortnightly",
ROUND(
ROUND((((TRUNC($AN159/2,0)+0.99))*VLOOKUP((TRUNC($AN159/2,0)+0.99),'Tax scales - NAT 3539'!$A$43:$C$69,2,1)-VLOOKUP((TRUNC($AN159/2,0)+0.99),'Tax scales - NAT 3539'!$A$43:$C$69,3,1)),0)
*2,
0),
IF(AND($E$2="Monthly",ROUND($AN159-TRUNC($AN159),2)=0.33),
ROUND(
ROUND(((TRUNC(($AN159+0.01)*3/13,0)+0.99)*VLOOKUP((TRUNC(($AN159+0.01)*3/13,0)+0.99),'Tax scales - NAT 3539'!$A$43:$C$69,2,1)-VLOOKUP((TRUNC(($AN159+0.01)*3/13,0)+0.99),'Tax scales - NAT 3539'!$A$43:$C$69,3,1)),0)
*13/3,
0),
IF($E$2="Monthly",
ROUND(
ROUND(((TRUNC($AN159*3/13,0)+0.99)*VLOOKUP((TRUNC($AN159*3/13,0)+0.99),'Tax scales - NAT 3539'!$A$43:$C$69,2,1)-VLOOKUP((TRUNC($AN159*3/13,0)+0.99),'Tax scales - NAT 3539'!$A$43:$C$69,3,1)),0)
*13/3,
0),
""))),
""),
"")</f>
        <v/>
      </c>
      <c r="AW159" s="118" t="str">
        <f>IFERROR(
IF(VLOOKUP($C159,'Employee information'!$B:$M,COLUMNS('Employee information'!$B:$M),0)=33,
IF($E$2="Fortnightly",
ROUND(
ROUND((((TRUNC($AN159/2,0)+0.99))*VLOOKUP((TRUNC($AN159/2,0)+0.99),'Tax scales - NAT 3539'!$A$74:$C$94,2,1)-VLOOKUP((TRUNC($AN159/2,0)+0.99),'Tax scales - NAT 3539'!$A$74:$C$94,3,1)),0)
*2,
0),
IF(AND($E$2="Monthly",ROUND($AN159-TRUNC($AN159),2)=0.33),
ROUND(
ROUND(((TRUNC(($AN159+0.01)*3/13,0)+0.99)*VLOOKUP((TRUNC(($AN159+0.01)*3/13,0)+0.99),'Tax scales - NAT 3539'!$A$74:$C$94,2,1)-VLOOKUP((TRUNC(($AN159+0.01)*3/13,0)+0.99),'Tax scales - NAT 3539'!$A$74:$C$94,3,1)),0)
*13/3,
0),
IF($E$2="Monthly",
ROUND(
ROUND(((TRUNC($AN159*3/13,0)+0.99)*VLOOKUP((TRUNC($AN159*3/13,0)+0.99),'Tax scales - NAT 3539'!$A$74:$C$94,2,1)-VLOOKUP((TRUNC($AN159*3/13,0)+0.99),'Tax scales - NAT 3539'!$A$74:$C$94,3,1)),0)
*13/3,
0),
""))),
""),
"")</f>
        <v/>
      </c>
      <c r="AX159" s="118">
        <f>IFERROR(
IF(VLOOKUP($C159,'Employee information'!$B:$M,COLUMNS('Employee information'!$B:$M),0)=55,
IF($E$2="Fortnightly",
ROUND(
ROUND((((TRUNC($AN159/2,0)+0.99))*VLOOKUP((TRUNC($AN159/2,0)+0.99),'Tax scales - NAT 3539'!$A$99:$C$123,2,1)-VLOOKUP((TRUNC($AN159/2,0)+0.99),'Tax scales - NAT 3539'!$A$99:$C$123,3,1)),0)
*2,
0),
IF(AND($E$2="Monthly",ROUND($AN159-TRUNC($AN159),2)=0.33),
ROUND(
ROUND(((TRUNC(($AN159+0.01)*3/13,0)+0.99)*VLOOKUP((TRUNC(($AN159+0.01)*3/13,0)+0.99),'Tax scales - NAT 3539'!$A$99:$C$123,2,1)-VLOOKUP((TRUNC(($AN159+0.01)*3/13,0)+0.99),'Tax scales - NAT 3539'!$A$99:$C$123,3,1)),0)
*13/3,
0),
IF($E$2="Monthly",
ROUND(
ROUND(((TRUNC($AN159*3/13,0)+0.99)*VLOOKUP((TRUNC($AN159*3/13,0)+0.99),'Tax scales - NAT 3539'!$A$99:$C$123,2,1)-VLOOKUP((TRUNC($AN159*3/13,0)+0.99),'Tax scales - NAT 3539'!$A$99:$C$123,3,1)),0)
*13/3,
0),
""))),
""),
"")</f>
        <v>3104</v>
      </c>
      <c r="AY159" s="118" t="str">
        <f>IFERROR(
IF(VLOOKUP($C159,'Employee information'!$B:$M,COLUMNS('Employee information'!$B:$M),0)=66,
IF($E$2="Fortnightly",
ROUND(
ROUND((((TRUNC($AN159/2,0)+0.99))*VLOOKUP((TRUNC($AN159/2,0)+0.99),'Tax scales - NAT 3539'!$A$127:$C$154,2,1)-VLOOKUP((TRUNC($AN159/2,0)+0.99),'Tax scales - NAT 3539'!$A$127:$C$154,3,1)),0)
*2,
0),
IF(AND($E$2="Monthly",ROUND($AN159-TRUNC($AN159),2)=0.33),
ROUND(
ROUND(((TRUNC(($AN159+0.01)*3/13,0)+0.99)*VLOOKUP((TRUNC(($AN159+0.01)*3/13,0)+0.99),'Tax scales - NAT 3539'!$A$127:$C$154,2,1)-VLOOKUP((TRUNC(($AN159+0.01)*3/13,0)+0.99),'Tax scales - NAT 3539'!$A$127:$C$154,3,1)),0)
*13/3,
0),
IF($E$2="Monthly",
ROUND(
ROUND(((TRUNC($AN159*3/13,0)+0.99)*VLOOKUP((TRUNC($AN159*3/13,0)+0.99),'Tax scales - NAT 3539'!$A$127:$C$154,2,1)-VLOOKUP((TRUNC($AN159*3/13,0)+0.99),'Tax scales - NAT 3539'!$A$127:$C$154,3,1)),0)
*13/3,
0),
""))),
""),
"")</f>
        <v/>
      </c>
      <c r="AZ159" s="118">
        <f>IFERROR(
HLOOKUP(VLOOKUP($C159,'Employee information'!$B:$M,COLUMNS('Employee information'!$B:$M),0),'PAYG worksheet'!$AO$155:$AY$174,COUNTA($C$156:$C159)+1,0),
0)</f>
        <v>3104</v>
      </c>
      <c r="BA159" s="118"/>
      <c r="BB159" s="118">
        <f t="shared" si="170"/>
        <v>4588.3076923076924</v>
      </c>
      <c r="BC159" s="119">
        <f>IFERROR(
IF(OR($AE159=1,$AE159=""),SUM($P159,$AA159,$AC159,$AK159)*VLOOKUP($C159,'Employee information'!$B:$Q,COLUMNS('Employee information'!$B:$H),0),
IF($AE159=0,SUM($P159,$AA159,$AK159)*VLOOKUP($C159,'Employee information'!$B:$Q,COLUMNS('Employee information'!$B:$H),0),
0)),
0)</f>
        <v>730.76923076923083</v>
      </c>
      <c r="BE159" s="114">
        <f t="shared" si="155"/>
        <v>46293.846153846156</v>
      </c>
      <c r="BF159" s="114">
        <f t="shared" si="156"/>
        <v>46153.846153846156</v>
      </c>
      <c r="BG159" s="114">
        <f t="shared" si="157"/>
        <v>0</v>
      </c>
      <c r="BH159" s="114">
        <f t="shared" si="158"/>
        <v>140</v>
      </c>
      <c r="BI159" s="114">
        <f t="shared" si="159"/>
        <v>18624</v>
      </c>
      <c r="BJ159" s="114">
        <f t="shared" si="160"/>
        <v>0</v>
      </c>
      <c r="BK159" s="114">
        <f t="shared" si="161"/>
        <v>0</v>
      </c>
      <c r="BL159" s="114">
        <f t="shared" si="171"/>
        <v>0</v>
      </c>
      <c r="BM159" s="114">
        <f t="shared" si="162"/>
        <v>4384.6153846153848</v>
      </c>
    </row>
    <row r="160" spans="1:65" x14ac:dyDescent="0.25">
      <c r="A160" s="228">
        <f t="shared" si="150"/>
        <v>6</v>
      </c>
      <c r="C160" s="278" t="s">
        <v>16</v>
      </c>
      <c r="E160" s="103">
        <f>IF($C160="",0,
IF(AND($E$2="Monthly",$A160&gt;12),0,
IF($E$2="Monthly",VLOOKUP($C160,'Employee information'!$B:$AM,COLUMNS('Employee information'!$B:S),0),
IF($E$2="Fortnightly",VLOOKUP($C160,'Employee information'!$B:$AM,COLUMNS('Employee information'!$B:R),0),
0))))</f>
        <v>75</v>
      </c>
      <c r="F160" s="106"/>
      <c r="G160" s="106"/>
      <c r="H160" s="106"/>
      <c r="I160" s="106"/>
      <c r="J160" s="103">
        <f t="shared" si="163"/>
        <v>75</v>
      </c>
      <c r="L160" s="113">
        <f>IF(AND($E$2="Monthly",$A160&gt;12),"",
IFERROR($J160*VLOOKUP($C160,'Employee information'!$B:$AI,COLUMNS('Employee information'!$B:$P),0),0))</f>
        <v>4125</v>
      </c>
      <c r="M160" s="114">
        <f t="shared" si="164"/>
        <v>24750</v>
      </c>
      <c r="O160" s="103">
        <f t="shared" si="165"/>
        <v>75</v>
      </c>
      <c r="P160" s="113">
        <f>IFERROR(
IF(AND($E$2="Monthly",$A160&gt;12),0,
$O160*VLOOKUP($C160,'Employee information'!$B:$AI,COLUMNS('Employee information'!$B:$P),0)),
0)</f>
        <v>4125</v>
      </c>
      <c r="R160" s="114">
        <f t="shared" si="151"/>
        <v>24750</v>
      </c>
      <c r="T160" s="103"/>
      <c r="U160" s="103"/>
      <c r="V160" s="282">
        <f>IF($C160="","",
IF(AND($E$2="Monthly",$A160&gt;12),"",
$T160*VLOOKUP($C160,'Employee information'!$B:$P,COLUMNS('Employee information'!$B:$P),0)))</f>
        <v>0</v>
      </c>
      <c r="W160" s="282">
        <f>IF($C160="","",
IF(AND($E$2="Monthly",$A160&gt;12),"",
$U160*VLOOKUP($C160,'Employee information'!$B:$P,COLUMNS('Employee information'!$B:$P),0)))</f>
        <v>0</v>
      </c>
      <c r="X160" s="114">
        <f t="shared" si="152"/>
        <v>0</v>
      </c>
      <c r="Y160" s="114">
        <f t="shared" si="153"/>
        <v>0</v>
      </c>
      <c r="AA160" s="118">
        <f>IFERROR(
IF(OR('Basic payroll data'!$D$12="",'Basic payroll data'!$D$12="No"),0,
$T160*VLOOKUP($C160,'Employee information'!$B:$P,COLUMNS('Employee information'!$B:$P),0)*AL_loading_perc),
0)</f>
        <v>0</v>
      </c>
      <c r="AC160" s="118"/>
      <c r="AD160" s="118"/>
      <c r="AE160" s="283" t="str">
        <f t="shared" si="166"/>
        <v/>
      </c>
      <c r="AF160" s="283" t="str">
        <f t="shared" si="167"/>
        <v/>
      </c>
      <c r="AG160" s="118"/>
      <c r="AH160" s="118"/>
      <c r="AI160" s="283" t="str">
        <f t="shared" si="168"/>
        <v/>
      </c>
      <c r="AJ160" s="118"/>
      <c r="AK160" s="118"/>
      <c r="AM160" s="118">
        <f t="shared" si="169"/>
        <v>4125</v>
      </c>
      <c r="AN160" s="118">
        <f t="shared" si="154"/>
        <v>4125</v>
      </c>
      <c r="AO160" s="118" t="str">
        <f>IFERROR(
IF(VLOOKUP($C160,'Employee information'!$B:$M,COLUMNS('Employee information'!$B:$M),0)=1,
IF($E$2="Fortnightly",
ROUND(
ROUND((((TRUNC($AN160/2,0)+0.99))*VLOOKUP((TRUNC($AN160/2,0)+0.99),'Tax scales - NAT 1004'!$A$12:$C$18,2,1)-VLOOKUP((TRUNC($AN160/2,0)+0.99),'Tax scales - NAT 1004'!$A$12:$C$18,3,1)),0)
*2,
0),
IF(AND($E$2="Monthly",ROUND($AN160-TRUNC($AN160),2)=0.33),
ROUND(
ROUND(((TRUNC(($AN160+0.01)*3/13,0)+0.99)*VLOOKUP((TRUNC(($AN160+0.01)*3/13,0)+0.99),'Tax scales - NAT 1004'!$A$12:$C$18,2,1)-VLOOKUP((TRUNC(($AN160+0.01)*3/13,0)+0.99),'Tax scales - NAT 1004'!$A$12:$C$18,3,1)),0)
*13/3,
0),
IF($E$2="Monthly",
ROUND(
ROUND(((TRUNC($AN160*3/13,0)+0.99)*VLOOKUP((TRUNC($AN160*3/13,0)+0.99),'Tax scales - NAT 1004'!$A$12:$C$18,2,1)-VLOOKUP((TRUNC($AN160*3/13,0)+0.99),'Tax scales - NAT 1004'!$A$12:$C$18,3,1)),0)
*13/3,
0),
""))),
""),
"")</f>
        <v/>
      </c>
      <c r="AP160" s="118" t="str">
        <f>IFERROR(
IF(VLOOKUP($C160,'Employee information'!$B:$M,COLUMNS('Employee information'!$B:$M),0)=2,
IF($E$2="Fortnightly",
ROUND(
ROUND((((TRUNC($AN160/2,0)+0.99))*VLOOKUP((TRUNC($AN160/2,0)+0.99),'Tax scales - NAT 1004'!$A$25:$C$33,2,1)-VLOOKUP((TRUNC($AN160/2,0)+0.99),'Tax scales - NAT 1004'!$A$25:$C$33,3,1)),0)
*2,
0),
IF(AND($E$2="Monthly",ROUND($AN160-TRUNC($AN160),2)=0.33),
ROUND(
ROUND(((TRUNC(($AN160+0.01)*3/13,0)+0.99)*VLOOKUP((TRUNC(($AN160+0.01)*3/13,0)+0.99),'Tax scales - NAT 1004'!$A$25:$C$33,2,1)-VLOOKUP((TRUNC(($AN160+0.01)*3/13,0)+0.99),'Tax scales - NAT 1004'!$A$25:$C$33,3,1)),0)
*13/3,
0),
IF($E$2="Monthly",
ROUND(
ROUND(((TRUNC($AN160*3/13,0)+0.99)*VLOOKUP((TRUNC($AN160*3/13,0)+0.99),'Tax scales - NAT 1004'!$A$25:$C$33,2,1)-VLOOKUP((TRUNC($AN160*3/13,0)+0.99),'Tax scales - NAT 1004'!$A$25:$C$33,3,1)),0)
*13/3,
0),
""))),
""),
"")</f>
        <v/>
      </c>
      <c r="AQ160" s="118" t="str">
        <f>IFERROR(
IF(VLOOKUP($C160,'Employee information'!$B:$M,COLUMNS('Employee information'!$B:$M),0)=3,
IF($E$2="Fortnightly",
ROUND(
ROUND((((TRUNC($AN160/2,0)+0.99))*VLOOKUP((TRUNC($AN160/2,0)+0.99),'Tax scales - NAT 1004'!$A$39:$C$41,2,1)-VLOOKUP((TRUNC($AN160/2,0)+0.99),'Tax scales - NAT 1004'!$A$39:$C$41,3,1)),0)
*2,
0),
IF(AND($E$2="Monthly",ROUND($AN160-TRUNC($AN160),2)=0.33),
ROUND(
ROUND(((TRUNC(($AN160+0.01)*3/13,0)+0.99)*VLOOKUP((TRUNC(($AN160+0.01)*3/13,0)+0.99),'Tax scales - NAT 1004'!$A$39:$C$41,2,1)-VLOOKUP((TRUNC(($AN160+0.01)*3/13,0)+0.99),'Tax scales - NAT 1004'!$A$39:$C$41,3,1)),0)
*13/3,
0),
IF($E$2="Monthly",
ROUND(
ROUND(((TRUNC($AN160*3/13,0)+0.99)*VLOOKUP((TRUNC($AN160*3/13,0)+0.99),'Tax scales - NAT 1004'!$A$39:$C$41,2,1)-VLOOKUP((TRUNC($AN160*3/13,0)+0.99),'Tax scales - NAT 1004'!$A$39:$C$41,3,1)),0)
*13/3,
0),
""))),
""),
"")</f>
        <v/>
      </c>
      <c r="AR160" s="118" t="str">
        <f>IFERROR(
IF(AND(VLOOKUP($C160,'Employee information'!$B:$M,COLUMNS('Employee information'!$B:$M),0)=4,
VLOOKUP($C160,'Employee information'!$B:$J,COLUMNS('Employee information'!$B:$J),0)="Resident"),
TRUNC(TRUNC($AN160)*'Tax scales - NAT 1004'!$B$47),
IF(AND(VLOOKUP($C160,'Employee information'!$B:$M,COLUMNS('Employee information'!$B:$M),0)=4,
VLOOKUP($C160,'Employee information'!$B:$J,COLUMNS('Employee information'!$B:$J),0)="Foreign resident"),
TRUNC(TRUNC($AN160)*'Tax scales - NAT 1004'!$B$48),
"")),
"")</f>
        <v/>
      </c>
      <c r="AS160" s="118" t="str">
        <f>IFERROR(
IF(VLOOKUP($C160,'Employee information'!$B:$M,COLUMNS('Employee information'!$B:$M),0)=5,
IF($E$2="Fortnightly",
ROUND(
ROUND((((TRUNC($AN160/2,0)+0.99))*VLOOKUP((TRUNC($AN160/2,0)+0.99),'Tax scales - NAT 1004'!$A$53:$C$59,2,1)-VLOOKUP((TRUNC($AN160/2,0)+0.99),'Tax scales - NAT 1004'!$A$53:$C$59,3,1)),0)
*2,
0),
IF(AND($E$2="Monthly",ROUND($AN160-TRUNC($AN160),2)=0.33),
ROUND(
ROUND(((TRUNC(($AN160+0.01)*3/13,0)+0.99)*VLOOKUP((TRUNC(($AN160+0.01)*3/13,0)+0.99),'Tax scales - NAT 1004'!$A$53:$C$59,2,1)-VLOOKUP((TRUNC(($AN160+0.01)*3/13,0)+0.99),'Tax scales - NAT 1004'!$A$53:$C$59,3,1)),0)
*13/3,
0),
IF($E$2="Monthly",
ROUND(
ROUND(((TRUNC($AN160*3/13,0)+0.99)*VLOOKUP((TRUNC($AN160*3/13,0)+0.99),'Tax scales - NAT 1004'!$A$53:$C$59,2,1)-VLOOKUP((TRUNC($AN160*3/13,0)+0.99),'Tax scales - NAT 1004'!$A$53:$C$59,3,1)),0)
*13/3,
0),
""))),
""),
"")</f>
        <v/>
      </c>
      <c r="AT160" s="118" t="str">
        <f>IFERROR(
IF(VLOOKUP($C160,'Employee information'!$B:$M,COLUMNS('Employee information'!$B:$M),0)=6,
IF($E$2="Fortnightly",
ROUND(
ROUND((((TRUNC($AN160/2,0)+0.99))*VLOOKUP((TRUNC($AN160/2,0)+0.99),'Tax scales - NAT 1004'!$A$65:$C$73,2,1)-VLOOKUP((TRUNC($AN160/2,0)+0.99),'Tax scales - NAT 1004'!$A$65:$C$73,3,1)),0)
*2,
0),
IF(AND($E$2="Monthly",ROUND($AN160-TRUNC($AN160),2)=0.33),
ROUND(
ROUND(((TRUNC(($AN160+0.01)*3/13,0)+0.99)*VLOOKUP((TRUNC(($AN160+0.01)*3/13,0)+0.99),'Tax scales - NAT 1004'!$A$65:$C$73,2,1)-VLOOKUP((TRUNC(($AN160+0.01)*3/13,0)+0.99),'Tax scales - NAT 1004'!$A$65:$C$73,3,1)),0)
*13/3,
0),
IF($E$2="Monthly",
ROUND(
ROUND(((TRUNC($AN160*3/13,0)+0.99)*VLOOKUP((TRUNC($AN160*3/13,0)+0.99),'Tax scales - NAT 1004'!$A$65:$C$73,2,1)-VLOOKUP((TRUNC($AN160*3/13,0)+0.99),'Tax scales - NAT 1004'!$A$65:$C$73,3,1)),0)
*13/3,
0),
""))),
""),
"")</f>
        <v/>
      </c>
      <c r="AU160" s="118">
        <f>IFERROR(
IF(VLOOKUP($C160,'Employee information'!$B:$M,COLUMNS('Employee information'!$B:$M),0)=11,
IF($E$2="Fortnightly",
ROUND(
ROUND((((TRUNC($AN160/2,0)+0.99))*VLOOKUP((TRUNC($AN160/2,0)+0.99),'Tax scales - NAT 3539'!$A$14:$C$38,2,1)-VLOOKUP((TRUNC($AN160/2,0)+0.99),'Tax scales - NAT 3539'!$A$14:$C$38,3,1)),0)
*2,
0),
IF(AND($E$2="Monthly",ROUND($AN160-TRUNC($AN160),2)=0.33),
ROUND(
ROUND(((TRUNC(($AN160+0.01)*3/13,0)+0.99)*VLOOKUP((TRUNC(($AN160+0.01)*3/13,0)+0.99),'Tax scales - NAT 3539'!$A$14:$C$38,2,1)-VLOOKUP((TRUNC(($AN160+0.01)*3/13,0)+0.99),'Tax scales - NAT 3539'!$A$14:$C$38,3,1)),0)
*13/3,
0),
IF($E$2="Monthly",
ROUND(
ROUND(((TRUNC($AN160*3/13,0)+0.99)*VLOOKUP((TRUNC($AN160*3/13,0)+0.99),'Tax scales - NAT 3539'!$A$14:$C$38,2,1)-VLOOKUP((TRUNC($AN160*3/13,0)+0.99),'Tax scales - NAT 3539'!$A$14:$C$38,3,1)),0)
*13/3,
0),
""))),
""),
"")</f>
        <v>1680</v>
      </c>
      <c r="AV160" s="118" t="str">
        <f>IFERROR(
IF(VLOOKUP($C160,'Employee information'!$B:$M,COLUMNS('Employee information'!$B:$M),0)=22,
IF($E$2="Fortnightly",
ROUND(
ROUND((((TRUNC($AN160/2,0)+0.99))*VLOOKUP((TRUNC($AN160/2,0)+0.99),'Tax scales - NAT 3539'!$A$43:$C$69,2,1)-VLOOKUP((TRUNC($AN160/2,0)+0.99),'Tax scales - NAT 3539'!$A$43:$C$69,3,1)),0)
*2,
0),
IF(AND($E$2="Monthly",ROUND($AN160-TRUNC($AN160),2)=0.33),
ROUND(
ROUND(((TRUNC(($AN160+0.01)*3/13,0)+0.99)*VLOOKUP((TRUNC(($AN160+0.01)*3/13,0)+0.99),'Tax scales - NAT 3539'!$A$43:$C$69,2,1)-VLOOKUP((TRUNC(($AN160+0.01)*3/13,0)+0.99),'Tax scales - NAT 3539'!$A$43:$C$69,3,1)),0)
*13/3,
0),
IF($E$2="Monthly",
ROUND(
ROUND(((TRUNC($AN160*3/13,0)+0.99)*VLOOKUP((TRUNC($AN160*3/13,0)+0.99),'Tax scales - NAT 3539'!$A$43:$C$69,2,1)-VLOOKUP((TRUNC($AN160*3/13,0)+0.99),'Tax scales - NAT 3539'!$A$43:$C$69,3,1)),0)
*13/3,
0),
""))),
""),
"")</f>
        <v/>
      </c>
      <c r="AW160" s="118" t="str">
        <f>IFERROR(
IF(VLOOKUP($C160,'Employee information'!$B:$M,COLUMNS('Employee information'!$B:$M),0)=33,
IF($E$2="Fortnightly",
ROUND(
ROUND((((TRUNC($AN160/2,0)+0.99))*VLOOKUP((TRUNC($AN160/2,0)+0.99),'Tax scales - NAT 3539'!$A$74:$C$94,2,1)-VLOOKUP((TRUNC($AN160/2,0)+0.99),'Tax scales - NAT 3539'!$A$74:$C$94,3,1)),0)
*2,
0),
IF(AND($E$2="Monthly",ROUND($AN160-TRUNC($AN160),2)=0.33),
ROUND(
ROUND(((TRUNC(($AN160+0.01)*3/13,0)+0.99)*VLOOKUP((TRUNC(($AN160+0.01)*3/13,0)+0.99),'Tax scales - NAT 3539'!$A$74:$C$94,2,1)-VLOOKUP((TRUNC(($AN160+0.01)*3/13,0)+0.99),'Tax scales - NAT 3539'!$A$74:$C$94,3,1)),0)
*13/3,
0),
IF($E$2="Monthly",
ROUND(
ROUND(((TRUNC($AN160*3/13,0)+0.99)*VLOOKUP((TRUNC($AN160*3/13,0)+0.99),'Tax scales - NAT 3539'!$A$74:$C$94,2,1)-VLOOKUP((TRUNC($AN160*3/13,0)+0.99),'Tax scales - NAT 3539'!$A$74:$C$94,3,1)),0)
*13/3,
0),
""))),
""),
"")</f>
        <v/>
      </c>
      <c r="AX160" s="118" t="str">
        <f>IFERROR(
IF(VLOOKUP($C160,'Employee information'!$B:$M,COLUMNS('Employee information'!$B:$M),0)=55,
IF($E$2="Fortnightly",
ROUND(
ROUND((((TRUNC($AN160/2,0)+0.99))*VLOOKUP((TRUNC($AN160/2,0)+0.99),'Tax scales - NAT 3539'!$A$99:$C$123,2,1)-VLOOKUP((TRUNC($AN160/2,0)+0.99),'Tax scales - NAT 3539'!$A$99:$C$123,3,1)),0)
*2,
0),
IF(AND($E$2="Monthly",ROUND($AN160-TRUNC($AN160),2)=0.33),
ROUND(
ROUND(((TRUNC(($AN160+0.01)*3/13,0)+0.99)*VLOOKUP((TRUNC(($AN160+0.01)*3/13,0)+0.99),'Tax scales - NAT 3539'!$A$99:$C$123,2,1)-VLOOKUP((TRUNC(($AN160+0.01)*3/13,0)+0.99),'Tax scales - NAT 3539'!$A$99:$C$123,3,1)),0)
*13/3,
0),
IF($E$2="Monthly",
ROUND(
ROUND(((TRUNC($AN160*3/13,0)+0.99)*VLOOKUP((TRUNC($AN160*3/13,0)+0.99),'Tax scales - NAT 3539'!$A$99:$C$123,2,1)-VLOOKUP((TRUNC($AN160*3/13,0)+0.99),'Tax scales - NAT 3539'!$A$99:$C$123,3,1)),0)
*13/3,
0),
""))),
""),
"")</f>
        <v/>
      </c>
      <c r="AY160" s="118" t="str">
        <f>IFERROR(
IF(VLOOKUP($C160,'Employee information'!$B:$M,COLUMNS('Employee information'!$B:$M),0)=66,
IF($E$2="Fortnightly",
ROUND(
ROUND((((TRUNC($AN160/2,0)+0.99))*VLOOKUP((TRUNC($AN160/2,0)+0.99),'Tax scales - NAT 3539'!$A$127:$C$154,2,1)-VLOOKUP((TRUNC($AN160/2,0)+0.99),'Tax scales - NAT 3539'!$A$127:$C$154,3,1)),0)
*2,
0),
IF(AND($E$2="Monthly",ROUND($AN160-TRUNC($AN160),2)=0.33),
ROUND(
ROUND(((TRUNC(($AN160+0.01)*3/13,0)+0.99)*VLOOKUP((TRUNC(($AN160+0.01)*3/13,0)+0.99),'Tax scales - NAT 3539'!$A$127:$C$154,2,1)-VLOOKUP((TRUNC(($AN160+0.01)*3/13,0)+0.99),'Tax scales - NAT 3539'!$A$127:$C$154,3,1)),0)
*13/3,
0),
IF($E$2="Monthly",
ROUND(
ROUND(((TRUNC($AN160*3/13,0)+0.99)*VLOOKUP((TRUNC($AN160*3/13,0)+0.99),'Tax scales - NAT 3539'!$A$127:$C$154,2,1)-VLOOKUP((TRUNC($AN160*3/13,0)+0.99),'Tax scales - NAT 3539'!$A$127:$C$154,3,1)),0)
*13/3,
0),
""))),
""),
"")</f>
        <v/>
      </c>
      <c r="AZ160" s="118">
        <f>IFERROR(
HLOOKUP(VLOOKUP($C160,'Employee information'!$B:$M,COLUMNS('Employee information'!$B:$M),0),'PAYG worksheet'!$AO$155:$AY$174,COUNTA($C$156:$C160)+1,0),
0)</f>
        <v>1680</v>
      </c>
      <c r="BA160" s="118"/>
      <c r="BB160" s="118">
        <f t="shared" si="170"/>
        <v>2445</v>
      </c>
      <c r="BC160" s="119">
        <f>IFERROR(
IF(OR($AE160=1,$AE160=""),SUM($P160,$AA160,$AC160,$AK160)*VLOOKUP($C160,'Employee information'!$B:$Q,COLUMNS('Employee information'!$B:$H),0),
IF($AE160=0,SUM($P160,$AA160,$AK160)*VLOOKUP($C160,'Employee information'!$B:$Q,COLUMNS('Employee information'!$B:$H),0),
0)),
0)</f>
        <v>391.875</v>
      </c>
      <c r="BE160" s="114">
        <f t="shared" si="155"/>
        <v>24850</v>
      </c>
      <c r="BF160" s="114">
        <f t="shared" si="156"/>
        <v>24850</v>
      </c>
      <c r="BG160" s="114">
        <f t="shared" si="157"/>
        <v>0</v>
      </c>
      <c r="BH160" s="114">
        <f t="shared" si="158"/>
        <v>0</v>
      </c>
      <c r="BI160" s="114">
        <f t="shared" si="159"/>
        <v>10128</v>
      </c>
      <c r="BJ160" s="114">
        <f t="shared" si="160"/>
        <v>0</v>
      </c>
      <c r="BK160" s="114">
        <f t="shared" si="161"/>
        <v>0</v>
      </c>
      <c r="BL160" s="114">
        <f t="shared" si="171"/>
        <v>100</v>
      </c>
      <c r="BM160" s="114">
        <f t="shared" si="162"/>
        <v>2360.75</v>
      </c>
    </row>
    <row r="161" spans="1:65" x14ac:dyDescent="0.25">
      <c r="A161" s="228">
        <f t="shared" si="150"/>
        <v>6</v>
      </c>
      <c r="C161" s="278" t="s">
        <v>17</v>
      </c>
      <c r="E161" s="103">
        <f>IF($C161="",0,
IF(AND($E$2="Monthly",$A161&gt;12),0,
IF($E$2="Monthly",VLOOKUP($C161,'Employee information'!$B:$AM,COLUMNS('Employee information'!$B:S),0),
IF($E$2="Fortnightly",VLOOKUP($C161,'Employee information'!$B:$AM,COLUMNS('Employee information'!$B:R),0),
0))))</f>
        <v>75</v>
      </c>
      <c r="F161" s="106"/>
      <c r="G161" s="106"/>
      <c r="H161" s="106"/>
      <c r="I161" s="106"/>
      <c r="J161" s="103">
        <f t="shared" si="163"/>
        <v>75</v>
      </c>
      <c r="L161" s="113">
        <f>IF(AND($E$2="Monthly",$A161&gt;12),"",
IFERROR($J161*VLOOKUP($C161,'Employee information'!$B:$AI,COLUMNS('Employee information'!$B:$P),0),0))</f>
        <v>2500</v>
      </c>
      <c r="M161" s="114">
        <f t="shared" si="164"/>
        <v>15000</v>
      </c>
      <c r="O161" s="103">
        <f t="shared" si="165"/>
        <v>75</v>
      </c>
      <c r="P161" s="113">
        <f>IFERROR(
IF(AND($E$2="Monthly",$A161&gt;12),0,
$O161*VLOOKUP($C161,'Employee information'!$B:$AI,COLUMNS('Employee information'!$B:$P),0)),
0)</f>
        <v>2500</v>
      </c>
      <c r="R161" s="114">
        <f t="shared" si="151"/>
        <v>15000</v>
      </c>
      <c r="T161" s="103"/>
      <c r="U161" s="103"/>
      <c r="V161" s="282">
        <f>IF($C161="","",
IF(AND($E$2="Monthly",$A161&gt;12),"",
$T161*VLOOKUP($C161,'Employee information'!$B:$P,COLUMNS('Employee information'!$B:$P),0)))</f>
        <v>0</v>
      </c>
      <c r="W161" s="282">
        <f>IF($C161="","",
IF(AND($E$2="Monthly",$A161&gt;12),"",
$U161*VLOOKUP($C161,'Employee information'!$B:$P,COLUMNS('Employee information'!$B:$P),0)))</f>
        <v>0</v>
      </c>
      <c r="X161" s="114">
        <f t="shared" si="152"/>
        <v>0</v>
      </c>
      <c r="Y161" s="114">
        <f t="shared" si="153"/>
        <v>0</v>
      </c>
      <c r="AA161" s="118">
        <f>IFERROR(
IF(OR('Basic payroll data'!$D$12="",'Basic payroll data'!$D$12="No"),0,
$T161*VLOOKUP($C161,'Employee information'!$B:$P,COLUMNS('Employee information'!$B:$P),0)*AL_loading_perc),
0)</f>
        <v>0</v>
      </c>
      <c r="AC161" s="118"/>
      <c r="AD161" s="118"/>
      <c r="AE161" s="283" t="str">
        <f t="shared" si="166"/>
        <v/>
      </c>
      <c r="AF161" s="283" t="str">
        <f t="shared" si="167"/>
        <v/>
      </c>
      <c r="AG161" s="118"/>
      <c r="AH161" s="118"/>
      <c r="AI161" s="283" t="str">
        <f t="shared" si="168"/>
        <v/>
      </c>
      <c r="AJ161" s="118"/>
      <c r="AK161" s="118"/>
      <c r="AM161" s="118">
        <f t="shared" si="169"/>
        <v>2500</v>
      </c>
      <c r="AN161" s="118">
        <f t="shared" si="154"/>
        <v>2500</v>
      </c>
      <c r="AO161" s="118" t="str">
        <f>IFERROR(
IF(VLOOKUP($C161,'Employee information'!$B:$M,COLUMNS('Employee information'!$B:$M),0)=1,
IF($E$2="Fortnightly",
ROUND(
ROUND((((TRUNC($AN161/2,0)+0.99))*VLOOKUP((TRUNC($AN161/2,0)+0.99),'Tax scales - NAT 1004'!$A$12:$C$18,2,1)-VLOOKUP((TRUNC($AN161/2,0)+0.99),'Tax scales - NAT 1004'!$A$12:$C$18,3,1)),0)
*2,
0),
IF(AND($E$2="Monthly",ROUND($AN161-TRUNC($AN161),2)=0.33),
ROUND(
ROUND(((TRUNC(($AN161+0.01)*3/13,0)+0.99)*VLOOKUP((TRUNC(($AN161+0.01)*3/13,0)+0.99),'Tax scales - NAT 1004'!$A$12:$C$18,2,1)-VLOOKUP((TRUNC(($AN161+0.01)*3/13,0)+0.99),'Tax scales - NAT 1004'!$A$12:$C$18,3,1)),0)
*13/3,
0),
IF($E$2="Monthly",
ROUND(
ROUND(((TRUNC($AN161*3/13,0)+0.99)*VLOOKUP((TRUNC($AN161*3/13,0)+0.99),'Tax scales - NAT 1004'!$A$12:$C$18,2,1)-VLOOKUP((TRUNC($AN161*3/13,0)+0.99),'Tax scales - NAT 1004'!$A$12:$C$18,3,1)),0)
*13/3,
0),
""))),
""),
"")</f>
        <v/>
      </c>
      <c r="AP161" s="118" t="str">
        <f>IFERROR(
IF(VLOOKUP($C161,'Employee information'!$B:$M,COLUMNS('Employee information'!$B:$M),0)=2,
IF($E$2="Fortnightly",
ROUND(
ROUND((((TRUNC($AN161/2,0)+0.99))*VLOOKUP((TRUNC($AN161/2,0)+0.99),'Tax scales - NAT 1004'!$A$25:$C$33,2,1)-VLOOKUP((TRUNC($AN161/2,0)+0.99),'Tax scales - NAT 1004'!$A$25:$C$33,3,1)),0)
*2,
0),
IF(AND($E$2="Monthly",ROUND($AN161-TRUNC($AN161),2)=0.33),
ROUND(
ROUND(((TRUNC(($AN161+0.01)*3/13,0)+0.99)*VLOOKUP((TRUNC(($AN161+0.01)*3/13,0)+0.99),'Tax scales - NAT 1004'!$A$25:$C$33,2,1)-VLOOKUP((TRUNC(($AN161+0.01)*3/13,0)+0.99),'Tax scales - NAT 1004'!$A$25:$C$33,3,1)),0)
*13/3,
0),
IF($E$2="Monthly",
ROUND(
ROUND(((TRUNC($AN161*3/13,0)+0.99)*VLOOKUP((TRUNC($AN161*3/13,0)+0.99),'Tax scales - NAT 1004'!$A$25:$C$33,2,1)-VLOOKUP((TRUNC($AN161*3/13,0)+0.99),'Tax scales - NAT 1004'!$A$25:$C$33,3,1)),0)
*13/3,
0),
""))),
""),
"")</f>
        <v/>
      </c>
      <c r="AQ161" s="118" t="str">
        <f>IFERROR(
IF(VLOOKUP($C161,'Employee information'!$B:$M,COLUMNS('Employee information'!$B:$M),0)=3,
IF($E$2="Fortnightly",
ROUND(
ROUND((((TRUNC($AN161/2,0)+0.99))*VLOOKUP((TRUNC($AN161/2,0)+0.99),'Tax scales - NAT 1004'!$A$39:$C$41,2,1)-VLOOKUP((TRUNC($AN161/2,0)+0.99),'Tax scales - NAT 1004'!$A$39:$C$41,3,1)),0)
*2,
0),
IF(AND($E$2="Monthly",ROUND($AN161-TRUNC($AN161),2)=0.33),
ROUND(
ROUND(((TRUNC(($AN161+0.01)*3/13,0)+0.99)*VLOOKUP((TRUNC(($AN161+0.01)*3/13,0)+0.99),'Tax scales - NAT 1004'!$A$39:$C$41,2,1)-VLOOKUP((TRUNC(($AN161+0.01)*3/13,0)+0.99),'Tax scales - NAT 1004'!$A$39:$C$41,3,1)),0)
*13/3,
0),
IF($E$2="Monthly",
ROUND(
ROUND(((TRUNC($AN161*3/13,0)+0.99)*VLOOKUP((TRUNC($AN161*3/13,0)+0.99),'Tax scales - NAT 1004'!$A$39:$C$41,2,1)-VLOOKUP((TRUNC($AN161*3/13,0)+0.99),'Tax scales - NAT 1004'!$A$39:$C$41,3,1)),0)
*13/3,
0),
""))),
""),
"")</f>
        <v/>
      </c>
      <c r="AR161" s="118">
        <f>IFERROR(
IF(AND(VLOOKUP($C161,'Employee information'!$B:$M,COLUMNS('Employee information'!$B:$M),0)=4,
VLOOKUP($C161,'Employee information'!$B:$J,COLUMNS('Employee information'!$B:$J),0)="Resident"),
TRUNC(TRUNC($AN161)*'Tax scales - NAT 1004'!$B$47),
IF(AND(VLOOKUP($C161,'Employee information'!$B:$M,COLUMNS('Employee information'!$B:$M),0)=4,
VLOOKUP($C161,'Employee information'!$B:$J,COLUMNS('Employee information'!$B:$J),0)="Foreign resident"),
TRUNC(TRUNC($AN161)*'Tax scales - NAT 1004'!$B$48),
"")),
"")</f>
        <v>1175</v>
      </c>
      <c r="AS161" s="118" t="str">
        <f>IFERROR(
IF(VLOOKUP($C161,'Employee information'!$B:$M,COLUMNS('Employee information'!$B:$M),0)=5,
IF($E$2="Fortnightly",
ROUND(
ROUND((((TRUNC($AN161/2,0)+0.99))*VLOOKUP((TRUNC($AN161/2,0)+0.99),'Tax scales - NAT 1004'!$A$53:$C$59,2,1)-VLOOKUP((TRUNC($AN161/2,0)+0.99),'Tax scales - NAT 1004'!$A$53:$C$59,3,1)),0)
*2,
0),
IF(AND($E$2="Monthly",ROUND($AN161-TRUNC($AN161),2)=0.33),
ROUND(
ROUND(((TRUNC(($AN161+0.01)*3/13,0)+0.99)*VLOOKUP((TRUNC(($AN161+0.01)*3/13,0)+0.99),'Tax scales - NAT 1004'!$A$53:$C$59,2,1)-VLOOKUP((TRUNC(($AN161+0.01)*3/13,0)+0.99),'Tax scales - NAT 1004'!$A$53:$C$59,3,1)),0)
*13/3,
0),
IF($E$2="Monthly",
ROUND(
ROUND(((TRUNC($AN161*3/13,0)+0.99)*VLOOKUP((TRUNC($AN161*3/13,0)+0.99),'Tax scales - NAT 1004'!$A$53:$C$59,2,1)-VLOOKUP((TRUNC($AN161*3/13,0)+0.99),'Tax scales - NAT 1004'!$A$53:$C$59,3,1)),0)
*13/3,
0),
""))),
""),
"")</f>
        <v/>
      </c>
      <c r="AT161" s="118" t="str">
        <f>IFERROR(
IF(VLOOKUP($C161,'Employee information'!$B:$M,COLUMNS('Employee information'!$B:$M),0)=6,
IF($E$2="Fortnightly",
ROUND(
ROUND((((TRUNC($AN161/2,0)+0.99))*VLOOKUP((TRUNC($AN161/2,0)+0.99),'Tax scales - NAT 1004'!$A$65:$C$73,2,1)-VLOOKUP((TRUNC($AN161/2,0)+0.99),'Tax scales - NAT 1004'!$A$65:$C$73,3,1)),0)
*2,
0),
IF(AND($E$2="Monthly",ROUND($AN161-TRUNC($AN161),2)=0.33),
ROUND(
ROUND(((TRUNC(($AN161+0.01)*3/13,0)+0.99)*VLOOKUP((TRUNC(($AN161+0.01)*3/13,0)+0.99),'Tax scales - NAT 1004'!$A$65:$C$73,2,1)-VLOOKUP((TRUNC(($AN161+0.01)*3/13,0)+0.99),'Tax scales - NAT 1004'!$A$65:$C$73,3,1)),0)
*13/3,
0),
IF($E$2="Monthly",
ROUND(
ROUND(((TRUNC($AN161*3/13,0)+0.99)*VLOOKUP((TRUNC($AN161*3/13,0)+0.99),'Tax scales - NAT 1004'!$A$65:$C$73,2,1)-VLOOKUP((TRUNC($AN161*3/13,0)+0.99),'Tax scales - NAT 1004'!$A$65:$C$73,3,1)),0)
*13/3,
0),
""))),
""),
"")</f>
        <v/>
      </c>
      <c r="AU161" s="118" t="str">
        <f>IFERROR(
IF(VLOOKUP($C161,'Employee information'!$B:$M,COLUMNS('Employee information'!$B:$M),0)=11,
IF($E$2="Fortnightly",
ROUND(
ROUND((((TRUNC($AN161/2,0)+0.99))*VLOOKUP((TRUNC($AN161/2,0)+0.99),'Tax scales - NAT 3539'!$A$14:$C$38,2,1)-VLOOKUP((TRUNC($AN161/2,0)+0.99),'Tax scales - NAT 3539'!$A$14:$C$38,3,1)),0)
*2,
0),
IF(AND($E$2="Monthly",ROUND($AN161-TRUNC($AN161),2)=0.33),
ROUND(
ROUND(((TRUNC(($AN161+0.01)*3/13,0)+0.99)*VLOOKUP((TRUNC(($AN161+0.01)*3/13,0)+0.99),'Tax scales - NAT 3539'!$A$14:$C$38,2,1)-VLOOKUP((TRUNC(($AN161+0.01)*3/13,0)+0.99),'Tax scales - NAT 3539'!$A$14:$C$38,3,1)),0)
*13/3,
0),
IF($E$2="Monthly",
ROUND(
ROUND(((TRUNC($AN161*3/13,0)+0.99)*VLOOKUP((TRUNC($AN161*3/13,0)+0.99),'Tax scales - NAT 3539'!$A$14:$C$38,2,1)-VLOOKUP((TRUNC($AN161*3/13,0)+0.99),'Tax scales - NAT 3539'!$A$14:$C$38,3,1)),0)
*13/3,
0),
""))),
""),
"")</f>
        <v/>
      </c>
      <c r="AV161" s="118" t="str">
        <f>IFERROR(
IF(VLOOKUP($C161,'Employee information'!$B:$M,COLUMNS('Employee information'!$B:$M),0)=22,
IF($E$2="Fortnightly",
ROUND(
ROUND((((TRUNC($AN161/2,0)+0.99))*VLOOKUP((TRUNC($AN161/2,0)+0.99),'Tax scales - NAT 3539'!$A$43:$C$69,2,1)-VLOOKUP((TRUNC($AN161/2,0)+0.99),'Tax scales - NAT 3539'!$A$43:$C$69,3,1)),0)
*2,
0),
IF(AND($E$2="Monthly",ROUND($AN161-TRUNC($AN161),2)=0.33),
ROUND(
ROUND(((TRUNC(($AN161+0.01)*3/13,0)+0.99)*VLOOKUP((TRUNC(($AN161+0.01)*3/13,0)+0.99),'Tax scales - NAT 3539'!$A$43:$C$69,2,1)-VLOOKUP((TRUNC(($AN161+0.01)*3/13,0)+0.99),'Tax scales - NAT 3539'!$A$43:$C$69,3,1)),0)
*13/3,
0),
IF($E$2="Monthly",
ROUND(
ROUND(((TRUNC($AN161*3/13,0)+0.99)*VLOOKUP((TRUNC($AN161*3/13,0)+0.99),'Tax scales - NAT 3539'!$A$43:$C$69,2,1)-VLOOKUP((TRUNC($AN161*3/13,0)+0.99),'Tax scales - NAT 3539'!$A$43:$C$69,3,1)),0)
*13/3,
0),
""))),
""),
"")</f>
        <v/>
      </c>
      <c r="AW161" s="118" t="str">
        <f>IFERROR(
IF(VLOOKUP($C161,'Employee information'!$B:$M,COLUMNS('Employee information'!$B:$M),0)=33,
IF($E$2="Fortnightly",
ROUND(
ROUND((((TRUNC($AN161/2,0)+0.99))*VLOOKUP((TRUNC($AN161/2,0)+0.99),'Tax scales - NAT 3539'!$A$74:$C$94,2,1)-VLOOKUP((TRUNC($AN161/2,0)+0.99),'Tax scales - NAT 3539'!$A$74:$C$94,3,1)),0)
*2,
0),
IF(AND($E$2="Monthly",ROUND($AN161-TRUNC($AN161),2)=0.33),
ROUND(
ROUND(((TRUNC(($AN161+0.01)*3/13,0)+0.99)*VLOOKUP((TRUNC(($AN161+0.01)*3/13,0)+0.99),'Tax scales - NAT 3539'!$A$74:$C$94,2,1)-VLOOKUP((TRUNC(($AN161+0.01)*3/13,0)+0.99),'Tax scales - NAT 3539'!$A$74:$C$94,3,1)),0)
*13/3,
0),
IF($E$2="Monthly",
ROUND(
ROUND(((TRUNC($AN161*3/13,0)+0.99)*VLOOKUP((TRUNC($AN161*3/13,0)+0.99),'Tax scales - NAT 3539'!$A$74:$C$94,2,1)-VLOOKUP((TRUNC($AN161*3/13,0)+0.99),'Tax scales - NAT 3539'!$A$74:$C$94,3,1)),0)
*13/3,
0),
""))),
""),
"")</f>
        <v/>
      </c>
      <c r="AX161" s="118" t="str">
        <f>IFERROR(
IF(VLOOKUP($C161,'Employee information'!$B:$M,COLUMNS('Employee information'!$B:$M),0)=55,
IF($E$2="Fortnightly",
ROUND(
ROUND((((TRUNC($AN161/2,0)+0.99))*VLOOKUP((TRUNC($AN161/2,0)+0.99),'Tax scales - NAT 3539'!$A$99:$C$123,2,1)-VLOOKUP((TRUNC($AN161/2,0)+0.99),'Tax scales - NAT 3539'!$A$99:$C$123,3,1)),0)
*2,
0),
IF(AND($E$2="Monthly",ROUND($AN161-TRUNC($AN161),2)=0.33),
ROUND(
ROUND(((TRUNC(($AN161+0.01)*3/13,0)+0.99)*VLOOKUP((TRUNC(($AN161+0.01)*3/13,0)+0.99),'Tax scales - NAT 3539'!$A$99:$C$123,2,1)-VLOOKUP((TRUNC(($AN161+0.01)*3/13,0)+0.99),'Tax scales - NAT 3539'!$A$99:$C$123,3,1)),0)
*13/3,
0),
IF($E$2="Monthly",
ROUND(
ROUND(((TRUNC($AN161*3/13,0)+0.99)*VLOOKUP((TRUNC($AN161*3/13,0)+0.99),'Tax scales - NAT 3539'!$A$99:$C$123,2,1)-VLOOKUP((TRUNC($AN161*3/13,0)+0.99),'Tax scales - NAT 3539'!$A$99:$C$123,3,1)),0)
*13/3,
0),
""))),
""),
"")</f>
        <v/>
      </c>
      <c r="AY161" s="118" t="str">
        <f>IFERROR(
IF(VLOOKUP($C161,'Employee information'!$B:$M,COLUMNS('Employee information'!$B:$M),0)=66,
IF($E$2="Fortnightly",
ROUND(
ROUND((((TRUNC($AN161/2,0)+0.99))*VLOOKUP((TRUNC($AN161/2,0)+0.99),'Tax scales - NAT 3539'!$A$127:$C$154,2,1)-VLOOKUP((TRUNC($AN161/2,0)+0.99),'Tax scales - NAT 3539'!$A$127:$C$154,3,1)),0)
*2,
0),
IF(AND($E$2="Monthly",ROUND($AN161-TRUNC($AN161),2)=0.33),
ROUND(
ROUND(((TRUNC(($AN161+0.01)*3/13,0)+0.99)*VLOOKUP((TRUNC(($AN161+0.01)*3/13,0)+0.99),'Tax scales - NAT 3539'!$A$127:$C$154,2,1)-VLOOKUP((TRUNC(($AN161+0.01)*3/13,0)+0.99),'Tax scales - NAT 3539'!$A$127:$C$154,3,1)),0)
*13/3,
0),
IF($E$2="Monthly",
ROUND(
ROUND(((TRUNC($AN161*3/13,0)+0.99)*VLOOKUP((TRUNC($AN161*3/13,0)+0.99),'Tax scales - NAT 3539'!$A$127:$C$154,2,1)-VLOOKUP((TRUNC($AN161*3/13,0)+0.99),'Tax scales - NAT 3539'!$A$127:$C$154,3,1)),0)
*13/3,
0),
""))),
""),
"")</f>
        <v/>
      </c>
      <c r="AZ161" s="118">
        <f>IFERROR(
HLOOKUP(VLOOKUP($C161,'Employee information'!$B:$M,COLUMNS('Employee information'!$B:$M),0),'PAYG worksheet'!$AO$155:$AY$174,COUNTA($C$156:$C161)+1,0),
0)</f>
        <v>1175</v>
      </c>
      <c r="BA161" s="118"/>
      <c r="BB161" s="118">
        <f t="shared" si="170"/>
        <v>1325</v>
      </c>
      <c r="BC161" s="119">
        <f>IFERROR(
IF(OR($AE161=1,$AE161=""),SUM($P161,$AA161,$AC161,$AK161)*VLOOKUP($C161,'Employee information'!$B:$Q,COLUMNS('Employee information'!$B:$H),0),
IF($AE161=0,SUM($P161,$AA161,$AK161)*VLOOKUP($C161,'Employee information'!$B:$Q,COLUMNS('Employee information'!$B:$H),0),
0)),
0)</f>
        <v>237.5</v>
      </c>
      <c r="BE161" s="114">
        <f t="shared" si="155"/>
        <v>15000</v>
      </c>
      <c r="BF161" s="114">
        <f t="shared" si="156"/>
        <v>15000</v>
      </c>
      <c r="BG161" s="114">
        <f t="shared" si="157"/>
        <v>0</v>
      </c>
      <c r="BH161" s="114">
        <f t="shared" si="158"/>
        <v>0</v>
      </c>
      <c r="BI161" s="114">
        <f t="shared" si="159"/>
        <v>7050</v>
      </c>
      <c r="BJ161" s="114">
        <f t="shared" si="160"/>
        <v>0</v>
      </c>
      <c r="BK161" s="114">
        <f t="shared" si="161"/>
        <v>0</v>
      </c>
      <c r="BL161" s="114">
        <f t="shared" si="171"/>
        <v>0</v>
      </c>
      <c r="BM161" s="114">
        <f t="shared" si="162"/>
        <v>1425</v>
      </c>
    </row>
    <row r="162" spans="1:65" x14ac:dyDescent="0.25">
      <c r="A162" s="228">
        <f t="shared" si="150"/>
        <v>6</v>
      </c>
      <c r="C162" s="278" t="s">
        <v>95</v>
      </c>
      <c r="E162" s="103">
        <f>IF($C162="",0,
IF(AND($E$2="Monthly",$A162&gt;12),0,
IF($E$2="Monthly",VLOOKUP($C162,'Employee information'!$B:$AM,COLUMNS('Employee information'!$B:S),0),
IF($E$2="Fortnightly",VLOOKUP($C162,'Employee information'!$B:$AM,COLUMNS('Employee information'!$B:R),0),
0))))</f>
        <v>45</v>
      </c>
      <c r="F162" s="106"/>
      <c r="G162" s="106"/>
      <c r="H162" s="106"/>
      <c r="I162" s="106"/>
      <c r="J162" s="103">
        <f t="shared" si="163"/>
        <v>45</v>
      </c>
      <c r="L162" s="113">
        <f>IF(AND($E$2="Monthly",$A162&gt;12),"",
IFERROR($J162*VLOOKUP($C162,'Employee information'!$B:$AI,COLUMNS('Employee information'!$B:$P),0),0))</f>
        <v>1107.6923076923078</v>
      </c>
      <c r="M162" s="114">
        <f t="shared" si="164"/>
        <v>6646.1538461538466</v>
      </c>
      <c r="O162" s="103">
        <f t="shared" si="165"/>
        <v>45</v>
      </c>
      <c r="P162" s="113">
        <f>IFERROR(
IF(AND($E$2="Monthly",$A162&gt;12),0,
$O162*VLOOKUP($C162,'Employee information'!$B:$AI,COLUMNS('Employee information'!$B:$P),0)),
0)</f>
        <v>1107.6923076923078</v>
      </c>
      <c r="R162" s="114">
        <f t="shared" si="151"/>
        <v>6646.1538461538466</v>
      </c>
      <c r="T162" s="103"/>
      <c r="U162" s="103"/>
      <c r="V162" s="282">
        <f>IF($C162="","",
IF(AND($E$2="Monthly",$A162&gt;12),"",
$T162*VLOOKUP($C162,'Employee information'!$B:$P,COLUMNS('Employee information'!$B:$P),0)))</f>
        <v>0</v>
      </c>
      <c r="W162" s="282">
        <f>IF($C162="","",
IF(AND($E$2="Monthly",$A162&gt;12),"",
$U162*VLOOKUP($C162,'Employee information'!$B:$P,COLUMNS('Employee information'!$B:$P),0)))</f>
        <v>0</v>
      </c>
      <c r="X162" s="114">
        <f t="shared" si="152"/>
        <v>0</v>
      </c>
      <c r="Y162" s="114">
        <f t="shared" si="153"/>
        <v>0</v>
      </c>
      <c r="AA162" s="118">
        <f>IFERROR(
IF(OR('Basic payroll data'!$D$12="",'Basic payroll data'!$D$12="No"),0,
$T162*VLOOKUP($C162,'Employee information'!$B:$P,COLUMNS('Employee information'!$B:$P),0)*AL_loading_perc),
0)</f>
        <v>0</v>
      </c>
      <c r="AC162" s="118"/>
      <c r="AD162" s="118"/>
      <c r="AE162" s="283" t="str">
        <f t="shared" si="166"/>
        <v/>
      </c>
      <c r="AF162" s="283" t="str">
        <f t="shared" si="167"/>
        <v/>
      </c>
      <c r="AG162" s="118"/>
      <c r="AH162" s="118"/>
      <c r="AI162" s="283" t="str">
        <f t="shared" si="168"/>
        <v/>
      </c>
      <c r="AJ162" s="118"/>
      <c r="AK162" s="118"/>
      <c r="AM162" s="118">
        <f t="shared" si="169"/>
        <v>1107.6923076923078</v>
      </c>
      <c r="AN162" s="118">
        <f t="shared" si="154"/>
        <v>1107.6923076923078</v>
      </c>
      <c r="AO162" s="118" t="str">
        <f>IFERROR(
IF(VLOOKUP($C162,'Employee information'!$B:$M,COLUMNS('Employee information'!$B:$M),0)=1,
IF($E$2="Fortnightly",
ROUND(
ROUND((((TRUNC($AN162/2,0)+0.99))*VLOOKUP((TRUNC($AN162/2,0)+0.99),'Tax scales - NAT 1004'!$A$12:$C$18,2,1)-VLOOKUP((TRUNC($AN162/2,0)+0.99),'Tax scales - NAT 1004'!$A$12:$C$18,3,1)),0)
*2,
0),
IF(AND($E$2="Monthly",ROUND($AN162-TRUNC($AN162),2)=0.33),
ROUND(
ROUND(((TRUNC(($AN162+0.01)*3/13,0)+0.99)*VLOOKUP((TRUNC(($AN162+0.01)*3/13,0)+0.99),'Tax scales - NAT 1004'!$A$12:$C$18,2,1)-VLOOKUP((TRUNC(($AN162+0.01)*3/13,0)+0.99),'Tax scales - NAT 1004'!$A$12:$C$18,3,1)),0)
*13/3,
0),
IF($E$2="Monthly",
ROUND(
ROUND(((TRUNC($AN162*3/13,0)+0.99)*VLOOKUP((TRUNC($AN162*3/13,0)+0.99),'Tax scales - NAT 1004'!$A$12:$C$18,2,1)-VLOOKUP((TRUNC($AN162*3/13,0)+0.99),'Tax scales - NAT 1004'!$A$12:$C$18,3,1)),0)
*13/3,
0),
""))),
""),
"")</f>
        <v/>
      </c>
      <c r="AP162" s="118" t="str">
        <f>IFERROR(
IF(VLOOKUP($C162,'Employee information'!$B:$M,COLUMNS('Employee information'!$B:$M),0)=2,
IF($E$2="Fortnightly",
ROUND(
ROUND((((TRUNC($AN162/2,0)+0.99))*VLOOKUP((TRUNC($AN162/2,0)+0.99),'Tax scales - NAT 1004'!$A$25:$C$33,2,1)-VLOOKUP((TRUNC($AN162/2,0)+0.99),'Tax scales - NAT 1004'!$A$25:$C$33,3,1)),0)
*2,
0),
IF(AND($E$2="Monthly",ROUND($AN162-TRUNC($AN162),2)=0.33),
ROUND(
ROUND(((TRUNC(($AN162+0.01)*3/13,0)+0.99)*VLOOKUP((TRUNC(($AN162+0.01)*3/13,0)+0.99),'Tax scales - NAT 1004'!$A$25:$C$33,2,1)-VLOOKUP((TRUNC(($AN162+0.01)*3/13,0)+0.99),'Tax scales - NAT 1004'!$A$25:$C$33,3,1)),0)
*13/3,
0),
IF($E$2="Monthly",
ROUND(
ROUND(((TRUNC($AN162*3/13,0)+0.99)*VLOOKUP((TRUNC($AN162*3/13,0)+0.99),'Tax scales - NAT 1004'!$A$25:$C$33,2,1)-VLOOKUP((TRUNC($AN162*3/13,0)+0.99),'Tax scales - NAT 1004'!$A$25:$C$33,3,1)),0)
*13/3,
0),
""))),
""),
"")</f>
        <v/>
      </c>
      <c r="AQ162" s="118" t="str">
        <f>IFERROR(
IF(VLOOKUP($C162,'Employee information'!$B:$M,COLUMNS('Employee information'!$B:$M),0)=3,
IF($E$2="Fortnightly",
ROUND(
ROUND((((TRUNC($AN162/2,0)+0.99))*VLOOKUP((TRUNC($AN162/2,0)+0.99),'Tax scales - NAT 1004'!$A$39:$C$41,2,1)-VLOOKUP((TRUNC($AN162/2,0)+0.99),'Tax scales - NAT 1004'!$A$39:$C$41,3,1)),0)
*2,
0),
IF(AND($E$2="Monthly",ROUND($AN162-TRUNC($AN162),2)=0.33),
ROUND(
ROUND(((TRUNC(($AN162+0.01)*3/13,0)+0.99)*VLOOKUP((TRUNC(($AN162+0.01)*3/13,0)+0.99),'Tax scales - NAT 1004'!$A$39:$C$41,2,1)-VLOOKUP((TRUNC(($AN162+0.01)*3/13,0)+0.99),'Tax scales - NAT 1004'!$A$39:$C$41,3,1)),0)
*13/3,
0),
IF($E$2="Monthly",
ROUND(
ROUND(((TRUNC($AN162*3/13,0)+0.99)*VLOOKUP((TRUNC($AN162*3/13,0)+0.99),'Tax scales - NAT 1004'!$A$39:$C$41,2,1)-VLOOKUP((TRUNC($AN162*3/13,0)+0.99),'Tax scales - NAT 1004'!$A$39:$C$41,3,1)),0)
*13/3,
0),
""))),
""),
"")</f>
        <v/>
      </c>
      <c r="AR162" s="118" t="str">
        <f>IFERROR(
IF(AND(VLOOKUP($C162,'Employee information'!$B:$M,COLUMNS('Employee information'!$B:$M),0)=4,
VLOOKUP($C162,'Employee information'!$B:$J,COLUMNS('Employee information'!$B:$J),0)="Resident"),
TRUNC(TRUNC($AN162)*'Tax scales - NAT 1004'!$B$47),
IF(AND(VLOOKUP($C162,'Employee information'!$B:$M,COLUMNS('Employee information'!$B:$M),0)=4,
VLOOKUP($C162,'Employee information'!$B:$J,COLUMNS('Employee information'!$B:$J),0)="Foreign resident"),
TRUNC(TRUNC($AN162)*'Tax scales - NAT 1004'!$B$48),
"")),
"")</f>
        <v/>
      </c>
      <c r="AS162" s="118" t="str">
        <f>IFERROR(
IF(VLOOKUP($C162,'Employee information'!$B:$M,COLUMNS('Employee information'!$B:$M),0)=5,
IF($E$2="Fortnightly",
ROUND(
ROUND((((TRUNC($AN162/2,0)+0.99))*VLOOKUP((TRUNC($AN162/2,0)+0.99),'Tax scales - NAT 1004'!$A$53:$C$59,2,1)-VLOOKUP((TRUNC($AN162/2,0)+0.99),'Tax scales - NAT 1004'!$A$53:$C$59,3,1)),0)
*2,
0),
IF(AND($E$2="Monthly",ROUND($AN162-TRUNC($AN162),2)=0.33),
ROUND(
ROUND(((TRUNC(($AN162+0.01)*3/13,0)+0.99)*VLOOKUP((TRUNC(($AN162+0.01)*3/13,0)+0.99),'Tax scales - NAT 1004'!$A$53:$C$59,2,1)-VLOOKUP((TRUNC(($AN162+0.01)*3/13,0)+0.99),'Tax scales - NAT 1004'!$A$53:$C$59,3,1)),0)
*13/3,
0),
IF($E$2="Monthly",
ROUND(
ROUND(((TRUNC($AN162*3/13,0)+0.99)*VLOOKUP((TRUNC($AN162*3/13,0)+0.99),'Tax scales - NAT 1004'!$A$53:$C$59,2,1)-VLOOKUP((TRUNC($AN162*3/13,0)+0.99),'Tax scales - NAT 1004'!$A$53:$C$59,3,1)),0)
*13/3,
0),
""))),
""),
"")</f>
        <v/>
      </c>
      <c r="AT162" s="118" t="str">
        <f>IFERROR(
IF(VLOOKUP($C162,'Employee information'!$B:$M,COLUMNS('Employee information'!$B:$M),0)=6,
IF($E$2="Fortnightly",
ROUND(
ROUND((((TRUNC($AN162/2,0)+0.99))*VLOOKUP((TRUNC($AN162/2,0)+0.99),'Tax scales - NAT 1004'!$A$65:$C$73,2,1)-VLOOKUP((TRUNC($AN162/2,0)+0.99),'Tax scales - NAT 1004'!$A$65:$C$73,3,1)),0)
*2,
0),
IF(AND($E$2="Monthly",ROUND($AN162-TRUNC($AN162),2)=0.33),
ROUND(
ROUND(((TRUNC(($AN162+0.01)*3/13,0)+0.99)*VLOOKUP((TRUNC(($AN162+0.01)*3/13,0)+0.99),'Tax scales - NAT 1004'!$A$65:$C$73,2,1)-VLOOKUP((TRUNC(($AN162+0.01)*3/13,0)+0.99),'Tax scales - NAT 1004'!$A$65:$C$73,3,1)),0)
*13/3,
0),
IF($E$2="Monthly",
ROUND(
ROUND(((TRUNC($AN162*3/13,0)+0.99)*VLOOKUP((TRUNC($AN162*3/13,0)+0.99),'Tax scales - NAT 1004'!$A$65:$C$73,2,1)-VLOOKUP((TRUNC($AN162*3/13,0)+0.99),'Tax scales - NAT 1004'!$A$65:$C$73,3,1)),0)
*13/3,
0),
""))),
""),
"")</f>
        <v/>
      </c>
      <c r="AU162" s="118" t="str">
        <f>IFERROR(
IF(VLOOKUP($C162,'Employee information'!$B:$M,COLUMNS('Employee information'!$B:$M),0)=11,
IF($E$2="Fortnightly",
ROUND(
ROUND((((TRUNC($AN162/2,0)+0.99))*VLOOKUP((TRUNC($AN162/2,0)+0.99),'Tax scales - NAT 3539'!$A$14:$C$38,2,1)-VLOOKUP((TRUNC($AN162/2,0)+0.99),'Tax scales - NAT 3539'!$A$14:$C$38,3,1)),0)
*2,
0),
IF(AND($E$2="Monthly",ROUND($AN162-TRUNC($AN162),2)=0.33),
ROUND(
ROUND(((TRUNC(($AN162+0.01)*3/13,0)+0.99)*VLOOKUP((TRUNC(($AN162+0.01)*3/13,0)+0.99),'Tax scales - NAT 3539'!$A$14:$C$38,2,1)-VLOOKUP((TRUNC(($AN162+0.01)*3/13,0)+0.99),'Tax scales - NAT 3539'!$A$14:$C$38,3,1)),0)
*13/3,
0),
IF($E$2="Monthly",
ROUND(
ROUND(((TRUNC($AN162*3/13,0)+0.99)*VLOOKUP((TRUNC($AN162*3/13,0)+0.99),'Tax scales - NAT 3539'!$A$14:$C$38,2,1)-VLOOKUP((TRUNC($AN162*3/13,0)+0.99),'Tax scales - NAT 3539'!$A$14:$C$38,3,1)),0)
*13/3,
0),
""))),
""),
"")</f>
        <v/>
      </c>
      <c r="AV162" s="118" t="str">
        <f>IFERROR(
IF(VLOOKUP($C162,'Employee information'!$B:$M,COLUMNS('Employee information'!$B:$M),0)=22,
IF($E$2="Fortnightly",
ROUND(
ROUND((((TRUNC($AN162/2,0)+0.99))*VLOOKUP((TRUNC($AN162/2,0)+0.99),'Tax scales - NAT 3539'!$A$43:$C$69,2,1)-VLOOKUP((TRUNC($AN162/2,0)+0.99),'Tax scales - NAT 3539'!$A$43:$C$69,3,1)),0)
*2,
0),
IF(AND($E$2="Monthly",ROUND($AN162-TRUNC($AN162),2)=0.33),
ROUND(
ROUND(((TRUNC(($AN162+0.01)*3/13,0)+0.99)*VLOOKUP((TRUNC(($AN162+0.01)*3/13,0)+0.99),'Tax scales - NAT 3539'!$A$43:$C$69,2,1)-VLOOKUP((TRUNC(($AN162+0.01)*3/13,0)+0.99),'Tax scales - NAT 3539'!$A$43:$C$69,3,1)),0)
*13/3,
0),
IF($E$2="Monthly",
ROUND(
ROUND(((TRUNC($AN162*3/13,0)+0.99)*VLOOKUP((TRUNC($AN162*3/13,0)+0.99),'Tax scales - NAT 3539'!$A$43:$C$69,2,1)-VLOOKUP((TRUNC($AN162*3/13,0)+0.99),'Tax scales - NAT 3539'!$A$43:$C$69,3,1)),0)
*13/3,
0),
""))),
""),
"")</f>
        <v/>
      </c>
      <c r="AW162" s="118" t="str">
        <f>IFERROR(
IF(VLOOKUP($C162,'Employee information'!$B:$M,COLUMNS('Employee information'!$B:$M),0)=33,
IF($E$2="Fortnightly",
ROUND(
ROUND((((TRUNC($AN162/2,0)+0.99))*VLOOKUP((TRUNC($AN162/2,0)+0.99),'Tax scales - NAT 3539'!$A$74:$C$94,2,1)-VLOOKUP((TRUNC($AN162/2,0)+0.99),'Tax scales - NAT 3539'!$A$74:$C$94,3,1)),0)
*2,
0),
IF(AND($E$2="Monthly",ROUND($AN162-TRUNC($AN162),2)=0.33),
ROUND(
ROUND(((TRUNC(($AN162+0.01)*3/13,0)+0.99)*VLOOKUP((TRUNC(($AN162+0.01)*3/13,0)+0.99),'Tax scales - NAT 3539'!$A$74:$C$94,2,1)-VLOOKUP((TRUNC(($AN162+0.01)*3/13,0)+0.99),'Tax scales - NAT 3539'!$A$74:$C$94,3,1)),0)
*13/3,
0),
IF($E$2="Monthly",
ROUND(
ROUND(((TRUNC($AN162*3/13,0)+0.99)*VLOOKUP((TRUNC($AN162*3/13,0)+0.99),'Tax scales - NAT 3539'!$A$74:$C$94,2,1)-VLOOKUP((TRUNC($AN162*3/13,0)+0.99),'Tax scales - NAT 3539'!$A$74:$C$94,3,1)),0)
*13/3,
0),
""))),
""),
"")</f>
        <v/>
      </c>
      <c r="AX162" s="118" t="str">
        <f>IFERROR(
IF(VLOOKUP($C162,'Employee information'!$B:$M,COLUMNS('Employee information'!$B:$M),0)=55,
IF($E$2="Fortnightly",
ROUND(
ROUND((((TRUNC($AN162/2,0)+0.99))*VLOOKUP((TRUNC($AN162/2,0)+0.99),'Tax scales - NAT 3539'!$A$99:$C$123,2,1)-VLOOKUP((TRUNC($AN162/2,0)+0.99),'Tax scales - NAT 3539'!$A$99:$C$123,3,1)),0)
*2,
0),
IF(AND($E$2="Monthly",ROUND($AN162-TRUNC($AN162),2)=0.33),
ROUND(
ROUND(((TRUNC(($AN162+0.01)*3/13,0)+0.99)*VLOOKUP((TRUNC(($AN162+0.01)*3/13,0)+0.99),'Tax scales - NAT 3539'!$A$99:$C$123,2,1)-VLOOKUP((TRUNC(($AN162+0.01)*3/13,0)+0.99),'Tax scales - NAT 3539'!$A$99:$C$123,3,1)),0)
*13/3,
0),
IF($E$2="Monthly",
ROUND(
ROUND(((TRUNC($AN162*3/13,0)+0.99)*VLOOKUP((TRUNC($AN162*3/13,0)+0.99),'Tax scales - NAT 3539'!$A$99:$C$123,2,1)-VLOOKUP((TRUNC($AN162*3/13,0)+0.99),'Tax scales - NAT 3539'!$A$99:$C$123,3,1)),0)
*13/3,
0),
""))),
""),
"")</f>
        <v/>
      </c>
      <c r="AY162" s="118">
        <f>IFERROR(
IF(VLOOKUP($C162,'Employee information'!$B:$M,COLUMNS('Employee information'!$B:$M),0)=66,
IF($E$2="Fortnightly",
ROUND(
ROUND((((TRUNC($AN162/2,0)+0.99))*VLOOKUP((TRUNC($AN162/2,0)+0.99),'Tax scales - NAT 3539'!$A$127:$C$154,2,1)-VLOOKUP((TRUNC($AN162/2,0)+0.99),'Tax scales - NAT 3539'!$A$127:$C$154,3,1)),0)
*2,
0),
IF(AND($E$2="Monthly",ROUND($AN162-TRUNC($AN162),2)=0.33),
ROUND(
ROUND(((TRUNC(($AN162+0.01)*3/13,0)+0.99)*VLOOKUP((TRUNC(($AN162+0.01)*3/13,0)+0.99),'Tax scales - NAT 3539'!$A$127:$C$154,2,1)-VLOOKUP((TRUNC(($AN162+0.01)*3/13,0)+0.99),'Tax scales - NAT 3539'!$A$127:$C$154,3,1)),0)
*13/3,
0),
IF($E$2="Monthly",
ROUND(
ROUND(((TRUNC($AN162*3/13,0)+0.99)*VLOOKUP((TRUNC($AN162*3/13,0)+0.99),'Tax scales - NAT 3539'!$A$127:$C$154,2,1)-VLOOKUP((TRUNC($AN162*3/13,0)+0.99),'Tax scales - NAT 3539'!$A$127:$C$154,3,1)),0)
*13/3,
0),
""))),
""),
"")</f>
        <v>74</v>
      </c>
      <c r="AZ162" s="118">
        <f>IFERROR(
HLOOKUP(VLOOKUP($C162,'Employee information'!$B:$M,COLUMNS('Employee information'!$B:$M),0),'PAYG worksheet'!$AO$155:$AY$174,COUNTA($C$156:$C162)+1,0),
0)</f>
        <v>74</v>
      </c>
      <c r="BA162" s="118"/>
      <c r="BB162" s="118">
        <f t="shared" si="170"/>
        <v>1033.6923076923078</v>
      </c>
      <c r="BC162" s="119">
        <f>IFERROR(
IF(OR($AE162=1,$AE162=""),SUM($P162,$AA162,$AC162,$AK162)*VLOOKUP($C162,'Employee information'!$B:$Q,COLUMNS('Employee information'!$B:$H),0),
IF($AE162=0,SUM($P162,$AA162,$AK162)*VLOOKUP($C162,'Employee information'!$B:$Q,COLUMNS('Employee information'!$B:$H),0),
0)),
0)</f>
        <v>105.23076923076924</v>
      </c>
      <c r="BE162" s="114">
        <f t="shared" si="155"/>
        <v>6646.1538461538466</v>
      </c>
      <c r="BF162" s="114">
        <f t="shared" si="156"/>
        <v>6646.1538461538466</v>
      </c>
      <c r="BG162" s="114">
        <f t="shared" si="157"/>
        <v>0</v>
      </c>
      <c r="BH162" s="114">
        <f t="shared" si="158"/>
        <v>0</v>
      </c>
      <c r="BI162" s="114">
        <f t="shared" si="159"/>
        <v>444</v>
      </c>
      <c r="BJ162" s="114">
        <f t="shared" si="160"/>
        <v>0</v>
      </c>
      <c r="BK162" s="114">
        <f t="shared" si="161"/>
        <v>0</v>
      </c>
      <c r="BL162" s="114">
        <f t="shared" si="171"/>
        <v>0</v>
      </c>
      <c r="BM162" s="114">
        <f t="shared" si="162"/>
        <v>631.38461538461547</v>
      </c>
    </row>
    <row r="163" spans="1:65" x14ac:dyDescent="0.25">
      <c r="A163" s="228">
        <f t="shared" si="150"/>
        <v>6</v>
      </c>
      <c r="C163" s="278"/>
      <c r="E163" s="103">
        <f>IF($C163="",0,
IF(AND($E$2="Monthly",$A163&gt;12),0,
IF($E$2="Monthly",VLOOKUP($C163,'Employee information'!$B:$AM,COLUMNS('Employee information'!$B:S),0),
IF($E$2="Fortnightly",VLOOKUP($C163,'Employee information'!$B:$AM,COLUMNS('Employee information'!$B:R),0),
0))))</f>
        <v>0</v>
      </c>
      <c r="F163" s="106"/>
      <c r="G163" s="106"/>
      <c r="H163" s="106"/>
      <c r="I163" s="106"/>
      <c r="J163" s="103">
        <f>IF($E$2="Monthly",
IF(AND($E$2="Monthly",$H163&lt;&gt;""),$H163,
IF(AND($E$2="Monthly",$E163=0),SUM($F163:$G163),
$E163)),
IF($E$2="Fortnightly",
IF(AND($E$2="Fortnightly",$H163&lt;&gt;""),$H163,
IF(AND($E$2="Fortnightly",$F163&lt;&gt;"",$E163&lt;&gt;0),$F163,
IF(AND($E$2="Fortnightly",$E163=0),SUM($F163:$G163),
$E163)))))</f>
        <v>0</v>
      </c>
      <c r="L163" s="113">
        <f>IF(AND($E$2="Monthly",$A163&gt;12),"",
IFERROR($J163*VLOOKUP($C163,'Employee information'!$B:$AI,COLUMNS('Employee information'!$B:$P),0),0))</f>
        <v>0</v>
      </c>
      <c r="M163" s="114">
        <f t="shared" si="164"/>
        <v>0</v>
      </c>
      <c r="O163" s="103">
        <f t="shared" si="165"/>
        <v>0</v>
      </c>
      <c r="P163" s="113">
        <f>IFERROR(
IF(AND($E$2="Monthly",$A163&gt;12),0,
$O163*VLOOKUP($C163,'Employee information'!$B:$AI,COLUMNS('Employee information'!$B:$P),0)),
0)</f>
        <v>0</v>
      </c>
      <c r="R163" s="114">
        <f t="shared" si="151"/>
        <v>0</v>
      </c>
      <c r="T163" s="103"/>
      <c r="U163" s="103"/>
      <c r="V163" s="282" t="str">
        <f>IF($C163="","",
IF(AND($E$2="Monthly",$A163&gt;12),"",
$T163*VLOOKUP($C163,'Employee information'!$B:$P,COLUMNS('Employee information'!$B:$P),0)))</f>
        <v/>
      </c>
      <c r="W163" s="282" t="str">
        <f>IF($C163="","",
IF(AND($E$2="Monthly",$A163&gt;12),"",
$U163*VLOOKUP($C163,'Employee information'!$B:$P,COLUMNS('Employee information'!$B:$P),0)))</f>
        <v/>
      </c>
      <c r="X163" s="114">
        <f t="shared" si="152"/>
        <v>0</v>
      </c>
      <c r="Y163" s="114">
        <f t="shared" si="153"/>
        <v>0</v>
      </c>
      <c r="AA163" s="118">
        <f>IFERROR(
IF(OR('Basic payroll data'!$D$12="",'Basic payroll data'!$D$12="No"),0,
$T163*VLOOKUP($C163,'Employee information'!$B:$P,COLUMNS('Employee information'!$B:$P),0)*AL_loading_perc),
0)</f>
        <v>0</v>
      </c>
      <c r="AC163" s="118"/>
      <c r="AD163" s="118"/>
      <c r="AE163" s="283" t="str">
        <f t="shared" si="166"/>
        <v/>
      </c>
      <c r="AF163" s="283" t="str">
        <f t="shared" si="167"/>
        <v/>
      </c>
      <c r="AG163" s="118"/>
      <c r="AH163" s="118"/>
      <c r="AI163" s="283" t="str">
        <f t="shared" si="168"/>
        <v/>
      </c>
      <c r="AJ163" s="118"/>
      <c r="AK163" s="118"/>
      <c r="AM163" s="118">
        <f t="shared" si="169"/>
        <v>0</v>
      </c>
      <c r="AN163" s="118">
        <f t="shared" si="154"/>
        <v>0</v>
      </c>
      <c r="AO163" s="118" t="str">
        <f>IFERROR(
IF(VLOOKUP($C163,'Employee information'!$B:$M,COLUMNS('Employee information'!$B:$M),0)=1,
IF($E$2="Fortnightly",
ROUND(
ROUND((((TRUNC($AN163/2,0)+0.99))*VLOOKUP((TRUNC($AN163/2,0)+0.99),'Tax scales - NAT 1004'!$A$12:$C$18,2,1)-VLOOKUP((TRUNC($AN163/2,0)+0.99),'Tax scales - NAT 1004'!$A$12:$C$18,3,1)),0)
*2,
0),
IF(AND($E$2="Monthly",ROUND($AN163-TRUNC($AN163),2)=0.33),
ROUND(
ROUND(((TRUNC(($AN163+0.01)*3/13,0)+0.99)*VLOOKUP((TRUNC(($AN163+0.01)*3/13,0)+0.99),'Tax scales - NAT 1004'!$A$12:$C$18,2,1)-VLOOKUP((TRUNC(($AN163+0.01)*3/13,0)+0.99),'Tax scales - NAT 1004'!$A$12:$C$18,3,1)),0)
*13/3,
0),
IF($E$2="Monthly",
ROUND(
ROUND(((TRUNC($AN163*3/13,0)+0.99)*VLOOKUP((TRUNC($AN163*3/13,0)+0.99),'Tax scales - NAT 1004'!$A$12:$C$18,2,1)-VLOOKUP((TRUNC($AN163*3/13,0)+0.99),'Tax scales - NAT 1004'!$A$12:$C$18,3,1)),0)
*13/3,
0),
""))),
""),
"")</f>
        <v/>
      </c>
      <c r="AP163" s="118" t="str">
        <f>IFERROR(
IF(VLOOKUP($C163,'Employee information'!$B:$M,COLUMNS('Employee information'!$B:$M),0)=2,
IF($E$2="Fortnightly",
ROUND(
ROUND((((TRUNC($AN163/2,0)+0.99))*VLOOKUP((TRUNC($AN163/2,0)+0.99),'Tax scales - NAT 1004'!$A$25:$C$33,2,1)-VLOOKUP((TRUNC($AN163/2,0)+0.99),'Tax scales - NAT 1004'!$A$25:$C$33,3,1)),0)
*2,
0),
IF(AND($E$2="Monthly",ROUND($AN163-TRUNC($AN163),2)=0.33),
ROUND(
ROUND(((TRUNC(($AN163+0.01)*3/13,0)+0.99)*VLOOKUP((TRUNC(($AN163+0.01)*3/13,0)+0.99),'Tax scales - NAT 1004'!$A$25:$C$33,2,1)-VLOOKUP((TRUNC(($AN163+0.01)*3/13,0)+0.99),'Tax scales - NAT 1004'!$A$25:$C$33,3,1)),0)
*13/3,
0),
IF($E$2="Monthly",
ROUND(
ROUND(((TRUNC($AN163*3/13,0)+0.99)*VLOOKUP((TRUNC($AN163*3/13,0)+0.99),'Tax scales - NAT 1004'!$A$25:$C$33,2,1)-VLOOKUP((TRUNC($AN163*3/13,0)+0.99),'Tax scales - NAT 1004'!$A$25:$C$33,3,1)),0)
*13/3,
0),
""))),
""),
"")</f>
        <v/>
      </c>
      <c r="AQ163" s="118" t="str">
        <f>IFERROR(
IF(VLOOKUP($C163,'Employee information'!$B:$M,COLUMNS('Employee information'!$B:$M),0)=3,
IF($E$2="Fortnightly",
ROUND(
ROUND((((TRUNC($AN163/2,0)+0.99))*VLOOKUP((TRUNC($AN163/2,0)+0.99),'Tax scales - NAT 1004'!$A$39:$C$41,2,1)-VLOOKUP((TRUNC($AN163/2,0)+0.99),'Tax scales - NAT 1004'!$A$39:$C$41,3,1)),0)
*2,
0),
IF(AND($E$2="Monthly",ROUND($AN163-TRUNC($AN163),2)=0.33),
ROUND(
ROUND(((TRUNC(($AN163+0.01)*3/13,0)+0.99)*VLOOKUP((TRUNC(($AN163+0.01)*3/13,0)+0.99),'Tax scales - NAT 1004'!$A$39:$C$41,2,1)-VLOOKUP((TRUNC(($AN163+0.01)*3/13,0)+0.99),'Tax scales - NAT 1004'!$A$39:$C$41,3,1)),0)
*13/3,
0),
IF($E$2="Monthly",
ROUND(
ROUND(((TRUNC($AN163*3/13,0)+0.99)*VLOOKUP((TRUNC($AN163*3/13,0)+0.99),'Tax scales - NAT 1004'!$A$39:$C$41,2,1)-VLOOKUP((TRUNC($AN163*3/13,0)+0.99),'Tax scales - NAT 1004'!$A$39:$C$41,3,1)),0)
*13/3,
0),
""))),
""),
"")</f>
        <v/>
      </c>
      <c r="AR163" s="118" t="str">
        <f>IFERROR(
IF(AND(VLOOKUP($C163,'Employee information'!$B:$M,COLUMNS('Employee information'!$B:$M),0)=4,
VLOOKUP($C163,'Employee information'!$B:$J,COLUMNS('Employee information'!$B:$J),0)="Resident"),
TRUNC(TRUNC($AN163)*'Tax scales - NAT 1004'!$B$47),
IF(AND(VLOOKUP($C163,'Employee information'!$B:$M,COLUMNS('Employee information'!$B:$M),0)=4,
VLOOKUP($C163,'Employee information'!$B:$J,COLUMNS('Employee information'!$B:$J),0)="Foreign resident"),
TRUNC(TRUNC($AN163)*'Tax scales - NAT 1004'!$B$48),
"")),
"")</f>
        <v/>
      </c>
      <c r="AS163" s="118" t="str">
        <f>IFERROR(
IF(VLOOKUP($C163,'Employee information'!$B:$M,COLUMNS('Employee information'!$B:$M),0)=5,
IF($E$2="Fortnightly",
ROUND(
ROUND((((TRUNC($AN163/2,0)+0.99))*VLOOKUP((TRUNC($AN163/2,0)+0.99),'Tax scales - NAT 1004'!$A$53:$C$59,2,1)-VLOOKUP((TRUNC($AN163/2,0)+0.99),'Tax scales - NAT 1004'!$A$53:$C$59,3,1)),0)
*2,
0),
IF(AND($E$2="Monthly",ROUND($AN163-TRUNC($AN163),2)=0.33),
ROUND(
ROUND(((TRUNC(($AN163+0.01)*3/13,0)+0.99)*VLOOKUP((TRUNC(($AN163+0.01)*3/13,0)+0.99),'Tax scales - NAT 1004'!$A$53:$C$59,2,1)-VLOOKUP((TRUNC(($AN163+0.01)*3/13,0)+0.99),'Tax scales - NAT 1004'!$A$53:$C$59,3,1)),0)
*13/3,
0),
IF($E$2="Monthly",
ROUND(
ROUND(((TRUNC($AN163*3/13,0)+0.99)*VLOOKUP((TRUNC($AN163*3/13,0)+0.99),'Tax scales - NAT 1004'!$A$53:$C$59,2,1)-VLOOKUP((TRUNC($AN163*3/13,0)+0.99),'Tax scales - NAT 1004'!$A$53:$C$59,3,1)),0)
*13/3,
0),
""))),
""),
"")</f>
        <v/>
      </c>
      <c r="AT163" s="118" t="str">
        <f>IFERROR(
IF(VLOOKUP($C163,'Employee information'!$B:$M,COLUMNS('Employee information'!$B:$M),0)=6,
IF($E$2="Fortnightly",
ROUND(
ROUND((((TRUNC($AN163/2,0)+0.99))*VLOOKUP((TRUNC($AN163/2,0)+0.99),'Tax scales - NAT 1004'!$A$65:$C$73,2,1)-VLOOKUP((TRUNC($AN163/2,0)+0.99),'Tax scales - NAT 1004'!$A$65:$C$73,3,1)),0)
*2,
0),
IF(AND($E$2="Monthly",ROUND($AN163-TRUNC($AN163),2)=0.33),
ROUND(
ROUND(((TRUNC(($AN163+0.01)*3/13,0)+0.99)*VLOOKUP((TRUNC(($AN163+0.01)*3/13,0)+0.99),'Tax scales - NAT 1004'!$A$65:$C$73,2,1)-VLOOKUP((TRUNC(($AN163+0.01)*3/13,0)+0.99),'Tax scales - NAT 1004'!$A$65:$C$73,3,1)),0)
*13/3,
0),
IF($E$2="Monthly",
ROUND(
ROUND(((TRUNC($AN163*3/13,0)+0.99)*VLOOKUP((TRUNC($AN163*3/13,0)+0.99),'Tax scales - NAT 1004'!$A$65:$C$73,2,1)-VLOOKUP((TRUNC($AN163*3/13,0)+0.99),'Tax scales - NAT 1004'!$A$65:$C$73,3,1)),0)
*13/3,
0),
""))),
""),
"")</f>
        <v/>
      </c>
      <c r="AU163" s="118" t="str">
        <f>IFERROR(
IF(VLOOKUP($C163,'Employee information'!$B:$M,COLUMNS('Employee information'!$B:$M),0)=11,
IF($E$2="Fortnightly",
ROUND(
ROUND((((TRUNC($AN163/2,0)+0.99))*VLOOKUP((TRUNC($AN163/2,0)+0.99),'Tax scales - NAT 3539'!$A$14:$C$38,2,1)-VLOOKUP((TRUNC($AN163/2,0)+0.99),'Tax scales - NAT 3539'!$A$14:$C$38,3,1)),0)
*2,
0),
IF(AND($E$2="Monthly",ROUND($AN163-TRUNC($AN163),2)=0.33),
ROUND(
ROUND(((TRUNC(($AN163+0.01)*3/13,0)+0.99)*VLOOKUP((TRUNC(($AN163+0.01)*3/13,0)+0.99),'Tax scales - NAT 3539'!$A$14:$C$38,2,1)-VLOOKUP((TRUNC(($AN163+0.01)*3/13,0)+0.99),'Tax scales - NAT 3539'!$A$14:$C$38,3,1)),0)
*13/3,
0),
IF($E$2="Monthly",
ROUND(
ROUND(((TRUNC($AN163*3/13,0)+0.99)*VLOOKUP((TRUNC($AN163*3/13,0)+0.99),'Tax scales - NAT 3539'!$A$14:$C$38,2,1)-VLOOKUP((TRUNC($AN163*3/13,0)+0.99),'Tax scales - NAT 3539'!$A$14:$C$38,3,1)),0)
*13/3,
0),
""))),
""),
"")</f>
        <v/>
      </c>
      <c r="AV163" s="118" t="str">
        <f>IFERROR(
IF(VLOOKUP($C163,'Employee information'!$B:$M,COLUMNS('Employee information'!$B:$M),0)=22,
IF($E$2="Fortnightly",
ROUND(
ROUND((((TRUNC($AN163/2,0)+0.99))*VLOOKUP((TRUNC($AN163/2,0)+0.99),'Tax scales - NAT 3539'!$A$43:$C$69,2,1)-VLOOKUP((TRUNC($AN163/2,0)+0.99),'Tax scales - NAT 3539'!$A$43:$C$69,3,1)),0)
*2,
0),
IF(AND($E$2="Monthly",ROUND($AN163-TRUNC($AN163),2)=0.33),
ROUND(
ROUND(((TRUNC(($AN163+0.01)*3/13,0)+0.99)*VLOOKUP((TRUNC(($AN163+0.01)*3/13,0)+0.99),'Tax scales - NAT 3539'!$A$43:$C$69,2,1)-VLOOKUP((TRUNC(($AN163+0.01)*3/13,0)+0.99),'Tax scales - NAT 3539'!$A$43:$C$69,3,1)),0)
*13/3,
0),
IF($E$2="Monthly",
ROUND(
ROUND(((TRUNC($AN163*3/13,0)+0.99)*VLOOKUP((TRUNC($AN163*3/13,0)+0.99),'Tax scales - NAT 3539'!$A$43:$C$69,2,1)-VLOOKUP((TRUNC($AN163*3/13,0)+0.99),'Tax scales - NAT 3539'!$A$43:$C$69,3,1)),0)
*13/3,
0),
""))),
""),
"")</f>
        <v/>
      </c>
      <c r="AW163" s="118" t="str">
        <f>IFERROR(
IF(VLOOKUP($C163,'Employee information'!$B:$M,COLUMNS('Employee information'!$B:$M),0)=33,
IF($E$2="Fortnightly",
ROUND(
ROUND((((TRUNC($AN163/2,0)+0.99))*VLOOKUP((TRUNC($AN163/2,0)+0.99),'Tax scales - NAT 3539'!$A$74:$C$94,2,1)-VLOOKUP((TRUNC($AN163/2,0)+0.99),'Tax scales - NAT 3539'!$A$74:$C$94,3,1)),0)
*2,
0),
IF(AND($E$2="Monthly",ROUND($AN163-TRUNC($AN163),2)=0.33),
ROUND(
ROUND(((TRUNC(($AN163+0.01)*3/13,0)+0.99)*VLOOKUP((TRUNC(($AN163+0.01)*3/13,0)+0.99),'Tax scales - NAT 3539'!$A$74:$C$94,2,1)-VLOOKUP((TRUNC(($AN163+0.01)*3/13,0)+0.99),'Tax scales - NAT 3539'!$A$74:$C$94,3,1)),0)
*13/3,
0),
IF($E$2="Monthly",
ROUND(
ROUND(((TRUNC($AN163*3/13,0)+0.99)*VLOOKUP((TRUNC($AN163*3/13,0)+0.99),'Tax scales - NAT 3539'!$A$74:$C$94,2,1)-VLOOKUP((TRUNC($AN163*3/13,0)+0.99),'Tax scales - NAT 3539'!$A$74:$C$94,3,1)),0)
*13/3,
0),
""))),
""),
"")</f>
        <v/>
      </c>
      <c r="AX163" s="118" t="str">
        <f>IFERROR(
IF(VLOOKUP($C163,'Employee information'!$B:$M,COLUMNS('Employee information'!$B:$M),0)=55,
IF($E$2="Fortnightly",
ROUND(
ROUND((((TRUNC($AN163/2,0)+0.99))*VLOOKUP((TRUNC($AN163/2,0)+0.99),'Tax scales - NAT 3539'!$A$99:$C$123,2,1)-VLOOKUP((TRUNC($AN163/2,0)+0.99),'Tax scales - NAT 3539'!$A$99:$C$123,3,1)),0)
*2,
0),
IF(AND($E$2="Monthly",ROUND($AN163-TRUNC($AN163),2)=0.33),
ROUND(
ROUND(((TRUNC(($AN163+0.01)*3/13,0)+0.99)*VLOOKUP((TRUNC(($AN163+0.01)*3/13,0)+0.99),'Tax scales - NAT 3539'!$A$99:$C$123,2,1)-VLOOKUP((TRUNC(($AN163+0.01)*3/13,0)+0.99),'Tax scales - NAT 3539'!$A$99:$C$123,3,1)),0)
*13/3,
0),
IF($E$2="Monthly",
ROUND(
ROUND(((TRUNC($AN163*3/13,0)+0.99)*VLOOKUP((TRUNC($AN163*3/13,0)+0.99),'Tax scales - NAT 3539'!$A$99:$C$123,2,1)-VLOOKUP((TRUNC($AN163*3/13,0)+0.99),'Tax scales - NAT 3539'!$A$99:$C$123,3,1)),0)
*13/3,
0),
""))),
""),
"")</f>
        <v/>
      </c>
      <c r="AY163" s="118" t="str">
        <f>IFERROR(
IF(VLOOKUP($C163,'Employee information'!$B:$M,COLUMNS('Employee information'!$B:$M),0)=66,
IF($E$2="Fortnightly",
ROUND(
ROUND((((TRUNC($AN163/2,0)+0.99))*VLOOKUP((TRUNC($AN163/2,0)+0.99),'Tax scales - NAT 3539'!$A$127:$C$154,2,1)-VLOOKUP((TRUNC($AN163/2,0)+0.99),'Tax scales - NAT 3539'!$A$127:$C$154,3,1)),0)
*2,
0),
IF(AND($E$2="Monthly",ROUND($AN163-TRUNC($AN163),2)=0.33),
ROUND(
ROUND(((TRUNC(($AN163+0.01)*3/13,0)+0.99)*VLOOKUP((TRUNC(($AN163+0.01)*3/13,0)+0.99),'Tax scales - NAT 3539'!$A$127:$C$154,2,1)-VLOOKUP((TRUNC(($AN163+0.01)*3/13,0)+0.99),'Tax scales - NAT 3539'!$A$127:$C$154,3,1)),0)
*13/3,
0),
IF($E$2="Monthly",
ROUND(
ROUND(((TRUNC($AN163*3/13,0)+0.99)*VLOOKUP((TRUNC($AN163*3/13,0)+0.99),'Tax scales - NAT 3539'!$A$127:$C$154,2,1)-VLOOKUP((TRUNC($AN163*3/13,0)+0.99),'Tax scales - NAT 3539'!$A$127:$C$154,3,1)),0)
*13/3,
0),
""))),
""),
"")</f>
        <v/>
      </c>
      <c r="AZ163" s="118">
        <f>IFERROR(
HLOOKUP(VLOOKUP($C163,'Employee information'!$B:$M,COLUMNS('Employee information'!$B:$M),0),'PAYG worksheet'!$AO$155:$AY$174,COUNTA($C$156:$C163)+1,0),
0)</f>
        <v>0</v>
      </c>
      <c r="BA163" s="118"/>
      <c r="BB163" s="118">
        <f t="shared" si="170"/>
        <v>0</v>
      </c>
      <c r="BC163" s="119">
        <f>IFERROR(
IF(OR($AE163=1,$AE163=""),SUM($P163,$AA163,$AC163,$AK163)*VLOOKUP($C163,'Employee information'!$B:$Q,COLUMNS('Employee information'!$B:$H),0),
IF($AE163=0,SUM($P163,$AA163,$AK163)*VLOOKUP($C163,'Employee information'!$B:$Q,COLUMNS('Employee information'!$B:$H),0),
0)),
0)</f>
        <v>0</v>
      </c>
      <c r="BE163" s="114">
        <f t="shared" si="155"/>
        <v>0</v>
      </c>
      <c r="BF163" s="114">
        <f t="shared" si="156"/>
        <v>0</v>
      </c>
      <c r="BG163" s="114">
        <f t="shared" si="157"/>
        <v>0</v>
      </c>
      <c r="BH163" s="114">
        <f t="shared" si="158"/>
        <v>0</v>
      </c>
      <c r="BI163" s="114">
        <f t="shared" si="159"/>
        <v>0</v>
      </c>
      <c r="BJ163" s="114">
        <f t="shared" si="160"/>
        <v>0</v>
      </c>
      <c r="BK163" s="114">
        <f t="shared" si="161"/>
        <v>0</v>
      </c>
      <c r="BL163" s="114">
        <f t="shared" si="171"/>
        <v>0</v>
      </c>
      <c r="BM163" s="114">
        <f t="shared" si="162"/>
        <v>0</v>
      </c>
    </row>
    <row r="164" spans="1:65" x14ac:dyDescent="0.25">
      <c r="A164" s="228">
        <f t="shared" si="150"/>
        <v>6</v>
      </c>
      <c r="C164" s="278"/>
      <c r="E164" s="103">
        <f>IF($C164="",0,
IF(AND($E$2="Monthly",$A164&gt;12),0,
IF($E$2="Monthly",VLOOKUP($C164,'Employee information'!$B:$AM,COLUMNS('Employee information'!$B:S),0),
IF($E$2="Fortnightly",VLOOKUP($C164,'Employee information'!$B:$AM,COLUMNS('Employee information'!$B:R),0),
0))))</f>
        <v>0</v>
      </c>
      <c r="F164" s="106"/>
      <c r="G164" s="106"/>
      <c r="H164" s="106"/>
      <c r="I164" s="106"/>
      <c r="J164" s="103">
        <f t="shared" si="163"/>
        <v>0</v>
      </c>
      <c r="L164" s="113">
        <f>IF(AND($E$2="Monthly",$A164&gt;12),"",
IFERROR($J164*VLOOKUP($C164,'Employee information'!$B:$AI,COLUMNS('Employee information'!$B:$P),0),0))</f>
        <v>0</v>
      </c>
      <c r="M164" s="114">
        <f t="shared" si="164"/>
        <v>0</v>
      </c>
      <c r="O164" s="103">
        <f t="shared" si="165"/>
        <v>0</v>
      </c>
      <c r="P164" s="113">
        <f>IFERROR(
IF(AND($E$2="Monthly",$A164&gt;12),0,
$O164*VLOOKUP($C164,'Employee information'!$B:$AI,COLUMNS('Employee information'!$B:$P),0)),
0)</f>
        <v>0</v>
      </c>
      <c r="R164" s="114">
        <f t="shared" si="151"/>
        <v>0</v>
      </c>
      <c r="T164" s="103"/>
      <c r="U164" s="103"/>
      <c r="V164" s="282" t="str">
        <f>IF($C164="","",
IF(AND($E$2="Monthly",$A164&gt;12),"",
$T164*VLOOKUP($C164,'Employee information'!$B:$P,COLUMNS('Employee information'!$B:$P),0)))</f>
        <v/>
      </c>
      <c r="W164" s="282" t="str">
        <f>IF($C164="","",
IF(AND($E$2="Monthly",$A164&gt;12),"",
$U164*VLOOKUP($C164,'Employee information'!$B:$P,COLUMNS('Employee information'!$B:$P),0)))</f>
        <v/>
      </c>
      <c r="X164" s="114">
        <f t="shared" si="152"/>
        <v>0</v>
      </c>
      <c r="Y164" s="114">
        <f t="shared" si="153"/>
        <v>0</v>
      </c>
      <c r="AA164" s="118">
        <f>IFERROR(
IF(OR('Basic payroll data'!$D$12="",'Basic payroll data'!$D$12="No"),0,
$T164*VLOOKUP($C164,'Employee information'!$B:$P,COLUMNS('Employee information'!$B:$P),0)*AL_loading_perc),
0)</f>
        <v>0</v>
      </c>
      <c r="AC164" s="118"/>
      <c r="AD164" s="118"/>
      <c r="AE164" s="283" t="str">
        <f t="shared" si="166"/>
        <v/>
      </c>
      <c r="AF164" s="283" t="str">
        <f t="shared" si="167"/>
        <v/>
      </c>
      <c r="AG164" s="118"/>
      <c r="AH164" s="118"/>
      <c r="AI164" s="283" t="str">
        <f t="shared" si="168"/>
        <v/>
      </c>
      <c r="AJ164" s="118"/>
      <c r="AK164" s="118"/>
      <c r="AM164" s="118">
        <f t="shared" si="169"/>
        <v>0</v>
      </c>
      <c r="AN164" s="118">
        <f t="shared" si="154"/>
        <v>0</v>
      </c>
      <c r="AO164" s="118" t="str">
        <f>IFERROR(
IF(VLOOKUP($C164,'Employee information'!$B:$M,COLUMNS('Employee information'!$B:$M),0)=1,
IF($E$2="Fortnightly",
ROUND(
ROUND((((TRUNC($AN164/2,0)+0.99))*VLOOKUP((TRUNC($AN164/2,0)+0.99),'Tax scales - NAT 1004'!$A$12:$C$18,2,1)-VLOOKUP((TRUNC($AN164/2,0)+0.99),'Tax scales - NAT 1004'!$A$12:$C$18,3,1)),0)
*2,
0),
IF(AND($E$2="Monthly",ROUND($AN164-TRUNC($AN164),2)=0.33),
ROUND(
ROUND(((TRUNC(($AN164+0.01)*3/13,0)+0.99)*VLOOKUP((TRUNC(($AN164+0.01)*3/13,0)+0.99),'Tax scales - NAT 1004'!$A$12:$C$18,2,1)-VLOOKUP((TRUNC(($AN164+0.01)*3/13,0)+0.99),'Tax scales - NAT 1004'!$A$12:$C$18,3,1)),0)
*13/3,
0),
IF($E$2="Monthly",
ROUND(
ROUND(((TRUNC($AN164*3/13,0)+0.99)*VLOOKUP((TRUNC($AN164*3/13,0)+0.99),'Tax scales - NAT 1004'!$A$12:$C$18,2,1)-VLOOKUP((TRUNC($AN164*3/13,0)+0.99),'Tax scales - NAT 1004'!$A$12:$C$18,3,1)),0)
*13/3,
0),
""))),
""),
"")</f>
        <v/>
      </c>
      <c r="AP164" s="118" t="str">
        <f>IFERROR(
IF(VLOOKUP($C164,'Employee information'!$B:$M,COLUMNS('Employee information'!$B:$M),0)=2,
IF($E$2="Fortnightly",
ROUND(
ROUND((((TRUNC($AN164/2,0)+0.99))*VLOOKUP((TRUNC($AN164/2,0)+0.99),'Tax scales - NAT 1004'!$A$25:$C$33,2,1)-VLOOKUP((TRUNC($AN164/2,0)+0.99),'Tax scales - NAT 1004'!$A$25:$C$33,3,1)),0)
*2,
0),
IF(AND($E$2="Monthly",ROUND($AN164-TRUNC($AN164),2)=0.33),
ROUND(
ROUND(((TRUNC(($AN164+0.01)*3/13,0)+0.99)*VLOOKUP((TRUNC(($AN164+0.01)*3/13,0)+0.99),'Tax scales - NAT 1004'!$A$25:$C$33,2,1)-VLOOKUP((TRUNC(($AN164+0.01)*3/13,0)+0.99),'Tax scales - NAT 1004'!$A$25:$C$33,3,1)),0)
*13/3,
0),
IF($E$2="Monthly",
ROUND(
ROUND(((TRUNC($AN164*3/13,0)+0.99)*VLOOKUP((TRUNC($AN164*3/13,0)+0.99),'Tax scales - NAT 1004'!$A$25:$C$33,2,1)-VLOOKUP((TRUNC($AN164*3/13,0)+0.99),'Tax scales - NAT 1004'!$A$25:$C$33,3,1)),0)
*13/3,
0),
""))),
""),
"")</f>
        <v/>
      </c>
      <c r="AQ164" s="118" t="str">
        <f>IFERROR(
IF(VLOOKUP($C164,'Employee information'!$B:$M,COLUMNS('Employee information'!$B:$M),0)=3,
IF($E$2="Fortnightly",
ROUND(
ROUND((((TRUNC($AN164/2,0)+0.99))*VLOOKUP((TRUNC($AN164/2,0)+0.99),'Tax scales - NAT 1004'!$A$39:$C$41,2,1)-VLOOKUP((TRUNC($AN164/2,0)+0.99),'Tax scales - NAT 1004'!$A$39:$C$41,3,1)),0)
*2,
0),
IF(AND($E$2="Monthly",ROUND($AN164-TRUNC($AN164),2)=0.33),
ROUND(
ROUND(((TRUNC(($AN164+0.01)*3/13,0)+0.99)*VLOOKUP((TRUNC(($AN164+0.01)*3/13,0)+0.99),'Tax scales - NAT 1004'!$A$39:$C$41,2,1)-VLOOKUP((TRUNC(($AN164+0.01)*3/13,0)+0.99),'Tax scales - NAT 1004'!$A$39:$C$41,3,1)),0)
*13/3,
0),
IF($E$2="Monthly",
ROUND(
ROUND(((TRUNC($AN164*3/13,0)+0.99)*VLOOKUP((TRUNC($AN164*3/13,0)+0.99),'Tax scales - NAT 1004'!$A$39:$C$41,2,1)-VLOOKUP((TRUNC($AN164*3/13,0)+0.99),'Tax scales - NAT 1004'!$A$39:$C$41,3,1)),0)
*13/3,
0),
""))),
""),
"")</f>
        <v/>
      </c>
      <c r="AR164" s="118" t="str">
        <f>IFERROR(
IF(AND(VLOOKUP($C164,'Employee information'!$B:$M,COLUMNS('Employee information'!$B:$M),0)=4,
VLOOKUP($C164,'Employee information'!$B:$J,COLUMNS('Employee information'!$B:$J),0)="Resident"),
TRUNC(TRUNC($AN164)*'Tax scales - NAT 1004'!$B$47),
IF(AND(VLOOKUP($C164,'Employee information'!$B:$M,COLUMNS('Employee information'!$B:$M),0)=4,
VLOOKUP($C164,'Employee information'!$B:$J,COLUMNS('Employee information'!$B:$J),0)="Foreign resident"),
TRUNC(TRUNC($AN164)*'Tax scales - NAT 1004'!$B$48),
"")),
"")</f>
        <v/>
      </c>
      <c r="AS164" s="118" t="str">
        <f>IFERROR(
IF(VLOOKUP($C164,'Employee information'!$B:$M,COLUMNS('Employee information'!$B:$M),0)=5,
IF($E$2="Fortnightly",
ROUND(
ROUND((((TRUNC($AN164/2,0)+0.99))*VLOOKUP((TRUNC($AN164/2,0)+0.99),'Tax scales - NAT 1004'!$A$53:$C$59,2,1)-VLOOKUP((TRUNC($AN164/2,0)+0.99),'Tax scales - NAT 1004'!$A$53:$C$59,3,1)),0)
*2,
0),
IF(AND($E$2="Monthly",ROUND($AN164-TRUNC($AN164),2)=0.33),
ROUND(
ROUND(((TRUNC(($AN164+0.01)*3/13,0)+0.99)*VLOOKUP((TRUNC(($AN164+0.01)*3/13,0)+0.99),'Tax scales - NAT 1004'!$A$53:$C$59,2,1)-VLOOKUP((TRUNC(($AN164+0.01)*3/13,0)+0.99),'Tax scales - NAT 1004'!$A$53:$C$59,3,1)),0)
*13/3,
0),
IF($E$2="Monthly",
ROUND(
ROUND(((TRUNC($AN164*3/13,0)+0.99)*VLOOKUP((TRUNC($AN164*3/13,0)+0.99),'Tax scales - NAT 1004'!$A$53:$C$59,2,1)-VLOOKUP((TRUNC($AN164*3/13,0)+0.99),'Tax scales - NAT 1004'!$A$53:$C$59,3,1)),0)
*13/3,
0),
""))),
""),
"")</f>
        <v/>
      </c>
      <c r="AT164" s="118" t="str">
        <f>IFERROR(
IF(VLOOKUP($C164,'Employee information'!$B:$M,COLUMNS('Employee information'!$B:$M),0)=6,
IF($E$2="Fortnightly",
ROUND(
ROUND((((TRUNC($AN164/2,0)+0.99))*VLOOKUP((TRUNC($AN164/2,0)+0.99),'Tax scales - NAT 1004'!$A$65:$C$73,2,1)-VLOOKUP((TRUNC($AN164/2,0)+0.99),'Tax scales - NAT 1004'!$A$65:$C$73,3,1)),0)
*2,
0),
IF(AND($E$2="Monthly",ROUND($AN164-TRUNC($AN164),2)=0.33),
ROUND(
ROUND(((TRUNC(($AN164+0.01)*3/13,0)+0.99)*VLOOKUP((TRUNC(($AN164+0.01)*3/13,0)+0.99),'Tax scales - NAT 1004'!$A$65:$C$73,2,1)-VLOOKUP((TRUNC(($AN164+0.01)*3/13,0)+0.99),'Tax scales - NAT 1004'!$A$65:$C$73,3,1)),0)
*13/3,
0),
IF($E$2="Monthly",
ROUND(
ROUND(((TRUNC($AN164*3/13,0)+0.99)*VLOOKUP((TRUNC($AN164*3/13,0)+0.99),'Tax scales - NAT 1004'!$A$65:$C$73,2,1)-VLOOKUP((TRUNC($AN164*3/13,0)+0.99),'Tax scales - NAT 1004'!$A$65:$C$73,3,1)),0)
*13/3,
0),
""))),
""),
"")</f>
        <v/>
      </c>
      <c r="AU164" s="118" t="str">
        <f>IFERROR(
IF(VLOOKUP($C164,'Employee information'!$B:$M,COLUMNS('Employee information'!$B:$M),0)=11,
IF($E$2="Fortnightly",
ROUND(
ROUND((((TRUNC($AN164/2,0)+0.99))*VLOOKUP((TRUNC($AN164/2,0)+0.99),'Tax scales - NAT 3539'!$A$14:$C$38,2,1)-VLOOKUP((TRUNC($AN164/2,0)+0.99),'Tax scales - NAT 3539'!$A$14:$C$38,3,1)),0)
*2,
0),
IF(AND($E$2="Monthly",ROUND($AN164-TRUNC($AN164),2)=0.33),
ROUND(
ROUND(((TRUNC(($AN164+0.01)*3/13,0)+0.99)*VLOOKUP((TRUNC(($AN164+0.01)*3/13,0)+0.99),'Tax scales - NAT 3539'!$A$14:$C$38,2,1)-VLOOKUP((TRUNC(($AN164+0.01)*3/13,0)+0.99),'Tax scales - NAT 3539'!$A$14:$C$38,3,1)),0)
*13/3,
0),
IF($E$2="Monthly",
ROUND(
ROUND(((TRUNC($AN164*3/13,0)+0.99)*VLOOKUP((TRUNC($AN164*3/13,0)+0.99),'Tax scales - NAT 3539'!$A$14:$C$38,2,1)-VLOOKUP((TRUNC($AN164*3/13,0)+0.99),'Tax scales - NAT 3539'!$A$14:$C$38,3,1)),0)
*13/3,
0),
""))),
""),
"")</f>
        <v/>
      </c>
      <c r="AV164" s="118" t="str">
        <f>IFERROR(
IF(VLOOKUP($C164,'Employee information'!$B:$M,COLUMNS('Employee information'!$B:$M),0)=22,
IF($E$2="Fortnightly",
ROUND(
ROUND((((TRUNC($AN164/2,0)+0.99))*VLOOKUP((TRUNC($AN164/2,0)+0.99),'Tax scales - NAT 3539'!$A$43:$C$69,2,1)-VLOOKUP((TRUNC($AN164/2,0)+0.99),'Tax scales - NAT 3539'!$A$43:$C$69,3,1)),0)
*2,
0),
IF(AND($E$2="Monthly",ROUND($AN164-TRUNC($AN164),2)=0.33),
ROUND(
ROUND(((TRUNC(($AN164+0.01)*3/13,0)+0.99)*VLOOKUP((TRUNC(($AN164+0.01)*3/13,0)+0.99),'Tax scales - NAT 3539'!$A$43:$C$69,2,1)-VLOOKUP((TRUNC(($AN164+0.01)*3/13,0)+0.99),'Tax scales - NAT 3539'!$A$43:$C$69,3,1)),0)
*13/3,
0),
IF($E$2="Monthly",
ROUND(
ROUND(((TRUNC($AN164*3/13,0)+0.99)*VLOOKUP((TRUNC($AN164*3/13,0)+0.99),'Tax scales - NAT 3539'!$A$43:$C$69,2,1)-VLOOKUP((TRUNC($AN164*3/13,0)+0.99),'Tax scales - NAT 3539'!$A$43:$C$69,3,1)),0)
*13/3,
0),
""))),
""),
"")</f>
        <v/>
      </c>
      <c r="AW164" s="118" t="str">
        <f>IFERROR(
IF(VLOOKUP($C164,'Employee information'!$B:$M,COLUMNS('Employee information'!$B:$M),0)=33,
IF($E$2="Fortnightly",
ROUND(
ROUND((((TRUNC($AN164/2,0)+0.99))*VLOOKUP((TRUNC($AN164/2,0)+0.99),'Tax scales - NAT 3539'!$A$74:$C$94,2,1)-VLOOKUP((TRUNC($AN164/2,0)+0.99),'Tax scales - NAT 3539'!$A$74:$C$94,3,1)),0)
*2,
0),
IF(AND($E$2="Monthly",ROUND($AN164-TRUNC($AN164),2)=0.33),
ROUND(
ROUND(((TRUNC(($AN164+0.01)*3/13,0)+0.99)*VLOOKUP((TRUNC(($AN164+0.01)*3/13,0)+0.99),'Tax scales - NAT 3539'!$A$74:$C$94,2,1)-VLOOKUP((TRUNC(($AN164+0.01)*3/13,0)+0.99),'Tax scales - NAT 3539'!$A$74:$C$94,3,1)),0)
*13/3,
0),
IF($E$2="Monthly",
ROUND(
ROUND(((TRUNC($AN164*3/13,0)+0.99)*VLOOKUP((TRUNC($AN164*3/13,0)+0.99),'Tax scales - NAT 3539'!$A$74:$C$94,2,1)-VLOOKUP((TRUNC($AN164*3/13,0)+0.99),'Tax scales - NAT 3539'!$A$74:$C$94,3,1)),0)
*13/3,
0),
""))),
""),
"")</f>
        <v/>
      </c>
      <c r="AX164" s="118" t="str">
        <f>IFERROR(
IF(VLOOKUP($C164,'Employee information'!$B:$M,COLUMNS('Employee information'!$B:$M),0)=55,
IF($E$2="Fortnightly",
ROUND(
ROUND((((TRUNC($AN164/2,0)+0.99))*VLOOKUP((TRUNC($AN164/2,0)+0.99),'Tax scales - NAT 3539'!$A$99:$C$123,2,1)-VLOOKUP((TRUNC($AN164/2,0)+0.99),'Tax scales - NAT 3539'!$A$99:$C$123,3,1)),0)
*2,
0),
IF(AND($E$2="Monthly",ROUND($AN164-TRUNC($AN164),2)=0.33),
ROUND(
ROUND(((TRUNC(($AN164+0.01)*3/13,0)+0.99)*VLOOKUP((TRUNC(($AN164+0.01)*3/13,0)+0.99),'Tax scales - NAT 3539'!$A$99:$C$123,2,1)-VLOOKUP((TRUNC(($AN164+0.01)*3/13,0)+0.99),'Tax scales - NAT 3539'!$A$99:$C$123,3,1)),0)
*13/3,
0),
IF($E$2="Monthly",
ROUND(
ROUND(((TRUNC($AN164*3/13,0)+0.99)*VLOOKUP((TRUNC($AN164*3/13,0)+0.99),'Tax scales - NAT 3539'!$A$99:$C$123,2,1)-VLOOKUP((TRUNC($AN164*3/13,0)+0.99),'Tax scales - NAT 3539'!$A$99:$C$123,3,1)),0)
*13/3,
0),
""))),
""),
"")</f>
        <v/>
      </c>
      <c r="AY164" s="118" t="str">
        <f>IFERROR(
IF(VLOOKUP($C164,'Employee information'!$B:$M,COLUMNS('Employee information'!$B:$M),0)=66,
IF($E$2="Fortnightly",
ROUND(
ROUND((((TRUNC($AN164/2,0)+0.99))*VLOOKUP((TRUNC($AN164/2,0)+0.99),'Tax scales - NAT 3539'!$A$127:$C$154,2,1)-VLOOKUP((TRUNC($AN164/2,0)+0.99),'Tax scales - NAT 3539'!$A$127:$C$154,3,1)),0)
*2,
0),
IF(AND($E$2="Monthly",ROUND($AN164-TRUNC($AN164),2)=0.33),
ROUND(
ROUND(((TRUNC(($AN164+0.01)*3/13,0)+0.99)*VLOOKUP((TRUNC(($AN164+0.01)*3/13,0)+0.99),'Tax scales - NAT 3539'!$A$127:$C$154,2,1)-VLOOKUP((TRUNC(($AN164+0.01)*3/13,0)+0.99),'Tax scales - NAT 3539'!$A$127:$C$154,3,1)),0)
*13/3,
0),
IF($E$2="Monthly",
ROUND(
ROUND(((TRUNC($AN164*3/13,0)+0.99)*VLOOKUP((TRUNC($AN164*3/13,0)+0.99),'Tax scales - NAT 3539'!$A$127:$C$154,2,1)-VLOOKUP((TRUNC($AN164*3/13,0)+0.99),'Tax scales - NAT 3539'!$A$127:$C$154,3,1)),0)
*13/3,
0),
""))),
""),
"")</f>
        <v/>
      </c>
      <c r="AZ164" s="118">
        <f>IFERROR(
HLOOKUP(VLOOKUP($C164,'Employee information'!$B:$M,COLUMNS('Employee information'!$B:$M),0),'PAYG worksheet'!$AO$155:$AY$174,COUNTA($C$156:$C164)+1,0),
0)</f>
        <v>0</v>
      </c>
      <c r="BA164" s="118"/>
      <c r="BB164" s="118">
        <f t="shared" si="170"/>
        <v>0</v>
      </c>
      <c r="BC164" s="119">
        <f>IFERROR(
IF(OR($AE164=1,$AE164=""),SUM($P164,$AA164,$AC164,$AK164)*VLOOKUP($C164,'Employee information'!$B:$Q,COLUMNS('Employee information'!$B:$H),0),
IF($AE164=0,SUM($P164,$AA164,$AK164)*VLOOKUP($C164,'Employee information'!$B:$Q,COLUMNS('Employee information'!$B:$H),0),
0)),
0)</f>
        <v>0</v>
      </c>
      <c r="BE164" s="114">
        <f t="shared" si="155"/>
        <v>0</v>
      </c>
      <c r="BF164" s="114">
        <f t="shared" si="156"/>
        <v>0</v>
      </c>
      <c r="BG164" s="114">
        <f t="shared" si="157"/>
        <v>0</v>
      </c>
      <c r="BH164" s="114">
        <f t="shared" si="158"/>
        <v>0</v>
      </c>
      <c r="BI164" s="114">
        <f t="shared" si="159"/>
        <v>0</v>
      </c>
      <c r="BJ164" s="114">
        <f t="shared" si="160"/>
        <v>0</v>
      </c>
      <c r="BK164" s="114">
        <f t="shared" si="161"/>
        <v>0</v>
      </c>
      <c r="BL164" s="114">
        <f t="shared" si="171"/>
        <v>0</v>
      </c>
      <c r="BM164" s="114">
        <f t="shared" si="162"/>
        <v>0</v>
      </c>
    </row>
    <row r="165" spans="1:65" x14ac:dyDescent="0.25">
      <c r="A165" s="228">
        <f t="shared" si="150"/>
        <v>6</v>
      </c>
      <c r="C165" s="278"/>
      <c r="E165" s="103">
        <f>IF($C165="",0,
IF(AND($E$2="Monthly",$A165&gt;12),0,
IF($E$2="Monthly",VLOOKUP($C165,'Employee information'!$B:$AM,COLUMNS('Employee information'!$B:S),0),
IF($E$2="Fortnightly",VLOOKUP($C165,'Employee information'!$B:$AM,COLUMNS('Employee information'!$B:R),0),
0))))</f>
        <v>0</v>
      </c>
      <c r="F165" s="106"/>
      <c r="G165" s="106"/>
      <c r="H165" s="106"/>
      <c r="I165" s="106"/>
      <c r="J165" s="103">
        <f t="shared" si="163"/>
        <v>0</v>
      </c>
      <c r="L165" s="113">
        <f>IF(AND($E$2="Monthly",$A165&gt;12),"",
IFERROR($J165*VLOOKUP($C165,'Employee information'!$B:$AI,COLUMNS('Employee information'!$B:$P),0),0))</f>
        <v>0</v>
      </c>
      <c r="M165" s="114">
        <f t="shared" si="164"/>
        <v>0</v>
      </c>
      <c r="O165" s="103">
        <f>IF($E$2="Monthly",
IF(AND($E$2="Monthly",$H165&lt;&gt;""),$H165,
IF(AND($E$2="Monthly",$E165=0),$F165,
$E165)),
IF($E$2="Fortnightly",
IF(AND($E$2="Fortnightly",$H165&lt;&gt;""),$H165,
IF(AND($E$2="Fortnightly",$F165&lt;&gt;"",$E165&lt;&gt;0),$F165,
IF(AND($E$2="Fortnightly",$E165=0),$F165,
$E165)))))</f>
        <v>0</v>
      </c>
      <c r="P165" s="113">
        <f>IFERROR(
IF(AND($E$2="Monthly",$A165&gt;12),0,
$O165*VLOOKUP($C165,'Employee information'!$B:$AI,COLUMNS('Employee information'!$B:$P),0)),
0)</f>
        <v>0</v>
      </c>
      <c r="R165" s="114">
        <f t="shared" si="151"/>
        <v>0</v>
      </c>
      <c r="T165" s="103"/>
      <c r="U165" s="103"/>
      <c r="V165" s="282" t="str">
        <f>IF($C165="","",
IF(AND($E$2="Monthly",$A165&gt;12),"",
$T165*VLOOKUP($C165,'Employee information'!$B:$P,COLUMNS('Employee information'!$B:$P),0)))</f>
        <v/>
      </c>
      <c r="W165" s="282" t="str">
        <f>IF($C165="","",
IF(AND($E$2="Monthly",$A165&gt;12),"",
$U165*VLOOKUP($C165,'Employee information'!$B:$P,COLUMNS('Employee information'!$B:$P),0)))</f>
        <v/>
      </c>
      <c r="X165" s="114">
        <f t="shared" si="152"/>
        <v>0</v>
      </c>
      <c r="Y165" s="114">
        <f t="shared" si="153"/>
        <v>0</v>
      </c>
      <c r="AA165" s="118">
        <f>IFERROR(
IF(OR('Basic payroll data'!$D$12="",'Basic payroll data'!$D$12="No"),0,
$T165*VLOOKUP($C165,'Employee information'!$B:$P,COLUMNS('Employee information'!$B:$P),0)*AL_loading_perc),
0)</f>
        <v>0</v>
      </c>
      <c r="AC165" s="118"/>
      <c r="AD165" s="118"/>
      <c r="AE165" s="283" t="str">
        <f t="shared" si="166"/>
        <v/>
      </c>
      <c r="AF165" s="283" t="str">
        <f t="shared" si="167"/>
        <v/>
      </c>
      <c r="AG165" s="118"/>
      <c r="AH165" s="118"/>
      <c r="AI165" s="283" t="str">
        <f t="shared" si="168"/>
        <v/>
      </c>
      <c r="AJ165" s="118"/>
      <c r="AK165" s="118"/>
      <c r="AM165" s="118">
        <f t="shared" si="169"/>
        <v>0</v>
      </c>
      <c r="AN165" s="118">
        <f t="shared" si="154"/>
        <v>0</v>
      </c>
      <c r="AO165" s="118" t="str">
        <f>IFERROR(
IF(VLOOKUP($C165,'Employee information'!$B:$M,COLUMNS('Employee information'!$B:$M),0)=1,
IF($E$2="Fortnightly",
ROUND(
ROUND((((TRUNC($AN165/2,0)+0.99))*VLOOKUP((TRUNC($AN165/2,0)+0.99),'Tax scales - NAT 1004'!$A$12:$C$18,2,1)-VLOOKUP((TRUNC($AN165/2,0)+0.99),'Tax scales - NAT 1004'!$A$12:$C$18,3,1)),0)
*2,
0),
IF(AND($E$2="Monthly",ROUND($AN165-TRUNC($AN165),2)=0.33),
ROUND(
ROUND(((TRUNC(($AN165+0.01)*3/13,0)+0.99)*VLOOKUP((TRUNC(($AN165+0.01)*3/13,0)+0.99),'Tax scales - NAT 1004'!$A$12:$C$18,2,1)-VLOOKUP((TRUNC(($AN165+0.01)*3/13,0)+0.99),'Tax scales - NAT 1004'!$A$12:$C$18,3,1)),0)
*13/3,
0),
IF($E$2="Monthly",
ROUND(
ROUND(((TRUNC($AN165*3/13,0)+0.99)*VLOOKUP((TRUNC($AN165*3/13,0)+0.99),'Tax scales - NAT 1004'!$A$12:$C$18,2,1)-VLOOKUP((TRUNC($AN165*3/13,0)+0.99),'Tax scales - NAT 1004'!$A$12:$C$18,3,1)),0)
*13/3,
0),
""))),
""),
"")</f>
        <v/>
      </c>
      <c r="AP165" s="118" t="str">
        <f>IFERROR(
IF(VLOOKUP($C165,'Employee information'!$B:$M,COLUMNS('Employee information'!$B:$M),0)=2,
IF($E$2="Fortnightly",
ROUND(
ROUND((((TRUNC($AN165/2,0)+0.99))*VLOOKUP((TRUNC($AN165/2,0)+0.99),'Tax scales - NAT 1004'!$A$25:$C$33,2,1)-VLOOKUP((TRUNC($AN165/2,0)+0.99),'Tax scales - NAT 1004'!$A$25:$C$33,3,1)),0)
*2,
0),
IF(AND($E$2="Monthly",ROUND($AN165-TRUNC($AN165),2)=0.33),
ROUND(
ROUND(((TRUNC(($AN165+0.01)*3/13,0)+0.99)*VLOOKUP((TRUNC(($AN165+0.01)*3/13,0)+0.99),'Tax scales - NAT 1004'!$A$25:$C$33,2,1)-VLOOKUP((TRUNC(($AN165+0.01)*3/13,0)+0.99),'Tax scales - NAT 1004'!$A$25:$C$33,3,1)),0)
*13/3,
0),
IF($E$2="Monthly",
ROUND(
ROUND(((TRUNC($AN165*3/13,0)+0.99)*VLOOKUP((TRUNC($AN165*3/13,0)+0.99),'Tax scales - NAT 1004'!$A$25:$C$33,2,1)-VLOOKUP((TRUNC($AN165*3/13,0)+0.99),'Tax scales - NAT 1004'!$A$25:$C$33,3,1)),0)
*13/3,
0),
""))),
""),
"")</f>
        <v/>
      </c>
      <c r="AQ165" s="118" t="str">
        <f>IFERROR(
IF(VLOOKUP($C165,'Employee information'!$B:$M,COLUMNS('Employee information'!$B:$M),0)=3,
IF($E$2="Fortnightly",
ROUND(
ROUND((((TRUNC($AN165/2,0)+0.99))*VLOOKUP((TRUNC($AN165/2,0)+0.99),'Tax scales - NAT 1004'!$A$39:$C$41,2,1)-VLOOKUP((TRUNC($AN165/2,0)+0.99),'Tax scales - NAT 1004'!$A$39:$C$41,3,1)),0)
*2,
0),
IF(AND($E$2="Monthly",ROUND($AN165-TRUNC($AN165),2)=0.33),
ROUND(
ROUND(((TRUNC(($AN165+0.01)*3/13,0)+0.99)*VLOOKUP((TRUNC(($AN165+0.01)*3/13,0)+0.99),'Tax scales - NAT 1004'!$A$39:$C$41,2,1)-VLOOKUP((TRUNC(($AN165+0.01)*3/13,0)+0.99),'Tax scales - NAT 1004'!$A$39:$C$41,3,1)),0)
*13/3,
0),
IF($E$2="Monthly",
ROUND(
ROUND(((TRUNC($AN165*3/13,0)+0.99)*VLOOKUP((TRUNC($AN165*3/13,0)+0.99),'Tax scales - NAT 1004'!$A$39:$C$41,2,1)-VLOOKUP((TRUNC($AN165*3/13,0)+0.99),'Tax scales - NAT 1004'!$A$39:$C$41,3,1)),0)
*13/3,
0),
""))),
""),
"")</f>
        <v/>
      </c>
      <c r="AR165" s="118" t="str">
        <f>IFERROR(
IF(AND(VLOOKUP($C165,'Employee information'!$B:$M,COLUMNS('Employee information'!$B:$M),0)=4,
VLOOKUP($C165,'Employee information'!$B:$J,COLUMNS('Employee information'!$B:$J),0)="Resident"),
TRUNC(TRUNC($AN165)*'Tax scales - NAT 1004'!$B$47),
IF(AND(VLOOKUP($C165,'Employee information'!$B:$M,COLUMNS('Employee information'!$B:$M),0)=4,
VLOOKUP($C165,'Employee information'!$B:$J,COLUMNS('Employee information'!$B:$J),0)="Foreign resident"),
TRUNC(TRUNC($AN165)*'Tax scales - NAT 1004'!$B$48),
"")),
"")</f>
        <v/>
      </c>
      <c r="AS165" s="118" t="str">
        <f>IFERROR(
IF(VLOOKUP($C165,'Employee information'!$B:$M,COLUMNS('Employee information'!$B:$M),0)=5,
IF($E$2="Fortnightly",
ROUND(
ROUND((((TRUNC($AN165/2,0)+0.99))*VLOOKUP((TRUNC($AN165/2,0)+0.99),'Tax scales - NAT 1004'!$A$53:$C$59,2,1)-VLOOKUP((TRUNC($AN165/2,0)+0.99),'Tax scales - NAT 1004'!$A$53:$C$59,3,1)),0)
*2,
0),
IF(AND($E$2="Monthly",ROUND($AN165-TRUNC($AN165),2)=0.33),
ROUND(
ROUND(((TRUNC(($AN165+0.01)*3/13,0)+0.99)*VLOOKUP((TRUNC(($AN165+0.01)*3/13,0)+0.99),'Tax scales - NAT 1004'!$A$53:$C$59,2,1)-VLOOKUP((TRUNC(($AN165+0.01)*3/13,0)+0.99),'Tax scales - NAT 1004'!$A$53:$C$59,3,1)),0)
*13/3,
0),
IF($E$2="Monthly",
ROUND(
ROUND(((TRUNC($AN165*3/13,0)+0.99)*VLOOKUP((TRUNC($AN165*3/13,0)+0.99),'Tax scales - NAT 1004'!$A$53:$C$59,2,1)-VLOOKUP((TRUNC($AN165*3/13,0)+0.99),'Tax scales - NAT 1004'!$A$53:$C$59,3,1)),0)
*13/3,
0),
""))),
""),
"")</f>
        <v/>
      </c>
      <c r="AT165" s="118" t="str">
        <f>IFERROR(
IF(VLOOKUP($C165,'Employee information'!$B:$M,COLUMNS('Employee information'!$B:$M),0)=6,
IF($E$2="Fortnightly",
ROUND(
ROUND((((TRUNC($AN165/2,0)+0.99))*VLOOKUP((TRUNC($AN165/2,0)+0.99),'Tax scales - NAT 1004'!$A$65:$C$73,2,1)-VLOOKUP((TRUNC($AN165/2,0)+0.99),'Tax scales - NAT 1004'!$A$65:$C$73,3,1)),0)
*2,
0),
IF(AND($E$2="Monthly",ROUND($AN165-TRUNC($AN165),2)=0.33),
ROUND(
ROUND(((TRUNC(($AN165+0.01)*3/13,0)+0.99)*VLOOKUP((TRUNC(($AN165+0.01)*3/13,0)+0.99),'Tax scales - NAT 1004'!$A$65:$C$73,2,1)-VLOOKUP((TRUNC(($AN165+0.01)*3/13,0)+0.99),'Tax scales - NAT 1004'!$A$65:$C$73,3,1)),0)
*13/3,
0),
IF($E$2="Monthly",
ROUND(
ROUND(((TRUNC($AN165*3/13,0)+0.99)*VLOOKUP((TRUNC($AN165*3/13,0)+0.99),'Tax scales - NAT 1004'!$A$65:$C$73,2,1)-VLOOKUP((TRUNC($AN165*3/13,0)+0.99),'Tax scales - NAT 1004'!$A$65:$C$73,3,1)),0)
*13/3,
0),
""))),
""),
"")</f>
        <v/>
      </c>
      <c r="AU165" s="118" t="str">
        <f>IFERROR(
IF(VLOOKUP($C165,'Employee information'!$B:$M,COLUMNS('Employee information'!$B:$M),0)=11,
IF($E$2="Fortnightly",
ROUND(
ROUND((((TRUNC($AN165/2,0)+0.99))*VLOOKUP((TRUNC($AN165/2,0)+0.99),'Tax scales - NAT 3539'!$A$14:$C$38,2,1)-VLOOKUP((TRUNC($AN165/2,0)+0.99),'Tax scales - NAT 3539'!$A$14:$C$38,3,1)),0)
*2,
0),
IF(AND($E$2="Monthly",ROUND($AN165-TRUNC($AN165),2)=0.33),
ROUND(
ROUND(((TRUNC(($AN165+0.01)*3/13,0)+0.99)*VLOOKUP((TRUNC(($AN165+0.01)*3/13,0)+0.99),'Tax scales - NAT 3539'!$A$14:$C$38,2,1)-VLOOKUP((TRUNC(($AN165+0.01)*3/13,0)+0.99),'Tax scales - NAT 3539'!$A$14:$C$38,3,1)),0)
*13/3,
0),
IF($E$2="Monthly",
ROUND(
ROUND(((TRUNC($AN165*3/13,0)+0.99)*VLOOKUP((TRUNC($AN165*3/13,0)+0.99),'Tax scales - NAT 3539'!$A$14:$C$38,2,1)-VLOOKUP((TRUNC($AN165*3/13,0)+0.99),'Tax scales - NAT 3539'!$A$14:$C$38,3,1)),0)
*13/3,
0),
""))),
""),
"")</f>
        <v/>
      </c>
      <c r="AV165" s="118" t="str">
        <f>IFERROR(
IF(VLOOKUP($C165,'Employee information'!$B:$M,COLUMNS('Employee information'!$B:$M),0)=22,
IF($E$2="Fortnightly",
ROUND(
ROUND((((TRUNC($AN165/2,0)+0.99))*VLOOKUP((TRUNC($AN165/2,0)+0.99),'Tax scales - NAT 3539'!$A$43:$C$69,2,1)-VLOOKUP((TRUNC($AN165/2,0)+0.99),'Tax scales - NAT 3539'!$A$43:$C$69,3,1)),0)
*2,
0),
IF(AND($E$2="Monthly",ROUND($AN165-TRUNC($AN165),2)=0.33),
ROUND(
ROUND(((TRUNC(($AN165+0.01)*3/13,0)+0.99)*VLOOKUP((TRUNC(($AN165+0.01)*3/13,0)+0.99),'Tax scales - NAT 3539'!$A$43:$C$69,2,1)-VLOOKUP((TRUNC(($AN165+0.01)*3/13,0)+0.99),'Tax scales - NAT 3539'!$A$43:$C$69,3,1)),0)
*13/3,
0),
IF($E$2="Monthly",
ROUND(
ROUND(((TRUNC($AN165*3/13,0)+0.99)*VLOOKUP((TRUNC($AN165*3/13,0)+0.99),'Tax scales - NAT 3539'!$A$43:$C$69,2,1)-VLOOKUP((TRUNC($AN165*3/13,0)+0.99),'Tax scales - NAT 3539'!$A$43:$C$69,3,1)),0)
*13/3,
0),
""))),
""),
"")</f>
        <v/>
      </c>
      <c r="AW165" s="118" t="str">
        <f>IFERROR(
IF(VLOOKUP($C165,'Employee information'!$B:$M,COLUMNS('Employee information'!$B:$M),0)=33,
IF($E$2="Fortnightly",
ROUND(
ROUND((((TRUNC($AN165/2,0)+0.99))*VLOOKUP((TRUNC($AN165/2,0)+0.99),'Tax scales - NAT 3539'!$A$74:$C$94,2,1)-VLOOKUP((TRUNC($AN165/2,0)+0.99),'Tax scales - NAT 3539'!$A$74:$C$94,3,1)),0)
*2,
0),
IF(AND($E$2="Monthly",ROUND($AN165-TRUNC($AN165),2)=0.33),
ROUND(
ROUND(((TRUNC(($AN165+0.01)*3/13,0)+0.99)*VLOOKUP((TRUNC(($AN165+0.01)*3/13,0)+0.99),'Tax scales - NAT 3539'!$A$74:$C$94,2,1)-VLOOKUP((TRUNC(($AN165+0.01)*3/13,0)+0.99),'Tax scales - NAT 3539'!$A$74:$C$94,3,1)),0)
*13/3,
0),
IF($E$2="Monthly",
ROUND(
ROUND(((TRUNC($AN165*3/13,0)+0.99)*VLOOKUP((TRUNC($AN165*3/13,0)+0.99),'Tax scales - NAT 3539'!$A$74:$C$94,2,1)-VLOOKUP((TRUNC($AN165*3/13,0)+0.99),'Tax scales - NAT 3539'!$A$74:$C$94,3,1)),0)
*13/3,
0),
""))),
""),
"")</f>
        <v/>
      </c>
      <c r="AX165" s="118" t="str">
        <f>IFERROR(
IF(VLOOKUP($C165,'Employee information'!$B:$M,COLUMNS('Employee information'!$B:$M),0)=55,
IF($E$2="Fortnightly",
ROUND(
ROUND((((TRUNC($AN165/2,0)+0.99))*VLOOKUP((TRUNC($AN165/2,0)+0.99),'Tax scales - NAT 3539'!$A$99:$C$123,2,1)-VLOOKUP((TRUNC($AN165/2,0)+0.99),'Tax scales - NAT 3539'!$A$99:$C$123,3,1)),0)
*2,
0),
IF(AND($E$2="Monthly",ROUND($AN165-TRUNC($AN165),2)=0.33),
ROUND(
ROUND(((TRUNC(($AN165+0.01)*3/13,0)+0.99)*VLOOKUP((TRUNC(($AN165+0.01)*3/13,0)+0.99),'Tax scales - NAT 3539'!$A$99:$C$123,2,1)-VLOOKUP((TRUNC(($AN165+0.01)*3/13,0)+0.99),'Tax scales - NAT 3539'!$A$99:$C$123,3,1)),0)
*13/3,
0),
IF($E$2="Monthly",
ROUND(
ROUND(((TRUNC($AN165*3/13,0)+0.99)*VLOOKUP((TRUNC($AN165*3/13,0)+0.99),'Tax scales - NAT 3539'!$A$99:$C$123,2,1)-VLOOKUP((TRUNC($AN165*3/13,0)+0.99),'Tax scales - NAT 3539'!$A$99:$C$123,3,1)),0)
*13/3,
0),
""))),
""),
"")</f>
        <v/>
      </c>
      <c r="AY165" s="118" t="str">
        <f>IFERROR(
IF(VLOOKUP($C165,'Employee information'!$B:$M,COLUMNS('Employee information'!$B:$M),0)=66,
IF($E$2="Fortnightly",
ROUND(
ROUND((((TRUNC($AN165/2,0)+0.99))*VLOOKUP((TRUNC($AN165/2,0)+0.99),'Tax scales - NAT 3539'!$A$127:$C$154,2,1)-VLOOKUP((TRUNC($AN165/2,0)+0.99),'Tax scales - NAT 3539'!$A$127:$C$154,3,1)),0)
*2,
0),
IF(AND($E$2="Monthly",ROUND($AN165-TRUNC($AN165),2)=0.33),
ROUND(
ROUND(((TRUNC(($AN165+0.01)*3/13,0)+0.99)*VLOOKUP((TRUNC(($AN165+0.01)*3/13,0)+0.99),'Tax scales - NAT 3539'!$A$127:$C$154,2,1)-VLOOKUP((TRUNC(($AN165+0.01)*3/13,0)+0.99),'Tax scales - NAT 3539'!$A$127:$C$154,3,1)),0)
*13/3,
0),
IF($E$2="Monthly",
ROUND(
ROUND(((TRUNC($AN165*3/13,0)+0.99)*VLOOKUP((TRUNC($AN165*3/13,0)+0.99),'Tax scales - NAT 3539'!$A$127:$C$154,2,1)-VLOOKUP((TRUNC($AN165*3/13,0)+0.99),'Tax scales - NAT 3539'!$A$127:$C$154,3,1)),0)
*13/3,
0),
""))),
""),
"")</f>
        <v/>
      </c>
      <c r="AZ165" s="118">
        <f>IFERROR(
HLOOKUP(VLOOKUP($C165,'Employee information'!$B:$M,COLUMNS('Employee information'!$B:$M),0),'PAYG worksheet'!$AO$155:$AY$174,COUNTA($C$156:$C165)+1,0),
0)</f>
        <v>0</v>
      </c>
      <c r="BA165" s="118"/>
      <c r="BB165" s="118">
        <f t="shared" si="170"/>
        <v>0</v>
      </c>
      <c r="BC165" s="119">
        <f>IFERROR(
IF(OR($AE165=1,$AE165=""),SUM($P165,$AA165,$AC165,$AK165)*VLOOKUP($C165,'Employee information'!$B:$Q,COLUMNS('Employee information'!$B:$H),0),
IF($AE165=0,SUM($P165,$AA165,$AK165)*VLOOKUP($C165,'Employee information'!$B:$Q,COLUMNS('Employee information'!$B:$H),0),
0)),
0)</f>
        <v>0</v>
      </c>
      <c r="BE165" s="114">
        <f t="shared" si="155"/>
        <v>0</v>
      </c>
      <c r="BF165" s="114">
        <f t="shared" si="156"/>
        <v>0</v>
      </c>
      <c r="BG165" s="114">
        <f t="shared" si="157"/>
        <v>0</v>
      </c>
      <c r="BH165" s="114">
        <f t="shared" si="158"/>
        <v>0</v>
      </c>
      <c r="BI165" s="114">
        <f t="shared" si="159"/>
        <v>0</v>
      </c>
      <c r="BJ165" s="114">
        <f t="shared" si="160"/>
        <v>0</v>
      </c>
      <c r="BK165" s="114">
        <f t="shared" si="161"/>
        <v>0</v>
      </c>
      <c r="BL165" s="114">
        <f t="shared" si="171"/>
        <v>0</v>
      </c>
      <c r="BM165" s="114">
        <f t="shared" si="162"/>
        <v>0</v>
      </c>
    </row>
    <row r="166" spans="1:65" x14ac:dyDescent="0.25">
      <c r="A166" s="228">
        <f t="shared" si="150"/>
        <v>6</v>
      </c>
      <c r="C166" s="278"/>
      <c r="E166" s="103">
        <f>IF($C166="",0,
IF(AND($E$2="Monthly",$A166&gt;12),0,
IF($E$2="Monthly",VLOOKUP($C166,'Employee information'!$B:$AM,COLUMNS('Employee information'!$B:S),0),
IF($E$2="Fortnightly",VLOOKUP($C166,'Employee information'!$B:$AM,COLUMNS('Employee information'!$B:R),0),
0))))</f>
        <v>0</v>
      </c>
      <c r="F166" s="106"/>
      <c r="G166" s="106"/>
      <c r="H166" s="106"/>
      <c r="I166" s="106"/>
      <c r="J166" s="103">
        <f t="shared" si="163"/>
        <v>0</v>
      </c>
      <c r="L166" s="113">
        <f>IF(AND($E$2="Monthly",$A166&gt;12),"",
IFERROR($J166*VLOOKUP($C166,'Employee information'!$B:$AI,COLUMNS('Employee information'!$B:$P),0),0))</f>
        <v>0</v>
      </c>
      <c r="M166" s="114">
        <f t="shared" si="164"/>
        <v>0</v>
      </c>
      <c r="O166" s="103">
        <f t="shared" si="165"/>
        <v>0</v>
      </c>
      <c r="P166" s="113">
        <f>IFERROR(
IF(AND($E$2="Monthly",$A166&gt;12),0,
$O166*VLOOKUP($C166,'Employee information'!$B:$AI,COLUMNS('Employee information'!$B:$P),0)),
0)</f>
        <v>0</v>
      </c>
      <c r="R166" s="114">
        <f t="shared" si="151"/>
        <v>0</v>
      </c>
      <c r="T166" s="103"/>
      <c r="U166" s="103"/>
      <c r="V166" s="282" t="str">
        <f>IF($C166="","",
IF(AND($E$2="Monthly",$A166&gt;12),"",
$T166*VLOOKUP($C166,'Employee information'!$B:$P,COLUMNS('Employee information'!$B:$P),0)))</f>
        <v/>
      </c>
      <c r="W166" s="282" t="str">
        <f>IF($C166="","",
IF(AND($E$2="Monthly",$A166&gt;12),"",
$U166*VLOOKUP($C166,'Employee information'!$B:$P,COLUMNS('Employee information'!$B:$P),0)))</f>
        <v/>
      </c>
      <c r="X166" s="114">
        <f t="shared" si="152"/>
        <v>0</v>
      </c>
      <c r="Y166" s="114">
        <f t="shared" si="153"/>
        <v>0</v>
      </c>
      <c r="AA166" s="118">
        <f>IFERROR(
IF(OR('Basic payroll data'!$D$12="",'Basic payroll data'!$D$12="No"),0,
$T166*VLOOKUP($C166,'Employee information'!$B:$P,COLUMNS('Employee information'!$B:$P),0)*AL_loading_perc),
0)</f>
        <v>0</v>
      </c>
      <c r="AC166" s="118"/>
      <c r="AD166" s="118"/>
      <c r="AE166" s="283" t="str">
        <f t="shared" si="166"/>
        <v/>
      </c>
      <c r="AF166" s="283" t="str">
        <f t="shared" si="167"/>
        <v/>
      </c>
      <c r="AG166" s="118"/>
      <c r="AH166" s="118"/>
      <c r="AI166" s="283" t="str">
        <f t="shared" si="168"/>
        <v/>
      </c>
      <c r="AJ166" s="118"/>
      <c r="AK166" s="118"/>
      <c r="AM166" s="118">
        <f t="shared" si="169"/>
        <v>0</v>
      </c>
      <c r="AN166" s="118">
        <f t="shared" si="154"/>
        <v>0</v>
      </c>
      <c r="AO166" s="118" t="str">
        <f>IFERROR(
IF(VLOOKUP($C166,'Employee information'!$B:$M,COLUMNS('Employee information'!$B:$M),0)=1,
IF($E$2="Fortnightly",
ROUND(
ROUND((((TRUNC($AN166/2,0)+0.99))*VLOOKUP((TRUNC($AN166/2,0)+0.99),'Tax scales - NAT 1004'!$A$12:$C$18,2,1)-VLOOKUP((TRUNC($AN166/2,0)+0.99),'Tax scales - NAT 1004'!$A$12:$C$18,3,1)),0)
*2,
0),
IF(AND($E$2="Monthly",ROUND($AN166-TRUNC($AN166),2)=0.33),
ROUND(
ROUND(((TRUNC(($AN166+0.01)*3/13,0)+0.99)*VLOOKUP((TRUNC(($AN166+0.01)*3/13,0)+0.99),'Tax scales - NAT 1004'!$A$12:$C$18,2,1)-VLOOKUP((TRUNC(($AN166+0.01)*3/13,0)+0.99),'Tax scales - NAT 1004'!$A$12:$C$18,3,1)),0)
*13/3,
0),
IF($E$2="Monthly",
ROUND(
ROUND(((TRUNC($AN166*3/13,0)+0.99)*VLOOKUP((TRUNC($AN166*3/13,0)+0.99),'Tax scales - NAT 1004'!$A$12:$C$18,2,1)-VLOOKUP((TRUNC($AN166*3/13,0)+0.99),'Tax scales - NAT 1004'!$A$12:$C$18,3,1)),0)
*13/3,
0),
""))),
""),
"")</f>
        <v/>
      </c>
      <c r="AP166" s="118" t="str">
        <f>IFERROR(
IF(VLOOKUP($C166,'Employee information'!$B:$M,COLUMNS('Employee information'!$B:$M),0)=2,
IF($E$2="Fortnightly",
ROUND(
ROUND((((TRUNC($AN166/2,0)+0.99))*VLOOKUP((TRUNC($AN166/2,0)+0.99),'Tax scales - NAT 1004'!$A$25:$C$33,2,1)-VLOOKUP((TRUNC($AN166/2,0)+0.99),'Tax scales - NAT 1004'!$A$25:$C$33,3,1)),0)
*2,
0),
IF(AND($E$2="Monthly",ROUND($AN166-TRUNC($AN166),2)=0.33),
ROUND(
ROUND(((TRUNC(($AN166+0.01)*3/13,0)+0.99)*VLOOKUP((TRUNC(($AN166+0.01)*3/13,0)+0.99),'Tax scales - NAT 1004'!$A$25:$C$33,2,1)-VLOOKUP((TRUNC(($AN166+0.01)*3/13,0)+0.99),'Tax scales - NAT 1004'!$A$25:$C$33,3,1)),0)
*13/3,
0),
IF($E$2="Monthly",
ROUND(
ROUND(((TRUNC($AN166*3/13,0)+0.99)*VLOOKUP((TRUNC($AN166*3/13,0)+0.99),'Tax scales - NAT 1004'!$A$25:$C$33,2,1)-VLOOKUP((TRUNC($AN166*3/13,0)+0.99),'Tax scales - NAT 1004'!$A$25:$C$33,3,1)),0)
*13/3,
0),
""))),
""),
"")</f>
        <v/>
      </c>
      <c r="AQ166" s="118" t="str">
        <f>IFERROR(
IF(VLOOKUP($C166,'Employee information'!$B:$M,COLUMNS('Employee information'!$B:$M),0)=3,
IF($E$2="Fortnightly",
ROUND(
ROUND((((TRUNC($AN166/2,0)+0.99))*VLOOKUP((TRUNC($AN166/2,0)+0.99),'Tax scales - NAT 1004'!$A$39:$C$41,2,1)-VLOOKUP((TRUNC($AN166/2,0)+0.99),'Tax scales - NAT 1004'!$A$39:$C$41,3,1)),0)
*2,
0),
IF(AND($E$2="Monthly",ROUND($AN166-TRUNC($AN166),2)=0.33),
ROUND(
ROUND(((TRUNC(($AN166+0.01)*3/13,0)+0.99)*VLOOKUP((TRUNC(($AN166+0.01)*3/13,0)+0.99),'Tax scales - NAT 1004'!$A$39:$C$41,2,1)-VLOOKUP((TRUNC(($AN166+0.01)*3/13,0)+0.99),'Tax scales - NAT 1004'!$A$39:$C$41,3,1)),0)
*13/3,
0),
IF($E$2="Monthly",
ROUND(
ROUND(((TRUNC($AN166*3/13,0)+0.99)*VLOOKUP((TRUNC($AN166*3/13,0)+0.99),'Tax scales - NAT 1004'!$A$39:$C$41,2,1)-VLOOKUP((TRUNC($AN166*3/13,0)+0.99),'Tax scales - NAT 1004'!$A$39:$C$41,3,1)),0)
*13/3,
0),
""))),
""),
"")</f>
        <v/>
      </c>
      <c r="AR166" s="118" t="str">
        <f>IFERROR(
IF(AND(VLOOKUP($C166,'Employee information'!$B:$M,COLUMNS('Employee information'!$B:$M),0)=4,
VLOOKUP($C166,'Employee information'!$B:$J,COLUMNS('Employee information'!$B:$J),0)="Resident"),
TRUNC(TRUNC($AN166)*'Tax scales - NAT 1004'!$B$47),
IF(AND(VLOOKUP($C166,'Employee information'!$B:$M,COLUMNS('Employee information'!$B:$M),0)=4,
VLOOKUP($C166,'Employee information'!$B:$J,COLUMNS('Employee information'!$B:$J),0)="Foreign resident"),
TRUNC(TRUNC($AN166)*'Tax scales - NAT 1004'!$B$48),
"")),
"")</f>
        <v/>
      </c>
      <c r="AS166" s="118" t="str">
        <f>IFERROR(
IF(VLOOKUP($C166,'Employee information'!$B:$M,COLUMNS('Employee information'!$B:$M),0)=5,
IF($E$2="Fortnightly",
ROUND(
ROUND((((TRUNC($AN166/2,0)+0.99))*VLOOKUP((TRUNC($AN166/2,0)+0.99),'Tax scales - NAT 1004'!$A$53:$C$59,2,1)-VLOOKUP((TRUNC($AN166/2,0)+0.99),'Tax scales - NAT 1004'!$A$53:$C$59,3,1)),0)
*2,
0),
IF(AND($E$2="Monthly",ROUND($AN166-TRUNC($AN166),2)=0.33),
ROUND(
ROUND(((TRUNC(($AN166+0.01)*3/13,0)+0.99)*VLOOKUP((TRUNC(($AN166+0.01)*3/13,0)+0.99),'Tax scales - NAT 1004'!$A$53:$C$59,2,1)-VLOOKUP((TRUNC(($AN166+0.01)*3/13,0)+0.99),'Tax scales - NAT 1004'!$A$53:$C$59,3,1)),0)
*13/3,
0),
IF($E$2="Monthly",
ROUND(
ROUND(((TRUNC($AN166*3/13,0)+0.99)*VLOOKUP((TRUNC($AN166*3/13,0)+0.99),'Tax scales - NAT 1004'!$A$53:$C$59,2,1)-VLOOKUP((TRUNC($AN166*3/13,0)+0.99),'Tax scales - NAT 1004'!$A$53:$C$59,3,1)),0)
*13/3,
0),
""))),
""),
"")</f>
        <v/>
      </c>
      <c r="AT166" s="118" t="str">
        <f>IFERROR(
IF(VLOOKUP($C166,'Employee information'!$B:$M,COLUMNS('Employee information'!$B:$M),0)=6,
IF($E$2="Fortnightly",
ROUND(
ROUND((((TRUNC($AN166/2,0)+0.99))*VLOOKUP((TRUNC($AN166/2,0)+0.99),'Tax scales - NAT 1004'!$A$65:$C$73,2,1)-VLOOKUP((TRUNC($AN166/2,0)+0.99),'Tax scales - NAT 1004'!$A$65:$C$73,3,1)),0)
*2,
0),
IF(AND($E$2="Monthly",ROUND($AN166-TRUNC($AN166),2)=0.33),
ROUND(
ROUND(((TRUNC(($AN166+0.01)*3/13,0)+0.99)*VLOOKUP((TRUNC(($AN166+0.01)*3/13,0)+0.99),'Tax scales - NAT 1004'!$A$65:$C$73,2,1)-VLOOKUP((TRUNC(($AN166+0.01)*3/13,0)+0.99),'Tax scales - NAT 1004'!$A$65:$C$73,3,1)),0)
*13/3,
0),
IF($E$2="Monthly",
ROUND(
ROUND(((TRUNC($AN166*3/13,0)+0.99)*VLOOKUP((TRUNC($AN166*3/13,0)+0.99),'Tax scales - NAT 1004'!$A$65:$C$73,2,1)-VLOOKUP((TRUNC($AN166*3/13,0)+0.99),'Tax scales - NAT 1004'!$A$65:$C$73,3,1)),0)
*13/3,
0),
""))),
""),
"")</f>
        <v/>
      </c>
      <c r="AU166" s="118" t="str">
        <f>IFERROR(
IF(VLOOKUP($C166,'Employee information'!$B:$M,COLUMNS('Employee information'!$B:$M),0)=11,
IF($E$2="Fortnightly",
ROUND(
ROUND((((TRUNC($AN166/2,0)+0.99))*VLOOKUP((TRUNC($AN166/2,0)+0.99),'Tax scales - NAT 3539'!$A$14:$C$38,2,1)-VLOOKUP((TRUNC($AN166/2,0)+0.99),'Tax scales - NAT 3539'!$A$14:$C$38,3,1)),0)
*2,
0),
IF(AND($E$2="Monthly",ROUND($AN166-TRUNC($AN166),2)=0.33),
ROUND(
ROUND(((TRUNC(($AN166+0.01)*3/13,0)+0.99)*VLOOKUP((TRUNC(($AN166+0.01)*3/13,0)+0.99),'Tax scales - NAT 3539'!$A$14:$C$38,2,1)-VLOOKUP((TRUNC(($AN166+0.01)*3/13,0)+0.99),'Tax scales - NAT 3539'!$A$14:$C$38,3,1)),0)
*13/3,
0),
IF($E$2="Monthly",
ROUND(
ROUND(((TRUNC($AN166*3/13,0)+0.99)*VLOOKUP((TRUNC($AN166*3/13,0)+0.99),'Tax scales - NAT 3539'!$A$14:$C$38,2,1)-VLOOKUP((TRUNC($AN166*3/13,0)+0.99),'Tax scales - NAT 3539'!$A$14:$C$38,3,1)),0)
*13/3,
0),
""))),
""),
"")</f>
        <v/>
      </c>
      <c r="AV166" s="118" t="str">
        <f>IFERROR(
IF(VLOOKUP($C166,'Employee information'!$B:$M,COLUMNS('Employee information'!$B:$M),0)=22,
IF($E$2="Fortnightly",
ROUND(
ROUND((((TRUNC($AN166/2,0)+0.99))*VLOOKUP((TRUNC($AN166/2,0)+0.99),'Tax scales - NAT 3539'!$A$43:$C$69,2,1)-VLOOKUP((TRUNC($AN166/2,0)+0.99),'Tax scales - NAT 3539'!$A$43:$C$69,3,1)),0)
*2,
0),
IF(AND($E$2="Monthly",ROUND($AN166-TRUNC($AN166),2)=0.33),
ROUND(
ROUND(((TRUNC(($AN166+0.01)*3/13,0)+0.99)*VLOOKUP((TRUNC(($AN166+0.01)*3/13,0)+0.99),'Tax scales - NAT 3539'!$A$43:$C$69,2,1)-VLOOKUP((TRUNC(($AN166+0.01)*3/13,0)+0.99),'Tax scales - NAT 3539'!$A$43:$C$69,3,1)),0)
*13/3,
0),
IF($E$2="Monthly",
ROUND(
ROUND(((TRUNC($AN166*3/13,0)+0.99)*VLOOKUP((TRUNC($AN166*3/13,0)+0.99),'Tax scales - NAT 3539'!$A$43:$C$69,2,1)-VLOOKUP((TRUNC($AN166*3/13,0)+0.99),'Tax scales - NAT 3539'!$A$43:$C$69,3,1)),0)
*13/3,
0),
""))),
""),
"")</f>
        <v/>
      </c>
      <c r="AW166" s="118" t="str">
        <f>IFERROR(
IF(VLOOKUP($C166,'Employee information'!$B:$M,COLUMNS('Employee information'!$B:$M),0)=33,
IF($E$2="Fortnightly",
ROUND(
ROUND((((TRUNC($AN166/2,0)+0.99))*VLOOKUP((TRUNC($AN166/2,0)+0.99),'Tax scales - NAT 3539'!$A$74:$C$94,2,1)-VLOOKUP((TRUNC($AN166/2,0)+0.99),'Tax scales - NAT 3539'!$A$74:$C$94,3,1)),0)
*2,
0),
IF(AND($E$2="Monthly",ROUND($AN166-TRUNC($AN166),2)=0.33),
ROUND(
ROUND(((TRUNC(($AN166+0.01)*3/13,0)+0.99)*VLOOKUP((TRUNC(($AN166+0.01)*3/13,0)+0.99),'Tax scales - NAT 3539'!$A$74:$C$94,2,1)-VLOOKUP((TRUNC(($AN166+0.01)*3/13,0)+0.99),'Tax scales - NAT 3539'!$A$74:$C$94,3,1)),0)
*13/3,
0),
IF($E$2="Monthly",
ROUND(
ROUND(((TRUNC($AN166*3/13,0)+0.99)*VLOOKUP((TRUNC($AN166*3/13,0)+0.99),'Tax scales - NAT 3539'!$A$74:$C$94,2,1)-VLOOKUP((TRUNC($AN166*3/13,0)+0.99),'Tax scales - NAT 3539'!$A$74:$C$94,3,1)),0)
*13/3,
0),
""))),
""),
"")</f>
        <v/>
      </c>
      <c r="AX166" s="118" t="str">
        <f>IFERROR(
IF(VLOOKUP($C166,'Employee information'!$B:$M,COLUMNS('Employee information'!$B:$M),0)=55,
IF($E$2="Fortnightly",
ROUND(
ROUND((((TRUNC($AN166/2,0)+0.99))*VLOOKUP((TRUNC($AN166/2,0)+0.99),'Tax scales - NAT 3539'!$A$99:$C$123,2,1)-VLOOKUP((TRUNC($AN166/2,0)+0.99),'Tax scales - NAT 3539'!$A$99:$C$123,3,1)),0)
*2,
0),
IF(AND($E$2="Monthly",ROUND($AN166-TRUNC($AN166),2)=0.33),
ROUND(
ROUND(((TRUNC(($AN166+0.01)*3/13,0)+0.99)*VLOOKUP((TRUNC(($AN166+0.01)*3/13,0)+0.99),'Tax scales - NAT 3539'!$A$99:$C$123,2,1)-VLOOKUP((TRUNC(($AN166+0.01)*3/13,0)+0.99),'Tax scales - NAT 3539'!$A$99:$C$123,3,1)),0)
*13/3,
0),
IF($E$2="Monthly",
ROUND(
ROUND(((TRUNC($AN166*3/13,0)+0.99)*VLOOKUP((TRUNC($AN166*3/13,0)+0.99),'Tax scales - NAT 3539'!$A$99:$C$123,2,1)-VLOOKUP((TRUNC($AN166*3/13,0)+0.99),'Tax scales - NAT 3539'!$A$99:$C$123,3,1)),0)
*13/3,
0),
""))),
""),
"")</f>
        <v/>
      </c>
      <c r="AY166" s="118" t="str">
        <f>IFERROR(
IF(VLOOKUP($C166,'Employee information'!$B:$M,COLUMNS('Employee information'!$B:$M),0)=66,
IF($E$2="Fortnightly",
ROUND(
ROUND((((TRUNC($AN166/2,0)+0.99))*VLOOKUP((TRUNC($AN166/2,0)+0.99),'Tax scales - NAT 3539'!$A$127:$C$154,2,1)-VLOOKUP((TRUNC($AN166/2,0)+0.99),'Tax scales - NAT 3539'!$A$127:$C$154,3,1)),0)
*2,
0),
IF(AND($E$2="Monthly",ROUND($AN166-TRUNC($AN166),2)=0.33),
ROUND(
ROUND(((TRUNC(($AN166+0.01)*3/13,0)+0.99)*VLOOKUP((TRUNC(($AN166+0.01)*3/13,0)+0.99),'Tax scales - NAT 3539'!$A$127:$C$154,2,1)-VLOOKUP((TRUNC(($AN166+0.01)*3/13,0)+0.99),'Tax scales - NAT 3539'!$A$127:$C$154,3,1)),0)
*13/3,
0),
IF($E$2="Monthly",
ROUND(
ROUND(((TRUNC($AN166*3/13,0)+0.99)*VLOOKUP((TRUNC($AN166*3/13,0)+0.99),'Tax scales - NAT 3539'!$A$127:$C$154,2,1)-VLOOKUP((TRUNC($AN166*3/13,0)+0.99),'Tax scales - NAT 3539'!$A$127:$C$154,3,1)),0)
*13/3,
0),
""))),
""),
"")</f>
        <v/>
      </c>
      <c r="AZ166" s="118">
        <f>IFERROR(
HLOOKUP(VLOOKUP($C166,'Employee information'!$B:$M,COLUMNS('Employee information'!$B:$M),0),'PAYG worksheet'!$AO$155:$AY$174,COUNTA($C$156:$C166)+1,0),
0)</f>
        <v>0</v>
      </c>
      <c r="BA166" s="118"/>
      <c r="BB166" s="118">
        <f t="shared" si="170"/>
        <v>0</v>
      </c>
      <c r="BC166" s="119">
        <f>IFERROR(
IF(OR($AE166=1,$AE166=""),SUM($P166,$AA166,$AC166,$AK166)*VLOOKUP($C166,'Employee information'!$B:$Q,COLUMNS('Employee information'!$B:$H),0),
IF($AE166=0,SUM($P166,$AA166,$AK166)*VLOOKUP($C166,'Employee information'!$B:$Q,COLUMNS('Employee information'!$B:$H),0),
0)),
0)</f>
        <v>0</v>
      </c>
      <c r="BE166" s="114">
        <f t="shared" si="155"/>
        <v>0</v>
      </c>
      <c r="BF166" s="114">
        <f t="shared" si="156"/>
        <v>0</v>
      </c>
      <c r="BG166" s="114">
        <f t="shared" si="157"/>
        <v>0</v>
      </c>
      <c r="BH166" s="114">
        <f t="shared" si="158"/>
        <v>0</v>
      </c>
      <c r="BI166" s="114">
        <f t="shared" si="159"/>
        <v>0</v>
      </c>
      <c r="BJ166" s="114">
        <f t="shared" si="160"/>
        <v>0</v>
      </c>
      <c r="BK166" s="114">
        <f t="shared" si="161"/>
        <v>0</v>
      </c>
      <c r="BL166" s="114">
        <f t="shared" si="171"/>
        <v>0</v>
      </c>
      <c r="BM166" s="114">
        <f t="shared" si="162"/>
        <v>0</v>
      </c>
    </row>
    <row r="167" spans="1:65" x14ac:dyDescent="0.25">
      <c r="A167" s="228">
        <f t="shared" si="150"/>
        <v>6</v>
      </c>
      <c r="C167" s="278"/>
      <c r="E167" s="103">
        <f>IF($C167="",0,
IF(AND($E$2="Monthly",$A167&gt;12),0,
IF($E$2="Monthly",VLOOKUP($C167,'Employee information'!$B:$AM,COLUMNS('Employee information'!$B:S),0),
IF($E$2="Fortnightly",VLOOKUP($C167,'Employee information'!$B:$AM,COLUMNS('Employee information'!$B:R),0),
0))))</f>
        <v>0</v>
      </c>
      <c r="F167" s="106"/>
      <c r="G167" s="106"/>
      <c r="H167" s="106"/>
      <c r="I167" s="106"/>
      <c r="J167" s="103">
        <f t="shared" si="163"/>
        <v>0</v>
      </c>
      <c r="L167" s="113">
        <f>IF(AND($E$2="Monthly",$A167&gt;12),"",
IFERROR($J167*VLOOKUP($C167,'Employee information'!$B:$AI,COLUMNS('Employee information'!$B:$P),0),0))</f>
        <v>0</v>
      </c>
      <c r="M167" s="114">
        <f t="shared" si="164"/>
        <v>0</v>
      </c>
      <c r="O167" s="103">
        <f t="shared" si="165"/>
        <v>0</v>
      </c>
      <c r="P167" s="113">
        <f>IFERROR(
IF(AND($E$2="Monthly",$A167&gt;12),0,
$O167*VLOOKUP($C167,'Employee information'!$B:$AI,COLUMNS('Employee information'!$B:$P),0)),
0)</f>
        <v>0</v>
      </c>
      <c r="R167" s="114">
        <f t="shared" si="151"/>
        <v>0</v>
      </c>
      <c r="T167" s="103"/>
      <c r="U167" s="103"/>
      <c r="V167" s="282" t="str">
        <f>IF($C167="","",
IF(AND($E$2="Monthly",$A167&gt;12),"",
$T167*VLOOKUP($C167,'Employee information'!$B:$P,COLUMNS('Employee information'!$B:$P),0)))</f>
        <v/>
      </c>
      <c r="W167" s="282" t="str">
        <f>IF($C167="","",
IF(AND($E$2="Monthly",$A167&gt;12),"",
$U167*VLOOKUP($C167,'Employee information'!$B:$P,COLUMNS('Employee information'!$B:$P),0)))</f>
        <v/>
      </c>
      <c r="X167" s="114">
        <f t="shared" si="152"/>
        <v>0</v>
      </c>
      <c r="Y167" s="114">
        <f t="shared" si="153"/>
        <v>0</v>
      </c>
      <c r="AA167" s="118">
        <f>IFERROR(
IF(OR('Basic payroll data'!$D$12="",'Basic payroll data'!$D$12="No"),0,
$T167*VLOOKUP($C167,'Employee information'!$B:$P,COLUMNS('Employee information'!$B:$P),0)*AL_loading_perc),
0)</f>
        <v>0</v>
      </c>
      <c r="AC167" s="118"/>
      <c r="AD167" s="118"/>
      <c r="AE167" s="283" t="str">
        <f t="shared" si="166"/>
        <v/>
      </c>
      <c r="AF167" s="283" t="str">
        <f t="shared" si="167"/>
        <v/>
      </c>
      <c r="AG167" s="118"/>
      <c r="AH167" s="118"/>
      <c r="AI167" s="283" t="str">
        <f t="shared" si="168"/>
        <v/>
      </c>
      <c r="AJ167" s="118"/>
      <c r="AK167" s="118"/>
      <c r="AM167" s="118">
        <f t="shared" si="169"/>
        <v>0</v>
      </c>
      <c r="AN167" s="118">
        <f t="shared" si="154"/>
        <v>0</v>
      </c>
      <c r="AO167" s="118" t="str">
        <f>IFERROR(
IF(VLOOKUP($C167,'Employee information'!$B:$M,COLUMNS('Employee information'!$B:$M),0)=1,
IF($E$2="Fortnightly",
ROUND(
ROUND((((TRUNC($AN167/2,0)+0.99))*VLOOKUP((TRUNC($AN167/2,0)+0.99),'Tax scales - NAT 1004'!$A$12:$C$18,2,1)-VLOOKUP((TRUNC($AN167/2,0)+0.99),'Tax scales - NAT 1004'!$A$12:$C$18,3,1)),0)
*2,
0),
IF(AND($E$2="Monthly",ROUND($AN167-TRUNC($AN167),2)=0.33),
ROUND(
ROUND(((TRUNC(($AN167+0.01)*3/13,0)+0.99)*VLOOKUP((TRUNC(($AN167+0.01)*3/13,0)+0.99),'Tax scales - NAT 1004'!$A$12:$C$18,2,1)-VLOOKUP((TRUNC(($AN167+0.01)*3/13,0)+0.99),'Tax scales - NAT 1004'!$A$12:$C$18,3,1)),0)
*13/3,
0),
IF($E$2="Monthly",
ROUND(
ROUND(((TRUNC($AN167*3/13,0)+0.99)*VLOOKUP((TRUNC($AN167*3/13,0)+0.99),'Tax scales - NAT 1004'!$A$12:$C$18,2,1)-VLOOKUP((TRUNC($AN167*3/13,0)+0.99),'Tax scales - NAT 1004'!$A$12:$C$18,3,1)),0)
*13/3,
0),
""))),
""),
"")</f>
        <v/>
      </c>
      <c r="AP167" s="118" t="str">
        <f>IFERROR(
IF(VLOOKUP($C167,'Employee information'!$B:$M,COLUMNS('Employee information'!$B:$M),0)=2,
IF($E$2="Fortnightly",
ROUND(
ROUND((((TRUNC($AN167/2,0)+0.99))*VLOOKUP((TRUNC($AN167/2,0)+0.99),'Tax scales - NAT 1004'!$A$25:$C$33,2,1)-VLOOKUP((TRUNC($AN167/2,0)+0.99),'Tax scales - NAT 1004'!$A$25:$C$33,3,1)),0)
*2,
0),
IF(AND($E$2="Monthly",ROUND($AN167-TRUNC($AN167),2)=0.33),
ROUND(
ROUND(((TRUNC(($AN167+0.01)*3/13,0)+0.99)*VLOOKUP((TRUNC(($AN167+0.01)*3/13,0)+0.99),'Tax scales - NAT 1004'!$A$25:$C$33,2,1)-VLOOKUP((TRUNC(($AN167+0.01)*3/13,0)+0.99),'Tax scales - NAT 1004'!$A$25:$C$33,3,1)),0)
*13/3,
0),
IF($E$2="Monthly",
ROUND(
ROUND(((TRUNC($AN167*3/13,0)+0.99)*VLOOKUP((TRUNC($AN167*3/13,0)+0.99),'Tax scales - NAT 1004'!$A$25:$C$33,2,1)-VLOOKUP((TRUNC($AN167*3/13,0)+0.99),'Tax scales - NAT 1004'!$A$25:$C$33,3,1)),0)
*13/3,
0),
""))),
""),
"")</f>
        <v/>
      </c>
      <c r="AQ167" s="118" t="str">
        <f>IFERROR(
IF(VLOOKUP($C167,'Employee information'!$B:$M,COLUMNS('Employee information'!$B:$M),0)=3,
IF($E$2="Fortnightly",
ROUND(
ROUND((((TRUNC($AN167/2,0)+0.99))*VLOOKUP((TRUNC($AN167/2,0)+0.99),'Tax scales - NAT 1004'!$A$39:$C$41,2,1)-VLOOKUP((TRUNC($AN167/2,0)+0.99),'Tax scales - NAT 1004'!$A$39:$C$41,3,1)),0)
*2,
0),
IF(AND($E$2="Monthly",ROUND($AN167-TRUNC($AN167),2)=0.33),
ROUND(
ROUND(((TRUNC(($AN167+0.01)*3/13,0)+0.99)*VLOOKUP((TRUNC(($AN167+0.01)*3/13,0)+0.99),'Tax scales - NAT 1004'!$A$39:$C$41,2,1)-VLOOKUP((TRUNC(($AN167+0.01)*3/13,0)+0.99),'Tax scales - NAT 1004'!$A$39:$C$41,3,1)),0)
*13/3,
0),
IF($E$2="Monthly",
ROUND(
ROUND(((TRUNC($AN167*3/13,0)+0.99)*VLOOKUP((TRUNC($AN167*3/13,0)+0.99),'Tax scales - NAT 1004'!$A$39:$C$41,2,1)-VLOOKUP((TRUNC($AN167*3/13,0)+0.99),'Tax scales - NAT 1004'!$A$39:$C$41,3,1)),0)
*13/3,
0),
""))),
""),
"")</f>
        <v/>
      </c>
      <c r="AR167" s="118" t="str">
        <f>IFERROR(
IF(AND(VLOOKUP($C167,'Employee information'!$B:$M,COLUMNS('Employee information'!$B:$M),0)=4,
VLOOKUP($C167,'Employee information'!$B:$J,COLUMNS('Employee information'!$B:$J),0)="Resident"),
TRUNC(TRUNC($AN167)*'Tax scales - NAT 1004'!$B$47),
IF(AND(VLOOKUP($C167,'Employee information'!$B:$M,COLUMNS('Employee information'!$B:$M),0)=4,
VLOOKUP($C167,'Employee information'!$B:$J,COLUMNS('Employee information'!$B:$J),0)="Foreign resident"),
TRUNC(TRUNC($AN167)*'Tax scales - NAT 1004'!$B$48),
"")),
"")</f>
        <v/>
      </c>
      <c r="AS167" s="118" t="str">
        <f>IFERROR(
IF(VLOOKUP($C167,'Employee information'!$B:$M,COLUMNS('Employee information'!$B:$M),0)=5,
IF($E$2="Fortnightly",
ROUND(
ROUND((((TRUNC($AN167/2,0)+0.99))*VLOOKUP((TRUNC($AN167/2,0)+0.99),'Tax scales - NAT 1004'!$A$53:$C$59,2,1)-VLOOKUP((TRUNC($AN167/2,0)+0.99),'Tax scales - NAT 1004'!$A$53:$C$59,3,1)),0)
*2,
0),
IF(AND($E$2="Monthly",ROUND($AN167-TRUNC($AN167),2)=0.33),
ROUND(
ROUND(((TRUNC(($AN167+0.01)*3/13,0)+0.99)*VLOOKUP((TRUNC(($AN167+0.01)*3/13,0)+0.99),'Tax scales - NAT 1004'!$A$53:$C$59,2,1)-VLOOKUP((TRUNC(($AN167+0.01)*3/13,0)+0.99),'Tax scales - NAT 1004'!$A$53:$C$59,3,1)),0)
*13/3,
0),
IF($E$2="Monthly",
ROUND(
ROUND(((TRUNC($AN167*3/13,0)+0.99)*VLOOKUP((TRUNC($AN167*3/13,0)+0.99),'Tax scales - NAT 1004'!$A$53:$C$59,2,1)-VLOOKUP((TRUNC($AN167*3/13,0)+0.99),'Tax scales - NAT 1004'!$A$53:$C$59,3,1)),0)
*13/3,
0),
""))),
""),
"")</f>
        <v/>
      </c>
      <c r="AT167" s="118" t="str">
        <f>IFERROR(
IF(VLOOKUP($C167,'Employee information'!$B:$M,COLUMNS('Employee information'!$B:$M),0)=6,
IF($E$2="Fortnightly",
ROUND(
ROUND((((TRUNC($AN167/2,0)+0.99))*VLOOKUP((TRUNC($AN167/2,0)+0.99),'Tax scales - NAT 1004'!$A$65:$C$73,2,1)-VLOOKUP((TRUNC($AN167/2,0)+0.99),'Tax scales - NAT 1004'!$A$65:$C$73,3,1)),0)
*2,
0),
IF(AND($E$2="Monthly",ROUND($AN167-TRUNC($AN167),2)=0.33),
ROUND(
ROUND(((TRUNC(($AN167+0.01)*3/13,0)+0.99)*VLOOKUP((TRUNC(($AN167+0.01)*3/13,0)+0.99),'Tax scales - NAT 1004'!$A$65:$C$73,2,1)-VLOOKUP((TRUNC(($AN167+0.01)*3/13,0)+0.99),'Tax scales - NAT 1004'!$A$65:$C$73,3,1)),0)
*13/3,
0),
IF($E$2="Monthly",
ROUND(
ROUND(((TRUNC($AN167*3/13,0)+0.99)*VLOOKUP((TRUNC($AN167*3/13,0)+0.99),'Tax scales - NAT 1004'!$A$65:$C$73,2,1)-VLOOKUP((TRUNC($AN167*3/13,0)+0.99),'Tax scales - NAT 1004'!$A$65:$C$73,3,1)),0)
*13/3,
0),
""))),
""),
"")</f>
        <v/>
      </c>
      <c r="AU167" s="118" t="str">
        <f>IFERROR(
IF(VLOOKUP($C167,'Employee information'!$B:$M,COLUMNS('Employee information'!$B:$M),0)=11,
IF($E$2="Fortnightly",
ROUND(
ROUND((((TRUNC($AN167/2,0)+0.99))*VLOOKUP((TRUNC($AN167/2,0)+0.99),'Tax scales - NAT 3539'!$A$14:$C$38,2,1)-VLOOKUP((TRUNC($AN167/2,0)+0.99),'Tax scales - NAT 3539'!$A$14:$C$38,3,1)),0)
*2,
0),
IF(AND($E$2="Monthly",ROUND($AN167-TRUNC($AN167),2)=0.33),
ROUND(
ROUND(((TRUNC(($AN167+0.01)*3/13,0)+0.99)*VLOOKUP((TRUNC(($AN167+0.01)*3/13,0)+0.99),'Tax scales - NAT 3539'!$A$14:$C$38,2,1)-VLOOKUP((TRUNC(($AN167+0.01)*3/13,0)+0.99),'Tax scales - NAT 3539'!$A$14:$C$38,3,1)),0)
*13/3,
0),
IF($E$2="Monthly",
ROUND(
ROUND(((TRUNC($AN167*3/13,0)+0.99)*VLOOKUP((TRUNC($AN167*3/13,0)+0.99),'Tax scales - NAT 3539'!$A$14:$C$38,2,1)-VLOOKUP((TRUNC($AN167*3/13,0)+0.99),'Tax scales - NAT 3539'!$A$14:$C$38,3,1)),0)
*13/3,
0),
""))),
""),
"")</f>
        <v/>
      </c>
      <c r="AV167" s="118" t="str">
        <f>IFERROR(
IF(VLOOKUP($C167,'Employee information'!$B:$M,COLUMNS('Employee information'!$B:$M),0)=22,
IF($E$2="Fortnightly",
ROUND(
ROUND((((TRUNC($AN167/2,0)+0.99))*VLOOKUP((TRUNC($AN167/2,0)+0.99),'Tax scales - NAT 3539'!$A$43:$C$69,2,1)-VLOOKUP((TRUNC($AN167/2,0)+0.99),'Tax scales - NAT 3539'!$A$43:$C$69,3,1)),0)
*2,
0),
IF(AND($E$2="Monthly",ROUND($AN167-TRUNC($AN167),2)=0.33),
ROUND(
ROUND(((TRUNC(($AN167+0.01)*3/13,0)+0.99)*VLOOKUP((TRUNC(($AN167+0.01)*3/13,0)+0.99),'Tax scales - NAT 3539'!$A$43:$C$69,2,1)-VLOOKUP((TRUNC(($AN167+0.01)*3/13,0)+0.99),'Tax scales - NAT 3539'!$A$43:$C$69,3,1)),0)
*13/3,
0),
IF($E$2="Monthly",
ROUND(
ROUND(((TRUNC($AN167*3/13,0)+0.99)*VLOOKUP((TRUNC($AN167*3/13,0)+0.99),'Tax scales - NAT 3539'!$A$43:$C$69,2,1)-VLOOKUP((TRUNC($AN167*3/13,0)+0.99),'Tax scales - NAT 3539'!$A$43:$C$69,3,1)),0)
*13/3,
0),
""))),
""),
"")</f>
        <v/>
      </c>
      <c r="AW167" s="118" t="str">
        <f>IFERROR(
IF(VLOOKUP($C167,'Employee information'!$B:$M,COLUMNS('Employee information'!$B:$M),0)=33,
IF($E$2="Fortnightly",
ROUND(
ROUND((((TRUNC($AN167/2,0)+0.99))*VLOOKUP((TRUNC($AN167/2,0)+0.99),'Tax scales - NAT 3539'!$A$74:$C$94,2,1)-VLOOKUP((TRUNC($AN167/2,0)+0.99),'Tax scales - NAT 3539'!$A$74:$C$94,3,1)),0)
*2,
0),
IF(AND($E$2="Monthly",ROUND($AN167-TRUNC($AN167),2)=0.33),
ROUND(
ROUND(((TRUNC(($AN167+0.01)*3/13,0)+0.99)*VLOOKUP((TRUNC(($AN167+0.01)*3/13,0)+0.99),'Tax scales - NAT 3539'!$A$74:$C$94,2,1)-VLOOKUP((TRUNC(($AN167+0.01)*3/13,0)+0.99),'Tax scales - NAT 3539'!$A$74:$C$94,3,1)),0)
*13/3,
0),
IF($E$2="Monthly",
ROUND(
ROUND(((TRUNC($AN167*3/13,0)+0.99)*VLOOKUP((TRUNC($AN167*3/13,0)+0.99),'Tax scales - NAT 3539'!$A$74:$C$94,2,1)-VLOOKUP((TRUNC($AN167*3/13,0)+0.99),'Tax scales - NAT 3539'!$A$74:$C$94,3,1)),0)
*13/3,
0),
""))),
""),
"")</f>
        <v/>
      </c>
      <c r="AX167" s="118" t="str">
        <f>IFERROR(
IF(VLOOKUP($C167,'Employee information'!$B:$M,COLUMNS('Employee information'!$B:$M),0)=55,
IF($E$2="Fortnightly",
ROUND(
ROUND((((TRUNC($AN167/2,0)+0.99))*VLOOKUP((TRUNC($AN167/2,0)+0.99),'Tax scales - NAT 3539'!$A$99:$C$123,2,1)-VLOOKUP((TRUNC($AN167/2,0)+0.99),'Tax scales - NAT 3539'!$A$99:$C$123,3,1)),0)
*2,
0),
IF(AND($E$2="Monthly",ROUND($AN167-TRUNC($AN167),2)=0.33),
ROUND(
ROUND(((TRUNC(($AN167+0.01)*3/13,0)+0.99)*VLOOKUP((TRUNC(($AN167+0.01)*3/13,0)+0.99),'Tax scales - NAT 3539'!$A$99:$C$123,2,1)-VLOOKUP((TRUNC(($AN167+0.01)*3/13,0)+0.99),'Tax scales - NAT 3539'!$A$99:$C$123,3,1)),0)
*13/3,
0),
IF($E$2="Monthly",
ROUND(
ROUND(((TRUNC($AN167*3/13,0)+0.99)*VLOOKUP((TRUNC($AN167*3/13,0)+0.99),'Tax scales - NAT 3539'!$A$99:$C$123,2,1)-VLOOKUP((TRUNC($AN167*3/13,0)+0.99),'Tax scales - NAT 3539'!$A$99:$C$123,3,1)),0)
*13/3,
0),
""))),
""),
"")</f>
        <v/>
      </c>
      <c r="AY167" s="118" t="str">
        <f>IFERROR(
IF(VLOOKUP($C167,'Employee information'!$B:$M,COLUMNS('Employee information'!$B:$M),0)=66,
IF($E$2="Fortnightly",
ROUND(
ROUND((((TRUNC($AN167/2,0)+0.99))*VLOOKUP((TRUNC($AN167/2,0)+0.99),'Tax scales - NAT 3539'!$A$127:$C$154,2,1)-VLOOKUP((TRUNC($AN167/2,0)+0.99),'Tax scales - NAT 3539'!$A$127:$C$154,3,1)),0)
*2,
0),
IF(AND($E$2="Monthly",ROUND($AN167-TRUNC($AN167),2)=0.33),
ROUND(
ROUND(((TRUNC(($AN167+0.01)*3/13,0)+0.99)*VLOOKUP((TRUNC(($AN167+0.01)*3/13,0)+0.99),'Tax scales - NAT 3539'!$A$127:$C$154,2,1)-VLOOKUP((TRUNC(($AN167+0.01)*3/13,0)+0.99),'Tax scales - NAT 3539'!$A$127:$C$154,3,1)),0)
*13/3,
0),
IF($E$2="Monthly",
ROUND(
ROUND(((TRUNC($AN167*3/13,0)+0.99)*VLOOKUP((TRUNC($AN167*3/13,0)+0.99),'Tax scales - NAT 3539'!$A$127:$C$154,2,1)-VLOOKUP((TRUNC($AN167*3/13,0)+0.99),'Tax scales - NAT 3539'!$A$127:$C$154,3,1)),0)
*13/3,
0),
""))),
""),
"")</f>
        <v/>
      </c>
      <c r="AZ167" s="118">
        <f>IFERROR(
HLOOKUP(VLOOKUP($C167,'Employee information'!$B:$M,COLUMNS('Employee information'!$B:$M),0),'PAYG worksheet'!$AO$155:$AY$174,COUNTA($C$156:$C167)+1,0),
0)</f>
        <v>0</v>
      </c>
      <c r="BA167" s="118"/>
      <c r="BB167" s="118">
        <f t="shared" si="170"/>
        <v>0</v>
      </c>
      <c r="BC167" s="119">
        <f>IFERROR(
IF(OR($AE167=1,$AE167=""),SUM($P167,$AA167,$AC167,$AK167)*VLOOKUP($C167,'Employee information'!$B:$Q,COLUMNS('Employee information'!$B:$H),0),
IF($AE167=0,SUM($P167,$AA167,$AK167)*VLOOKUP($C167,'Employee information'!$B:$Q,COLUMNS('Employee information'!$B:$H),0),
0)),
0)</f>
        <v>0</v>
      </c>
      <c r="BE167" s="114">
        <f t="shared" si="155"/>
        <v>0</v>
      </c>
      <c r="BF167" s="114">
        <f t="shared" si="156"/>
        <v>0</v>
      </c>
      <c r="BG167" s="114">
        <f t="shared" si="157"/>
        <v>0</v>
      </c>
      <c r="BH167" s="114">
        <f t="shared" si="158"/>
        <v>0</v>
      </c>
      <c r="BI167" s="114">
        <f t="shared" si="159"/>
        <v>0</v>
      </c>
      <c r="BJ167" s="114">
        <f t="shared" si="160"/>
        <v>0</v>
      </c>
      <c r="BK167" s="114">
        <f t="shared" si="161"/>
        <v>0</v>
      </c>
      <c r="BL167" s="114">
        <f t="shared" si="171"/>
        <v>0</v>
      </c>
      <c r="BM167" s="114">
        <f t="shared" si="162"/>
        <v>0</v>
      </c>
    </row>
    <row r="168" spans="1:65" x14ac:dyDescent="0.25">
      <c r="A168" s="228">
        <f t="shared" si="150"/>
        <v>6</v>
      </c>
      <c r="C168" s="278"/>
      <c r="E168" s="103">
        <f>IF($C168="",0,
IF(AND($E$2="Monthly",$A168&gt;12),0,
IF($E$2="Monthly",VLOOKUP($C168,'Employee information'!$B:$AM,COLUMNS('Employee information'!$B:S),0),
IF($E$2="Fortnightly",VLOOKUP($C168,'Employee information'!$B:$AM,COLUMNS('Employee information'!$B:R),0),
0))))</f>
        <v>0</v>
      </c>
      <c r="F168" s="106"/>
      <c r="G168" s="106"/>
      <c r="H168" s="106"/>
      <c r="I168" s="106"/>
      <c r="J168" s="103">
        <f t="shared" si="163"/>
        <v>0</v>
      </c>
      <c r="L168" s="113">
        <f>IF(AND($E$2="Monthly",$A168&gt;12),"",
IFERROR($J168*VLOOKUP($C168,'Employee information'!$B:$AI,COLUMNS('Employee information'!$B:$P),0),0))</f>
        <v>0</v>
      </c>
      <c r="M168" s="114">
        <f t="shared" si="164"/>
        <v>0</v>
      </c>
      <c r="O168" s="103">
        <f t="shared" si="165"/>
        <v>0</v>
      </c>
      <c r="P168" s="113">
        <f>IFERROR(
IF(AND($E$2="Monthly",$A168&gt;12),0,
$O168*VLOOKUP($C168,'Employee information'!$B:$AI,COLUMNS('Employee information'!$B:$P),0)),
0)</f>
        <v>0</v>
      </c>
      <c r="R168" s="114">
        <f t="shared" si="151"/>
        <v>0</v>
      </c>
      <c r="T168" s="103"/>
      <c r="U168" s="103"/>
      <c r="V168" s="282" t="str">
        <f>IF($C168="","",
IF(AND($E$2="Monthly",$A168&gt;12),"",
$T168*VLOOKUP($C168,'Employee information'!$B:$P,COLUMNS('Employee information'!$B:$P),0)))</f>
        <v/>
      </c>
      <c r="W168" s="282" t="str">
        <f>IF($C168="","",
IF(AND($E$2="Monthly",$A168&gt;12),"",
$U168*VLOOKUP($C168,'Employee information'!$B:$P,COLUMNS('Employee information'!$B:$P),0)))</f>
        <v/>
      </c>
      <c r="X168" s="114">
        <f t="shared" si="152"/>
        <v>0</v>
      </c>
      <c r="Y168" s="114">
        <f t="shared" si="153"/>
        <v>0</v>
      </c>
      <c r="AA168" s="118">
        <f>IFERROR(
IF(OR('Basic payroll data'!$D$12="",'Basic payroll data'!$D$12="No"),0,
$T168*VLOOKUP($C168,'Employee information'!$B:$P,COLUMNS('Employee information'!$B:$P),0)*AL_loading_perc),
0)</f>
        <v>0</v>
      </c>
      <c r="AC168" s="118"/>
      <c r="AD168" s="118"/>
      <c r="AE168" s="283" t="str">
        <f t="shared" si="166"/>
        <v/>
      </c>
      <c r="AF168" s="283" t="str">
        <f t="shared" si="167"/>
        <v/>
      </c>
      <c r="AG168" s="118"/>
      <c r="AH168" s="118"/>
      <c r="AI168" s="283" t="str">
        <f t="shared" si="168"/>
        <v/>
      </c>
      <c r="AJ168" s="118"/>
      <c r="AK168" s="118"/>
      <c r="AM168" s="118">
        <f t="shared" si="169"/>
        <v>0</v>
      </c>
      <c r="AN168" s="118">
        <f t="shared" si="154"/>
        <v>0</v>
      </c>
      <c r="AO168" s="118" t="str">
        <f>IFERROR(
IF(VLOOKUP($C168,'Employee information'!$B:$M,COLUMNS('Employee information'!$B:$M),0)=1,
IF($E$2="Fortnightly",
ROUND(
ROUND((((TRUNC($AN168/2,0)+0.99))*VLOOKUP((TRUNC($AN168/2,0)+0.99),'Tax scales - NAT 1004'!$A$12:$C$18,2,1)-VLOOKUP((TRUNC($AN168/2,0)+0.99),'Tax scales - NAT 1004'!$A$12:$C$18,3,1)),0)
*2,
0),
IF(AND($E$2="Monthly",ROUND($AN168-TRUNC($AN168),2)=0.33),
ROUND(
ROUND(((TRUNC(($AN168+0.01)*3/13,0)+0.99)*VLOOKUP((TRUNC(($AN168+0.01)*3/13,0)+0.99),'Tax scales - NAT 1004'!$A$12:$C$18,2,1)-VLOOKUP((TRUNC(($AN168+0.01)*3/13,0)+0.99),'Tax scales - NAT 1004'!$A$12:$C$18,3,1)),0)
*13/3,
0),
IF($E$2="Monthly",
ROUND(
ROUND(((TRUNC($AN168*3/13,0)+0.99)*VLOOKUP((TRUNC($AN168*3/13,0)+0.99),'Tax scales - NAT 1004'!$A$12:$C$18,2,1)-VLOOKUP((TRUNC($AN168*3/13,0)+0.99),'Tax scales - NAT 1004'!$A$12:$C$18,3,1)),0)
*13/3,
0),
""))),
""),
"")</f>
        <v/>
      </c>
      <c r="AP168" s="118" t="str">
        <f>IFERROR(
IF(VLOOKUP($C168,'Employee information'!$B:$M,COLUMNS('Employee information'!$B:$M),0)=2,
IF($E$2="Fortnightly",
ROUND(
ROUND((((TRUNC($AN168/2,0)+0.99))*VLOOKUP((TRUNC($AN168/2,0)+0.99),'Tax scales - NAT 1004'!$A$25:$C$33,2,1)-VLOOKUP((TRUNC($AN168/2,0)+0.99),'Tax scales - NAT 1004'!$A$25:$C$33,3,1)),0)
*2,
0),
IF(AND($E$2="Monthly",ROUND($AN168-TRUNC($AN168),2)=0.33),
ROUND(
ROUND(((TRUNC(($AN168+0.01)*3/13,0)+0.99)*VLOOKUP((TRUNC(($AN168+0.01)*3/13,0)+0.99),'Tax scales - NAT 1004'!$A$25:$C$33,2,1)-VLOOKUP((TRUNC(($AN168+0.01)*3/13,0)+0.99),'Tax scales - NAT 1004'!$A$25:$C$33,3,1)),0)
*13/3,
0),
IF($E$2="Monthly",
ROUND(
ROUND(((TRUNC($AN168*3/13,0)+0.99)*VLOOKUP((TRUNC($AN168*3/13,0)+0.99),'Tax scales - NAT 1004'!$A$25:$C$33,2,1)-VLOOKUP((TRUNC($AN168*3/13,0)+0.99),'Tax scales - NAT 1004'!$A$25:$C$33,3,1)),0)
*13/3,
0),
""))),
""),
"")</f>
        <v/>
      </c>
      <c r="AQ168" s="118" t="str">
        <f>IFERROR(
IF(VLOOKUP($C168,'Employee information'!$B:$M,COLUMNS('Employee information'!$B:$M),0)=3,
IF($E$2="Fortnightly",
ROUND(
ROUND((((TRUNC($AN168/2,0)+0.99))*VLOOKUP((TRUNC($AN168/2,0)+0.99),'Tax scales - NAT 1004'!$A$39:$C$41,2,1)-VLOOKUP((TRUNC($AN168/2,0)+0.99),'Tax scales - NAT 1004'!$A$39:$C$41,3,1)),0)
*2,
0),
IF(AND($E$2="Monthly",ROUND($AN168-TRUNC($AN168),2)=0.33),
ROUND(
ROUND(((TRUNC(($AN168+0.01)*3/13,0)+0.99)*VLOOKUP((TRUNC(($AN168+0.01)*3/13,0)+0.99),'Tax scales - NAT 1004'!$A$39:$C$41,2,1)-VLOOKUP((TRUNC(($AN168+0.01)*3/13,0)+0.99),'Tax scales - NAT 1004'!$A$39:$C$41,3,1)),0)
*13/3,
0),
IF($E$2="Monthly",
ROUND(
ROUND(((TRUNC($AN168*3/13,0)+0.99)*VLOOKUP((TRUNC($AN168*3/13,0)+0.99),'Tax scales - NAT 1004'!$A$39:$C$41,2,1)-VLOOKUP((TRUNC($AN168*3/13,0)+0.99),'Tax scales - NAT 1004'!$A$39:$C$41,3,1)),0)
*13/3,
0),
""))),
""),
"")</f>
        <v/>
      </c>
      <c r="AR168" s="118" t="str">
        <f>IFERROR(
IF(AND(VLOOKUP($C168,'Employee information'!$B:$M,COLUMNS('Employee information'!$B:$M),0)=4,
VLOOKUP($C168,'Employee information'!$B:$J,COLUMNS('Employee information'!$B:$J),0)="Resident"),
TRUNC(TRUNC($AN168)*'Tax scales - NAT 1004'!$B$47),
IF(AND(VLOOKUP($C168,'Employee information'!$B:$M,COLUMNS('Employee information'!$B:$M),0)=4,
VLOOKUP($C168,'Employee information'!$B:$J,COLUMNS('Employee information'!$B:$J),0)="Foreign resident"),
TRUNC(TRUNC($AN168)*'Tax scales - NAT 1004'!$B$48),
"")),
"")</f>
        <v/>
      </c>
      <c r="AS168" s="118" t="str">
        <f>IFERROR(
IF(VLOOKUP($C168,'Employee information'!$B:$M,COLUMNS('Employee information'!$B:$M),0)=5,
IF($E$2="Fortnightly",
ROUND(
ROUND((((TRUNC($AN168/2,0)+0.99))*VLOOKUP((TRUNC($AN168/2,0)+0.99),'Tax scales - NAT 1004'!$A$53:$C$59,2,1)-VLOOKUP((TRUNC($AN168/2,0)+0.99),'Tax scales - NAT 1004'!$A$53:$C$59,3,1)),0)
*2,
0),
IF(AND($E$2="Monthly",ROUND($AN168-TRUNC($AN168),2)=0.33),
ROUND(
ROUND(((TRUNC(($AN168+0.01)*3/13,0)+0.99)*VLOOKUP((TRUNC(($AN168+0.01)*3/13,0)+0.99),'Tax scales - NAT 1004'!$A$53:$C$59,2,1)-VLOOKUP((TRUNC(($AN168+0.01)*3/13,0)+0.99),'Tax scales - NAT 1004'!$A$53:$C$59,3,1)),0)
*13/3,
0),
IF($E$2="Monthly",
ROUND(
ROUND(((TRUNC($AN168*3/13,0)+0.99)*VLOOKUP((TRUNC($AN168*3/13,0)+0.99),'Tax scales - NAT 1004'!$A$53:$C$59,2,1)-VLOOKUP((TRUNC($AN168*3/13,0)+0.99),'Tax scales - NAT 1004'!$A$53:$C$59,3,1)),0)
*13/3,
0),
""))),
""),
"")</f>
        <v/>
      </c>
      <c r="AT168" s="118" t="str">
        <f>IFERROR(
IF(VLOOKUP($C168,'Employee information'!$B:$M,COLUMNS('Employee information'!$B:$M),0)=6,
IF($E$2="Fortnightly",
ROUND(
ROUND((((TRUNC($AN168/2,0)+0.99))*VLOOKUP((TRUNC($AN168/2,0)+0.99),'Tax scales - NAT 1004'!$A$65:$C$73,2,1)-VLOOKUP((TRUNC($AN168/2,0)+0.99),'Tax scales - NAT 1004'!$A$65:$C$73,3,1)),0)
*2,
0),
IF(AND($E$2="Monthly",ROUND($AN168-TRUNC($AN168),2)=0.33),
ROUND(
ROUND(((TRUNC(($AN168+0.01)*3/13,0)+0.99)*VLOOKUP((TRUNC(($AN168+0.01)*3/13,0)+0.99),'Tax scales - NAT 1004'!$A$65:$C$73,2,1)-VLOOKUP((TRUNC(($AN168+0.01)*3/13,0)+0.99),'Tax scales - NAT 1004'!$A$65:$C$73,3,1)),0)
*13/3,
0),
IF($E$2="Monthly",
ROUND(
ROUND(((TRUNC($AN168*3/13,0)+0.99)*VLOOKUP((TRUNC($AN168*3/13,0)+0.99),'Tax scales - NAT 1004'!$A$65:$C$73,2,1)-VLOOKUP((TRUNC($AN168*3/13,0)+0.99),'Tax scales - NAT 1004'!$A$65:$C$73,3,1)),0)
*13/3,
0),
""))),
""),
"")</f>
        <v/>
      </c>
      <c r="AU168" s="118" t="str">
        <f>IFERROR(
IF(VLOOKUP($C168,'Employee information'!$B:$M,COLUMNS('Employee information'!$B:$M),0)=11,
IF($E$2="Fortnightly",
ROUND(
ROUND((((TRUNC($AN168/2,0)+0.99))*VLOOKUP((TRUNC($AN168/2,0)+0.99),'Tax scales - NAT 3539'!$A$14:$C$38,2,1)-VLOOKUP((TRUNC($AN168/2,0)+0.99),'Tax scales - NAT 3539'!$A$14:$C$38,3,1)),0)
*2,
0),
IF(AND($E$2="Monthly",ROUND($AN168-TRUNC($AN168),2)=0.33),
ROUND(
ROUND(((TRUNC(($AN168+0.01)*3/13,0)+0.99)*VLOOKUP((TRUNC(($AN168+0.01)*3/13,0)+0.99),'Tax scales - NAT 3539'!$A$14:$C$38,2,1)-VLOOKUP((TRUNC(($AN168+0.01)*3/13,0)+0.99),'Tax scales - NAT 3539'!$A$14:$C$38,3,1)),0)
*13/3,
0),
IF($E$2="Monthly",
ROUND(
ROUND(((TRUNC($AN168*3/13,0)+0.99)*VLOOKUP((TRUNC($AN168*3/13,0)+0.99),'Tax scales - NAT 3539'!$A$14:$C$38,2,1)-VLOOKUP((TRUNC($AN168*3/13,0)+0.99),'Tax scales - NAT 3539'!$A$14:$C$38,3,1)),0)
*13/3,
0),
""))),
""),
"")</f>
        <v/>
      </c>
      <c r="AV168" s="118" t="str">
        <f>IFERROR(
IF(VLOOKUP($C168,'Employee information'!$B:$M,COLUMNS('Employee information'!$B:$M),0)=22,
IF($E$2="Fortnightly",
ROUND(
ROUND((((TRUNC($AN168/2,0)+0.99))*VLOOKUP((TRUNC($AN168/2,0)+0.99),'Tax scales - NAT 3539'!$A$43:$C$69,2,1)-VLOOKUP((TRUNC($AN168/2,0)+0.99),'Tax scales - NAT 3539'!$A$43:$C$69,3,1)),0)
*2,
0),
IF(AND($E$2="Monthly",ROUND($AN168-TRUNC($AN168),2)=0.33),
ROUND(
ROUND(((TRUNC(($AN168+0.01)*3/13,0)+0.99)*VLOOKUP((TRUNC(($AN168+0.01)*3/13,0)+0.99),'Tax scales - NAT 3539'!$A$43:$C$69,2,1)-VLOOKUP((TRUNC(($AN168+0.01)*3/13,0)+0.99),'Tax scales - NAT 3539'!$A$43:$C$69,3,1)),0)
*13/3,
0),
IF($E$2="Monthly",
ROUND(
ROUND(((TRUNC($AN168*3/13,0)+0.99)*VLOOKUP((TRUNC($AN168*3/13,0)+0.99),'Tax scales - NAT 3539'!$A$43:$C$69,2,1)-VLOOKUP((TRUNC($AN168*3/13,0)+0.99),'Tax scales - NAT 3539'!$A$43:$C$69,3,1)),0)
*13/3,
0),
""))),
""),
"")</f>
        <v/>
      </c>
      <c r="AW168" s="118" t="str">
        <f>IFERROR(
IF(VLOOKUP($C168,'Employee information'!$B:$M,COLUMNS('Employee information'!$B:$M),0)=33,
IF($E$2="Fortnightly",
ROUND(
ROUND((((TRUNC($AN168/2,0)+0.99))*VLOOKUP((TRUNC($AN168/2,0)+0.99),'Tax scales - NAT 3539'!$A$74:$C$94,2,1)-VLOOKUP((TRUNC($AN168/2,0)+0.99),'Tax scales - NAT 3539'!$A$74:$C$94,3,1)),0)
*2,
0),
IF(AND($E$2="Monthly",ROUND($AN168-TRUNC($AN168),2)=0.33),
ROUND(
ROUND(((TRUNC(($AN168+0.01)*3/13,0)+0.99)*VLOOKUP((TRUNC(($AN168+0.01)*3/13,0)+0.99),'Tax scales - NAT 3539'!$A$74:$C$94,2,1)-VLOOKUP((TRUNC(($AN168+0.01)*3/13,0)+0.99),'Tax scales - NAT 3539'!$A$74:$C$94,3,1)),0)
*13/3,
0),
IF($E$2="Monthly",
ROUND(
ROUND(((TRUNC($AN168*3/13,0)+0.99)*VLOOKUP((TRUNC($AN168*3/13,0)+0.99),'Tax scales - NAT 3539'!$A$74:$C$94,2,1)-VLOOKUP((TRUNC($AN168*3/13,0)+0.99),'Tax scales - NAT 3539'!$A$74:$C$94,3,1)),0)
*13/3,
0),
""))),
""),
"")</f>
        <v/>
      </c>
      <c r="AX168" s="118" t="str">
        <f>IFERROR(
IF(VLOOKUP($C168,'Employee information'!$B:$M,COLUMNS('Employee information'!$B:$M),0)=55,
IF($E$2="Fortnightly",
ROUND(
ROUND((((TRUNC($AN168/2,0)+0.99))*VLOOKUP((TRUNC($AN168/2,0)+0.99),'Tax scales - NAT 3539'!$A$99:$C$123,2,1)-VLOOKUP((TRUNC($AN168/2,0)+0.99),'Tax scales - NAT 3539'!$A$99:$C$123,3,1)),0)
*2,
0),
IF(AND($E$2="Monthly",ROUND($AN168-TRUNC($AN168),2)=0.33),
ROUND(
ROUND(((TRUNC(($AN168+0.01)*3/13,0)+0.99)*VLOOKUP((TRUNC(($AN168+0.01)*3/13,0)+0.99),'Tax scales - NAT 3539'!$A$99:$C$123,2,1)-VLOOKUP((TRUNC(($AN168+0.01)*3/13,0)+0.99),'Tax scales - NAT 3539'!$A$99:$C$123,3,1)),0)
*13/3,
0),
IF($E$2="Monthly",
ROUND(
ROUND(((TRUNC($AN168*3/13,0)+0.99)*VLOOKUP((TRUNC($AN168*3/13,0)+0.99),'Tax scales - NAT 3539'!$A$99:$C$123,2,1)-VLOOKUP((TRUNC($AN168*3/13,0)+0.99),'Tax scales - NAT 3539'!$A$99:$C$123,3,1)),0)
*13/3,
0),
""))),
""),
"")</f>
        <v/>
      </c>
      <c r="AY168" s="118" t="str">
        <f>IFERROR(
IF(VLOOKUP($C168,'Employee information'!$B:$M,COLUMNS('Employee information'!$B:$M),0)=66,
IF($E$2="Fortnightly",
ROUND(
ROUND((((TRUNC($AN168/2,0)+0.99))*VLOOKUP((TRUNC($AN168/2,0)+0.99),'Tax scales - NAT 3539'!$A$127:$C$154,2,1)-VLOOKUP((TRUNC($AN168/2,0)+0.99),'Tax scales - NAT 3539'!$A$127:$C$154,3,1)),0)
*2,
0),
IF(AND($E$2="Monthly",ROUND($AN168-TRUNC($AN168),2)=0.33),
ROUND(
ROUND(((TRUNC(($AN168+0.01)*3/13,0)+0.99)*VLOOKUP((TRUNC(($AN168+0.01)*3/13,0)+0.99),'Tax scales - NAT 3539'!$A$127:$C$154,2,1)-VLOOKUP((TRUNC(($AN168+0.01)*3/13,0)+0.99),'Tax scales - NAT 3539'!$A$127:$C$154,3,1)),0)
*13/3,
0),
IF($E$2="Monthly",
ROUND(
ROUND(((TRUNC($AN168*3/13,0)+0.99)*VLOOKUP((TRUNC($AN168*3/13,0)+0.99),'Tax scales - NAT 3539'!$A$127:$C$154,2,1)-VLOOKUP((TRUNC($AN168*3/13,0)+0.99),'Tax scales - NAT 3539'!$A$127:$C$154,3,1)),0)
*13/3,
0),
""))),
""),
"")</f>
        <v/>
      </c>
      <c r="AZ168" s="118">
        <f>IFERROR(
HLOOKUP(VLOOKUP($C168,'Employee information'!$B:$M,COLUMNS('Employee information'!$B:$M),0),'PAYG worksheet'!$AO$155:$AY$174,COUNTA($C$156:$C168)+1,0),
0)</f>
        <v>0</v>
      </c>
      <c r="BA168" s="118"/>
      <c r="BB168" s="118">
        <f t="shared" si="170"/>
        <v>0</v>
      </c>
      <c r="BC168" s="119">
        <f>IFERROR(
IF(OR($AE168=1,$AE168=""),SUM($P168,$AA168,$AC168,$AK168)*VLOOKUP($C168,'Employee information'!$B:$Q,COLUMNS('Employee information'!$B:$H),0),
IF($AE168=0,SUM($P168,$AA168,$AK168)*VLOOKUP($C168,'Employee information'!$B:$Q,COLUMNS('Employee information'!$B:$H),0),
0)),
0)</f>
        <v>0</v>
      </c>
      <c r="BE168" s="114">
        <f t="shared" si="155"/>
        <v>0</v>
      </c>
      <c r="BF168" s="114">
        <f t="shared" si="156"/>
        <v>0</v>
      </c>
      <c r="BG168" s="114">
        <f t="shared" si="157"/>
        <v>0</v>
      </c>
      <c r="BH168" s="114">
        <f t="shared" si="158"/>
        <v>0</v>
      </c>
      <c r="BI168" s="114">
        <f t="shared" si="159"/>
        <v>0</v>
      </c>
      <c r="BJ168" s="114">
        <f t="shared" si="160"/>
        <v>0</v>
      </c>
      <c r="BK168" s="114">
        <f t="shared" si="161"/>
        <v>0</v>
      </c>
      <c r="BL168" s="114">
        <f t="shared" si="171"/>
        <v>0</v>
      </c>
      <c r="BM168" s="114">
        <f t="shared" si="162"/>
        <v>0</v>
      </c>
    </row>
    <row r="169" spans="1:65" x14ac:dyDescent="0.25">
      <c r="A169" s="228">
        <f t="shared" si="150"/>
        <v>6</v>
      </c>
      <c r="C169" s="278"/>
      <c r="E169" s="103">
        <f>IF($C169="",0,
IF(AND($E$2="Monthly",$A169&gt;12),0,
IF($E$2="Monthly",VLOOKUP($C169,'Employee information'!$B:$AM,COLUMNS('Employee information'!$B:S),0),
IF($E$2="Fortnightly",VLOOKUP($C169,'Employee information'!$B:$AM,COLUMNS('Employee information'!$B:R),0),
0))))</f>
        <v>0</v>
      </c>
      <c r="F169" s="106"/>
      <c r="G169" s="106"/>
      <c r="H169" s="106"/>
      <c r="I169" s="106"/>
      <c r="J169" s="103">
        <f t="shared" si="163"/>
        <v>0</v>
      </c>
      <c r="L169" s="113">
        <f>IF(AND($E$2="Monthly",$A169&gt;12),"",
IFERROR($J169*VLOOKUP($C169,'Employee information'!$B:$AI,COLUMNS('Employee information'!$B:$P),0),0))</f>
        <v>0</v>
      </c>
      <c r="M169" s="114">
        <f t="shared" si="164"/>
        <v>0</v>
      </c>
      <c r="O169" s="103">
        <f t="shared" si="165"/>
        <v>0</v>
      </c>
      <c r="P169" s="113">
        <f>IFERROR(
IF(AND($E$2="Monthly",$A169&gt;12),0,
$O169*VLOOKUP($C169,'Employee information'!$B:$AI,COLUMNS('Employee information'!$B:$P),0)),
0)</f>
        <v>0</v>
      </c>
      <c r="R169" s="114">
        <f t="shared" si="151"/>
        <v>0</v>
      </c>
      <c r="T169" s="103"/>
      <c r="U169" s="103"/>
      <c r="V169" s="282" t="str">
        <f>IF($C169="","",
IF(AND($E$2="Monthly",$A169&gt;12),"",
$T169*VLOOKUP($C169,'Employee information'!$B:$P,COLUMNS('Employee information'!$B:$P),0)))</f>
        <v/>
      </c>
      <c r="W169" s="282" t="str">
        <f>IF($C169="","",
IF(AND($E$2="Monthly",$A169&gt;12),"",
$U169*VLOOKUP($C169,'Employee information'!$B:$P,COLUMNS('Employee information'!$B:$P),0)))</f>
        <v/>
      </c>
      <c r="X169" s="114">
        <f t="shared" si="152"/>
        <v>0</v>
      </c>
      <c r="Y169" s="114">
        <f t="shared" si="153"/>
        <v>0</v>
      </c>
      <c r="AA169" s="118">
        <f>IFERROR(
IF(OR('Basic payroll data'!$D$12="",'Basic payroll data'!$D$12="No"),0,
$T169*VLOOKUP($C169,'Employee information'!$B:$P,COLUMNS('Employee information'!$B:$P),0)*AL_loading_perc),
0)</f>
        <v>0</v>
      </c>
      <c r="AC169" s="118"/>
      <c r="AD169" s="118"/>
      <c r="AE169" s="283" t="str">
        <f t="shared" si="166"/>
        <v/>
      </c>
      <c r="AF169" s="283" t="str">
        <f t="shared" si="167"/>
        <v/>
      </c>
      <c r="AG169" s="118"/>
      <c r="AH169" s="118"/>
      <c r="AI169" s="283" t="str">
        <f t="shared" si="168"/>
        <v/>
      </c>
      <c r="AJ169" s="118"/>
      <c r="AK169" s="118"/>
      <c r="AM169" s="118">
        <f t="shared" si="169"/>
        <v>0</v>
      </c>
      <c r="AN169" s="118">
        <f t="shared" si="154"/>
        <v>0</v>
      </c>
      <c r="AO169" s="118" t="str">
        <f>IFERROR(
IF(VLOOKUP($C169,'Employee information'!$B:$M,COLUMNS('Employee information'!$B:$M),0)=1,
IF($E$2="Fortnightly",
ROUND(
ROUND((((TRUNC($AN169/2,0)+0.99))*VLOOKUP((TRUNC($AN169/2,0)+0.99),'Tax scales - NAT 1004'!$A$12:$C$18,2,1)-VLOOKUP((TRUNC($AN169/2,0)+0.99),'Tax scales - NAT 1004'!$A$12:$C$18,3,1)),0)
*2,
0),
IF(AND($E$2="Monthly",ROUND($AN169-TRUNC($AN169),2)=0.33),
ROUND(
ROUND(((TRUNC(($AN169+0.01)*3/13,0)+0.99)*VLOOKUP((TRUNC(($AN169+0.01)*3/13,0)+0.99),'Tax scales - NAT 1004'!$A$12:$C$18,2,1)-VLOOKUP((TRUNC(($AN169+0.01)*3/13,0)+0.99),'Tax scales - NAT 1004'!$A$12:$C$18,3,1)),0)
*13/3,
0),
IF($E$2="Monthly",
ROUND(
ROUND(((TRUNC($AN169*3/13,0)+0.99)*VLOOKUP((TRUNC($AN169*3/13,0)+0.99),'Tax scales - NAT 1004'!$A$12:$C$18,2,1)-VLOOKUP((TRUNC($AN169*3/13,0)+0.99),'Tax scales - NAT 1004'!$A$12:$C$18,3,1)),0)
*13/3,
0),
""))),
""),
"")</f>
        <v/>
      </c>
      <c r="AP169" s="118" t="str">
        <f>IFERROR(
IF(VLOOKUP($C169,'Employee information'!$B:$M,COLUMNS('Employee information'!$B:$M),0)=2,
IF($E$2="Fortnightly",
ROUND(
ROUND((((TRUNC($AN169/2,0)+0.99))*VLOOKUP((TRUNC($AN169/2,0)+0.99),'Tax scales - NAT 1004'!$A$25:$C$33,2,1)-VLOOKUP((TRUNC($AN169/2,0)+0.99),'Tax scales - NAT 1004'!$A$25:$C$33,3,1)),0)
*2,
0),
IF(AND($E$2="Monthly",ROUND($AN169-TRUNC($AN169),2)=0.33),
ROUND(
ROUND(((TRUNC(($AN169+0.01)*3/13,0)+0.99)*VLOOKUP((TRUNC(($AN169+0.01)*3/13,0)+0.99),'Tax scales - NAT 1004'!$A$25:$C$33,2,1)-VLOOKUP((TRUNC(($AN169+0.01)*3/13,0)+0.99),'Tax scales - NAT 1004'!$A$25:$C$33,3,1)),0)
*13/3,
0),
IF($E$2="Monthly",
ROUND(
ROUND(((TRUNC($AN169*3/13,0)+0.99)*VLOOKUP((TRUNC($AN169*3/13,0)+0.99),'Tax scales - NAT 1004'!$A$25:$C$33,2,1)-VLOOKUP((TRUNC($AN169*3/13,0)+0.99),'Tax scales - NAT 1004'!$A$25:$C$33,3,1)),0)
*13/3,
0),
""))),
""),
"")</f>
        <v/>
      </c>
      <c r="AQ169" s="118" t="str">
        <f>IFERROR(
IF(VLOOKUP($C169,'Employee information'!$B:$M,COLUMNS('Employee information'!$B:$M),0)=3,
IF($E$2="Fortnightly",
ROUND(
ROUND((((TRUNC($AN169/2,0)+0.99))*VLOOKUP((TRUNC($AN169/2,0)+0.99),'Tax scales - NAT 1004'!$A$39:$C$41,2,1)-VLOOKUP((TRUNC($AN169/2,0)+0.99),'Tax scales - NAT 1004'!$A$39:$C$41,3,1)),0)
*2,
0),
IF(AND($E$2="Monthly",ROUND($AN169-TRUNC($AN169),2)=0.33),
ROUND(
ROUND(((TRUNC(($AN169+0.01)*3/13,0)+0.99)*VLOOKUP((TRUNC(($AN169+0.01)*3/13,0)+0.99),'Tax scales - NAT 1004'!$A$39:$C$41,2,1)-VLOOKUP((TRUNC(($AN169+0.01)*3/13,0)+0.99),'Tax scales - NAT 1004'!$A$39:$C$41,3,1)),0)
*13/3,
0),
IF($E$2="Monthly",
ROUND(
ROUND(((TRUNC($AN169*3/13,0)+0.99)*VLOOKUP((TRUNC($AN169*3/13,0)+0.99),'Tax scales - NAT 1004'!$A$39:$C$41,2,1)-VLOOKUP((TRUNC($AN169*3/13,0)+0.99),'Tax scales - NAT 1004'!$A$39:$C$41,3,1)),0)
*13/3,
0),
""))),
""),
"")</f>
        <v/>
      </c>
      <c r="AR169" s="118" t="str">
        <f>IFERROR(
IF(AND(VLOOKUP($C169,'Employee information'!$B:$M,COLUMNS('Employee information'!$B:$M),0)=4,
VLOOKUP($C169,'Employee information'!$B:$J,COLUMNS('Employee information'!$B:$J),0)="Resident"),
TRUNC(TRUNC($AN169)*'Tax scales - NAT 1004'!$B$47),
IF(AND(VLOOKUP($C169,'Employee information'!$B:$M,COLUMNS('Employee information'!$B:$M),0)=4,
VLOOKUP($C169,'Employee information'!$B:$J,COLUMNS('Employee information'!$B:$J),0)="Foreign resident"),
TRUNC(TRUNC($AN169)*'Tax scales - NAT 1004'!$B$48),
"")),
"")</f>
        <v/>
      </c>
      <c r="AS169" s="118" t="str">
        <f>IFERROR(
IF(VLOOKUP($C169,'Employee information'!$B:$M,COLUMNS('Employee information'!$B:$M),0)=5,
IF($E$2="Fortnightly",
ROUND(
ROUND((((TRUNC($AN169/2,0)+0.99))*VLOOKUP((TRUNC($AN169/2,0)+0.99),'Tax scales - NAT 1004'!$A$53:$C$59,2,1)-VLOOKUP((TRUNC($AN169/2,0)+0.99),'Tax scales - NAT 1004'!$A$53:$C$59,3,1)),0)
*2,
0),
IF(AND($E$2="Monthly",ROUND($AN169-TRUNC($AN169),2)=0.33),
ROUND(
ROUND(((TRUNC(($AN169+0.01)*3/13,0)+0.99)*VLOOKUP((TRUNC(($AN169+0.01)*3/13,0)+0.99),'Tax scales - NAT 1004'!$A$53:$C$59,2,1)-VLOOKUP((TRUNC(($AN169+0.01)*3/13,0)+0.99),'Tax scales - NAT 1004'!$A$53:$C$59,3,1)),0)
*13/3,
0),
IF($E$2="Monthly",
ROUND(
ROUND(((TRUNC($AN169*3/13,0)+0.99)*VLOOKUP((TRUNC($AN169*3/13,0)+0.99),'Tax scales - NAT 1004'!$A$53:$C$59,2,1)-VLOOKUP((TRUNC($AN169*3/13,0)+0.99),'Tax scales - NAT 1004'!$A$53:$C$59,3,1)),0)
*13/3,
0),
""))),
""),
"")</f>
        <v/>
      </c>
      <c r="AT169" s="118" t="str">
        <f>IFERROR(
IF(VLOOKUP($C169,'Employee information'!$B:$M,COLUMNS('Employee information'!$B:$M),0)=6,
IF($E$2="Fortnightly",
ROUND(
ROUND((((TRUNC($AN169/2,0)+0.99))*VLOOKUP((TRUNC($AN169/2,0)+0.99),'Tax scales - NAT 1004'!$A$65:$C$73,2,1)-VLOOKUP((TRUNC($AN169/2,0)+0.99),'Tax scales - NAT 1004'!$A$65:$C$73,3,1)),0)
*2,
0),
IF(AND($E$2="Monthly",ROUND($AN169-TRUNC($AN169),2)=0.33),
ROUND(
ROUND(((TRUNC(($AN169+0.01)*3/13,0)+0.99)*VLOOKUP((TRUNC(($AN169+0.01)*3/13,0)+0.99),'Tax scales - NAT 1004'!$A$65:$C$73,2,1)-VLOOKUP((TRUNC(($AN169+0.01)*3/13,0)+0.99),'Tax scales - NAT 1004'!$A$65:$C$73,3,1)),0)
*13/3,
0),
IF($E$2="Monthly",
ROUND(
ROUND(((TRUNC($AN169*3/13,0)+0.99)*VLOOKUP((TRUNC($AN169*3/13,0)+0.99),'Tax scales - NAT 1004'!$A$65:$C$73,2,1)-VLOOKUP((TRUNC($AN169*3/13,0)+0.99),'Tax scales - NAT 1004'!$A$65:$C$73,3,1)),0)
*13/3,
0),
""))),
""),
"")</f>
        <v/>
      </c>
      <c r="AU169" s="118" t="str">
        <f>IFERROR(
IF(VLOOKUP($C169,'Employee information'!$B:$M,COLUMNS('Employee information'!$B:$M),0)=11,
IF($E$2="Fortnightly",
ROUND(
ROUND((((TRUNC($AN169/2,0)+0.99))*VLOOKUP((TRUNC($AN169/2,0)+0.99),'Tax scales - NAT 3539'!$A$14:$C$38,2,1)-VLOOKUP((TRUNC($AN169/2,0)+0.99),'Tax scales - NAT 3539'!$A$14:$C$38,3,1)),0)
*2,
0),
IF(AND($E$2="Monthly",ROUND($AN169-TRUNC($AN169),2)=0.33),
ROUND(
ROUND(((TRUNC(($AN169+0.01)*3/13,0)+0.99)*VLOOKUP((TRUNC(($AN169+0.01)*3/13,0)+0.99),'Tax scales - NAT 3539'!$A$14:$C$38,2,1)-VLOOKUP((TRUNC(($AN169+0.01)*3/13,0)+0.99),'Tax scales - NAT 3539'!$A$14:$C$38,3,1)),0)
*13/3,
0),
IF($E$2="Monthly",
ROUND(
ROUND(((TRUNC($AN169*3/13,0)+0.99)*VLOOKUP((TRUNC($AN169*3/13,0)+0.99),'Tax scales - NAT 3539'!$A$14:$C$38,2,1)-VLOOKUP((TRUNC($AN169*3/13,0)+0.99),'Tax scales - NAT 3539'!$A$14:$C$38,3,1)),0)
*13/3,
0),
""))),
""),
"")</f>
        <v/>
      </c>
      <c r="AV169" s="118" t="str">
        <f>IFERROR(
IF(VLOOKUP($C169,'Employee information'!$B:$M,COLUMNS('Employee information'!$B:$M),0)=22,
IF($E$2="Fortnightly",
ROUND(
ROUND((((TRUNC($AN169/2,0)+0.99))*VLOOKUP((TRUNC($AN169/2,0)+0.99),'Tax scales - NAT 3539'!$A$43:$C$69,2,1)-VLOOKUP((TRUNC($AN169/2,0)+0.99),'Tax scales - NAT 3539'!$A$43:$C$69,3,1)),0)
*2,
0),
IF(AND($E$2="Monthly",ROUND($AN169-TRUNC($AN169),2)=0.33),
ROUND(
ROUND(((TRUNC(($AN169+0.01)*3/13,0)+0.99)*VLOOKUP((TRUNC(($AN169+0.01)*3/13,0)+0.99),'Tax scales - NAT 3539'!$A$43:$C$69,2,1)-VLOOKUP((TRUNC(($AN169+0.01)*3/13,0)+0.99),'Tax scales - NAT 3539'!$A$43:$C$69,3,1)),0)
*13/3,
0),
IF($E$2="Monthly",
ROUND(
ROUND(((TRUNC($AN169*3/13,0)+0.99)*VLOOKUP((TRUNC($AN169*3/13,0)+0.99),'Tax scales - NAT 3539'!$A$43:$C$69,2,1)-VLOOKUP((TRUNC($AN169*3/13,0)+0.99),'Tax scales - NAT 3539'!$A$43:$C$69,3,1)),0)
*13/3,
0),
""))),
""),
"")</f>
        <v/>
      </c>
      <c r="AW169" s="118" t="str">
        <f>IFERROR(
IF(VLOOKUP($C169,'Employee information'!$B:$M,COLUMNS('Employee information'!$B:$M),0)=33,
IF($E$2="Fortnightly",
ROUND(
ROUND((((TRUNC($AN169/2,0)+0.99))*VLOOKUP((TRUNC($AN169/2,0)+0.99),'Tax scales - NAT 3539'!$A$74:$C$94,2,1)-VLOOKUP((TRUNC($AN169/2,0)+0.99),'Tax scales - NAT 3539'!$A$74:$C$94,3,1)),0)
*2,
0),
IF(AND($E$2="Monthly",ROUND($AN169-TRUNC($AN169),2)=0.33),
ROUND(
ROUND(((TRUNC(($AN169+0.01)*3/13,0)+0.99)*VLOOKUP((TRUNC(($AN169+0.01)*3/13,0)+0.99),'Tax scales - NAT 3539'!$A$74:$C$94,2,1)-VLOOKUP((TRUNC(($AN169+0.01)*3/13,0)+0.99),'Tax scales - NAT 3539'!$A$74:$C$94,3,1)),0)
*13/3,
0),
IF($E$2="Monthly",
ROUND(
ROUND(((TRUNC($AN169*3/13,0)+0.99)*VLOOKUP((TRUNC($AN169*3/13,0)+0.99),'Tax scales - NAT 3539'!$A$74:$C$94,2,1)-VLOOKUP((TRUNC($AN169*3/13,0)+0.99),'Tax scales - NAT 3539'!$A$74:$C$94,3,1)),0)
*13/3,
0),
""))),
""),
"")</f>
        <v/>
      </c>
      <c r="AX169" s="118" t="str">
        <f>IFERROR(
IF(VLOOKUP($C169,'Employee information'!$B:$M,COLUMNS('Employee information'!$B:$M),0)=55,
IF($E$2="Fortnightly",
ROUND(
ROUND((((TRUNC($AN169/2,0)+0.99))*VLOOKUP((TRUNC($AN169/2,0)+0.99),'Tax scales - NAT 3539'!$A$99:$C$123,2,1)-VLOOKUP((TRUNC($AN169/2,0)+0.99),'Tax scales - NAT 3539'!$A$99:$C$123,3,1)),0)
*2,
0),
IF(AND($E$2="Monthly",ROUND($AN169-TRUNC($AN169),2)=0.33),
ROUND(
ROUND(((TRUNC(($AN169+0.01)*3/13,0)+0.99)*VLOOKUP((TRUNC(($AN169+0.01)*3/13,0)+0.99),'Tax scales - NAT 3539'!$A$99:$C$123,2,1)-VLOOKUP((TRUNC(($AN169+0.01)*3/13,0)+0.99),'Tax scales - NAT 3539'!$A$99:$C$123,3,1)),0)
*13/3,
0),
IF($E$2="Monthly",
ROUND(
ROUND(((TRUNC($AN169*3/13,0)+0.99)*VLOOKUP((TRUNC($AN169*3/13,0)+0.99),'Tax scales - NAT 3539'!$A$99:$C$123,2,1)-VLOOKUP((TRUNC($AN169*3/13,0)+0.99),'Tax scales - NAT 3539'!$A$99:$C$123,3,1)),0)
*13/3,
0),
""))),
""),
"")</f>
        <v/>
      </c>
      <c r="AY169" s="118" t="str">
        <f>IFERROR(
IF(VLOOKUP($C169,'Employee information'!$B:$M,COLUMNS('Employee information'!$B:$M),0)=66,
IF($E$2="Fortnightly",
ROUND(
ROUND((((TRUNC($AN169/2,0)+0.99))*VLOOKUP((TRUNC($AN169/2,0)+0.99),'Tax scales - NAT 3539'!$A$127:$C$154,2,1)-VLOOKUP((TRUNC($AN169/2,0)+0.99),'Tax scales - NAT 3539'!$A$127:$C$154,3,1)),0)
*2,
0),
IF(AND($E$2="Monthly",ROUND($AN169-TRUNC($AN169),2)=0.33),
ROUND(
ROUND(((TRUNC(($AN169+0.01)*3/13,0)+0.99)*VLOOKUP((TRUNC(($AN169+0.01)*3/13,0)+0.99),'Tax scales - NAT 3539'!$A$127:$C$154,2,1)-VLOOKUP((TRUNC(($AN169+0.01)*3/13,0)+0.99),'Tax scales - NAT 3539'!$A$127:$C$154,3,1)),0)
*13/3,
0),
IF($E$2="Monthly",
ROUND(
ROUND(((TRUNC($AN169*3/13,0)+0.99)*VLOOKUP((TRUNC($AN169*3/13,0)+0.99),'Tax scales - NAT 3539'!$A$127:$C$154,2,1)-VLOOKUP((TRUNC($AN169*3/13,0)+0.99),'Tax scales - NAT 3539'!$A$127:$C$154,3,1)),0)
*13/3,
0),
""))),
""),
"")</f>
        <v/>
      </c>
      <c r="AZ169" s="118">
        <f>IFERROR(
HLOOKUP(VLOOKUP($C169,'Employee information'!$B:$M,COLUMNS('Employee information'!$B:$M),0),'PAYG worksheet'!$AO$155:$AY$174,COUNTA($C$156:$C169)+1,0),
0)</f>
        <v>0</v>
      </c>
      <c r="BA169" s="118"/>
      <c r="BB169" s="118">
        <f t="shared" si="170"/>
        <v>0</v>
      </c>
      <c r="BC169" s="119">
        <f>IFERROR(
IF(OR($AE169=1,$AE169=""),SUM($P169,$AA169,$AC169,$AK169)*VLOOKUP($C169,'Employee information'!$B:$Q,COLUMNS('Employee information'!$B:$H),0),
IF($AE169=0,SUM($P169,$AA169,$AK169)*VLOOKUP($C169,'Employee information'!$B:$Q,COLUMNS('Employee information'!$B:$H),0),
0)),
0)</f>
        <v>0</v>
      </c>
      <c r="BE169" s="114">
        <f t="shared" si="155"/>
        <v>0</v>
      </c>
      <c r="BF169" s="114">
        <f t="shared" si="156"/>
        <v>0</v>
      </c>
      <c r="BG169" s="114">
        <f t="shared" si="157"/>
        <v>0</v>
      </c>
      <c r="BH169" s="114">
        <f t="shared" si="158"/>
        <v>0</v>
      </c>
      <c r="BI169" s="114">
        <f t="shared" si="159"/>
        <v>0</v>
      </c>
      <c r="BJ169" s="114">
        <f t="shared" si="160"/>
        <v>0</v>
      </c>
      <c r="BK169" s="114">
        <f t="shared" si="161"/>
        <v>0</v>
      </c>
      <c r="BL169" s="114">
        <f t="shared" si="171"/>
        <v>0</v>
      </c>
      <c r="BM169" s="114">
        <f t="shared" si="162"/>
        <v>0</v>
      </c>
    </row>
    <row r="170" spans="1:65" x14ac:dyDescent="0.25">
      <c r="A170" s="228">
        <f t="shared" si="150"/>
        <v>6</v>
      </c>
      <c r="C170" s="278"/>
      <c r="E170" s="103">
        <f>IF($C170="",0,
IF(AND($E$2="Monthly",$A170&gt;12),0,
IF($E$2="Monthly",VLOOKUP($C170,'Employee information'!$B:$AM,COLUMNS('Employee information'!$B:S),0),
IF($E$2="Fortnightly",VLOOKUP($C170,'Employee information'!$B:$AM,COLUMNS('Employee information'!$B:R),0),
0))))</f>
        <v>0</v>
      </c>
      <c r="F170" s="106"/>
      <c r="G170" s="106"/>
      <c r="H170" s="106"/>
      <c r="I170" s="106"/>
      <c r="J170" s="103">
        <f t="shared" si="163"/>
        <v>0</v>
      </c>
      <c r="L170" s="113">
        <f>IF(AND($E$2="Monthly",$A170&gt;12),"",
IFERROR($J170*VLOOKUP($C170,'Employee information'!$B:$AI,COLUMNS('Employee information'!$B:$P),0),0))</f>
        <v>0</v>
      </c>
      <c r="M170" s="114">
        <f t="shared" si="164"/>
        <v>0</v>
      </c>
      <c r="O170" s="103">
        <f t="shared" si="165"/>
        <v>0</v>
      </c>
      <c r="P170" s="113">
        <f>IFERROR(
IF(AND($E$2="Monthly",$A170&gt;12),0,
$O170*VLOOKUP($C170,'Employee information'!$B:$AI,COLUMNS('Employee information'!$B:$P),0)),
0)</f>
        <v>0</v>
      </c>
      <c r="R170" s="114">
        <f t="shared" si="151"/>
        <v>0</v>
      </c>
      <c r="T170" s="103"/>
      <c r="U170" s="103"/>
      <c r="V170" s="282" t="str">
        <f>IF($C170="","",
IF(AND($E$2="Monthly",$A170&gt;12),"",
$T170*VLOOKUP($C170,'Employee information'!$B:$P,COLUMNS('Employee information'!$B:$P),0)))</f>
        <v/>
      </c>
      <c r="W170" s="282" t="str">
        <f>IF($C170="","",
IF(AND($E$2="Monthly",$A170&gt;12),"",
$U170*VLOOKUP($C170,'Employee information'!$B:$P,COLUMNS('Employee information'!$B:$P),0)))</f>
        <v/>
      </c>
      <c r="X170" s="114">
        <f t="shared" si="152"/>
        <v>0</v>
      </c>
      <c r="Y170" s="114">
        <f t="shared" si="153"/>
        <v>0</v>
      </c>
      <c r="AA170" s="118">
        <f>IFERROR(
IF(OR('Basic payroll data'!$D$12="",'Basic payroll data'!$D$12="No"),0,
$T170*VLOOKUP($C170,'Employee information'!$B:$P,COLUMNS('Employee information'!$B:$P),0)*AL_loading_perc),
0)</f>
        <v>0</v>
      </c>
      <c r="AC170" s="118"/>
      <c r="AD170" s="118"/>
      <c r="AE170" s="283" t="str">
        <f t="shared" si="166"/>
        <v/>
      </c>
      <c r="AF170" s="283" t="str">
        <f t="shared" si="167"/>
        <v/>
      </c>
      <c r="AG170" s="118"/>
      <c r="AH170" s="118"/>
      <c r="AI170" s="283" t="str">
        <f t="shared" si="168"/>
        <v/>
      </c>
      <c r="AJ170" s="118"/>
      <c r="AK170" s="118"/>
      <c r="AM170" s="118">
        <f t="shared" si="169"/>
        <v>0</v>
      </c>
      <c r="AN170" s="118">
        <f t="shared" si="154"/>
        <v>0</v>
      </c>
      <c r="AO170" s="118" t="str">
        <f>IFERROR(
IF(VLOOKUP($C170,'Employee information'!$B:$M,COLUMNS('Employee information'!$B:$M),0)=1,
IF($E$2="Fortnightly",
ROUND(
ROUND((((TRUNC($AN170/2,0)+0.99))*VLOOKUP((TRUNC($AN170/2,0)+0.99),'Tax scales - NAT 1004'!$A$12:$C$18,2,1)-VLOOKUP((TRUNC($AN170/2,0)+0.99),'Tax scales - NAT 1004'!$A$12:$C$18,3,1)),0)
*2,
0),
IF(AND($E$2="Monthly",ROUND($AN170-TRUNC($AN170),2)=0.33),
ROUND(
ROUND(((TRUNC(($AN170+0.01)*3/13,0)+0.99)*VLOOKUP((TRUNC(($AN170+0.01)*3/13,0)+0.99),'Tax scales - NAT 1004'!$A$12:$C$18,2,1)-VLOOKUP((TRUNC(($AN170+0.01)*3/13,0)+0.99),'Tax scales - NAT 1004'!$A$12:$C$18,3,1)),0)
*13/3,
0),
IF($E$2="Monthly",
ROUND(
ROUND(((TRUNC($AN170*3/13,0)+0.99)*VLOOKUP((TRUNC($AN170*3/13,0)+0.99),'Tax scales - NAT 1004'!$A$12:$C$18,2,1)-VLOOKUP((TRUNC($AN170*3/13,0)+0.99),'Tax scales - NAT 1004'!$A$12:$C$18,3,1)),0)
*13/3,
0),
""))),
""),
"")</f>
        <v/>
      </c>
      <c r="AP170" s="118" t="str">
        <f>IFERROR(
IF(VLOOKUP($C170,'Employee information'!$B:$M,COLUMNS('Employee information'!$B:$M),0)=2,
IF($E$2="Fortnightly",
ROUND(
ROUND((((TRUNC($AN170/2,0)+0.99))*VLOOKUP((TRUNC($AN170/2,0)+0.99),'Tax scales - NAT 1004'!$A$25:$C$33,2,1)-VLOOKUP((TRUNC($AN170/2,0)+0.99),'Tax scales - NAT 1004'!$A$25:$C$33,3,1)),0)
*2,
0),
IF(AND($E$2="Monthly",ROUND($AN170-TRUNC($AN170),2)=0.33),
ROUND(
ROUND(((TRUNC(($AN170+0.01)*3/13,0)+0.99)*VLOOKUP((TRUNC(($AN170+0.01)*3/13,0)+0.99),'Tax scales - NAT 1004'!$A$25:$C$33,2,1)-VLOOKUP((TRUNC(($AN170+0.01)*3/13,0)+0.99),'Tax scales - NAT 1004'!$A$25:$C$33,3,1)),0)
*13/3,
0),
IF($E$2="Monthly",
ROUND(
ROUND(((TRUNC($AN170*3/13,0)+0.99)*VLOOKUP((TRUNC($AN170*3/13,0)+0.99),'Tax scales - NAT 1004'!$A$25:$C$33,2,1)-VLOOKUP((TRUNC($AN170*3/13,0)+0.99),'Tax scales - NAT 1004'!$A$25:$C$33,3,1)),0)
*13/3,
0),
""))),
""),
"")</f>
        <v/>
      </c>
      <c r="AQ170" s="118" t="str">
        <f>IFERROR(
IF(VLOOKUP($C170,'Employee information'!$B:$M,COLUMNS('Employee information'!$B:$M),0)=3,
IF($E$2="Fortnightly",
ROUND(
ROUND((((TRUNC($AN170/2,0)+0.99))*VLOOKUP((TRUNC($AN170/2,0)+0.99),'Tax scales - NAT 1004'!$A$39:$C$41,2,1)-VLOOKUP((TRUNC($AN170/2,0)+0.99),'Tax scales - NAT 1004'!$A$39:$C$41,3,1)),0)
*2,
0),
IF(AND($E$2="Monthly",ROUND($AN170-TRUNC($AN170),2)=0.33),
ROUND(
ROUND(((TRUNC(($AN170+0.01)*3/13,0)+0.99)*VLOOKUP((TRUNC(($AN170+0.01)*3/13,0)+0.99),'Tax scales - NAT 1004'!$A$39:$C$41,2,1)-VLOOKUP((TRUNC(($AN170+0.01)*3/13,0)+0.99),'Tax scales - NAT 1004'!$A$39:$C$41,3,1)),0)
*13/3,
0),
IF($E$2="Monthly",
ROUND(
ROUND(((TRUNC($AN170*3/13,0)+0.99)*VLOOKUP((TRUNC($AN170*3/13,0)+0.99),'Tax scales - NAT 1004'!$A$39:$C$41,2,1)-VLOOKUP((TRUNC($AN170*3/13,0)+0.99),'Tax scales - NAT 1004'!$A$39:$C$41,3,1)),0)
*13/3,
0),
""))),
""),
"")</f>
        <v/>
      </c>
      <c r="AR170" s="118" t="str">
        <f>IFERROR(
IF(AND(VLOOKUP($C170,'Employee information'!$B:$M,COLUMNS('Employee information'!$B:$M),0)=4,
VLOOKUP($C170,'Employee information'!$B:$J,COLUMNS('Employee information'!$B:$J),0)="Resident"),
TRUNC(TRUNC($AN170)*'Tax scales - NAT 1004'!$B$47),
IF(AND(VLOOKUP($C170,'Employee information'!$B:$M,COLUMNS('Employee information'!$B:$M),0)=4,
VLOOKUP($C170,'Employee information'!$B:$J,COLUMNS('Employee information'!$B:$J),0)="Foreign resident"),
TRUNC(TRUNC($AN170)*'Tax scales - NAT 1004'!$B$48),
"")),
"")</f>
        <v/>
      </c>
      <c r="AS170" s="118" t="str">
        <f>IFERROR(
IF(VLOOKUP($C170,'Employee information'!$B:$M,COLUMNS('Employee information'!$B:$M),0)=5,
IF($E$2="Fortnightly",
ROUND(
ROUND((((TRUNC($AN170/2,0)+0.99))*VLOOKUP((TRUNC($AN170/2,0)+0.99),'Tax scales - NAT 1004'!$A$53:$C$59,2,1)-VLOOKUP((TRUNC($AN170/2,0)+0.99),'Tax scales - NAT 1004'!$A$53:$C$59,3,1)),0)
*2,
0),
IF(AND($E$2="Monthly",ROUND($AN170-TRUNC($AN170),2)=0.33),
ROUND(
ROUND(((TRUNC(($AN170+0.01)*3/13,0)+0.99)*VLOOKUP((TRUNC(($AN170+0.01)*3/13,0)+0.99),'Tax scales - NAT 1004'!$A$53:$C$59,2,1)-VLOOKUP((TRUNC(($AN170+0.01)*3/13,0)+0.99),'Tax scales - NAT 1004'!$A$53:$C$59,3,1)),0)
*13/3,
0),
IF($E$2="Monthly",
ROUND(
ROUND(((TRUNC($AN170*3/13,0)+0.99)*VLOOKUP((TRUNC($AN170*3/13,0)+0.99),'Tax scales - NAT 1004'!$A$53:$C$59,2,1)-VLOOKUP((TRUNC($AN170*3/13,0)+0.99),'Tax scales - NAT 1004'!$A$53:$C$59,3,1)),0)
*13/3,
0),
""))),
""),
"")</f>
        <v/>
      </c>
      <c r="AT170" s="118" t="str">
        <f>IFERROR(
IF(VLOOKUP($C170,'Employee information'!$B:$M,COLUMNS('Employee information'!$B:$M),0)=6,
IF($E$2="Fortnightly",
ROUND(
ROUND((((TRUNC($AN170/2,0)+0.99))*VLOOKUP((TRUNC($AN170/2,0)+0.99),'Tax scales - NAT 1004'!$A$65:$C$73,2,1)-VLOOKUP((TRUNC($AN170/2,0)+0.99),'Tax scales - NAT 1004'!$A$65:$C$73,3,1)),0)
*2,
0),
IF(AND($E$2="Monthly",ROUND($AN170-TRUNC($AN170),2)=0.33),
ROUND(
ROUND(((TRUNC(($AN170+0.01)*3/13,0)+0.99)*VLOOKUP((TRUNC(($AN170+0.01)*3/13,0)+0.99),'Tax scales - NAT 1004'!$A$65:$C$73,2,1)-VLOOKUP((TRUNC(($AN170+0.01)*3/13,0)+0.99),'Tax scales - NAT 1004'!$A$65:$C$73,3,1)),0)
*13/3,
0),
IF($E$2="Monthly",
ROUND(
ROUND(((TRUNC($AN170*3/13,0)+0.99)*VLOOKUP((TRUNC($AN170*3/13,0)+0.99),'Tax scales - NAT 1004'!$A$65:$C$73,2,1)-VLOOKUP((TRUNC($AN170*3/13,0)+0.99),'Tax scales - NAT 1004'!$A$65:$C$73,3,1)),0)
*13/3,
0),
""))),
""),
"")</f>
        <v/>
      </c>
      <c r="AU170" s="118" t="str">
        <f>IFERROR(
IF(VLOOKUP($C170,'Employee information'!$B:$M,COLUMNS('Employee information'!$B:$M),0)=11,
IF($E$2="Fortnightly",
ROUND(
ROUND((((TRUNC($AN170/2,0)+0.99))*VLOOKUP((TRUNC($AN170/2,0)+0.99),'Tax scales - NAT 3539'!$A$14:$C$38,2,1)-VLOOKUP((TRUNC($AN170/2,0)+0.99),'Tax scales - NAT 3539'!$A$14:$C$38,3,1)),0)
*2,
0),
IF(AND($E$2="Monthly",ROUND($AN170-TRUNC($AN170),2)=0.33),
ROUND(
ROUND(((TRUNC(($AN170+0.01)*3/13,0)+0.99)*VLOOKUP((TRUNC(($AN170+0.01)*3/13,0)+0.99),'Tax scales - NAT 3539'!$A$14:$C$38,2,1)-VLOOKUP((TRUNC(($AN170+0.01)*3/13,0)+0.99),'Tax scales - NAT 3539'!$A$14:$C$38,3,1)),0)
*13/3,
0),
IF($E$2="Monthly",
ROUND(
ROUND(((TRUNC($AN170*3/13,0)+0.99)*VLOOKUP((TRUNC($AN170*3/13,0)+0.99),'Tax scales - NAT 3539'!$A$14:$C$38,2,1)-VLOOKUP((TRUNC($AN170*3/13,0)+0.99),'Tax scales - NAT 3539'!$A$14:$C$38,3,1)),0)
*13/3,
0),
""))),
""),
"")</f>
        <v/>
      </c>
      <c r="AV170" s="118" t="str">
        <f>IFERROR(
IF(VLOOKUP($C170,'Employee information'!$B:$M,COLUMNS('Employee information'!$B:$M),0)=22,
IF($E$2="Fortnightly",
ROUND(
ROUND((((TRUNC($AN170/2,0)+0.99))*VLOOKUP((TRUNC($AN170/2,0)+0.99),'Tax scales - NAT 3539'!$A$43:$C$69,2,1)-VLOOKUP((TRUNC($AN170/2,0)+0.99),'Tax scales - NAT 3539'!$A$43:$C$69,3,1)),0)
*2,
0),
IF(AND($E$2="Monthly",ROUND($AN170-TRUNC($AN170),2)=0.33),
ROUND(
ROUND(((TRUNC(($AN170+0.01)*3/13,0)+0.99)*VLOOKUP((TRUNC(($AN170+0.01)*3/13,0)+0.99),'Tax scales - NAT 3539'!$A$43:$C$69,2,1)-VLOOKUP((TRUNC(($AN170+0.01)*3/13,0)+0.99),'Tax scales - NAT 3539'!$A$43:$C$69,3,1)),0)
*13/3,
0),
IF($E$2="Monthly",
ROUND(
ROUND(((TRUNC($AN170*3/13,0)+0.99)*VLOOKUP((TRUNC($AN170*3/13,0)+0.99),'Tax scales - NAT 3539'!$A$43:$C$69,2,1)-VLOOKUP((TRUNC($AN170*3/13,0)+0.99),'Tax scales - NAT 3539'!$A$43:$C$69,3,1)),0)
*13/3,
0),
""))),
""),
"")</f>
        <v/>
      </c>
      <c r="AW170" s="118" t="str">
        <f>IFERROR(
IF(VLOOKUP($C170,'Employee information'!$B:$M,COLUMNS('Employee information'!$B:$M),0)=33,
IF($E$2="Fortnightly",
ROUND(
ROUND((((TRUNC($AN170/2,0)+0.99))*VLOOKUP((TRUNC($AN170/2,0)+0.99),'Tax scales - NAT 3539'!$A$74:$C$94,2,1)-VLOOKUP((TRUNC($AN170/2,0)+0.99),'Tax scales - NAT 3539'!$A$74:$C$94,3,1)),0)
*2,
0),
IF(AND($E$2="Monthly",ROUND($AN170-TRUNC($AN170),2)=0.33),
ROUND(
ROUND(((TRUNC(($AN170+0.01)*3/13,0)+0.99)*VLOOKUP((TRUNC(($AN170+0.01)*3/13,0)+0.99),'Tax scales - NAT 3539'!$A$74:$C$94,2,1)-VLOOKUP((TRUNC(($AN170+0.01)*3/13,0)+0.99),'Tax scales - NAT 3539'!$A$74:$C$94,3,1)),0)
*13/3,
0),
IF($E$2="Monthly",
ROUND(
ROUND(((TRUNC($AN170*3/13,0)+0.99)*VLOOKUP((TRUNC($AN170*3/13,0)+0.99),'Tax scales - NAT 3539'!$A$74:$C$94,2,1)-VLOOKUP((TRUNC($AN170*3/13,0)+0.99),'Tax scales - NAT 3539'!$A$74:$C$94,3,1)),0)
*13/3,
0),
""))),
""),
"")</f>
        <v/>
      </c>
      <c r="AX170" s="118" t="str">
        <f>IFERROR(
IF(VLOOKUP($C170,'Employee information'!$B:$M,COLUMNS('Employee information'!$B:$M),0)=55,
IF($E$2="Fortnightly",
ROUND(
ROUND((((TRUNC($AN170/2,0)+0.99))*VLOOKUP((TRUNC($AN170/2,0)+0.99),'Tax scales - NAT 3539'!$A$99:$C$123,2,1)-VLOOKUP((TRUNC($AN170/2,0)+0.99),'Tax scales - NAT 3539'!$A$99:$C$123,3,1)),0)
*2,
0),
IF(AND($E$2="Monthly",ROUND($AN170-TRUNC($AN170),2)=0.33),
ROUND(
ROUND(((TRUNC(($AN170+0.01)*3/13,0)+0.99)*VLOOKUP((TRUNC(($AN170+0.01)*3/13,0)+0.99),'Tax scales - NAT 3539'!$A$99:$C$123,2,1)-VLOOKUP((TRUNC(($AN170+0.01)*3/13,0)+0.99),'Tax scales - NAT 3539'!$A$99:$C$123,3,1)),0)
*13/3,
0),
IF($E$2="Monthly",
ROUND(
ROUND(((TRUNC($AN170*3/13,0)+0.99)*VLOOKUP((TRUNC($AN170*3/13,0)+0.99),'Tax scales - NAT 3539'!$A$99:$C$123,2,1)-VLOOKUP((TRUNC($AN170*3/13,0)+0.99),'Tax scales - NAT 3539'!$A$99:$C$123,3,1)),0)
*13/3,
0),
""))),
""),
"")</f>
        <v/>
      </c>
      <c r="AY170" s="118" t="str">
        <f>IFERROR(
IF(VLOOKUP($C170,'Employee information'!$B:$M,COLUMNS('Employee information'!$B:$M),0)=66,
IF($E$2="Fortnightly",
ROUND(
ROUND((((TRUNC($AN170/2,0)+0.99))*VLOOKUP((TRUNC($AN170/2,0)+0.99),'Tax scales - NAT 3539'!$A$127:$C$154,2,1)-VLOOKUP((TRUNC($AN170/2,0)+0.99),'Tax scales - NAT 3539'!$A$127:$C$154,3,1)),0)
*2,
0),
IF(AND($E$2="Monthly",ROUND($AN170-TRUNC($AN170),2)=0.33),
ROUND(
ROUND(((TRUNC(($AN170+0.01)*3/13,0)+0.99)*VLOOKUP((TRUNC(($AN170+0.01)*3/13,0)+0.99),'Tax scales - NAT 3539'!$A$127:$C$154,2,1)-VLOOKUP((TRUNC(($AN170+0.01)*3/13,0)+0.99),'Tax scales - NAT 3539'!$A$127:$C$154,3,1)),0)
*13/3,
0),
IF($E$2="Monthly",
ROUND(
ROUND(((TRUNC($AN170*3/13,0)+0.99)*VLOOKUP((TRUNC($AN170*3/13,0)+0.99),'Tax scales - NAT 3539'!$A$127:$C$154,2,1)-VLOOKUP((TRUNC($AN170*3/13,0)+0.99),'Tax scales - NAT 3539'!$A$127:$C$154,3,1)),0)
*13/3,
0),
""))),
""),
"")</f>
        <v/>
      </c>
      <c r="AZ170" s="118">
        <f>IFERROR(
HLOOKUP(VLOOKUP($C170,'Employee information'!$B:$M,COLUMNS('Employee information'!$B:$M),0),'PAYG worksheet'!$AO$155:$AY$174,COUNTA($C$156:$C170)+1,0),
0)</f>
        <v>0</v>
      </c>
      <c r="BA170" s="118"/>
      <c r="BB170" s="118">
        <f t="shared" si="170"/>
        <v>0</v>
      </c>
      <c r="BC170" s="119">
        <f>IFERROR(
IF(OR($AE170=1,$AE170=""),SUM($P170,$AA170,$AC170,$AK170)*VLOOKUP($C170,'Employee information'!$B:$Q,COLUMNS('Employee information'!$B:$H),0),
IF($AE170=0,SUM($P170,$AA170,$AK170)*VLOOKUP($C170,'Employee information'!$B:$Q,COLUMNS('Employee information'!$B:$H),0),
0)),
0)</f>
        <v>0</v>
      </c>
      <c r="BE170" s="114">
        <f t="shared" si="155"/>
        <v>0</v>
      </c>
      <c r="BF170" s="114">
        <f t="shared" si="156"/>
        <v>0</v>
      </c>
      <c r="BG170" s="114">
        <f t="shared" si="157"/>
        <v>0</v>
      </c>
      <c r="BH170" s="114">
        <f t="shared" si="158"/>
        <v>0</v>
      </c>
      <c r="BI170" s="114">
        <f t="shared" si="159"/>
        <v>0</v>
      </c>
      <c r="BJ170" s="114">
        <f t="shared" si="160"/>
        <v>0</v>
      </c>
      <c r="BK170" s="114">
        <f t="shared" si="161"/>
        <v>0</v>
      </c>
      <c r="BL170" s="114">
        <f t="shared" si="171"/>
        <v>0</v>
      </c>
      <c r="BM170" s="114">
        <f t="shared" si="162"/>
        <v>0</v>
      </c>
    </row>
    <row r="171" spans="1:65" x14ac:dyDescent="0.25">
      <c r="A171" s="228">
        <f t="shared" si="150"/>
        <v>6</v>
      </c>
      <c r="C171" s="278"/>
      <c r="E171" s="103">
        <f>IF($C171="",0,
IF(AND($E$2="Monthly",$A171&gt;12),0,
IF($E$2="Monthly",VLOOKUP($C171,'Employee information'!$B:$AM,COLUMNS('Employee information'!$B:S),0),
IF($E$2="Fortnightly",VLOOKUP($C171,'Employee information'!$B:$AM,COLUMNS('Employee information'!$B:R),0),
0))))</f>
        <v>0</v>
      </c>
      <c r="F171" s="106"/>
      <c r="G171" s="106"/>
      <c r="H171" s="106"/>
      <c r="I171" s="106"/>
      <c r="J171" s="103">
        <f t="shared" si="163"/>
        <v>0</v>
      </c>
      <c r="L171" s="113">
        <f>IF(AND($E$2="Monthly",$A171&gt;12),"",
IFERROR($J171*VLOOKUP($C171,'Employee information'!$B:$AI,COLUMNS('Employee information'!$B:$P),0),0))</f>
        <v>0</v>
      </c>
      <c r="M171" s="114">
        <f t="shared" si="164"/>
        <v>0</v>
      </c>
      <c r="O171" s="103">
        <f t="shared" si="165"/>
        <v>0</v>
      </c>
      <c r="P171" s="113">
        <f>IFERROR(
IF(AND($E$2="Monthly",$A171&gt;12),0,
$O171*VLOOKUP($C171,'Employee information'!$B:$AI,COLUMNS('Employee information'!$B:$P),0)),
0)</f>
        <v>0</v>
      </c>
      <c r="R171" s="114">
        <f t="shared" si="151"/>
        <v>0</v>
      </c>
      <c r="T171" s="103"/>
      <c r="U171" s="103"/>
      <c r="V171" s="282" t="str">
        <f>IF($C171="","",
IF(AND($E$2="Monthly",$A171&gt;12),"",
$T171*VLOOKUP($C171,'Employee information'!$B:$P,COLUMNS('Employee information'!$B:$P),0)))</f>
        <v/>
      </c>
      <c r="W171" s="282" t="str">
        <f>IF($C171="","",
IF(AND($E$2="Monthly",$A171&gt;12),"",
$U171*VLOOKUP($C171,'Employee information'!$B:$P,COLUMNS('Employee information'!$B:$P),0)))</f>
        <v/>
      </c>
      <c r="X171" s="114">
        <f t="shared" si="152"/>
        <v>0</v>
      </c>
      <c r="Y171" s="114">
        <f t="shared" si="153"/>
        <v>0</v>
      </c>
      <c r="AA171" s="118">
        <f>IFERROR(
IF(OR('Basic payroll data'!$D$12="",'Basic payroll data'!$D$12="No"),0,
$T171*VLOOKUP($C171,'Employee information'!$B:$P,COLUMNS('Employee information'!$B:$P),0)*AL_loading_perc),
0)</f>
        <v>0</v>
      </c>
      <c r="AC171" s="118"/>
      <c r="AD171" s="118"/>
      <c r="AE171" s="283" t="str">
        <f t="shared" si="166"/>
        <v/>
      </c>
      <c r="AF171" s="283" t="str">
        <f t="shared" si="167"/>
        <v/>
      </c>
      <c r="AG171" s="118"/>
      <c r="AH171" s="118"/>
      <c r="AI171" s="283" t="str">
        <f t="shared" si="168"/>
        <v/>
      </c>
      <c r="AJ171" s="118"/>
      <c r="AK171" s="118"/>
      <c r="AM171" s="118">
        <f t="shared" si="169"/>
        <v>0</v>
      </c>
      <c r="AN171" s="118">
        <f t="shared" si="154"/>
        <v>0</v>
      </c>
      <c r="AO171" s="118" t="str">
        <f>IFERROR(
IF(VLOOKUP($C171,'Employee information'!$B:$M,COLUMNS('Employee information'!$B:$M),0)=1,
IF($E$2="Fortnightly",
ROUND(
ROUND((((TRUNC($AN171/2,0)+0.99))*VLOOKUP((TRUNC($AN171/2,0)+0.99),'Tax scales - NAT 1004'!$A$12:$C$18,2,1)-VLOOKUP((TRUNC($AN171/2,0)+0.99),'Tax scales - NAT 1004'!$A$12:$C$18,3,1)),0)
*2,
0),
IF(AND($E$2="Monthly",ROUND($AN171-TRUNC($AN171),2)=0.33),
ROUND(
ROUND(((TRUNC(($AN171+0.01)*3/13,0)+0.99)*VLOOKUP((TRUNC(($AN171+0.01)*3/13,0)+0.99),'Tax scales - NAT 1004'!$A$12:$C$18,2,1)-VLOOKUP((TRUNC(($AN171+0.01)*3/13,0)+0.99),'Tax scales - NAT 1004'!$A$12:$C$18,3,1)),0)
*13/3,
0),
IF($E$2="Monthly",
ROUND(
ROUND(((TRUNC($AN171*3/13,0)+0.99)*VLOOKUP((TRUNC($AN171*3/13,0)+0.99),'Tax scales - NAT 1004'!$A$12:$C$18,2,1)-VLOOKUP((TRUNC($AN171*3/13,0)+0.99),'Tax scales - NAT 1004'!$A$12:$C$18,3,1)),0)
*13/3,
0),
""))),
""),
"")</f>
        <v/>
      </c>
      <c r="AP171" s="118" t="str">
        <f>IFERROR(
IF(VLOOKUP($C171,'Employee information'!$B:$M,COLUMNS('Employee information'!$B:$M),0)=2,
IF($E$2="Fortnightly",
ROUND(
ROUND((((TRUNC($AN171/2,0)+0.99))*VLOOKUP((TRUNC($AN171/2,0)+0.99),'Tax scales - NAT 1004'!$A$25:$C$33,2,1)-VLOOKUP((TRUNC($AN171/2,0)+0.99),'Tax scales - NAT 1004'!$A$25:$C$33,3,1)),0)
*2,
0),
IF(AND($E$2="Monthly",ROUND($AN171-TRUNC($AN171),2)=0.33),
ROUND(
ROUND(((TRUNC(($AN171+0.01)*3/13,0)+0.99)*VLOOKUP((TRUNC(($AN171+0.01)*3/13,0)+0.99),'Tax scales - NAT 1004'!$A$25:$C$33,2,1)-VLOOKUP((TRUNC(($AN171+0.01)*3/13,0)+0.99),'Tax scales - NAT 1004'!$A$25:$C$33,3,1)),0)
*13/3,
0),
IF($E$2="Monthly",
ROUND(
ROUND(((TRUNC($AN171*3/13,0)+0.99)*VLOOKUP((TRUNC($AN171*3/13,0)+0.99),'Tax scales - NAT 1004'!$A$25:$C$33,2,1)-VLOOKUP((TRUNC($AN171*3/13,0)+0.99),'Tax scales - NAT 1004'!$A$25:$C$33,3,1)),0)
*13/3,
0),
""))),
""),
"")</f>
        <v/>
      </c>
      <c r="AQ171" s="118" t="str">
        <f>IFERROR(
IF(VLOOKUP($C171,'Employee information'!$B:$M,COLUMNS('Employee information'!$B:$M),0)=3,
IF($E$2="Fortnightly",
ROUND(
ROUND((((TRUNC($AN171/2,0)+0.99))*VLOOKUP((TRUNC($AN171/2,0)+0.99),'Tax scales - NAT 1004'!$A$39:$C$41,2,1)-VLOOKUP((TRUNC($AN171/2,0)+0.99),'Tax scales - NAT 1004'!$A$39:$C$41,3,1)),0)
*2,
0),
IF(AND($E$2="Monthly",ROUND($AN171-TRUNC($AN171),2)=0.33),
ROUND(
ROUND(((TRUNC(($AN171+0.01)*3/13,0)+0.99)*VLOOKUP((TRUNC(($AN171+0.01)*3/13,0)+0.99),'Tax scales - NAT 1004'!$A$39:$C$41,2,1)-VLOOKUP((TRUNC(($AN171+0.01)*3/13,0)+0.99),'Tax scales - NAT 1004'!$A$39:$C$41,3,1)),0)
*13/3,
0),
IF($E$2="Monthly",
ROUND(
ROUND(((TRUNC($AN171*3/13,0)+0.99)*VLOOKUP((TRUNC($AN171*3/13,0)+0.99),'Tax scales - NAT 1004'!$A$39:$C$41,2,1)-VLOOKUP((TRUNC($AN171*3/13,0)+0.99),'Tax scales - NAT 1004'!$A$39:$C$41,3,1)),0)
*13/3,
0),
""))),
""),
"")</f>
        <v/>
      </c>
      <c r="AR171" s="118" t="str">
        <f>IFERROR(
IF(AND(VLOOKUP($C171,'Employee information'!$B:$M,COLUMNS('Employee information'!$B:$M),0)=4,
VLOOKUP($C171,'Employee information'!$B:$J,COLUMNS('Employee information'!$B:$J),0)="Resident"),
TRUNC(TRUNC($AN171)*'Tax scales - NAT 1004'!$B$47),
IF(AND(VLOOKUP($C171,'Employee information'!$B:$M,COLUMNS('Employee information'!$B:$M),0)=4,
VLOOKUP($C171,'Employee information'!$B:$J,COLUMNS('Employee information'!$B:$J),0)="Foreign resident"),
TRUNC(TRUNC($AN171)*'Tax scales - NAT 1004'!$B$48),
"")),
"")</f>
        <v/>
      </c>
      <c r="AS171" s="118" t="str">
        <f>IFERROR(
IF(VLOOKUP($C171,'Employee information'!$B:$M,COLUMNS('Employee information'!$B:$M),0)=5,
IF($E$2="Fortnightly",
ROUND(
ROUND((((TRUNC($AN171/2,0)+0.99))*VLOOKUP((TRUNC($AN171/2,0)+0.99),'Tax scales - NAT 1004'!$A$53:$C$59,2,1)-VLOOKUP((TRUNC($AN171/2,0)+0.99),'Tax scales - NAT 1004'!$A$53:$C$59,3,1)),0)
*2,
0),
IF(AND($E$2="Monthly",ROUND($AN171-TRUNC($AN171),2)=0.33),
ROUND(
ROUND(((TRUNC(($AN171+0.01)*3/13,0)+0.99)*VLOOKUP((TRUNC(($AN171+0.01)*3/13,0)+0.99),'Tax scales - NAT 1004'!$A$53:$C$59,2,1)-VLOOKUP((TRUNC(($AN171+0.01)*3/13,0)+0.99),'Tax scales - NAT 1004'!$A$53:$C$59,3,1)),0)
*13/3,
0),
IF($E$2="Monthly",
ROUND(
ROUND(((TRUNC($AN171*3/13,0)+0.99)*VLOOKUP((TRUNC($AN171*3/13,0)+0.99),'Tax scales - NAT 1004'!$A$53:$C$59,2,1)-VLOOKUP((TRUNC($AN171*3/13,0)+0.99),'Tax scales - NAT 1004'!$A$53:$C$59,3,1)),0)
*13/3,
0),
""))),
""),
"")</f>
        <v/>
      </c>
      <c r="AT171" s="118" t="str">
        <f>IFERROR(
IF(VLOOKUP($C171,'Employee information'!$B:$M,COLUMNS('Employee information'!$B:$M),0)=6,
IF($E$2="Fortnightly",
ROUND(
ROUND((((TRUNC($AN171/2,0)+0.99))*VLOOKUP((TRUNC($AN171/2,0)+0.99),'Tax scales - NAT 1004'!$A$65:$C$73,2,1)-VLOOKUP((TRUNC($AN171/2,0)+0.99),'Tax scales - NAT 1004'!$A$65:$C$73,3,1)),0)
*2,
0),
IF(AND($E$2="Monthly",ROUND($AN171-TRUNC($AN171),2)=0.33),
ROUND(
ROUND(((TRUNC(($AN171+0.01)*3/13,0)+0.99)*VLOOKUP((TRUNC(($AN171+0.01)*3/13,0)+0.99),'Tax scales - NAT 1004'!$A$65:$C$73,2,1)-VLOOKUP((TRUNC(($AN171+0.01)*3/13,0)+0.99),'Tax scales - NAT 1004'!$A$65:$C$73,3,1)),0)
*13/3,
0),
IF($E$2="Monthly",
ROUND(
ROUND(((TRUNC($AN171*3/13,0)+0.99)*VLOOKUP((TRUNC($AN171*3/13,0)+0.99),'Tax scales - NAT 1004'!$A$65:$C$73,2,1)-VLOOKUP((TRUNC($AN171*3/13,0)+0.99),'Tax scales - NAT 1004'!$A$65:$C$73,3,1)),0)
*13/3,
0),
""))),
""),
"")</f>
        <v/>
      </c>
      <c r="AU171" s="118" t="str">
        <f>IFERROR(
IF(VLOOKUP($C171,'Employee information'!$B:$M,COLUMNS('Employee information'!$B:$M),0)=11,
IF($E$2="Fortnightly",
ROUND(
ROUND((((TRUNC($AN171/2,0)+0.99))*VLOOKUP((TRUNC($AN171/2,0)+0.99),'Tax scales - NAT 3539'!$A$14:$C$38,2,1)-VLOOKUP((TRUNC($AN171/2,0)+0.99),'Tax scales - NAT 3539'!$A$14:$C$38,3,1)),0)
*2,
0),
IF(AND($E$2="Monthly",ROUND($AN171-TRUNC($AN171),2)=0.33),
ROUND(
ROUND(((TRUNC(($AN171+0.01)*3/13,0)+0.99)*VLOOKUP((TRUNC(($AN171+0.01)*3/13,0)+0.99),'Tax scales - NAT 3539'!$A$14:$C$38,2,1)-VLOOKUP((TRUNC(($AN171+0.01)*3/13,0)+0.99),'Tax scales - NAT 3539'!$A$14:$C$38,3,1)),0)
*13/3,
0),
IF($E$2="Monthly",
ROUND(
ROUND(((TRUNC($AN171*3/13,0)+0.99)*VLOOKUP((TRUNC($AN171*3/13,0)+0.99),'Tax scales - NAT 3539'!$A$14:$C$38,2,1)-VLOOKUP((TRUNC($AN171*3/13,0)+0.99),'Tax scales - NAT 3539'!$A$14:$C$38,3,1)),0)
*13/3,
0),
""))),
""),
"")</f>
        <v/>
      </c>
      <c r="AV171" s="118" t="str">
        <f>IFERROR(
IF(VLOOKUP($C171,'Employee information'!$B:$M,COLUMNS('Employee information'!$B:$M),0)=22,
IF($E$2="Fortnightly",
ROUND(
ROUND((((TRUNC($AN171/2,0)+0.99))*VLOOKUP((TRUNC($AN171/2,0)+0.99),'Tax scales - NAT 3539'!$A$43:$C$69,2,1)-VLOOKUP((TRUNC($AN171/2,0)+0.99),'Tax scales - NAT 3539'!$A$43:$C$69,3,1)),0)
*2,
0),
IF(AND($E$2="Monthly",ROUND($AN171-TRUNC($AN171),2)=0.33),
ROUND(
ROUND(((TRUNC(($AN171+0.01)*3/13,0)+0.99)*VLOOKUP((TRUNC(($AN171+0.01)*3/13,0)+0.99),'Tax scales - NAT 3539'!$A$43:$C$69,2,1)-VLOOKUP((TRUNC(($AN171+0.01)*3/13,0)+0.99),'Tax scales - NAT 3539'!$A$43:$C$69,3,1)),0)
*13/3,
0),
IF($E$2="Monthly",
ROUND(
ROUND(((TRUNC($AN171*3/13,0)+0.99)*VLOOKUP((TRUNC($AN171*3/13,0)+0.99),'Tax scales - NAT 3539'!$A$43:$C$69,2,1)-VLOOKUP((TRUNC($AN171*3/13,0)+0.99),'Tax scales - NAT 3539'!$A$43:$C$69,3,1)),0)
*13/3,
0),
""))),
""),
"")</f>
        <v/>
      </c>
      <c r="AW171" s="118" t="str">
        <f>IFERROR(
IF(VLOOKUP($C171,'Employee information'!$B:$M,COLUMNS('Employee information'!$B:$M),0)=33,
IF($E$2="Fortnightly",
ROUND(
ROUND((((TRUNC($AN171/2,0)+0.99))*VLOOKUP((TRUNC($AN171/2,0)+0.99),'Tax scales - NAT 3539'!$A$74:$C$94,2,1)-VLOOKUP((TRUNC($AN171/2,0)+0.99),'Tax scales - NAT 3539'!$A$74:$C$94,3,1)),0)
*2,
0),
IF(AND($E$2="Monthly",ROUND($AN171-TRUNC($AN171),2)=0.33),
ROUND(
ROUND(((TRUNC(($AN171+0.01)*3/13,0)+0.99)*VLOOKUP((TRUNC(($AN171+0.01)*3/13,0)+0.99),'Tax scales - NAT 3539'!$A$74:$C$94,2,1)-VLOOKUP((TRUNC(($AN171+0.01)*3/13,0)+0.99),'Tax scales - NAT 3539'!$A$74:$C$94,3,1)),0)
*13/3,
0),
IF($E$2="Monthly",
ROUND(
ROUND(((TRUNC($AN171*3/13,0)+0.99)*VLOOKUP((TRUNC($AN171*3/13,0)+0.99),'Tax scales - NAT 3539'!$A$74:$C$94,2,1)-VLOOKUP((TRUNC($AN171*3/13,0)+0.99),'Tax scales - NAT 3539'!$A$74:$C$94,3,1)),0)
*13/3,
0),
""))),
""),
"")</f>
        <v/>
      </c>
      <c r="AX171" s="118" t="str">
        <f>IFERROR(
IF(VLOOKUP($C171,'Employee information'!$B:$M,COLUMNS('Employee information'!$B:$M),0)=55,
IF($E$2="Fortnightly",
ROUND(
ROUND((((TRUNC($AN171/2,0)+0.99))*VLOOKUP((TRUNC($AN171/2,0)+0.99),'Tax scales - NAT 3539'!$A$99:$C$123,2,1)-VLOOKUP((TRUNC($AN171/2,0)+0.99),'Tax scales - NAT 3539'!$A$99:$C$123,3,1)),0)
*2,
0),
IF(AND($E$2="Monthly",ROUND($AN171-TRUNC($AN171),2)=0.33),
ROUND(
ROUND(((TRUNC(($AN171+0.01)*3/13,0)+0.99)*VLOOKUP((TRUNC(($AN171+0.01)*3/13,0)+0.99),'Tax scales - NAT 3539'!$A$99:$C$123,2,1)-VLOOKUP((TRUNC(($AN171+0.01)*3/13,0)+0.99),'Tax scales - NAT 3539'!$A$99:$C$123,3,1)),0)
*13/3,
0),
IF($E$2="Monthly",
ROUND(
ROUND(((TRUNC($AN171*3/13,0)+0.99)*VLOOKUP((TRUNC($AN171*3/13,0)+0.99),'Tax scales - NAT 3539'!$A$99:$C$123,2,1)-VLOOKUP((TRUNC($AN171*3/13,0)+0.99),'Tax scales - NAT 3539'!$A$99:$C$123,3,1)),0)
*13/3,
0),
""))),
""),
"")</f>
        <v/>
      </c>
      <c r="AY171" s="118" t="str">
        <f>IFERROR(
IF(VLOOKUP($C171,'Employee information'!$B:$M,COLUMNS('Employee information'!$B:$M),0)=66,
IF($E$2="Fortnightly",
ROUND(
ROUND((((TRUNC($AN171/2,0)+0.99))*VLOOKUP((TRUNC($AN171/2,0)+0.99),'Tax scales - NAT 3539'!$A$127:$C$154,2,1)-VLOOKUP((TRUNC($AN171/2,0)+0.99),'Tax scales - NAT 3539'!$A$127:$C$154,3,1)),0)
*2,
0),
IF(AND($E$2="Monthly",ROUND($AN171-TRUNC($AN171),2)=0.33),
ROUND(
ROUND(((TRUNC(($AN171+0.01)*3/13,0)+0.99)*VLOOKUP((TRUNC(($AN171+0.01)*3/13,0)+0.99),'Tax scales - NAT 3539'!$A$127:$C$154,2,1)-VLOOKUP((TRUNC(($AN171+0.01)*3/13,0)+0.99),'Tax scales - NAT 3539'!$A$127:$C$154,3,1)),0)
*13/3,
0),
IF($E$2="Monthly",
ROUND(
ROUND(((TRUNC($AN171*3/13,0)+0.99)*VLOOKUP((TRUNC($AN171*3/13,0)+0.99),'Tax scales - NAT 3539'!$A$127:$C$154,2,1)-VLOOKUP((TRUNC($AN171*3/13,0)+0.99),'Tax scales - NAT 3539'!$A$127:$C$154,3,1)),0)
*13/3,
0),
""))),
""),
"")</f>
        <v/>
      </c>
      <c r="AZ171" s="118">
        <f>IFERROR(
HLOOKUP(VLOOKUP($C171,'Employee information'!$B:$M,COLUMNS('Employee information'!$B:$M),0),'PAYG worksheet'!$AO$155:$AY$174,COUNTA($C$156:$C171)+1,0),
0)</f>
        <v>0</v>
      </c>
      <c r="BA171" s="118"/>
      <c r="BB171" s="118">
        <f t="shared" si="170"/>
        <v>0</v>
      </c>
      <c r="BC171" s="119">
        <f>IFERROR(
IF(OR($AE171=1,$AE171=""),SUM($P171,$AA171,$AC171,$AK171)*VLOOKUP($C171,'Employee information'!$B:$Q,COLUMNS('Employee information'!$B:$H),0),
IF($AE171=0,SUM($P171,$AA171,$AK171)*VLOOKUP($C171,'Employee information'!$B:$Q,COLUMNS('Employee information'!$B:$H),0),
0)),
0)</f>
        <v>0</v>
      </c>
      <c r="BE171" s="114">
        <f t="shared" si="155"/>
        <v>0</v>
      </c>
      <c r="BF171" s="114">
        <f t="shared" si="156"/>
        <v>0</v>
      </c>
      <c r="BG171" s="114">
        <f t="shared" si="157"/>
        <v>0</v>
      </c>
      <c r="BH171" s="114">
        <f t="shared" si="158"/>
        <v>0</v>
      </c>
      <c r="BI171" s="114">
        <f t="shared" si="159"/>
        <v>0</v>
      </c>
      <c r="BJ171" s="114">
        <f t="shared" si="160"/>
        <v>0</v>
      </c>
      <c r="BK171" s="114">
        <f t="shared" si="161"/>
        <v>0</v>
      </c>
      <c r="BL171" s="114">
        <f t="shared" si="171"/>
        <v>0</v>
      </c>
      <c r="BM171" s="114">
        <f t="shared" si="162"/>
        <v>0</v>
      </c>
    </row>
    <row r="172" spans="1:65" x14ac:dyDescent="0.25">
      <c r="A172" s="228">
        <f t="shared" si="150"/>
        <v>6</v>
      </c>
      <c r="C172" s="278"/>
      <c r="E172" s="103">
        <f>IF($C172="",0,
IF(AND($E$2="Monthly",$A172&gt;12),0,
IF($E$2="Monthly",VLOOKUP($C172,'Employee information'!$B:$AM,COLUMNS('Employee information'!$B:S),0),
IF($E$2="Fortnightly",VLOOKUP($C172,'Employee information'!$B:$AM,COLUMNS('Employee information'!$B:R),0),
0))))</f>
        <v>0</v>
      </c>
      <c r="F172" s="106"/>
      <c r="G172" s="106"/>
      <c r="H172" s="106"/>
      <c r="I172" s="106"/>
      <c r="J172" s="103">
        <f t="shared" si="163"/>
        <v>0</v>
      </c>
      <c r="L172" s="113">
        <f>IF(AND($E$2="Monthly",$A172&gt;12),"",
IFERROR($J172*VLOOKUP($C172,'Employee information'!$B:$AI,COLUMNS('Employee information'!$B:$P),0),0))</f>
        <v>0</v>
      </c>
      <c r="M172" s="114">
        <f t="shared" si="164"/>
        <v>0</v>
      </c>
      <c r="O172" s="103">
        <f t="shared" si="165"/>
        <v>0</v>
      </c>
      <c r="P172" s="113">
        <f>IFERROR(
IF(AND($E$2="Monthly",$A172&gt;12),0,
$O172*VLOOKUP($C172,'Employee information'!$B:$AI,COLUMNS('Employee information'!$B:$P),0)),
0)</f>
        <v>0</v>
      </c>
      <c r="R172" s="114">
        <f t="shared" si="151"/>
        <v>0</v>
      </c>
      <c r="T172" s="103"/>
      <c r="U172" s="103"/>
      <c r="V172" s="282" t="str">
        <f>IF($C172="","",
IF(AND($E$2="Monthly",$A172&gt;12),"",
$T172*VLOOKUP($C172,'Employee information'!$B:$P,COLUMNS('Employee information'!$B:$P),0)))</f>
        <v/>
      </c>
      <c r="W172" s="282" t="str">
        <f>IF($C172="","",
IF(AND($E$2="Monthly",$A172&gt;12),"",
$U172*VLOOKUP($C172,'Employee information'!$B:$P,COLUMNS('Employee information'!$B:$P),0)))</f>
        <v/>
      </c>
      <c r="X172" s="114">
        <f t="shared" si="152"/>
        <v>0</v>
      </c>
      <c r="Y172" s="114">
        <f t="shared" si="153"/>
        <v>0</v>
      </c>
      <c r="AA172" s="118">
        <f>IFERROR(
IF(OR('Basic payroll data'!$D$12="",'Basic payroll data'!$D$12="No"),0,
$T172*VLOOKUP($C172,'Employee information'!$B:$P,COLUMNS('Employee information'!$B:$P),0)*AL_loading_perc),
0)</f>
        <v>0</v>
      </c>
      <c r="AC172" s="118"/>
      <c r="AD172" s="118"/>
      <c r="AE172" s="283" t="str">
        <f t="shared" si="166"/>
        <v/>
      </c>
      <c r="AF172" s="283" t="str">
        <f t="shared" si="167"/>
        <v/>
      </c>
      <c r="AG172" s="118"/>
      <c r="AH172" s="118"/>
      <c r="AI172" s="283" t="str">
        <f t="shared" si="168"/>
        <v/>
      </c>
      <c r="AJ172" s="118"/>
      <c r="AK172" s="118"/>
      <c r="AM172" s="118">
        <f t="shared" si="169"/>
        <v>0</v>
      </c>
      <c r="AN172" s="118">
        <f t="shared" si="154"/>
        <v>0</v>
      </c>
      <c r="AO172" s="118" t="str">
        <f>IFERROR(
IF(VLOOKUP($C172,'Employee information'!$B:$M,COLUMNS('Employee information'!$B:$M),0)=1,
IF($E$2="Fortnightly",
ROUND(
ROUND((((TRUNC($AN172/2,0)+0.99))*VLOOKUP((TRUNC($AN172/2,0)+0.99),'Tax scales - NAT 1004'!$A$12:$C$18,2,1)-VLOOKUP((TRUNC($AN172/2,0)+0.99),'Tax scales - NAT 1004'!$A$12:$C$18,3,1)),0)
*2,
0),
IF(AND($E$2="Monthly",ROUND($AN172-TRUNC($AN172),2)=0.33),
ROUND(
ROUND(((TRUNC(($AN172+0.01)*3/13,0)+0.99)*VLOOKUP((TRUNC(($AN172+0.01)*3/13,0)+0.99),'Tax scales - NAT 1004'!$A$12:$C$18,2,1)-VLOOKUP((TRUNC(($AN172+0.01)*3/13,0)+0.99),'Tax scales - NAT 1004'!$A$12:$C$18,3,1)),0)
*13/3,
0),
IF($E$2="Monthly",
ROUND(
ROUND(((TRUNC($AN172*3/13,0)+0.99)*VLOOKUP((TRUNC($AN172*3/13,0)+0.99),'Tax scales - NAT 1004'!$A$12:$C$18,2,1)-VLOOKUP((TRUNC($AN172*3/13,0)+0.99),'Tax scales - NAT 1004'!$A$12:$C$18,3,1)),0)
*13/3,
0),
""))),
""),
"")</f>
        <v/>
      </c>
      <c r="AP172" s="118" t="str">
        <f>IFERROR(
IF(VLOOKUP($C172,'Employee information'!$B:$M,COLUMNS('Employee information'!$B:$M),0)=2,
IF($E$2="Fortnightly",
ROUND(
ROUND((((TRUNC($AN172/2,0)+0.99))*VLOOKUP((TRUNC($AN172/2,0)+0.99),'Tax scales - NAT 1004'!$A$25:$C$33,2,1)-VLOOKUP((TRUNC($AN172/2,0)+0.99),'Tax scales - NAT 1004'!$A$25:$C$33,3,1)),0)
*2,
0),
IF(AND($E$2="Monthly",ROUND($AN172-TRUNC($AN172),2)=0.33),
ROUND(
ROUND(((TRUNC(($AN172+0.01)*3/13,0)+0.99)*VLOOKUP((TRUNC(($AN172+0.01)*3/13,0)+0.99),'Tax scales - NAT 1004'!$A$25:$C$33,2,1)-VLOOKUP((TRUNC(($AN172+0.01)*3/13,0)+0.99),'Tax scales - NAT 1004'!$A$25:$C$33,3,1)),0)
*13/3,
0),
IF($E$2="Monthly",
ROUND(
ROUND(((TRUNC($AN172*3/13,0)+0.99)*VLOOKUP((TRUNC($AN172*3/13,0)+0.99),'Tax scales - NAT 1004'!$A$25:$C$33,2,1)-VLOOKUP((TRUNC($AN172*3/13,0)+0.99),'Tax scales - NAT 1004'!$A$25:$C$33,3,1)),0)
*13/3,
0),
""))),
""),
"")</f>
        <v/>
      </c>
      <c r="AQ172" s="118" t="str">
        <f>IFERROR(
IF(VLOOKUP($C172,'Employee information'!$B:$M,COLUMNS('Employee information'!$B:$M),0)=3,
IF($E$2="Fortnightly",
ROUND(
ROUND((((TRUNC($AN172/2,0)+0.99))*VLOOKUP((TRUNC($AN172/2,0)+0.99),'Tax scales - NAT 1004'!$A$39:$C$41,2,1)-VLOOKUP((TRUNC($AN172/2,0)+0.99),'Tax scales - NAT 1004'!$A$39:$C$41,3,1)),0)
*2,
0),
IF(AND($E$2="Monthly",ROUND($AN172-TRUNC($AN172),2)=0.33),
ROUND(
ROUND(((TRUNC(($AN172+0.01)*3/13,0)+0.99)*VLOOKUP((TRUNC(($AN172+0.01)*3/13,0)+0.99),'Tax scales - NAT 1004'!$A$39:$C$41,2,1)-VLOOKUP((TRUNC(($AN172+0.01)*3/13,0)+0.99),'Tax scales - NAT 1004'!$A$39:$C$41,3,1)),0)
*13/3,
0),
IF($E$2="Monthly",
ROUND(
ROUND(((TRUNC($AN172*3/13,0)+0.99)*VLOOKUP((TRUNC($AN172*3/13,0)+0.99),'Tax scales - NAT 1004'!$A$39:$C$41,2,1)-VLOOKUP((TRUNC($AN172*3/13,0)+0.99),'Tax scales - NAT 1004'!$A$39:$C$41,3,1)),0)
*13/3,
0),
""))),
""),
"")</f>
        <v/>
      </c>
      <c r="AR172" s="118" t="str">
        <f>IFERROR(
IF(AND(VLOOKUP($C172,'Employee information'!$B:$M,COLUMNS('Employee information'!$B:$M),0)=4,
VLOOKUP($C172,'Employee information'!$B:$J,COLUMNS('Employee information'!$B:$J),0)="Resident"),
TRUNC(TRUNC($AN172)*'Tax scales - NAT 1004'!$B$47),
IF(AND(VLOOKUP($C172,'Employee information'!$B:$M,COLUMNS('Employee information'!$B:$M),0)=4,
VLOOKUP($C172,'Employee information'!$B:$J,COLUMNS('Employee information'!$B:$J),0)="Foreign resident"),
TRUNC(TRUNC($AN172)*'Tax scales - NAT 1004'!$B$48),
"")),
"")</f>
        <v/>
      </c>
      <c r="AS172" s="118" t="str">
        <f>IFERROR(
IF(VLOOKUP($C172,'Employee information'!$B:$M,COLUMNS('Employee information'!$B:$M),0)=5,
IF($E$2="Fortnightly",
ROUND(
ROUND((((TRUNC($AN172/2,0)+0.99))*VLOOKUP((TRUNC($AN172/2,0)+0.99),'Tax scales - NAT 1004'!$A$53:$C$59,2,1)-VLOOKUP((TRUNC($AN172/2,0)+0.99),'Tax scales - NAT 1004'!$A$53:$C$59,3,1)),0)
*2,
0),
IF(AND($E$2="Monthly",ROUND($AN172-TRUNC($AN172),2)=0.33),
ROUND(
ROUND(((TRUNC(($AN172+0.01)*3/13,0)+0.99)*VLOOKUP((TRUNC(($AN172+0.01)*3/13,0)+0.99),'Tax scales - NAT 1004'!$A$53:$C$59,2,1)-VLOOKUP((TRUNC(($AN172+0.01)*3/13,0)+0.99),'Tax scales - NAT 1004'!$A$53:$C$59,3,1)),0)
*13/3,
0),
IF($E$2="Monthly",
ROUND(
ROUND(((TRUNC($AN172*3/13,0)+0.99)*VLOOKUP((TRUNC($AN172*3/13,0)+0.99),'Tax scales - NAT 1004'!$A$53:$C$59,2,1)-VLOOKUP((TRUNC($AN172*3/13,0)+0.99),'Tax scales - NAT 1004'!$A$53:$C$59,3,1)),0)
*13/3,
0),
""))),
""),
"")</f>
        <v/>
      </c>
      <c r="AT172" s="118" t="str">
        <f>IFERROR(
IF(VLOOKUP($C172,'Employee information'!$B:$M,COLUMNS('Employee information'!$B:$M),0)=6,
IF($E$2="Fortnightly",
ROUND(
ROUND((((TRUNC($AN172/2,0)+0.99))*VLOOKUP((TRUNC($AN172/2,0)+0.99),'Tax scales - NAT 1004'!$A$65:$C$73,2,1)-VLOOKUP((TRUNC($AN172/2,0)+0.99),'Tax scales - NAT 1004'!$A$65:$C$73,3,1)),0)
*2,
0),
IF(AND($E$2="Monthly",ROUND($AN172-TRUNC($AN172),2)=0.33),
ROUND(
ROUND(((TRUNC(($AN172+0.01)*3/13,0)+0.99)*VLOOKUP((TRUNC(($AN172+0.01)*3/13,0)+0.99),'Tax scales - NAT 1004'!$A$65:$C$73,2,1)-VLOOKUP((TRUNC(($AN172+0.01)*3/13,0)+0.99),'Tax scales - NAT 1004'!$A$65:$C$73,3,1)),0)
*13/3,
0),
IF($E$2="Monthly",
ROUND(
ROUND(((TRUNC($AN172*3/13,0)+0.99)*VLOOKUP((TRUNC($AN172*3/13,0)+0.99),'Tax scales - NAT 1004'!$A$65:$C$73,2,1)-VLOOKUP((TRUNC($AN172*3/13,0)+0.99),'Tax scales - NAT 1004'!$A$65:$C$73,3,1)),0)
*13/3,
0),
""))),
""),
"")</f>
        <v/>
      </c>
      <c r="AU172" s="118" t="str">
        <f>IFERROR(
IF(VLOOKUP($C172,'Employee information'!$B:$M,COLUMNS('Employee information'!$B:$M),0)=11,
IF($E$2="Fortnightly",
ROUND(
ROUND((((TRUNC($AN172/2,0)+0.99))*VLOOKUP((TRUNC($AN172/2,0)+0.99),'Tax scales - NAT 3539'!$A$14:$C$38,2,1)-VLOOKUP((TRUNC($AN172/2,0)+0.99),'Tax scales - NAT 3539'!$A$14:$C$38,3,1)),0)
*2,
0),
IF(AND($E$2="Monthly",ROUND($AN172-TRUNC($AN172),2)=0.33),
ROUND(
ROUND(((TRUNC(($AN172+0.01)*3/13,0)+0.99)*VLOOKUP((TRUNC(($AN172+0.01)*3/13,0)+0.99),'Tax scales - NAT 3539'!$A$14:$C$38,2,1)-VLOOKUP((TRUNC(($AN172+0.01)*3/13,0)+0.99),'Tax scales - NAT 3539'!$A$14:$C$38,3,1)),0)
*13/3,
0),
IF($E$2="Monthly",
ROUND(
ROUND(((TRUNC($AN172*3/13,0)+0.99)*VLOOKUP((TRUNC($AN172*3/13,0)+0.99),'Tax scales - NAT 3539'!$A$14:$C$38,2,1)-VLOOKUP((TRUNC($AN172*3/13,0)+0.99),'Tax scales - NAT 3539'!$A$14:$C$38,3,1)),0)
*13/3,
0),
""))),
""),
"")</f>
        <v/>
      </c>
      <c r="AV172" s="118" t="str">
        <f>IFERROR(
IF(VLOOKUP($C172,'Employee information'!$B:$M,COLUMNS('Employee information'!$B:$M),0)=22,
IF($E$2="Fortnightly",
ROUND(
ROUND((((TRUNC($AN172/2,0)+0.99))*VLOOKUP((TRUNC($AN172/2,0)+0.99),'Tax scales - NAT 3539'!$A$43:$C$69,2,1)-VLOOKUP((TRUNC($AN172/2,0)+0.99),'Tax scales - NAT 3539'!$A$43:$C$69,3,1)),0)
*2,
0),
IF(AND($E$2="Monthly",ROUND($AN172-TRUNC($AN172),2)=0.33),
ROUND(
ROUND(((TRUNC(($AN172+0.01)*3/13,0)+0.99)*VLOOKUP((TRUNC(($AN172+0.01)*3/13,0)+0.99),'Tax scales - NAT 3539'!$A$43:$C$69,2,1)-VLOOKUP((TRUNC(($AN172+0.01)*3/13,0)+0.99),'Tax scales - NAT 3539'!$A$43:$C$69,3,1)),0)
*13/3,
0),
IF($E$2="Monthly",
ROUND(
ROUND(((TRUNC($AN172*3/13,0)+0.99)*VLOOKUP((TRUNC($AN172*3/13,0)+0.99),'Tax scales - NAT 3539'!$A$43:$C$69,2,1)-VLOOKUP((TRUNC($AN172*3/13,0)+0.99),'Tax scales - NAT 3539'!$A$43:$C$69,3,1)),0)
*13/3,
0),
""))),
""),
"")</f>
        <v/>
      </c>
      <c r="AW172" s="118" t="str">
        <f>IFERROR(
IF(VLOOKUP($C172,'Employee information'!$B:$M,COLUMNS('Employee information'!$B:$M),0)=33,
IF($E$2="Fortnightly",
ROUND(
ROUND((((TRUNC($AN172/2,0)+0.99))*VLOOKUP((TRUNC($AN172/2,0)+0.99),'Tax scales - NAT 3539'!$A$74:$C$94,2,1)-VLOOKUP((TRUNC($AN172/2,0)+0.99),'Tax scales - NAT 3539'!$A$74:$C$94,3,1)),0)
*2,
0),
IF(AND($E$2="Monthly",ROUND($AN172-TRUNC($AN172),2)=0.33),
ROUND(
ROUND(((TRUNC(($AN172+0.01)*3/13,0)+0.99)*VLOOKUP((TRUNC(($AN172+0.01)*3/13,0)+0.99),'Tax scales - NAT 3539'!$A$74:$C$94,2,1)-VLOOKUP((TRUNC(($AN172+0.01)*3/13,0)+0.99),'Tax scales - NAT 3539'!$A$74:$C$94,3,1)),0)
*13/3,
0),
IF($E$2="Monthly",
ROUND(
ROUND(((TRUNC($AN172*3/13,0)+0.99)*VLOOKUP((TRUNC($AN172*3/13,0)+0.99),'Tax scales - NAT 3539'!$A$74:$C$94,2,1)-VLOOKUP((TRUNC($AN172*3/13,0)+0.99),'Tax scales - NAT 3539'!$A$74:$C$94,3,1)),0)
*13/3,
0),
""))),
""),
"")</f>
        <v/>
      </c>
      <c r="AX172" s="118" t="str">
        <f>IFERROR(
IF(VLOOKUP($C172,'Employee information'!$B:$M,COLUMNS('Employee information'!$B:$M),0)=55,
IF($E$2="Fortnightly",
ROUND(
ROUND((((TRUNC($AN172/2,0)+0.99))*VLOOKUP((TRUNC($AN172/2,0)+0.99),'Tax scales - NAT 3539'!$A$99:$C$123,2,1)-VLOOKUP((TRUNC($AN172/2,0)+0.99),'Tax scales - NAT 3539'!$A$99:$C$123,3,1)),0)
*2,
0),
IF(AND($E$2="Monthly",ROUND($AN172-TRUNC($AN172),2)=0.33),
ROUND(
ROUND(((TRUNC(($AN172+0.01)*3/13,0)+0.99)*VLOOKUP((TRUNC(($AN172+0.01)*3/13,0)+0.99),'Tax scales - NAT 3539'!$A$99:$C$123,2,1)-VLOOKUP((TRUNC(($AN172+0.01)*3/13,0)+0.99),'Tax scales - NAT 3539'!$A$99:$C$123,3,1)),0)
*13/3,
0),
IF($E$2="Monthly",
ROUND(
ROUND(((TRUNC($AN172*3/13,0)+0.99)*VLOOKUP((TRUNC($AN172*3/13,0)+0.99),'Tax scales - NAT 3539'!$A$99:$C$123,2,1)-VLOOKUP((TRUNC($AN172*3/13,0)+0.99),'Tax scales - NAT 3539'!$A$99:$C$123,3,1)),0)
*13/3,
0),
""))),
""),
"")</f>
        <v/>
      </c>
      <c r="AY172" s="118" t="str">
        <f>IFERROR(
IF(VLOOKUP($C172,'Employee information'!$B:$M,COLUMNS('Employee information'!$B:$M),0)=66,
IF($E$2="Fortnightly",
ROUND(
ROUND((((TRUNC($AN172/2,0)+0.99))*VLOOKUP((TRUNC($AN172/2,0)+0.99),'Tax scales - NAT 3539'!$A$127:$C$154,2,1)-VLOOKUP((TRUNC($AN172/2,0)+0.99),'Tax scales - NAT 3539'!$A$127:$C$154,3,1)),0)
*2,
0),
IF(AND($E$2="Monthly",ROUND($AN172-TRUNC($AN172),2)=0.33),
ROUND(
ROUND(((TRUNC(($AN172+0.01)*3/13,0)+0.99)*VLOOKUP((TRUNC(($AN172+0.01)*3/13,0)+0.99),'Tax scales - NAT 3539'!$A$127:$C$154,2,1)-VLOOKUP((TRUNC(($AN172+0.01)*3/13,0)+0.99),'Tax scales - NAT 3539'!$A$127:$C$154,3,1)),0)
*13/3,
0),
IF($E$2="Monthly",
ROUND(
ROUND(((TRUNC($AN172*3/13,0)+0.99)*VLOOKUP((TRUNC($AN172*3/13,0)+0.99),'Tax scales - NAT 3539'!$A$127:$C$154,2,1)-VLOOKUP((TRUNC($AN172*3/13,0)+0.99),'Tax scales - NAT 3539'!$A$127:$C$154,3,1)),0)
*13/3,
0),
""))),
""),
"")</f>
        <v/>
      </c>
      <c r="AZ172" s="118">
        <f>IFERROR(
HLOOKUP(VLOOKUP($C172,'Employee information'!$B:$M,COLUMNS('Employee information'!$B:$M),0),'PAYG worksheet'!$AO$155:$AY$174,COUNTA($C$156:$C172)+1,0),
0)</f>
        <v>0</v>
      </c>
      <c r="BA172" s="118"/>
      <c r="BB172" s="118">
        <f t="shared" si="170"/>
        <v>0</v>
      </c>
      <c r="BC172" s="119">
        <f>IFERROR(
IF(OR($AE172=1,$AE172=""),SUM($P172,$AA172,$AC172,$AK172)*VLOOKUP($C172,'Employee information'!$B:$Q,COLUMNS('Employee information'!$B:$H),0),
IF($AE172=0,SUM($P172,$AA172,$AK172)*VLOOKUP($C172,'Employee information'!$B:$Q,COLUMNS('Employee information'!$B:$H),0),
0)),
0)</f>
        <v>0</v>
      </c>
      <c r="BE172" s="114">
        <f t="shared" si="155"/>
        <v>0</v>
      </c>
      <c r="BF172" s="114">
        <f t="shared" si="156"/>
        <v>0</v>
      </c>
      <c r="BG172" s="114">
        <f t="shared" si="157"/>
        <v>0</v>
      </c>
      <c r="BH172" s="114">
        <f t="shared" si="158"/>
        <v>0</v>
      </c>
      <c r="BI172" s="114">
        <f t="shared" si="159"/>
        <v>0</v>
      </c>
      <c r="BJ172" s="114">
        <f t="shared" si="160"/>
        <v>0</v>
      </c>
      <c r="BK172" s="114">
        <f t="shared" si="161"/>
        <v>0</v>
      </c>
      <c r="BL172" s="114">
        <f t="shared" si="171"/>
        <v>0</v>
      </c>
      <c r="BM172" s="114">
        <f t="shared" si="162"/>
        <v>0</v>
      </c>
    </row>
    <row r="173" spans="1:65" x14ac:dyDescent="0.25">
      <c r="A173" s="228">
        <f t="shared" si="150"/>
        <v>6</v>
      </c>
      <c r="C173" s="278"/>
      <c r="E173" s="103">
        <f>IF($C173="",0,
IF(AND($E$2="Monthly",$A173&gt;12),0,
IF($E$2="Monthly",VLOOKUP($C173,'Employee information'!$B:$AM,COLUMNS('Employee information'!$B:S),0),
IF($E$2="Fortnightly",VLOOKUP($C173,'Employee information'!$B:$AM,COLUMNS('Employee information'!$B:R),0),
0))))</f>
        <v>0</v>
      </c>
      <c r="F173" s="106"/>
      <c r="G173" s="106"/>
      <c r="H173" s="106"/>
      <c r="I173" s="106"/>
      <c r="J173" s="103">
        <f t="shared" si="163"/>
        <v>0</v>
      </c>
      <c r="L173" s="113">
        <f>IF(AND($E$2="Monthly",$A173&gt;12),"",
IFERROR($J173*VLOOKUP($C173,'Employee information'!$B:$AI,COLUMNS('Employee information'!$B:$P),0),0))</f>
        <v>0</v>
      </c>
      <c r="M173" s="114">
        <f t="shared" si="164"/>
        <v>0</v>
      </c>
      <c r="O173" s="103">
        <f t="shared" si="165"/>
        <v>0</v>
      </c>
      <c r="P173" s="113">
        <f>IFERROR(
IF(AND($E$2="Monthly",$A173&gt;12),0,
$O173*VLOOKUP($C173,'Employee information'!$B:$AI,COLUMNS('Employee information'!$B:$P),0)),
0)</f>
        <v>0</v>
      </c>
      <c r="R173" s="114">
        <f t="shared" si="151"/>
        <v>0</v>
      </c>
      <c r="T173" s="103"/>
      <c r="U173" s="103"/>
      <c r="V173" s="282" t="str">
        <f>IF($C173="","",
IF(AND($E$2="Monthly",$A173&gt;12),"",
$T173*VLOOKUP($C173,'Employee information'!$B:$P,COLUMNS('Employee information'!$B:$P),0)))</f>
        <v/>
      </c>
      <c r="W173" s="282" t="str">
        <f>IF($C173="","",
IF(AND($E$2="Monthly",$A173&gt;12),"",
$U173*VLOOKUP($C173,'Employee information'!$B:$P,COLUMNS('Employee information'!$B:$P),0)))</f>
        <v/>
      </c>
      <c r="X173" s="114">
        <f t="shared" si="152"/>
        <v>0</v>
      </c>
      <c r="Y173" s="114">
        <f t="shared" si="153"/>
        <v>0</v>
      </c>
      <c r="AA173" s="118">
        <f>IFERROR(
IF(OR('Basic payroll data'!$D$12="",'Basic payroll data'!$D$12="No"),0,
$T173*VLOOKUP($C173,'Employee information'!$B:$P,COLUMNS('Employee information'!$B:$P),0)*AL_loading_perc),
0)</f>
        <v>0</v>
      </c>
      <c r="AC173" s="118"/>
      <c r="AD173" s="118"/>
      <c r="AE173" s="283" t="str">
        <f t="shared" si="166"/>
        <v/>
      </c>
      <c r="AF173" s="283" t="str">
        <f t="shared" si="167"/>
        <v/>
      </c>
      <c r="AG173" s="118"/>
      <c r="AH173" s="118"/>
      <c r="AI173" s="283" t="str">
        <f t="shared" si="168"/>
        <v/>
      </c>
      <c r="AJ173" s="118"/>
      <c r="AK173" s="118"/>
      <c r="AM173" s="118">
        <f t="shared" si="169"/>
        <v>0</v>
      </c>
      <c r="AN173" s="118">
        <f t="shared" si="154"/>
        <v>0</v>
      </c>
      <c r="AO173" s="118" t="str">
        <f>IFERROR(
IF(VLOOKUP($C173,'Employee information'!$B:$M,COLUMNS('Employee information'!$B:$M),0)=1,
IF($E$2="Fortnightly",
ROUND(
ROUND((((TRUNC($AN173/2,0)+0.99))*VLOOKUP((TRUNC($AN173/2,0)+0.99),'Tax scales - NAT 1004'!$A$12:$C$18,2,1)-VLOOKUP((TRUNC($AN173/2,0)+0.99),'Tax scales - NAT 1004'!$A$12:$C$18,3,1)),0)
*2,
0),
IF(AND($E$2="Monthly",ROUND($AN173-TRUNC($AN173),2)=0.33),
ROUND(
ROUND(((TRUNC(($AN173+0.01)*3/13,0)+0.99)*VLOOKUP((TRUNC(($AN173+0.01)*3/13,0)+0.99),'Tax scales - NAT 1004'!$A$12:$C$18,2,1)-VLOOKUP((TRUNC(($AN173+0.01)*3/13,0)+0.99),'Tax scales - NAT 1004'!$A$12:$C$18,3,1)),0)
*13/3,
0),
IF($E$2="Monthly",
ROUND(
ROUND(((TRUNC($AN173*3/13,0)+0.99)*VLOOKUP((TRUNC($AN173*3/13,0)+0.99),'Tax scales - NAT 1004'!$A$12:$C$18,2,1)-VLOOKUP((TRUNC($AN173*3/13,0)+0.99),'Tax scales - NAT 1004'!$A$12:$C$18,3,1)),0)
*13/3,
0),
""))),
""),
"")</f>
        <v/>
      </c>
      <c r="AP173" s="118" t="str">
        <f>IFERROR(
IF(VLOOKUP($C173,'Employee information'!$B:$M,COLUMNS('Employee information'!$B:$M),0)=2,
IF($E$2="Fortnightly",
ROUND(
ROUND((((TRUNC($AN173/2,0)+0.99))*VLOOKUP((TRUNC($AN173/2,0)+0.99),'Tax scales - NAT 1004'!$A$25:$C$33,2,1)-VLOOKUP((TRUNC($AN173/2,0)+0.99),'Tax scales - NAT 1004'!$A$25:$C$33,3,1)),0)
*2,
0),
IF(AND($E$2="Monthly",ROUND($AN173-TRUNC($AN173),2)=0.33),
ROUND(
ROUND(((TRUNC(($AN173+0.01)*3/13,0)+0.99)*VLOOKUP((TRUNC(($AN173+0.01)*3/13,0)+0.99),'Tax scales - NAT 1004'!$A$25:$C$33,2,1)-VLOOKUP((TRUNC(($AN173+0.01)*3/13,0)+0.99),'Tax scales - NAT 1004'!$A$25:$C$33,3,1)),0)
*13/3,
0),
IF($E$2="Monthly",
ROUND(
ROUND(((TRUNC($AN173*3/13,0)+0.99)*VLOOKUP((TRUNC($AN173*3/13,0)+0.99),'Tax scales - NAT 1004'!$A$25:$C$33,2,1)-VLOOKUP((TRUNC($AN173*3/13,0)+0.99),'Tax scales - NAT 1004'!$A$25:$C$33,3,1)),0)
*13/3,
0),
""))),
""),
"")</f>
        <v/>
      </c>
      <c r="AQ173" s="118" t="str">
        <f>IFERROR(
IF(VLOOKUP($C173,'Employee information'!$B:$M,COLUMNS('Employee information'!$B:$M),0)=3,
IF($E$2="Fortnightly",
ROUND(
ROUND((((TRUNC($AN173/2,0)+0.99))*VLOOKUP((TRUNC($AN173/2,0)+0.99),'Tax scales - NAT 1004'!$A$39:$C$41,2,1)-VLOOKUP((TRUNC($AN173/2,0)+0.99),'Tax scales - NAT 1004'!$A$39:$C$41,3,1)),0)
*2,
0),
IF(AND($E$2="Monthly",ROUND($AN173-TRUNC($AN173),2)=0.33),
ROUND(
ROUND(((TRUNC(($AN173+0.01)*3/13,0)+0.99)*VLOOKUP((TRUNC(($AN173+0.01)*3/13,0)+0.99),'Tax scales - NAT 1004'!$A$39:$C$41,2,1)-VLOOKUP((TRUNC(($AN173+0.01)*3/13,0)+0.99),'Tax scales - NAT 1004'!$A$39:$C$41,3,1)),0)
*13/3,
0),
IF($E$2="Monthly",
ROUND(
ROUND(((TRUNC($AN173*3/13,0)+0.99)*VLOOKUP((TRUNC($AN173*3/13,0)+0.99),'Tax scales - NAT 1004'!$A$39:$C$41,2,1)-VLOOKUP((TRUNC($AN173*3/13,0)+0.99),'Tax scales - NAT 1004'!$A$39:$C$41,3,1)),0)
*13/3,
0),
""))),
""),
"")</f>
        <v/>
      </c>
      <c r="AR173" s="118" t="str">
        <f>IFERROR(
IF(AND(VLOOKUP($C173,'Employee information'!$B:$M,COLUMNS('Employee information'!$B:$M),0)=4,
VLOOKUP($C173,'Employee information'!$B:$J,COLUMNS('Employee information'!$B:$J),0)="Resident"),
TRUNC(TRUNC($AN173)*'Tax scales - NAT 1004'!$B$47),
IF(AND(VLOOKUP($C173,'Employee information'!$B:$M,COLUMNS('Employee information'!$B:$M),0)=4,
VLOOKUP($C173,'Employee information'!$B:$J,COLUMNS('Employee information'!$B:$J),0)="Foreign resident"),
TRUNC(TRUNC($AN173)*'Tax scales - NAT 1004'!$B$48),
"")),
"")</f>
        <v/>
      </c>
      <c r="AS173" s="118" t="str">
        <f>IFERROR(
IF(VLOOKUP($C173,'Employee information'!$B:$M,COLUMNS('Employee information'!$B:$M),0)=5,
IF($E$2="Fortnightly",
ROUND(
ROUND((((TRUNC($AN173/2,0)+0.99))*VLOOKUP((TRUNC($AN173/2,0)+0.99),'Tax scales - NAT 1004'!$A$53:$C$59,2,1)-VLOOKUP((TRUNC($AN173/2,0)+0.99),'Tax scales - NAT 1004'!$A$53:$C$59,3,1)),0)
*2,
0),
IF(AND($E$2="Monthly",ROUND($AN173-TRUNC($AN173),2)=0.33),
ROUND(
ROUND(((TRUNC(($AN173+0.01)*3/13,0)+0.99)*VLOOKUP((TRUNC(($AN173+0.01)*3/13,0)+0.99),'Tax scales - NAT 1004'!$A$53:$C$59,2,1)-VLOOKUP((TRUNC(($AN173+0.01)*3/13,0)+0.99),'Tax scales - NAT 1004'!$A$53:$C$59,3,1)),0)
*13/3,
0),
IF($E$2="Monthly",
ROUND(
ROUND(((TRUNC($AN173*3/13,0)+0.99)*VLOOKUP((TRUNC($AN173*3/13,0)+0.99),'Tax scales - NAT 1004'!$A$53:$C$59,2,1)-VLOOKUP((TRUNC($AN173*3/13,0)+0.99),'Tax scales - NAT 1004'!$A$53:$C$59,3,1)),0)
*13/3,
0),
""))),
""),
"")</f>
        <v/>
      </c>
      <c r="AT173" s="118" t="str">
        <f>IFERROR(
IF(VLOOKUP($C173,'Employee information'!$B:$M,COLUMNS('Employee information'!$B:$M),0)=6,
IF($E$2="Fortnightly",
ROUND(
ROUND((((TRUNC($AN173/2,0)+0.99))*VLOOKUP((TRUNC($AN173/2,0)+0.99),'Tax scales - NAT 1004'!$A$65:$C$73,2,1)-VLOOKUP((TRUNC($AN173/2,0)+0.99),'Tax scales - NAT 1004'!$A$65:$C$73,3,1)),0)
*2,
0),
IF(AND($E$2="Monthly",ROUND($AN173-TRUNC($AN173),2)=0.33),
ROUND(
ROUND(((TRUNC(($AN173+0.01)*3/13,0)+0.99)*VLOOKUP((TRUNC(($AN173+0.01)*3/13,0)+0.99),'Tax scales - NAT 1004'!$A$65:$C$73,2,1)-VLOOKUP((TRUNC(($AN173+0.01)*3/13,0)+0.99),'Tax scales - NAT 1004'!$A$65:$C$73,3,1)),0)
*13/3,
0),
IF($E$2="Monthly",
ROUND(
ROUND(((TRUNC($AN173*3/13,0)+0.99)*VLOOKUP((TRUNC($AN173*3/13,0)+0.99),'Tax scales - NAT 1004'!$A$65:$C$73,2,1)-VLOOKUP((TRUNC($AN173*3/13,0)+0.99),'Tax scales - NAT 1004'!$A$65:$C$73,3,1)),0)
*13/3,
0),
""))),
""),
"")</f>
        <v/>
      </c>
      <c r="AU173" s="118" t="str">
        <f>IFERROR(
IF(VLOOKUP($C173,'Employee information'!$B:$M,COLUMNS('Employee information'!$B:$M),0)=11,
IF($E$2="Fortnightly",
ROUND(
ROUND((((TRUNC($AN173/2,0)+0.99))*VLOOKUP((TRUNC($AN173/2,0)+0.99),'Tax scales - NAT 3539'!$A$14:$C$38,2,1)-VLOOKUP((TRUNC($AN173/2,0)+0.99),'Tax scales - NAT 3539'!$A$14:$C$38,3,1)),0)
*2,
0),
IF(AND($E$2="Monthly",ROUND($AN173-TRUNC($AN173),2)=0.33),
ROUND(
ROUND(((TRUNC(($AN173+0.01)*3/13,0)+0.99)*VLOOKUP((TRUNC(($AN173+0.01)*3/13,0)+0.99),'Tax scales - NAT 3539'!$A$14:$C$38,2,1)-VLOOKUP((TRUNC(($AN173+0.01)*3/13,0)+0.99),'Tax scales - NAT 3539'!$A$14:$C$38,3,1)),0)
*13/3,
0),
IF($E$2="Monthly",
ROUND(
ROUND(((TRUNC($AN173*3/13,0)+0.99)*VLOOKUP((TRUNC($AN173*3/13,0)+0.99),'Tax scales - NAT 3539'!$A$14:$C$38,2,1)-VLOOKUP((TRUNC($AN173*3/13,0)+0.99),'Tax scales - NAT 3539'!$A$14:$C$38,3,1)),0)
*13/3,
0),
""))),
""),
"")</f>
        <v/>
      </c>
      <c r="AV173" s="118" t="str">
        <f>IFERROR(
IF(VLOOKUP($C173,'Employee information'!$B:$M,COLUMNS('Employee information'!$B:$M),0)=22,
IF($E$2="Fortnightly",
ROUND(
ROUND((((TRUNC($AN173/2,0)+0.99))*VLOOKUP((TRUNC($AN173/2,0)+0.99),'Tax scales - NAT 3539'!$A$43:$C$69,2,1)-VLOOKUP((TRUNC($AN173/2,0)+0.99),'Tax scales - NAT 3539'!$A$43:$C$69,3,1)),0)
*2,
0),
IF(AND($E$2="Monthly",ROUND($AN173-TRUNC($AN173),2)=0.33),
ROUND(
ROUND(((TRUNC(($AN173+0.01)*3/13,0)+0.99)*VLOOKUP((TRUNC(($AN173+0.01)*3/13,0)+0.99),'Tax scales - NAT 3539'!$A$43:$C$69,2,1)-VLOOKUP((TRUNC(($AN173+0.01)*3/13,0)+0.99),'Tax scales - NAT 3539'!$A$43:$C$69,3,1)),0)
*13/3,
0),
IF($E$2="Monthly",
ROUND(
ROUND(((TRUNC($AN173*3/13,0)+0.99)*VLOOKUP((TRUNC($AN173*3/13,0)+0.99),'Tax scales - NAT 3539'!$A$43:$C$69,2,1)-VLOOKUP((TRUNC($AN173*3/13,0)+0.99),'Tax scales - NAT 3539'!$A$43:$C$69,3,1)),0)
*13/3,
0),
""))),
""),
"")</f>
        <v/>
      </c>
      <c r="AW173" s="118" t="str">
        <f>IFERROR(
IF(VLOOKUP($C173,'Employee information'!$B:$M,COLUMNS('Employee information'!$B:$M),0)=33,
IF($E$2="Fortnightly",
ROUND(
ROUND((((TRUNC($AN173/2,0)+0.99))*VLOOKUP((TRUNC($AN173/2,0)+0.99),'Tax scales - NAT 3539'!$A$74:$C$94,2,1)-VLOOKUP((TRUNC($AN173/2,0)+0.99),'Tax scales - NAT 3539'!$A$74:$C$94,3,1)),0)
*2,
0),
IF(AND($E$2="Monthly",ROUND($AN173-TRUNC($AN173),2)=0.33),
ROUND(
ROUND(((TRUNC(($AN173+0.01)*3/13,0)+0.99)*VLOOKUP((TRUNC(($AN173+0.01)*3/13,0)+0.99),'Tax scales - NAT 3539'!$A$74:$C$94,2,1)-VLOOKUP((TRUNC(($AN173+0.01)*3/13,0)+0.99),'Tax scales - NAT 3539'!$A$74:$C$94,3,1)),0)
*13/3,
0),
IF($E$2="Monthly",
ROUND(
ROUND(((TRUNC($AN173*3/13,0)+0.99)*VLOOKUP((TRUNC($AN173*3/13,0)+0.99),'Tax scales - NAT 3539'!$A$74:$C$94,2,1)-VLOOKUP((TRUNC($AN173*3/13,0)+0.99),'Tax scales - NAT 3539'!$A$74:$C$94,3,1)),0)
*13/3,
0),
""))),
""),
"")</f>
        <v/>
      </c>
      <c r="AX173" s="118" t="str">
        <f>IFERROR(
IF(VLOOKUP($C173,'Employee information'!$B:$M,COLUMNS('Employee information'!$B:$M),0)=55,
IF($E$2="Fortnightly",
ROUND(
ROUND((((TRUNC($AN173/2,0)+0.99))*VLOOKUP((TRUNC($AN173/2,0)+0.99),'Tax scales - NAT 3539'!$A$99:$C$123,2,1)-VLOOKUP((TRUNC($AN173/2,0)+0.99),'Tax scales - NAT 3539'!$A$99:$C$123,3,1)),0)
*2,
0),
IF(AND($E$2="Monthly",ROUND($AN173-TRUNC($AN173),2)=0.33),
ROUND(
ROUND(((TRUNC(($AN173+0.01)*3/13,0)+0.99)*VLOOKUP((TRUNC(($AN173+0.01)*3/13,0)+0.99),'Tax scales - NAT 3539'!$A$99:$C$123,2,1)-VLOOKUP((TRUNC(($AN173+0.01)*3/13,0)+0.99),'Tax scales - NAT 3539'!$A$99:$C$123,3,1)),0)
*13/3,
0),
IF($E$2="Monthly",
ROUND(
ROUND(((TRUNC($AN173*3/13,0)+0.99)*VLOOKUP((TRUNC($AN173*3/13,0)+0.99),'Tax scales - NAT 3539'!$A$99:$C$123,2,1)-VLOOKUP((TRUNC($AN173*3/13,0)+0.99),'Tax scales - NAT 3539'!$A$99:$C$123,3,1)),0)
*13/3,
0),
""))),
""),
"")</f>
        <v/>
      </c>
      <c r="AY173" s="118" t="str">
        <f>IFERROR(
IF(VLOOKUP($C173,'Employee information'!$B:$M,COLUMNS('Employee information'!$B:$M),0)=66,
IF($E$2="Fortnightly",
ROUND(
ROUND((((TRUNC($AN173/2,0)+0.99))*VLOOKUP((TRUNC($AN173/2,0)+0.99),'Tax scales - NAT 3539'!$A$127:$C$154,2,1)-VLOOKUP((TRUNC($AN173/2,0)+0.99),'Tax scales - NAT 3539'!$A$127:$C$154,3,1)),0)
*2,
0),
IF(AND($E$2="Monthly",ROUND($AN173-TRUNC($AN173),2)=0.33),
ROUND(
ROUND(((TRUNC(($AN173+0.01)*3/13,0)+0.99)*VLOOKUP((TRUNC(($AN173+0.01)*3/13,0)+0.99),'Tax scales - NAT 3539'!$A$127:$C$154,2,1)-VLOOKUP((TRUNC(($AN173+0.01)*3/13,0)+0.99),'Tax scales - NAT 3539'!$A$127:$C$154,3,1)),0)
*13/3,
0),
IF($E$2="Monthly",
ROUND(
ROUND(((TRUNC($AN173*3/13,0)+0.99)*VLOOKUP((TRUNC($AN173*3/13,0)+0.99),'Tax scales - NAT 3539'!$A$127:$C$154,2,1)-VLOOKUP((TRUNC($AN173*3/13,0)+0.99),'Tax scales - NAT 3539'!$A$127:$C$154,3,1)),0)
*13/3,
0),
""))),
""),
"")</f>
        <v/>
      </c>
      <c r="AZ173" s="118">
        <f>IFERROR(
HLOOKUP(VLOOKUP($C173,'Employee information'!$B:$M,COLUMNS('Employee information'!$B:$M),0),'PAYG worksheet'!$AO$155:$AY$174,COUNTA($C$156:$C173)+1,0),
0)</f>
        <v>0</v>
      </c>
      <c r="BA173" s="118"/>
      <c r="BB173" s="118">
        <f t="shared" si="170"/>
        <v>0</v>
      </c>
      <c r="BC173" s="119">
        <f>IFERROR(
IF(OR($AE173=1,$AE173=""),SUM($P173,$AA173,$AC173,$AK173)*VLOOKUP($C173,'Employee information'!$B:$Q,COLUMNS('Employee information'!$B:$H),0),
IF($AE173=0,SUM($P173,$AA173,$AK173)*VLOOKUP($C173,'Employee information'!$B:$Q,COLUMNS('Employee information'!$B:$H),0),
0)),
0)</f>
        <v>0</v>
      </c>
      <c r="BE173" s="114">
        <f t="shared" si="155"/>
        <v>0</v>
      </c>
      <c r="BF173" s="114">
        <f t="shared" si="156"/>
        <v>0</v>
      </c>
      <c r="BG173" s="114">
        <f t="shared" si="157"/>
        <v>0</v>
      </c>
      <c r="BH173" s="114">
        <f t="shared" si="158"/>
        <v>0</v>
      </c>
      <c r="BI173" s="114">
        <f t="shared" si="159"/>
        <v>0</v>
      </c>
      <c r="BJ173" s="114">
        <f t="shared" si="160"/>
        <v>0</v>
      </c>
      <c r="BK173" s="114">
        <f t="shared" si="161"/>
        <v>0</v>
      </c>
      <c r="BL173" s="114">
        <f t="shared" si="171"/>
        <v>0</v>
      </c>
      <c r="BM173" s="114">
        <f t="shared" si="162"/>
        <v>0</v>
      </c>
    </row>
    <row r="174" spans="1:65" x14ac:dyDescent="0.25">
      <c r="A174" s="228">
        <f t="shared" si="150"/>
        <v>6</v>
      </c>
      <c r="C174" s="278"/>
      <c r="E174" s="103">
        <f>IF($C174="",0,
IF(AND($E$2="Monthly",$A174&gt;12),0,
IF($E$2="Monthly",VLOOKUP($C174,'Employee information'!$B:$AM,COLUMNS('Employee information'!$B:S),0),
IF($E$2="Fortnightly",VLOOKUP($C174,'Employee information'!$B:$AM,COLUMNS('Employee information'!$B:R),0),
0))))</f>
        <v>0</v>
      </c>
      <c r="F174" s="106"/>
      <c r="G174" s="106"/>
      <c r="H174" s="106"/>
      <c r="I174" s="106"/>
      <c r="J174" s="103">
        <f t="shared" si="163"/>
        <v>0</v>
      </c>
      <c r="L174" s="113">
        <f>IF(AND($E$2="Monthly",$A174&gt;12),"",
IFERROR($J174*VLOOKUP($C174,'Employee information'!$B:$AI,COLUMNS('Employee information'!$B:$P),0),0))</f>
        <v>0</v>
      </c>
      <c r="M174" s="114">
        <f t="shared" si="164"/>
        <v>0</v>
      </c>
      <c r="O174" s="103">
        <f t="shared" si="165"/>
        <v>0</v>
      </c>
      <c r="P174" s="113">
        <f>IFERROR(
IF(AND($E$2="Monthly",$A174&gt;12),0,
$O174*VLOOKUP($C174,'Employee information'!$B:$AI,COLUMNS('Employee information'!$B:$P),0)),
0)</f>
        <v>0</v>
      </c>
      <c r="R174" s="114">
        <f t="shared" si="151"/>
        <v>0</v>
      </c>
      <c r="T174" s="103"/>
      <c r="U174" s="103"/>
      <c r="V174" s="282" t="str">
        <f>IF($C174="","",
IF(AND($E$2="Monthly",$A174&gt;12),"",
$T174*VLOOKUP($C174,'Employee information'!$B:$P,COLUMNS('Employee information'!$B:$P),0)))</f>
        <v/>
      </c>
      <c r="W174" s="282" t="str">
        <f>IF($C174="","",
IF(AND($E$2="Monthly",$A174&gt;12),"",
$U174*VLOOKUP($C174,'Employee information'!$B:$P,COLUMNS('Employee information'!$B:$P),0)))</f>
        <v/>
      </c>
      <c r="X174" s="114">
        <f t="shared" si="152"/>
        <v>0</v>
      </c>
      <c r="Y174" s="114">
        <f t="shared" si="153"/>
        <v>0</v>
      </c>
      <c r="AA174" s="118">
        <f>IFERROR(
IF(OR('Basic payroll data'!$D$12="",'Basic payroll data'!$D$12="No"),0,
$T174*VLOOKUP($C174,'Employee information'!$B:$P,COLUMNS('Employee information'!$B:$P),0)*AL_loading_perc),
0)</f>
        <v>0</v>
      </c>
      <c r="AC174" s="118"/>
      <c r="AD174" s="118"/>
      <c r="AE174" s="283" t="str">
        <f t="shared" si="166"/>
        <v/>
      </c>
      <c r="AF174" s="283" t="str">
        <f t="shared" si="167"/>
        <v/>
      </c>
      <c r="AG174" s="118"/>
      <c r="AH174" s="118"/>
      <c r="AI174" s="283" t="str">
        <f t="shared" si="168"/>
        <v/>
      </c>
      <c r="AJ174" s="118"/>
      <c r="AK174" s="118"/>
      <c r="AM174" s="118">
        <f t="shared" si="169"/>
        <v>0</v>
      </c>
      <c r="AN174" s="118">
        <f t="shared" si="154"/>
        <v>0</v>
      </c>
      <c r="AO174" s="118" t="str">
        <f>IFERROR(
IF(VLOOKUP($C174,'Employee information'!$B:$M,COLUMNS('Employee information'!$B:$M),0)=1,
IF($E$2="Fortnightly",
ROUND(
ROUND((((TRUNC($AN174/2,0)+0.99))*VLOOKUP((TRUNC($AN174/2,0)+0.99),'Tax scales - NAT 1004'!$A$12:$C$18,2,1)-VLOOKUP((TRUNC($AN174/2,0)+0.99),'Tax scales - NAT 1004'!$A$12:$C$18,3,1)),0)
*2,
0),
IF(AND($E$2="Monthly",ROUND($AN174-TRUNC($AN174),2)=0.33),
ROUND(
ROUND(((TRUNC(($AN174+0.01)*3/13,0)+0.99)*VLOOKUP((TRUNC(($AN174+0.01)*3/13,0)+0.99),'Tax scales - NAT 1004'!$A$12:$C$18,2,1)-VLOOKUP((TRUNC(($AN174+0.01)*3/13,0)+0.99),'Tax scales - NAT 1004'!$A$12:$C$18,3,1)),0)
*13/3,
0),
IF($E$2="Monthly",
ROUND(
ROUND(((TRUNC($AN174*3/13,0)+0.99)*VLOOKUP((TRUNC($AN174*3/13,0)+0.99),'Tax scales - NAT 1004'!$A$12:$C$18,2,1)-VLOOKUP((TRUNC($AN174*3/13,0)+0.99),'Tax scales - NAT 1004'!$A$12:$C$18,3,1)),0)
*13/3,
0),
""))),
""),
"")</f>
        <v/>
      </c>
      <c r="AP174" s="118" t="str">
        <f>IFERROR(
IF(VLOOKUP($C174,'Employee information'!$B:$M,COLUMNS('Employee information'!$B:$M),0)=2,
IF($E$2="Fortnightly",
ROUND(
ROUND((((TRUNC($AN174/2,0)+0.99))*VLOOKUP((TRUNC($AN174/2,0)+0.99),'Tax scales - NAT 1004'!$A$25:$C$33,2,1)-VLOOKUP((TRUNC($AN174/2,0)+0.99),'Tax scales - NAT 1004'!$A$25:$C$33,3,1)),0)
*2,
0),
IF(AND($E$2="Monthly",ROUND($AN174-TRUNC($AN174),2)=0.33),
ROUND(
ROUND(((TRUNC(($AN174+0.01)*3/13,0)+0.99)*VLOOKUP((TRUNC(($AN174+0.01)*3/13,0)+0.99),'Tax scales - NAT 1004'!$A$25:$C$33,2,1)-VLOOKUP((TRUNC(($AN174+0.01)*3/13,0)+0.99),'Tax scales - NAT 1004'!$A$25:$C$33,3,1)),0)
*13/3,
0),
IF($E$2="Monthly",
ROUND(
ROUND(((TRUNC($AN174*3/13,0)+0.99)*VLOOKUP((TRUNC($AN174*3/13,0)+0.99),'Tax scales - NAT 1004'!$A$25:$C$33,2,1)-VLOOKUP((TRUNC($AN174*3/13,0)+0.99),'Tax scales - NAT 1004'!$A$25:$C$33,3,1)),0)
*13/3,
0),
""))),
""),
"")</f>
        <v/>
      </c>
      <c r="AQ174" s="118" t="str">
        <f>IFERROR(
IF(VLOOKUP($C174,'Employee information'!$B:$M,COLUMNS('Employee information'!$B:$M),0)=3,
IF($E$2="Fortnightly",
ROUND(
ROUND((((TRUNC($AN174/2,0)+0.99))*VLOOKUP((TRUNC($AN174/2,0)+0.99),'Tax scales - NAT 1004'!$A$39:$C$41,2,1)-VLOOKUP((TRUNC($AN174/2,0)+0.99),'Tax scales - NAT 1004'!$A$39:$C$41,3,1)),0)
*2,
0),
IF(AND($E$2="Monthly",ROUND($AN174-TRUNC($AN174),2)=0.33),
ROUND(
ROUND(((TRUNC(($AN174+0.01)*3/13,0)+0.99)*VLOOKUP((TRUNC(($AN174+0.01)*3/13,0)+0.99),'Tax scales - NAT 1004'!$A$39:$C$41,2,1)-VLOOKUP((TRUNC(($AN174+0.01)*3/13,0)+0.99),'Tax scales - NAT 1004'!$A$39:$C$41,3,1)),0)
*13/3,
0),
IF($E$2="Monthly",
ROUND(
ROUND(((TRUNC($AN174*3/13,0)+0.99)*VLOOKUP((TRUNC($AN174*3/13,0)+0.99),'Tax scales - NAT 1004'!$A$39:$C$41,2,1)-VLOOKUP((TRUNC($AN174*3/13,0)+0.99),'Tax scales - NAT 1004'!$A$39:$C$41,3,1)),0)
*13/3,
0),
""))),
""),
"")</f>
        <v/>
      </c>
      <c r="AR174" s="118" t="str">
        <f>IFERROR(
IF(AND(VLOOKUP($C174,'Employee information'!$B:$M,COLUMNS('Employee information'!$B:$M),0)=4,
VLOOKUP($C174,'Employee information'!$B:$J,COLUMNS('Employee information'!$B:$J),0)="Resident"),
TRUNC(TRUNC($AN174)*'Tax scales - NAT 1004'!$B$47),
IF(AND(VLOOKUP($C174,'Employee information'!$B:$M,COLUMNS('Employee information'!$B:$M),0)=4,
VLOOKUP($C174,'Employee information'!$B:$J,COLUMNS('Employee information'!$B:$J),0)="Foreign resident"),
TRUNC(TRUNC($AN174)*'Tax scales - NAT 1004'!$B$48),
"")),
"")</f>
        <v/>
      </c>
      <c r="AS174" s="118" t="str">
        <f>IFERROR(
IF(VLOOKUP($C174,'Employee information'!$B:$M,COLUMNS('Employee information'!$B:$M),0)=5,
IF($E$2="Fortnightly",
ROUND(
ROUND((((TRUNC($AN174/2,0)+0.99))*VLOOKUP((TRUNC($AN174/2,0)+0.99),'Tax scales - NAT 1004'!$A$53:$C$59,2,1)-VLOOKUP((TRUNC($AN174/2,0)+0.99),'Tax scales - NAT 1004'!$A$53:$C$59,3,1)),0)
*2,
0),
IF(AND($E$2="Monthly",ROUND($AN174-TRUNC($AN174),2)=0.33),
ROUND(
ROUND(((TRUNC(($AN174+0.01)*3/13,0)+0.99)*VLOOKUP((TRUNC(($AN174+0.01)*3/13,0)+0.99),'Tax scales - NAT 1004'!$A$53:$C$59,2,1)-VLOOKUP((TRUNC(($AN174+0.01)*3/13,0)+0.99),'Tax scales - NAT 1004'!$A$53:$C$59,3,1)),0)
*13/3,
0),
IF($E$2="Monthly",
ROUND(
ROUND(((TRUNC($AN174*3/13,0)+0.99)*VLOOKUP((TRUNC($AN174*3/13,0)+0.99),'Tax scales - NAT 1004'!$A$53:$C$59,2,1)-VLOOKUP((TRUNC($AN174*3/13,0)+0.99),'Tax scales - NAT 1004'!$A$53:$C$59,3,1)),0)
*13/3,
0),
""))),
""),
"")</f>
        <v/>
      </c>
      <c r="AT174" s="118" t="str">
        <f>IFERROR(
IF(VLOOKUP($C174,'Employee information'!$B:$M,COLUMNS('Employee information'!$B:$M),0)=6,
IF($E$2="Fortnightly",
ROUND(
ROUND((((TRUNC($AN174/2,0)+0.99))*VLOOKUP((TRUNC($AN174/2,0)+0.99),'Tax scales - NAT 1004'!$A$65:$C$73,2,1)-VLOOKUP((TRUNC($AN174/2,0)+0.99),'Tax scales - NAT 1004'!$A$65:$C$73,3,1)),0)
*2,
0),
IF(AND($E$2="Monthly",ROUND($AN174-TRUNC($AN174),2)=0.33),
ROUND(
ROUND(((TRUNC(($AN174+0.01)*3/13,0)+0.99)*VLOOKUP((TRUNC(($AN174+0.01)*3/13,0)+0.99),'Tax scales - NAT 1004'!$A$65:$C$73,2,1)-VLOOKUP((TRUNC(($AN174+0.01)*3/13,0)+0.99),'Tax scales - NAT 1004'!$A$65:$C$73,3,1)),0)
*13/3,
0),
IF($E$2="Monthly",
ROUND(
ROUND(((TRUNC($AN174*3/13,0)+0.99)*VLOOKUP((TRUNC($AN174*3/13,0)+0.99),'Tax scales - NAT 1004'!$A$65:$C$73,2,1)-VLOOKUP((TRUNC($AN174*3/13,0)+0.99),'Tax scales - NAT 1004'!$A$65:$C$73,3,1)),0)
*13/3,
0),
""))),
""),
"")</f>
        <v/>
      </c>
      <c r="AU174" s="118" t="str">
        <f>IFERROR(
IF(VLOOKUP($C174,'Employee information'!$B:$M,COLUMNS('Employee information'!$B:$M),0)=11,
IF($E$2="Fortnightly",
ROUND(
ROUND((((TRUNC($AN174/2,0)+0.99))*VLOOKUP((TRUNC($AN174/2,0)+0.99),'Tax scales - NAT 3539'!$A$14:$C$38,2,1)-VLOOKUP((TRUNC($AN174/2,0)+0.99),'Tax scales - NAT 3539'!$A$14:$C$38,3,1)),0)
*2,
0),
IF(AND($E$2="Monthly",ROUND($AN174-TRUNC($AN174),2)=0.33),
ROUND(
ROUND(((TRUNC(($AN174+0.01)*3/13,0)+0.99)*VLOOKUP((TRUNC(($AN174+0.01)*3/13,0)+0.99),'Tax scales - NAT 3539'!$A$14:$C$38,2,1)-VLOOKUP((TRUNC(($AN174+0.01)*3/13,0)+0.99),'Tax scales - NAT 3539'!$A$14:$C$38,3,1)),0)
*13/3,
0),
IF($E$2="Monthly",
ROUND(
ROUND(((TRUNC($AN174*3/13,0)+0.99)*VLOOKUP((TRUNC($AN174*3/13,0)+0.99),'Tax scales - NAT 3539'!$A$14:$C$38,2,1)-VLOOKUP((TRUNC($AN174*3/13,0)+0.99),'Tax scales - NAT 3539'!$A$14:$C$38,3,1)),0)
*13/3,
0),
""))),
""),
"")</f>
        <v/>
      </c>
      <c r="AV174" s="118" t="str">
        <f>IFERROR(
IF(VLOOKUP($C174,'Employee information'!$B:$M,COLUMNS('Employee information'!$B:$M),0)=22,
IF($E$2="Fortnightly",
ROUND(
ROUND((((TRUNC($AN174/2,0)+0.99))*VLOOKUP((TRUNC($AN174/2,0)+0.99),'Tax scales - NAT 3539'!$A$43:$C$69,2,1)-VLOOKUP((TRUNC($AN174/2,0)+0.99),'Tax scales - NAT 3539'!$A$43:$C$69,3,1)),0)
*2,
0),
IF(AND($E$2="Monthly",ROUND($AN174-TRUNC($AN174),2)=0.33),
ROUND(
ROUND(((TRUNC(($AN174+0.01)*3/13,0)+0.99)*VLOOKUP((TRUNC(($AN174+0.01)*3/13,0)+0.99),'Tax scales - NAT 3539'!$A$43:$C$69,2,1)-VLOOKUP((TRUNC(($AN174+0.01)*3/13,0)+0.99),'Tax scales - NAT 3539'!$A$43:$C$69,3,1)),0)
*13/3,
0),
IF($E$2="Monthly",
ROUND(
ROUND(((TRUNC($AN174*3/13,0)+0.99)*VLOOKUP((TRUNC($AN174*3/13,0)+0.99),'Tax scales - NAT 3539'!$A$43:$C$69,2,1)-VLOOKUP((TRUNC($AN174*3/13,0)+0.99),'Tax scales - NAT 3539'!$A$43:$C$69,3,1)),0)
*13/3,
0),
""))),
""),
"")</f>
        <v/>
      </c>
      <c r="AW174" s="118" t="str">
        <f>IFERROR(
IF(VLOOKUP($C174,'Employee information'!$B:$M,COLUMNS('Employee information'!$B:$M),0)=33,
IF($E$2="Fortnightly",
ROUND(
ROUND((((TRUNC($AN174/2,0)+0.99))*VLOOKUP((TRUNC($AN174/2,0)+0.99),'Tax scales - NAT 3539'!$A$74:$C$94,2,1)-VLOOKUP((TRUNC($AN174/2,0)+0.99),'Tax scales - NAT 3539'!$A$74:$C$94,3,1)),0)
*2,
0),
IF(AND($E$2="Monthly",ROUND($AN174-TRUNC($AN174),2)=0.33),
ROUND(
ROUND(((TRUNC(($AN174+0.01)*3/13,0)+0.99)*VLOOKUP((TRUNC(($AN174+0.01)*3/13,0)+0.99),'Tax scales - NAT 3539'!$A$74:$C$94,2,1)-VLOOKUP((TRUNC(($AN174+0.01)*3/13,0)+0.99),'Tax scales - NAT 3539'!$A$74:$C$94,3,1)),0)
*13/3,
0),
IF($E$2="Monthly",
ROUND(
ROUND(((TRUNC($AN174*3/13,0)+0.99)*VLOOKUP((TRUNC($AN174*3/13,0)+0.99),'Tax scales - NAT 3539'!$A$74:$C$94,2,1)-VLOOKUP((TRUNC($AN174*3/13,0)+0.99),'Tax scales - NAT 3539'!$A$74:$C$94,3,1)),0)
*13/3,
0),
""))),
""),
"")</f>
        <v/>
      </c>
      <c r="AX174" s="118" t="str">
        <f>IFERROR(
IF(VLOOKUP($C174,'Employee information'!$B:$M,COLUMNS('Employee information'!$B:$M),0)=55,
IF($E$2="Fortnightly",
ROUND(
ROUND((((TRUNC($AN174/2,0)+0.99))*VLOOKUP((TRUNC($AN174/2,0)+0.99),'Tax scales - NAT 3539'!$A$99:$C$123,2,1)-VLOOKUP((TRUNC($AN174/2,0)+0.99),'Tax scales - NAT 3539'!$A$99:$C$123,3,1)),0)
*2,
0),
IF(AND($E$2="Monthly",ROUND($AN174-TRUNC($AN174),2)=0.33),
ROUND(
ROUND(((TRUNC(($AN174+0.01)*3/13,0)+0.99)*VLOOKUP((TRUNC(($AN174+0.01)*3/13,0)+0.99),'Tax scales - NAT 3539'!$A$99:$C$123,2,1)-VLOOKUP((TRUNC(($AN174+0.01)*3/13,0)+0.99),'Tax scales - NAT 3539'!$A$99:$C$123,3,1)),0)
*13/3,
0),
IF($E$2="Monthly",
ROUND(
ROUND(((TRUNC($AN174*3/13,0)+0.99)*VLOOKUP((TRUNC($AN174*3/13,0)+0.99),'Tax scales - NAT 3539'!$A$99:$C$123,2,1)-VLOOKUP((TRUNC($AN174*3/13,0)+0.99),'Tax scales - NAT 3539'!$A$99:$C$123,3,1)),0)
*13/3,
0),
""))),
""),
"")</f>
        <v/>
      </c>
      <c r="AY174" s="118" t="str">
        <f>IFERROR(
IF(VLOOKUP($C174,'Employee information'!$B:$M,COLUMNS('Employee information'!$B:$M),0)=66,
IF($E$2="Fortnightly",
ROUND(
ROUND((((TRUNC($AN174/2,0)+0.99))*VLOOKUP((TRUNC($AN174/2,0)+0.99),'Tax scales - NAT 3539'!$A$127:$C$154,2,1)-VLOOKUP((TRUNC($AN174/2,0)+0.99),'Tax scales - NAT 3539'!$A$127:$C$154,3,1)),0)
*2,
0),
IF(AND($E$2="Monthly",ROUND($AN174-TRUNC($AN174),2)=0.33),
ROUND(
ROUND(((TRUNC(($AN174+0.01)*3/13,0)+0.99)*VLOOKUP((TRUNC(($AN174+0.01)*3/13,0)+0.99),'Tax scales - NAT 3539'!$A$127:$C$154,2,1)-VLOOKUP((TRUNC(($AN174+0.01)*3/13,0)+0.99),'Tax scales - NAT 3539'!$A$127:$C$154,3,1)),0)
*13/3,
0),
IF($E$2="Monthly",
ROUND(
ROUND(((TRUNC($AN174*3/13,0)+0.99)*VLOOKUP((TRUNC($AN174*3/13,0)+0.99),'Tax scales - NAT 3539'!$A$127:$C$154,2,1)-VLOOKUP((TRUNC($AN174*3/13,0)+0.99),'Tax scales - NAT 3539'!$A$127:$C$154,3,1)),0)
*13/3,
0),
""))),
""),
"")</f>
        <v/>
      </c>
      <c r="AZ174" s="118">
        <f>IFERROR(
HLOOKUP(VLOOKUP($C174,'Employee information'!$B:$M,COLUMNS('Employee information'!$B:$M),0),'PAYG worksheet'!$AO$155:$AY$174,COUNTA($C$156:$C174)+1,0),
0)</f>
        <v>0</v>
      </c>
      <c r="BA174" s="118"/>
      <c r="BB174" s="118">
        <f t="shared" si="170"/>
        <v>0</v>
      </c>
      <c r="BC174" s="119">
        <f>IFERROR(
IF(OR($AE174=1,$AE174=""),SUM($P174,$AA174,$AC174,$AK174)*VLOOKUP($C174,'Employee information'!$B:$Q,COLUMNS('Employee information'!$B:$H),0),
IF($AE174=0,SUM($P174,$AA174,$AK174)*VLOOKUP($C174,'Employee information'!$B:$Q,COLUMNS('Employee information'!$B:$H),0),
0)),
0)</f>
        <v>0</v>
      </c>
      <c r="BE174" s="114">
        <f t="shared" si="155"/>
        <v>0</v>
      </c>
      <c r="BF174" s="114">
        <f t="shared" si="156"/>
        <v>0</v>
      </c>
      <c r="BG174" s="114">
        <f t="shared" si="157"/>
        <v>0</v>
      </c>
      <c r="BH174" s="114">
        <f t="shared" si="158"/>
        <v>0</v>
      </c>
      <c r="BI174" s="114">
        <f t="shared" si="159"/>
        <v>0</v>
      </c>
      <c r="BJ174" s="114">
        <f t="shared" si="160"/>
        <v>0</v>
      </c>
      <c r="BK174" s="114">
        <f t="shared" si="161"/>
        <v>0</v>
      </c>
      <c r="BL174" s="114">
        <f t="shared" si="171"/>
        <v>0</v>
      </c>
      <c r="BM174" s="114">
        <f t="shared" si="162"/>
        <v>0</v>
      </c>
    </row>
    <row r="175" spans="1:65" x14ac:dyDescent="0.25">
      <c r="C175" s="284" t="s">
        <v>39</v>
      </c>
      <c r="D175" s="223"/>
      <c r="E175" s="111">
        <f>SUM(E156:E174)</f>
        <v>345</v>
      </c>
      <c r="F175" s="112">
        <f t="shared" ref="F175:H175" si="172">SUM(F156:F174)</f>
        <v>0</v>
      </c>
      <c r="G175" s="112">
        <f t="shared" si="172"/>
        <v>0</v>
      </c>
      <c r="H175" s="112">
        <f t="shared" si="172"/>
        <v>0</v>
      </c>
      <c r="I175" s="112"/>
      <c r="J175" s="111">
        <f t="shared" ref="J175" si="173">SUM(J156:J174)</f>
        <v>345</v>
      </c>
      <c r="K175" s="223"/>
      <c r="L175" s="115">
        <f>SUM(L156:L174)</f>
        <v>19122.576396206536</v>
      </c>
      <c r="M175" s="115">
        <f>SUM(M156:M174)</f>
        <v>117250.8429926238</v>
      </c>
      <c r="N175" s="223"/>
      <c r="O175" s="116">
        <f>SUM(O156:O174)</f>
        <v>345</v>
      </c>
      <c r="P175" s="117">
        <f>SUM(P156:P174)</f>
        <v>19122.576396206536</v>
      </c>
      <c r="R175" s="117">
        <f>SUM(R156:R174)</f>
        <v>117250.8429926238</v>
      </c>
      <c r="S175" s="223"/>
      <c r="T175" s="116">
        <f>SUM(T156:T174)</f>
        <v>0</v>
      </c>
      <c r="U175" s="116">
        <f t="shared" ref="U175:Y175" si="174">SUM(U156:U174)</f>
        <v>0</v>
      </c>
      <c r="V175" s="285">
        <f t="shared" si="174"/>
        <v>0</v>
      </c>
      <c r="W175" s="285">
        <f t="shared" si="174"/>
        <v>0</v>
      </c>
      <c r="X175" s="285">
        <f t="shared" si="174"/>
        <v>1538.4615384615386</v>
      </c>
      <c r="Y175" s="285">
        <f t="shared" si="174"/>
        <v>801.28205128205127</v>
      </c>
      <c r="Z175" s="223"/>
      <c r="AA175" s="117">
        <f t="shared" ref="AA175" si="175">SUM(AA156:AA174)</f>
        <v>0</v>
      </c>
      <c r="AC175" s="117">
        <f t="shared" ref="AC175" si="176">SUM(AC156:AC174)</f>
        <v>0</v>
      </c>
      <c r="AD175" s="117"/>
      <c r="AE175" s="117"/>
      <c r="AF175" s="117"/>
      <c r="AG175" s="117">
        <f t="shared" ref="AG175" si="177">SUM(AG156:AG174)</f>
        <v>0</v>
      </c>
      <c r="AH175" s="117"/>
      <c r="AI175" s="117"/>
      <c r="AJ175" s="117">
        <f>SUM(AJ156:AJ174)</f>
        <v>0</v>
      </c>
      <c r="AK175" s="117">
        <f>SUM(AK156:AK174)</f>
        <v>0</v>
      </c>
      <c r="AM175" s="117">
        <f t="shared" ref="AM175:AN175" si="178">SUM(AM156:AM174)</f>
        <v>19122.576396206536</v>
      </c>
      <c r="AN175" s="117">
        <f t="shared" si="178"/>
        <v>19122.576396206536</v>
      </c>
      <c r="AO175" s="117"/>
      <c r="AP175" s="117"/>
      <c r="AQ175" s="117"/>
      <c r="AR175" s="117"/>
      <c r="AS175" s="117"/>
      <c r="AT175" s="117"/>
      <c r="AU175" s="117"/>
      <c r="AV175" s="117"/>
      <c r="AW175" s="117"/>
      <c r="AX175" s="117"/>
      <c r="AY175" s="117"/>
      <c r="AZ175" s="117">
        <f>SUM(AZ156:AZ174)</f>
        <v>7481</v>
      </c>
      <c r="BA175" s="117">
        <f>SUM(BA156:BA174)</f>
        <v>0</v>
      </c>
      <c r="BB175" s="117">
        <f>SUM(BB156:BB174)</f>
        <v>11641.576396206534</v>
      </c>
      <c r="BC175" s="117">
        <f t="shared" ref="BC175" si="179">SUM(BC156:BC174)</f>
        <v>1816.6447576396208</v>
      </c>
      <c r="BD175" s="136"/>
      <c r="BE175" s="117">
        <f t="shared" ref="BE175:BM175" si="180">SUM(BE156:BE174)</f>
        <v>117490.8429926238</v>
      </c>
      <c r="BF175" s="117">
        <f t="shared" si="180"/>
        <v>117350.8429926238</v>
      </c>
      <c r="BG175" s="117">
        <f t="shared" si="180"/>
        <v>0</v>
      </c>
      <c r="BH175" s="117">
        <f t="shared" si="180"/>
        <v>140</v>
      </c>
      <c r="BI175" s="117">
        <f t="shared" si="180"/>
        <v>45700</v>
      </c>
      <c r="BJ175" s="117">
        <f t="shared" si="180"/>
        <v>0</v>
      </c>
      <c r="BK175" s="117">
        <f t="shared" si="180"/>
        <v>0</v>
      </c>
      <c r="BL175" s="117">
        <f t="shared" si="180"/>
        <v>100</v>
      </c>
      <c r="BM175" s="117">
        <f t="shared" si="180"/>
        <v>11148.330084299263</v>
      </c>
    </row>
    <row r="177" spans="1:65" x14ac:dyDescent="0.25">
      <c r="B177" s="228">
        <v>7</v>
      </c>
      <c r="C177" s="230" t="s">
        <v>2</v>
      </c>
      <c r="E177" s="232">
        <v>44197</v>
      </c>
      <c r="F177" s="148" t="s">
        <v>91</v>
      </c>
      <c r="L177" s="286"/>
      <c r="T177" s="127"/>
      <c r="U177" s="127"/>
      <c r="V177" s="127"/>
      <c r="W177" s="127"/>
      <c r="X177" s="127"/>
      <c r="Y177" s="127"/>
    </row>
    <row r="178" spans="1:65" x14ac:dyDescent="0.25">
      <c r="C178" s="230" t="s">
        <v>3</v>
      </c>
      <c r="E178" s="232">
        <v>44227</v>
      </c>
      <c r="F178" s="148" t="s">
        <v>90</v>
      </c>
      <c r="G178" s="229"/>
      <c r="H178" s="229"/>
      <c r="I178" s="229"/>
      <c r="J178" s="229"/>
      <c r="L178" s="164"/>
      <c r="T178" s="127"/>
      <c r="U178" s="127"/>
      <c r="V178" s="127"/>
      <c r="W178" s="127"/>
      <c r="X178" s="127"/>
      <c r="Y178" s="127"/>
    </row>
    <row r="179" spans="1:65" x14ac:dyDescent="0.25">
      <c r="C179" s="233"/>
    </row>
    <row r="180" spans="1:65" ht="34.5" customHeight="1" x14ac:dyDescent="0.25">
      <c r="C180" s="234"/>
      <c r="D180" s="235"/>
      <c r="E180" s="441" t="s">
        <v>4</v>
      </c>
      <c r="F180" s="442"/>
      <c r="G180" s="442"/>
      <c r="H180" s="442"/>
      <c r="I180" s="442"/>
      <c r="J180" s="443"/>
      <c r="L180" s="444" t="s">
        <v>253</v>
      </c>
      <c r="M180" s="445"/>
      <c r="N180" s="235"/>
      <c r="O180" s="444" t="s">
        <v>148</v>
      </c>
      <c r="P180" s="445"/>
      <c r="R180" s="235"/>
      <c r="T180" s="446" t="s">
        <v>269</v>
      </c>
      <c r="U180" s="447"/>
      <c r="V180" s="447"/>
      <c r="W180" s="447"/>
      <c r="X180" s="447"/>
      <c r="Y180" s="447"/>
      <c r="Z180" s="447"/>
      <c r="AA180" s="447"/>
      <c r="AC180" s="438" t="s">
        <v>274</v>
      </c>
      <c r="AD180" s="438"/>
      <c r="AE180" s="438"/>
      <c r="AF180" s="438"/>
      <c r="AG180" s="438"/>
      <c r="AH180" s="438"/>
      <c r="AI180" s="438"/>
      <c r="AJ180" s="438"/>
      <c r="AK180" s="438"/>
      <c r="AM180" s="439" t="s">
        <v>270</v>
      </c>
      <c r="AN180" s="439"/>
      <c r="AO180" s="439"/>
      <c r="AP180" s="439"/>
      <c r="AQ180" s="439"/>
      <c r="AR180" s="439"/>
      <c r="AS180" s="439"/>
      <c r="AT180" s="439"/>
      <c r="AU180" s="439"/>
      <c r="AV180" s="439"/>
      <c r="AW180" s="439"/>
      <c r="AX180" s="439"/>
      <c r="AY180" s="439"/>
      <c r="AZ180" s="439"/>
      <c r="BA180" s="439"/>
      <c r="BB180" s="439"/>
      <c r="BC180" s="440"/>
      <c r="BE180" s="439" t="s">
        <v>246</v>
      </c>
      <c r="BF180" s="439"/>
      <c r="BG180" s="439"/>
      <c r="BH180" s="439"/>
      <c r="BI180" s="439"/>
      <c r="BJ180" s="439"/>
      <c r="BK180" s="439"/>
      <c r="BL180" s="439"/>
      <c r="BM180" s="439"/>
    </row>
    <row r="181" spans="1:65" x14ac:dyDescent="0.25">
      <c r="C181" s="236"/>
      <c r="E181" s="229"/>
      <c r="F181" s="229"/>
      <c r="G181" s="229"/>
      <c r="H181" s="229"/>
      <c r="I181" s="229"/>
      <c r="J181" s="229"/>
      <c r="L181" s="164"/>
      <c r="O181" s="229"/>
      <c r="P181" s="164"/>
      <c r="T181" s="127"/>
      <c r="U181" s="127"/>
      <c r="V181" s="127"/>
      <c r="W181" s="127"/>
      <c r="X181" s="127"/>
      <c r="Y181" s="127"/>
      <c r="AA181" s="229"/>
      <c r="AC181" s="229"/>
      <c r="AD181" s="229"/>
      <c r="AE181" s="229"/>
      <c r="AF181" s="229"/>
      <c r="AG181" s="229"/>
      <c r="AH181" s="229"/>
      <c r="AI181" s="229"/>
      <c r="AJ181" s="229"/>
      <c r="AK181" s="127"/>
      <c r="AM181" s="229"/>
      <c r="AN181" s="229"/>
      <c r="AO181" s="229"/>
      <c r="AP181" s="229"/>
      <c r="AQ181" s="229"/>
      <c r="AR181" s="229"/>
      <c r="AS181" s="229"/>
      <c r="AT181" s="229"/>
      <c r="AU181" s="229"/>
      <c r="AV181" s="229"/>
      <c r="AW181" s="229"/>
      <c r="AX181" s="229"/>
      <c r="AY181" s="229"/>
      <c r="AZ181" s="229"/>
      <c r="BA181" s="229"/>
      <c r="BB181" s="229"/>
      <c r="BC181" s="229"/>
    </row>
    <row r="182" spans="1:65" ht="60" x14ac:dyDescent="0.25">
      <c r="C182" s="238" t="s">
        <v>5</v>
      </c>
      <c r="D182" s="239"/>
      <c r="E182" s="240" t="s">
        <v>268</v>
      </c>
      <c r="F182" s="241" t="s">
        <v>271</v>
      </c>
      <c r="G182" s="242" t="s">
        <v>267</v>
      </c>
      <c r="H182" s="243" t="s">
        <v>266</v>
      </c>
      <c r="I182" s="242" t="s">
        <v>265</v>
      </c>
      <c r="J182" s="244" t="s">
        <v>6</v>
      </c>
      <c r="L182" s="245" t="s">
        <v>7</v>
      </c>
      <c r="M182" s="246" t="s">
        <v>254</v>
      </c>
      <c r="N182" s="247"/>
      <c r="O182" s="248" t="s">
        <v>272</v>
      </c>
      <c r="P182" s="249" t="s">
        <v>200</v>
      </c>
      <c r="R182" s="250" t="s">
        <v>151</v>
      </c>
      <c r="T182" s="251" t="s">
        <v>8</v>
      </c>
      <c r="U182" s="252" t="s">
        <v>9</v>
      </c>
      <c r="V182" s="252" t="s">
        <v>120</v>
      </c>
      <c r="W182" s="252" t="s">
        <v>121</v>
      </c>
      <c r="X182" s="253" t="s">
        <v>118</v>
      </c>
      <c r="Y182" s="254" t="s">
        <v>119</v>
      </c>
      <c r="AA182" s="255" t="s">
        <v>84</v>
      </c>
      <c r="AC182" s="256" t="s">
        <v>142</v>
      </c>
      <c r="AD182" s="256" t="s">
        <v>138</v>
      </c>
      <c r="AE182" s="257" t="s">
        <v>147</v>
      </c>
      <c r="AF182" s="257" t="s">
        <v>149</v>
      </c>
      <c r="AG182" s="256" t="s">
        <v>305</v>
      </c>
      <c r="AH182" s="256" t="s">
        <v>306</v>
      </c>
      <c r="AI182" s="257" t="s">
        <v>150</v>
      </c>
      <c r="AJ182" s="258" t="s">
        <v>250</v>
      </c>
      <c r="AK182" s="259" t="s">
        <v>373</v>
      </c>
      <c r="AM182" s="260" t="s">
        <v>256</v>
      </c>
      <c r="AN182" s="261" t="s">
        <v>372</v>
      </c>
      <c r="AO182" s="253" t="s">
        <v>170</v>
      </c>
      <c r="AP182" s="253" t="s">
        <v>171</v>
      </c>
      <c r="AQ182" s="253" t="s">
        <v>172</v>
      </c>
      <c r="AR182" s="253" t="s">
        <v>173</v>
      </c>
      <c r="AS182" s="253" t="s">
        <v>174</v>
      </c>
      <c r="AT182" s="253" t="s">
        <v>175</v>
      </c>
      <c r="AU182" s="262" t="s">
        <v>210</v>
      </c>
      <c r="AV182" s="262" t="s">
        <v>211</v>
      </c>
      <c r="AW182" s="262" t="s">
        <v>212</v>
      </c>
      <c r="AX182" s="262" t="s">
        <v>213</v>
      </c>
      <c r="AY182" s="263" t="s">
        <v>214</v>
      </c>
      <c r="AZ182" s="264" t="s">
        <v>111</v>
      </c>
      <c r="BA182" s="265" t="s">
        <v>199</v>
      </c>
      <c r="BB182" s="252" t="s">
        <v>223</v>
      </c>
      <c r="BC182" s="260" t="s">
        <v>112</v>
      </c>
      <c r="BE182" s="260" t="s">
        <v>257</v>
      </c>
      <c r="BF182" s="266" t="s">
        <v>255</v>
      </c>
      <c r="BG182" s="262" t="s">
        <v>247</v>
      </c>
      <c r="BH182" s="262" t="s">
        <v>248</v>
      </c>
      <c r="BI182" s="260" t="s">
        <v>249</v>
      </c>
      <c r="BJ182" s="253" t="s">
        <v>199</v>
      </c>
      <c r="BK182" s="262" t="s">
        <v>251</v>
      </c>
      <c r="BL182" s="259" t="s">
        <v>373</v>
      </c>
      <c r="BM182" s="260" t="s">
        <v>252</v>
      </c>
    </row>
    <row r="183" spans="1:65" x14ac:dyDescent="0.25">
      <c r="T183" s="120"/>
      <c r="U183" s="120"/>
      <c r="V183" s="120"/>
      <c r="W183" s="120"/>
      <c r="X183" s="120"/>
      <c r="Y183" s="120"/>
      <c r="AM183" s="267" t="s">
        <v>322</v>
      </c>
      <c r="AN183" s="237"/>
      <c r="AO183" s="237"/>
      <c r="AP183" s="237"/>
      <c r="AQ183" s="237"/>
      <c r="AR183" s="237"/>
      <c r="AS183" s="237"/>
      <c r="AT183" s="237"/>
      <c r="AU183" s="237"/>
      <c r="AV183" s="237"/>
      <c r="AW183" s="237"/>
      <c r="AX183" s="237"/>
      <c r="AY183" s="237"/>
      <c r="AZ183" s="436" t="s">
        <v>320</v>
      </c>
      <c r="BA183" s="437"/>
      <c r="BB183" s="237"/>
      <c r="BC183" s="267" t="s">
        <v>321</v>
      </c>
    </row>
    <row r="184" spans="1:65" x14ac:dyDescent="0.25">
      <c r="A184" s="228">
        <f t="shared" ref="A184:A203" si="181">IF($E$178="","",$B$177)</f>
        <v>7</v>
      </c>
      <c r="C184" s="268"/>
      <c r="D184" s="239"/>
      <c r="E184" s="269"/>
      <c r="F184" s="270"/>
      <c r="G184" s="271"/>
      <c r="H184" s="272"/>
      <c r="I184" s="271"/>
      <c r="J184" s="273"/>
      <c r="O184" s="274"/>
      <c r="P184" s="247"/>
      <c r="T184" s="271"/>
      <c r="U184" s="271"/>
      <c r="V184" s="275"/>
      <c r="W184" s="269"/>
      <c r="X184" s="269"/>
      <c r="Y184" s="269"/>
      <c r="AA184" s="271"/>
      <c r="AC184" s="271"/>
      <c r="AD184" s="271"/>
      <c r="AE184" s="271"/>
      <c r="AF184" s="271"/>
      <c r="AG184" s="271"/>
      <c r="AH184" s="271"/>
      <c r="AI184" s="271"/>
      <c r="AJ184" s="271"/>
      <c r="AK184" s="275"/>
      <c r="AM184" s="271"/>
      <c r="AN184" s="271"/>
      <c r="AO184" s="276">
        <v>1</v>
      </c>
      <c r="AP184" s="276">
        <v>2</v>
      </c>
      <c r="AQ184" s="276">
        <v>3</v>
      </c>
      <c r="AR184" s="277">
        <v>4</v>
      </c>
      <c r="AS184" s="276">
        <v>5</v>
      </c>
      <c r="AT184" s="276">
        <v>6</v>
      </c>
      <c r="AU184" s="276">
        <v>11</v>
      </c>
      <c r="AV184" s="276">
        <v>22</v>
      </c>
      <c r="AW184" s="276">
        <v>33</v>
      </c>
      <c r="AX184" s="276">
        <v>55</v>
      </c>
      <c r="AY184" s="276">
        <v>66</v>
      </c>
      <c r="AZ184" s="271"/>
      <c r="BA184" s="271"/>
      <c r="BB184" s="271"/>
      <c r="BC184" s="273"/>
    </row>
    <row r="185" spans="1:65" x14ac:dyDescent="0.25">
      <c r="A185" s="228">
        <f t="shared" si="181"/>
        <v>7</v>
      </c>
      <c r="C185" s="278" t="s">
        <v>12</v>
      </c>
      <c r="E185" s="103">
        <f>IF($C185="",0,
IF(AND($E$2="Monthly",$A185&gt;12),0,
IF($E$2="Monthly",VLOOKUP($C185,'Employee information'!$B:$AM,COLUMNS('Employee information'!$B:S),0),
IF($E$2="Fortnightly",VLOOKUP($C185,'Employee information'!$B:$AM,COLUMNS('Employee information'!$B:R),0),
0))))</f>
        <v>75</v>
      </c>
      <c r="F185" s="279"/>
      <c r="G185" s="106"/>
      <c r="H185" s="280"/>
      <c r="I185" s="106"/>
      <c r="J185" s="103">
        <f>IF($E$2="Monthly",
IF(AND($E$2="Monthly",$H185&lt;&gt;""),$H185,
IF(AND($E$2="Monthly",$E185=0),SUM($F185:$G185),
$E185)),
IF($E$2="Fortnightly",
IF(AND($E$2="Fortnightly",$H185&lt;&gt;""),$H185,
IF(AND($E$2="Fortnightly",$F185&lt;&gt;"",$E185&lt;&gt;0),$F185,
IF(AND($E$2="Fortnightly",$E185=0),SUM($F185:$G185),
$E185)))))</f>
        <v>75</v>
      </c>
      <c r="L185" s="113">
        <f>IF(AND($E$2="Monthly",$A185&gt;12),"",
IFERROR($J185*VLOOKUP($C185,'Employee information'!$B:$AI,COLUMNS('Employee information'!$B:$P),0),0))</f>
        <v>3697.576396206533</v>
      </c>
      <c r="M185" s="114">
        <f>IF(AND($E$2="Monthly",$A185&gt;12),"",
SUMIFS($L:$L,$C:$C,$C185,$A:$A,"&lt;="&amp;$A185)
)</f>
        <v>25883.034773445728</v>
      </c>
      <c r="O185" s="103">
        <f>IF($E$2="Monthly",
IF(AND($E$2="Monthly",$H185&lt;&gt;""),$H185,
IF(AND($E$2="Monthly",$E185=0),$F185,
$E185)),
IF($E$2="Fortnightly",
IF(AND($E$2="Fortnightly",$H185&lt;&gt;""),$H185,
IF(AND($E$2="Fortnightly",$F185&lt;&gt;"",$E185&lt;&gt;0),$F185,
IF(AND($E$2="Fortnightly",$E185=0),$F185,
$E185)))))</f>
        <v>75</v>
      </c>
      <c r="P185" s="113">
        <f>IFERROR(
IF(AND($E$2="Monthly",$A185&gt;12),0,
$O185*VLOOKUP($C185,'Employee information'!$B:$AI,COLUMNS('Employee information'!$B:$P),0)),
0)</f>
        <v>3697.576396206533</v>
      </c>
      <c r="R185" s="114">
        <f t="shared" ref="R185:R203" si="182">IF(AND($E$2="Monthly",$A185&gt;12),"",
SUMIFS($P:$P,$C:$C,$C185,$A:$A,"&lt;="&amp;$A185)
)</f>
        <v>25883.034773445728</v>
      </c>
      <c r="T185" s="281"/>
      <c r="U185" s="103"/>
      <c r="V185" s="282">
        <f>IF($C185="","",
IF(AND($E$2="Monthly",$A185&gt;12),"",
$T185*VLOOKUP($C185,'Employee information'!$B:$P,COLUMNS('Employee information'!$B:$P),0)))</f>
        <v>0</v>
      </c>
      <c r="W185" s="282">
        <f>IF($C185="","",
IF(AND($E$2="Monthly",$A185&gt;12),"",
$U185*VLOOKUP($C185,'Employee information'!$B:$P,COLUMNS('Employee information'!$B:$P),0)))</f>
        <v>0</v>
      </c>
      <c r="X185" s="114">
        <f t="shared" ref="X185:X203" si="183">IF(AND($E$2="Monthly",$A185&gt;12),"",
SUMIFS($V:$V,$C:$C,$C185,$A:$A,"&lt;="&amp;$A185)
)</f>
        <v>0</v>
      </c>
      <c r="Y185" s="114">
        <f t="shared" ref="Y185:Y203" si="184">IF(AND($E$2="Monthly",$A185&gt;12),"",
SUMIFS($W:$W,$C:$C,$C185,$A:$A,"&lt;="&amp;$A185)
)</f>
        <v>0</v>
      </c>
      <c r="AA185" s="118">
        <f>IFERROR(
IF(OR('Basic payroll data'!$D$12="",'Basic payroll data'!$D$12="No"),0,
$T185*VLOOKUP($C185,'Employee information'!$B:$P,COLUMNS('Employee information'!$B:$P),0)*AL_loading_perc),
0)</f>
        <v>0</v>
      </c>
      <c r="AC185" s="118"/>
      <c r="AD185" s="118"/>
      <c r="AE185" s="283" t="str">
        <f>IF(LEFT($AD185,6)="Is OTE",1,
IF(LEFT($AD185,10)="Is not OTE",0,
""))</f>
        <v/>
      </c>
      <c r="AF185" s="283" t="str">
        <f>IF(RIGHT($AD185,12)="tax withheld",1,
IF(RIGHT($AD185,16)="tax not withheld",0,
""))</f>
        <v/>
      </c>
      <c r="AG185" s="118"/>
      <c r="AH185" s="118"/>
      <c r="AI185" s="283" t="str">
        <f>IF($AH185="FBT",0,
IF($AH185="Not FBT",1,
""))</f>
        <v/>
      </c>
      <c r="AJ185" s="118"/>
      <c r="AK185" s="118"/>
      <c r="AM185" s="118">
        <f>SUM($L185,$AA185,$AC185,$AG185,$AK185)-$AJ185</f>
        <v>3697.576396206533</v>
      </c>
      <c r="AN185" s="118">
        <f t="shared" ref="AN185:AN203" si="185">IF(AND(OR($AF185=1,$AF185=""),OR($AI185=1,$AI185="")),SUM($L185,$AA185,$AC185,$AG185,$AK185)-$AJ185,
IF(AND(OR($AF185=1,$AF185=""),$AI185=0),SUM($L185,$AA185,$AC185,$AK185)-$AJ185,
IF(AND($AF185=0,OR($AI185=1,$AI185="")),SUM($L185,$AA185,$AG185,$AK185)-$AJ185,
IF(AND($AF185=0,$AI185=0),SUM($L185,$AA185,$AK185)-$AJ185,
""))))</f>
        <v>3697.576396206533</v>
      </c>
      <c r="AO185" s="118" t="str">
        <f>IFERROR(
IF(VLOOKUP($C185,'Employee information'!$B:$M,COLUMNS('Employee information'!$B:$M),0)=1,
IF($E$2="Fortnightly",
ROUND(
ROUND((((TRUNC($AN185/2,0)+0.99))*VLOOKUP((TRUNC($AN185/2,0)+0.99),'Tax scales - NAT 1004'!$A$12:$C$18,2,1)-VLOOKUP((TRUNC($AN185/2,0)+0.99),'Tax scales - NAT 1004'!$A$12:$C$18,3,1)),0)
*2,
0),
IF(AND($E$2="Monthly",ROUND($AN185-TRUNC($AN185),2)=0.33),
ROUND(
ROUND(((TRUNC(($AN185+0.01)*3/13,0)+0.99)*VLOOKUP((TRUNC(($AN185+0.01)*3/13,0)+0.99),'Tax scales - NAT 1004'!$A$12:$C$18,2,1)-VLOOKUP((TRUNC(($AN185+0.01)*3/13,0)+0.99),'Tax scales - NAT 1004'!$A$12:$C$18,3,1)),0)
*13/3,
0),
IF($E$2="Monthly",
ROUND(
ROUND(((TRUNC($AN185*3/13,0)+0.99)*VLOOKUP((TRUNC($AN185*3/13,0)+0.99),'Tax scales - NAT 1004'!$A$12:$C$18,2,1)-VLOOKUP((TRUNC($AN185*3/13,0)+0.99),'Tax scales - NAT 1004'!$A$12:$C$18,3,1)),0)
*13/3,
0),
""))),
""),
"")</f>
        <v/>
      </c>
      <c r="AP185" s="118" t="str">
        <f>IFERROR(
IF(VLOOKUP($C185,'Employee information'!$B:$M,COLUMNS('Employee information'!$B:$M),0)=2,
IF($E$2="Fortnightly",
ROUND(
ROUND((((TRUNC($AN185/2,0)+0.99))*VLOOKUP((TRUNC($AN185/2,0)+0.99),'Tax scales - NAT 1004'!$A$25:$C$33,2,1)-VLOOKUP((TRUNC($AN185/2,0)+0.99),'Tax scales - NAT 1004'!$A$25:$C$33,3,1)),0)
*2,
0),
IF(AND($E$2="Monthly",ROUND($AN185-TRUNC($AN185),2)=0.33),
ROUND(
ROUND(((TRUNC(($AN185+0.01)*3/13,0)+0.99)*VLOOKUP((TRUNC(($AN185+0.01)*3/13,0)+0.99),'Tax scales - NAT 1004'!$A$25:$C$33,2,1)-VLOOKUP((TRUNC(($AN185+0.01)*3/13,0)+0.99),'Tax scales - NAT 1004'!$A$25:$C$33,3,1)),0)
*13/3,
0),
IF($E$2="Monthly",
ROUND(
ROUND(((TRUNC($AN185*3/13,0)+0.99)*VLOOKUP((TRUNC($AN185*3/13,0)+0.99),'Tax scales - NAT 1004'!$A$25:$C$33,2,1)-VLOOKUP((TRUNC($AN185*3/13,0)+0.99),'Tax scales - NAT 1004'!$A$25:$C$33,3,1)),0)
*13/3,
0),
""))),
""),
"")</f>
        <v/>
      </c>
      <c r="AQ185" s="118" t="str">
        <f>IFERROR(
IF(VLOOKUP($C185,'Employee information'!$B:$M,COLUMNS('Employee information'!$B:$M),0)=3,
IF($E$2="Fortnightly",
ROUND(
ROUND((((TRUNC($AN185/2,0)+0.99))*VLOOKUP((TRUNC($AN185/2,0)+0.99),'Tax scales - NAT 1004'!$A$39:$C$41,2,1)-VLOOKUP((TRUNC($AN185/2,0)+0.99),'Tax scales - NAT 1004'!$A$39:$C$41,3,1)),0)
*2,
0),
IF(AND($E$2="Monthly",ROUND($AN185-TRUNC($AN185),2)=0.33),
ROUND(
ROUND(((TRUNC(($AN185+0.01)*3/13,0)+0.99)*VLOOKUP((TRUNC(($AN185+0.01)*3/13,0)+0.99),'Tax scales - NAT 1004'!$A$39:$C$41,2,1)-VLOOKUP((TRUNC(($AN185+0.01)*3/13,0)+0.99),'Tax scales - NAT 1004'!$A$39:$C$41,3,1)),0)
*13/3,
0),
IF($E$2="Monthly",
ROUND(
ROUND(((TRUNC($AN185*3/13,0)+0.99)*VLOOKUP((TRUNC($AN185*3/13,0)+0.99),'Tax scales - NAT 1004'!$A$39:$C$41,2,1)-VLOOKUP((TRUNC($AN185*3/13,0)+0.99),'Tax scales - NAT 1004'!$A$39:$C$41,3,1)),0)
*13/3,
0),
""))),
""),
"")</f>
        <v/>
      </c>
      <c r="AR185" s="118" t="str">
        <f>IFERROR(
IF(AND(VLOOKUP($C185,'Employee information'!$B:$M,COLUMNS('Employee information'!$B:$M),0)=4,
VLOOKUP($C185,'Employee information'!$B:$J,COLUMNS('Employee information'!$B:$J),0)="Resident"),
TRUNC(TRUNC($AN185)*'Tax scales - NAT 1004'!$B$47),
IF(AND(VLOOKUP($C185,'Employee information'!$B:$M,COLUMNS('Employee information'!$B:$M),0)=4,
VLOOKUP($C185,'Employee information'!$B:$J,COLUMNS('Employee information'!$B:$J),0)="Foreign resident"),
TRUNC(TRUNC($AN185)*'Tax scales - NAT 1004'!$B$48),
"")),
"")</f>
        <v/>
      </c>
      <c r="AS185" s="118" t="str">
        <f>IFERROR(
IF(VLOOKUP($C185,'Employee information'!$B:$M,COLUMNS('Employee information'!$B:$M),0)=5,
IF($E$2="Fortnightly",
ROUND(
ROUND((((TRUNC($AN185/2,0)+0.99))*VLOOKUP((TRUNC($AN185/2,0)+0.99),'Tax scales - NAT 1004'!$A$53:$C$59,2,1)-VLOOKUP((TRUNC($AN185/2,0)+0.99),'Tax scales - NAT 1004'!$A$53:$C$59,3,1)),0)
*2,
0),
IF(AND($E$2="Monthly",ROUND($AN185-TRUNC($AN185),2)=0.33),
ROUND(
ROUND(((TRUNC(($AN185+0.01)*3/13,0)+0.99)*VLOOKUP((TRUNC(($AN185+0.01)*3/13,0)+0.99),'Tax scales - NAT 1004'!$A$53:$C$59,2,1)-VLOOKUP((TRUNC(($AN185+0.01)*3/13,0)+0.99),'Tax scales - NAT 1004'!$A$53:$C$59,3,1)),0)
*13/3,
0),
IF($E$2="Monthly",
ROUND(
ROUND(((TRUNC($AN185*3/13,0)+0.99)*VLOOKUP((TRUNC($AN185*3/13,0)+0.99),'Tax scales - NAT 1004'!$A$53:$C$59,2,1)-VLOOKUP((TRUNC($AN185*3/13,0)+0.99),'Tax scales - NAT 1004'!$A$53:$C$59,3,1)),0)
*13/3,
0),
""))),
""),
"")</f>
        <v/>
      </c>
      <c r="AT185" s="118" t="str">
        <f>IFERROR(
IF(VLOOKUP($C185,'Employee information'!$B:$M,COLUMNS('Employee information'!$B:$M),0)=6,
IF($E$2="Fortnightly",
ROUND(
ROUND((((TRUNC($AN185/2,0)+0.99))*VLOOKUP((TRUNC($AN185/2,0)+0.99),'Tax scales - NAT 1004'!$A$65:$C$73,2,1)-VLOOKUP((TRUNC($AN185/2,0)+0.99),'Tax scales - NAT 1004'!$A$65:$C$73,3,1)),0)
*2,
0),
IF(AND($E$2="Monthly",ROUND($AN185-TRUNC($AN185),2)=0.33),
ROUND(
ROUND(((TRUNC(($AN185+0.01)*3/13,0)+0.99)*VLOOKUP((TRUNC(($AN185+0.01)*3/13,0)+0.99),'Tax scales - NAT 1004'!$A$65:$C$73,2,1)-VLOOKUP((TRUNC(($AN185+0.01)*3/13,0)+0.99),'Tax scales - NAT 1004'!$A$65:$C$73,3,1)),0)
*13/3,
0),
IF($E$2="Monthly",
ROUND(
ROUND(((TRUNC($AN185*3/13,0)+0.99)*VLOOKUP((TRUNC($AN185*3/13,0)+0.99),'Tax scales - NAT 1004'!$A$65:$C$73,2,1)-VLOOKUP((TRUNC($AN185*3/13,0)+0.99),'Tax scales - NAT 1004'!$A$65:$C$73,3,1)),0)
*13/3,
0),
""))),
""),
"")</f>
        <v/>
      </c>
      <c r="AU185" s="118">
        <f>IFERROR(
IF(VLOOKUP($C185,'Employee information'!$B:$M,COLUMNS('Employee information'!$B:$M),0)=11,
IF($E$2="Fortnightly",
ROUND(
ROUND((((TRUNC($AN185/2,0)+0.99))*VLOOKUP((TRUNC($AN185/2,0)+0.99),'Tax scales - NAT 3539'!$A$14:$C$38,2,1)-VLOOKUP((TRUNC($AN185/2,0)+0.99),'Tax scales - NAT 3539'!$A$14:$C$38,3,1)),0)
*2,
0),
IF(AND($E$2="Monthly",ROUND($AN185-TRUNC($AN185),2)=0.33),
ROUND(
ROUND(((TRUNC(($AN185+0.01)*3/13,0)+0.99)*VLOOKUP((TRUNC(($AN185+0.01)*3/13,0)+0.99),'Tax scales - NAT 3539'!$A$14:$C$38,2,1)-VLOOKUP((TRUNC(($AN185+0.01)*3/13,0)+0.99),'Tax scales - NAT 3539'!$A$14:$C$38,3,1)),0)
*13/3,
0),
IF($E$2="Monthly",
ROUND(
ROUND(((TRUNC($AN185*3/13,0)+0.99)*VLOOKUP((TRUNC($AN185*3/13,0)+0.99),'Tax scales - NAT 3539'!$A$14:$C$38,2,1)-VLOOKUP((TRUNC($AN185*3/13,0)+0.99),'Tax scales - NAT 3539'!$A$14:$C$38,3,1)),0)
*13/3,
0),
""))),
""),
"")</f>
        <v>1448</v>
      </c>
      <c r="AV185" s="118" t="str">
        <f>IFERROR(
IF(VLOOKUP($C185,'Employee information'!$B:$M,COLUMNS('Employee information'!$B:$M),0)=22,
IF($E$2="Fortnightly",
ROUND(
ROUND((((TRUNC($AN185/2,0)+0.99))*VLOOKUP((TRUNC($AN185/2,0)+0.99),'Tax scales - NAT 3539'!$A$43:$C$69,2,1)-VLOOKUP((TRUNC($AN185/2,0)+0.99),'Tax scales - NAT 3539'!$A$43:$C$69,3,1)),0)
*2,
0),
IF(AND($E$2="Monthly",ROUND($AN185-TRUNC($AN185),2)=0.33),
ROUND(
ROUND(((TRUNC(($AN185+0.01)*3/13,0)+0.99)*VLOOKUP((TRUNC(($AN185+0.01)*3/13,0)+0.99),'Tax scales - NAT 3539'!$A$43:$C$69,2,1)-VLOOKUP((TRUNC(($AN185+0.01)*3/13,0)+0.99),'Tax scales - NAT 3539'!$A$43:$C$69,3,1)),0)
*13/3,
0),
IF($E$2="Monthly",
ROUND(
ROUND(((TRUNC($AN185*3/13,0)+0.99)*VLOOKUP((TRUNC($AN185*3/13,0)+0.99),'Tax scales - NAT 3539'!$A$43:$C$69,2,1)-VLOOKUP((TRUNC($AN185*3/13,0)+0.99),'Tax scales - NAT 3539'!$A$43:$C$69,3,1)),0)
*13/3,
0),
""))),
""),
"")</f>
        <v/>
      </c>
      <c r="AW185" s="118" t="str">
        <f>IFERROR(
IF(VLOOKUP($C185,'Employee information'!$B:$M,COLUMNS('Employee information'!$B:$M),0)=33,
IF($E$2="Fortnightly",
ROUND(
ROUND((((TRUNC($AN185/2,0)+0.99))*VLOOKUP((TRUNC($AN185/2,0)+0.99),'Tax scales - NAT 3539'!$A$74:$C$94,2,1)-VLOOKUP((TRUNC($AN185/2,0)+0.99),'Tax scales - NAT 3539'!$A$74:$C$94,3,1)),0)
*2,
0),
IF(AND($E$2="Monthly",ROUND($AN185-TRUNC($AN185),2)=0.33),
ROUND(
ROUND(((TRUNC(($AN185+0.01)*3/13,0)+0.99)*VLOOKUP((TRUNC(($AN185+0.01)*3/13,0)+0.99),'Tax scales - NAT 3539'!$A$74:$C$94,2,1)-VLOOKUP((TRUNC(($AN185+0.01)*3/13,0)+0.99),'Tax scales - NAT 3539'!$A$74:$C$94,3,1)),0)
*13/3,
0),
IF($E$2="Monthly",
ROUND(
ROUND(((TRUNC($AN185*3/13,0)+0.99)*VLOOKUP((TRUNC($AN185*3/13,0)+0.99),'Tax scales - NAT 3539'!$A$74:$C$94,2,1)-VLOOKUP((TRUNC($AN185*3/13,0)+0.99),'Tax scales - NAT 3539'!$A$74:$C$94,3,1)),0)
*13/3,
0),
""))),
""),
"")</f>
        <v/>
      </c>
      <c r="AX185" s="118" t="str">
        <f>IFERROR(
IF(VLOOKUP($C185,'Employee information'!$B:$M,COLUMNS('Employee information'!$B:$M),0)=55,
IF($E$2="Fortnightly",
ROUND(
ROUND((((TRUNC($AN185/2,0)+0.99))*VLOOKUP((TRUNC($AN185/2,0)+0.99),'Tax scales - NAT 3539'!$A$99:$C$123,2,1)-VLOOKUP((TRUNC($AN185/2,0)+0.99),'Tax scales - NAT 3539'!$A$99:$C$123,3,1)),0)
*2,
0),
IF(AND($E$2="Monthly",ROUND($AN185-TRUNC($AN185),2)=0.33),
ROUND(
ROUND(((TRUNC(($AN185+0.01)*3/13,0)+0.99)*VLOOKUP((TRUNC(($AN185+0.01)*3/13,0)+0.99),'Tax scales - NAT 3539'!$A$99:$C$123,2,1)-VLOOKUP((TRUNC(($AN185+0.01)*3/13,0)+0.99),'Tax scales - NAT 3539'!$A$99:$C$123,3,1)),0)
*13/3,
0),
IF($E$2="Monthly",
ROUND(
ROUND(((TRUNC($AN185*3/13,0)+0.99)*VLOOKUP((TRUNC($AN185*3/13,0)+0.99),'Tax scales - NAT 3539'!$A$99:$C$123,2,1)-VLOOKUP((TRUNC($AN185*3/13,0)+0.99),'Tax scales - NAT 3539'!$A$99:$C$123,3,1)),0)
*13/3,
0),
""))),
""),
"")</f>
        <v/>
      </c>
      <c r="AY185" s="118" t="str">
        <f>IFERROR(
IF(VLOOKUP($C185,'Employee information'!$B:$M,COLUMNS('Employee information'!$B:$M),0)=66,
IF($E$2="Fortnightly",
ROUND(
ROUND((((TRUNC($AN185/2,0)+0.99))*VLOOKUP((TRUNC($AN185/2,0)+0.99),'Tax scales - NAT 3539'!$A$127:$C$154,2,1)-VLOOKUP((TRUNC($AN185/2,0)+0.99),'Tax scales - NAT 3539'!$A$127:$C$154,3,1)),0)
*2,
0),
IF(AND($E$2="Monthly",ROUND($AN185-TRUNC($AN185),2)=0.33),
ROUND(
ROUND(((TRUNC(($AN185+0.01)*3/13,0)+0.99)*VLOOKUP((TRUNC(($AN185+0.01)*3/13,0)+0.99),'Tax scales - NAT 3539'!$A$127:$C$154,2,1)-VLOOKUP((TRUNC(($AN185+0.01)*3/13,0)+0.99),'Tax scales - NAT 3539'!$A$127:$C$154,3,1)),0)
*13/3,
0),
IF($E$2="Monthly",
ROUND(
ROUND(((TRUNC($AN185*3/13,0)+0.99)*VLOOKUP((TRUNC($AN185*3/13,0)+0.99),'Tax scales - NAT 3539'!$A$127:$C$154,2,1)-VLOOKUP((TRUNC($AN185*3/13,0)+0.99),'Tax scales - NAT 3539'!$A$127:$C$154,3,1)),0)
*13/3,
0),
""))),
""),
"")</f>
        <v/>
      </c>
      <c r="AZ185" s="118">
        <f>IFERROR(
HLOOKUP(VLOOKUP($C185,'Employee information'!$B:$M,COLUMNS('Employee information'!$B:$M),0),'PAYG worksheet'!$AO$184:$AY$203,COUNTA($C$185:$C185)+1,0),
0)</f>
        <v>1448</v>
      </c>
      <c r="BA185" s="118"/>
      <c r="BB185" s="118">
        <f>IFERROR($AM185-$AZ185-$BA185,"")</f>
        <v>2249.576396206533</v>
      </c>
      <c r="BC185" s="119">
        <f>IFERROR(
IF(OR($AE185=1,$AE185=""),SUM($P185,$AA185,$AC185,$AK185)*VLOOKUP($C185,'Employee information'!$B:$Q,COLUMNS('Employee information'!$B:$H),0),
IF($AE185=0,SUM($P185,$AA185,$AK185)*VLOOKUP($C185,'Employee information'!$B:$Q,COLUMNS('Employee information'!$B:$H),0),
0)),
0)</f>
        <v>351.26975763962065</v>
      </c>
      <c r="BE185" s="114">
        <f t="shared" ref="BE185:BE203" si="186">IF(AND($E$2="Monthly",$A185&gt;12),"",
SUMIFS($AM:$AM,$C:$C,$C185,$A:$A,"&lt;="&amp;$A185)
)</f>
        <v>25883.034773445728</v>
      </c>
      <c r="BF185" s="114">
        <f t="shared" ref="BF185:BF203" si="187">IF(AND($E$2="Monthly",$A185&gt;12),"",
SUMIFS($AN:$AN,$C:$C,$C185,$A:$A,"&lt;="&amp;$A185)
)</f>
        <v>25883.034773445728</v>
      </c>
      <c r="BG185" s="114">
        <f t="shared" ref="BG185:BG203" si="188">IF(AND($E$2="Monthly",$A185&gt;12),"",
SUMIFS($AC:$AC,$C:$C,$C185,$A:$A,"&lt;="&amp;$A185)
)</f>
        <v>0</v>
      </c>
      <c r="BH185" s="114">
        <f t="shared" ref="BH185:BH203" si="189">IF(AND($E$2="Monthly",$A185&gt;12),"",
SUMIFS($AG:$AG,$C:$C,$C185,$A:$A,"&lt;="&amp;$A185)
)</f>
        <v>0</v>
      </c>
      <c r="BI185" s="114">
        <f t="shared" ref="BI185:BI203" si="190">IF(AND($E$2="Monthly",$A185&gt;12),"",
SUMIFS($AZ:$AZ,$C:$C,$C185,$A:$A,"&lt;="&amp;$A185)
)</f>
        <v>10136</v>
      </c>
      <c r="BJ185" s="114">
        <f t="shared" ref="BJ185:BJ203" si="191">IF(AND($E$2="Monthly",$A185&gt;12),"",
SUMIFS($BA:$BA,$C:$C,$C185,$A:$A,"&lt;="&amp;$A185)
)</f>
        <v>0</v>
      </c>
      <c r="BK185" s="114">
        <f t="shared" ref="BK185:BK203" si="192">IF(AND($E$2="Monthly",$A185&gt;12),"",
SUMIFS($AJ:$AJ,$C:$C,$C185,$A:$A,"&lt;="&amp;$A185)
)</f>
        <v>0</v>
      </c>
      <c r="BL185" s="114">
        <f>IF(AND($E$2="Monthly",$A185&gt;12),"",
SUMIFS($AK:$AK,$C:$C,$C185,$A:$A,"&lt;="&amp;$A185)
)</f>
        <v>0</v>
      </c>
      <c r="BM185" s="114">
        <f t="shared" ref="BM185:BM203" si="193">IF(AND($E$2="Monthly",$A185&gt;12),"",
SUMIFS($BC:$BC,$C:$C,$C185,$A:$A,"&lt;="&amp;$A185)
)</f>
        <v>2458.8883034773448</v>
      </c>
    </row>
    <row r="186" spans="1:65" x14ac:dyDescent="0.25">
      <c r="A186" s="228">
        <f t="shared" si="181"/>
        <v>7</v>
      </c>
      <c r="C186" s="278" t="s">
        <v>13</v>
      </c>
      <c r="E186" s="103">
        <f>IF($C186="",0,
IF(AND($E$2="Monthly",$A186&gt;12),0,
IF($E$2="Monthly",VLOOKUP($C186,'Employee information'!$B:$AM,COLUMNS('Employee information'!$B:S),0),
IF($E$2="Fortnightly",VLOOKUP($C186,'Employee information'!$B:$AM,COLUMNS('Employee information'!$B:R),0),
0))))</f>
        <v>0</v>
      </c>
      <c r="F186" s="106"/>
      <c r="G186" s="106"/>
      <c r="H186" s="106"/>
      <c r="I186" s="106"/>
      <c r="J186" s="103">
        <f t="shared" ref="J186:J203" si="194">IF($E$2="Monthly",
IF(AND($E$2="Monthly",$H186&lt;&gt;""),$H186,
IF(AND($E$2="Monthly",$E186=0),SUM($F186:$G186),
$E186)),
IF($E$2="Fortnightly",
IF(AND($E$2="Fortnightly",$H186&lt;&gt;""),$H186,
IF(AND($E$2="Fortnightly",$F186&lt;&gt;"",$E186&lt;&gt;0),$F186,
IF(AND($E$2="Fortnightly",$E186=0),SUM($F186:$G186),
$E186)))))</f>
        <v>0</v>
      </c>
      <c r="L186" s="113">
        <f>IF(AND($E$2="Monthly",$A186&gt;12),"",
IFERROR($J186*VLOOKUP($C186,'Employee information'!$B:$AI,COLUMNS('Employee information'!$B:$P),0),0))</f>
        <v>0</v>
      </c>
      <c r="M186" s="114">
        <f t="shared" ref="M186:M203" si="195">IF(AND($E$2="Monthly",$A186&gt;12),"",
SUMIFS($L:$L,$C:$C,$C186,$A:$A,"&lt;="&amp;$A186)
)</f>
        <v>1615.3846153846152</v>
      </c>
      <c r="O186" s="103">
        <f t="shared" ref="O186:O203" si="196">IF($E$2="Monthly",
IF(AND($E$2="Monthly",$H186&lt;&gt;""),$H186,
IF(AND($E$2="Monthly",$E186=0),$F186,
$E186)),
IF($E$2="Fortnightly",
IF(AND($E$2="Fortnightly",$H186&lt;&gt;""),$H186,
IF(AND($E$2="Fortnightly",$F186&lt;&gt;"",$E186&lt;&gt;0),$F186,
IF(AND($E$2="Fortnightly",$E186=0),$F186,
$E186)))))</f>
        <v>0</v>
      </c>
      <c r="P186" s="113">
        <f>IFERROR(
IF(AND($E$2="Monthly",$A186&gt;12),0,
$O186*VLOOKUP($C186,'Employee information'!$B:$AI,COLUMNS('Employee information'!$B:$P),0)),
0)</f>
        <v>0</v>
      </c>
      <c r="R186" s="114">
        <f t="shared" si="182"/>
        <v>1615.3846153846152</v>
      </c>
      <c r="T186" s="103"/>
      <c r="U186" s="103"/>
      <c r="V186" s="282">
        <f>IF($C186="","",
IF(AND($E$2="Monthly",$A186&gt;12),"",
$T186*VLOOKUP($C186,'Employee information'!$B:$P,COLUMNS('Employee information'!$B:$P),0)))</f>
        <v>0</v>
      </c>
      <c r="W186" s="282">
        <f>IF($C186="","",
IF(AND($E$2="Monthly",$A186&gt;12),"",
$U186*VLOOKUP($C186,'Employee information'!$B:$P,COLUMNS('Employee information'!$B:$P),0)))</f>
        <v>0</v>
      </c>
      <c r="X186" s="114">
        <f t="shared" si="183"/>
        <v>0</v>
      </c>
      <c r="Y186" s="114">
        <f t="shared" si="184"/>
        <v>288.46153846153845</v>
      </c>
      <c r="AA186" s="118">
        <f>IFERROR(
IF(OR('Basic payroll data'!$D$12="",'Basic payroll data'!$D$12="No"),0,
$T186*VLOOKUP($C186,'Employee information'!$B:$P,COLUMNS('Employee information'!$B:$P),0)*AL_loading_perc),
0)</f>
        <v>0</v>
      </c>
      <c r="AC186" s="118"/>
      <c r="AD186" s="118"/>
      <c r="AE186" s="283" t="str">
        <f t="shared" ref="AE186:AE203" si="197">IF(LEFT($AD186,6)="Is OTE",1,
IF(LEFT($AD186,10)="Is not OTE",0,
""))</f>
        <v/>
      </c>
      <c r="AF186" s="283" t="str">
        <f t="shared" ref="AF186:AF203" si="198">IF(RIGHT($AD186,12)="tax withheld",1,
IF(RIGHT($AD186,16)="tax not withheld",0,
""))</f>
        <v/>
      </c>
      <c r="AG186" s="118"/>
      <c r="AH186" s="118"/>
      <c r="AI186" s="283" t="str">
        <f t="shared" ref="AI186:AI203" si="199">IF($AH186="FBT",0,
IF($AH186="Not FBT",1,
""))</f>
        <v/>
      </c>
      <c r="AJ186" s="118"/>
      <c r="AK186" s="118"/>
      <c r="AM186" s="118">
        <f t="shared" ref="AM186:AM203" si="200">SUM($L186,$AA186,$AC186,$AG186,$AK186)-$AJ186</f>
        <v>0</v>
      </c>
      <c r="AN186" s="118">
        <f t="shared" si="185"/>
        <v>0</v>
      </c>
      <c r="AO186" s="118" t="str">
        <f>IFERROR(
IF(VLOOKUP($C186,'Employee information'!$B:$M,COLUMNS('Employee information'!$B:$M),0)=1,
IF($E$2="Fortnightly",
ROUND(
ROUND((((TRUNC($AN186/2,0)+0.99))*VLOOKUP((TRUNC($AN186/2,0)+0.99),'Tax scales - NAT 1004'!$A$12:$C$18,2,1)-VLOOKUP((TRUNC($AN186/2,0)+0.99),'Tax scales - NAT 1004'!$A$12:$C$18,3,1)),0)
*2,
0),
IF(AND($E$2="Monthly",ROUND($AN186-TRUNC($AN186),2)=0.33),
ROUND(
ROUND(((TRUNC(($AN186+0.01)*3/13,0)+0.99)*VLOOKUP((TRUNC(($AN186+0.01)*3/13,0)+0.99),'Tax scales - NAT 1004'!$A$12:$C$18,2,1)-VLOOKUP((TRUNC(($AN186+0.01)*3/13,0)+0.99),'Tax scales - NAT 1004'!$A$12:$C$18,3,1)),0)
*13/3,
0),
IF($E$2="Monthly",
ROUND(
ROUND(((TRUNC($AN186*3/13,0)+0.99)*VLOOKUP((TRUNC($AN186*3/13,0)+0.99),'Tax scales - NAT 1004'!$A$12:$C$18,2,1)-VLOOKUP((TRUNC($AN186*3/13,0)+0.99),'Tax scales - NAT 1004'!$A$12:$C$18,3,1)),0)
*13/3,
0),
""))),
""),
"")</f>
        <v/>
      </c>
      <c r="AP186" s="118" t="str">
        <f>IFERROR(
IF(VLOOKUP($C186,'Employee information'!$B:$M,COLUMNS('Employee information'!$B:$M),0)=2,
IF($E$2="Fortnightly",
ROUND(
ROUND((((TRUNC($AN186/2,0)+0.99))*VLOOKUP((TRUNC($AN186/2,0)+0.99),'Tax scales - NAT 1004'!$A$25:$C$33,2,1)-VLOOKUP((TRUNC($AN186/2,0)+0.99),'Tax scales - NAT 1004'!$A$25:$C$33,3,1)),0)
*2,
0),
IF(AND($E$2="Monthly",ROUND($AN186-TRUNC($AN186),2)=0.33),
ROUND(
ROUND(((TRUNC(($AN186+0.01)*3/13,0)+0.99)*VLOOKUP((TRUNC(($AN186+0.01)*3/13,0)+0.99),'Tax scales - NAT 1004'!$A$25:$C$33,2,1)-VLOOKUP((TRUNC(($AN186+0.01)*3/13,0)+0.99),'Tax scales - NAT 1004'!$A$25:$C$33,3,1)),0)
*13/3,
0),
IF($E$2="Monthly",
ROUND(
ROUND(((TRUNC($AN186*3/13,0)+0.99)*VLOOKUP((TRUNC($AN186*3/13,0)+0.99),'Tax scales - NAT 1004'!$A$25:$C$33,2,1)-VLOOKUP((TRUNC($AN186*3/13,0)+0.99),'Tax scales - NAT 1004'!$A$25:$C$33,3,1)),0)
*13/3,
0),
""))),
""),
"")</f>
        <v/>
      </c>
      <c r="AQ186" s="118" t="str">
        <f>IFERROR(
IF(VLOOKUP($C186,'Employee information'!$B:$M,COLUMNS('Employee information'!$B:$M),0)=3,
IF($E$2="Fortnightly",
ROUND(
ROUND((((TRUNC($AN186/2,0)+0.99))*VLOOKUP((TRUNC($AN186/2,0)+0.99),'Tax scales - NAT 1004'!$A$39:$C$41,2,1)-VLOOKUP((TRUNC($AN186/2,0)+0.99),'Tax scales - NAT 1004'!$A$39:$C$41,3,1)),0)
*2,
0),
IF(AND($E$2="Monthly",ROUND($AN186-TRUNC($AN186),2)=0.33),
ROUND(
ROUND(((TRUNC(($AN186+0.01)*3/13,0)+0.99)*VLOOKUP((TRUNC(($AN186+0.01)*3/13,0)+0.99),'Tax scales - NAT 1004'!$A$39:$C$41,2,1)-VLOOKUP((TRUNC(($AN186+0.01)*3/13,0)+0.99),'Tax scales - NAT 1004'!$A$39:$C$41,3,1)),0)
*13/3,
0),
IF($E$2="Monthly",
ROUND(
ROUND(((TRUNC($AN186*3/13,0)+0.99)*VLOOKUP((TRUNC($AN186*3/13,0)+0.99),'Tax scales - NAT 1004'!$A$39:$C$41,2,1)-VLOOKUP((TRUNC($AN186*3/13,0)+0.99),'Tax scales - NAT 1004'!$A$39:$C$41,3,1)),0)
*13/3,
0),
""))),
""),
"")</f>
        <v/>
      </c>
      <c r="AR186" s="118" t="str">
        <f>IFERROR(
IF(AND(VLOOKUP($C186,'Employee information'!$B:$M,COLUMNS('Employee information'!$B:$M),0)=4,
VLOOKUP($C186,'Employee information'!$B:$J,COLUMNS('Employee information'!$B:$J),0)="Resident"),
TRUNC(TRUNC($AN186)*'Tax scales - NAT 1004'!$B$47),
IF(AND(VLOOKUP($C186,'Employee information'!$B:$M,COLUMNS('Employee information'!$B:$M),0)=4,
VLOOKUP($C186,'Employee information'!$B:$J,COLUMNS('Employee information'!$B:$J),0)="Foreign resident"),
TRUNC(TRUNC($AN186)*'Tax scales - NAT 1004'!$B$48),
"")),
"")</f>
        <v/>
      </c>
      <c r="AS186" s="118" t="str">
        <f>IFERROR(
IF(VLOOKUP($C186,'Employee information'!$B:$M,COLUMNS('Employee information'!$B:$M),0)=5,
IF($E$2="Fortnightly",
ROUND(
ROUND((((TRUNC($AN186/2,0)+0.99))*VLOOKUP((TRUNC($AN186/2,0)+0.99),'Tax scales - NAT 1004'!$A$53:$C$59,2,1)-VLOOKUP((TRUNC($AN186/2,0)+0.99),'Tax scales - NAT 1004'!$A$53:$C$59,3,1)),0)
*2,
0),
IF(AND($E$2="Monthly",ROUND($AN186-TRUNC($AN186),2)=0.33),
ROUND(
ROUND(((TRUNC(($AN186+0.01)*3/13,0)+0.99)*VLOOKUP((TRUNC(($AN186+0.01)*3/13,0)+0.99),'Tax scales - NAT 1004'!$A$53:$C$59,2,1)-VLOOKUP((TRUNC(($AN186+0.01)*3/13,0)+0.99),'Tax scales - NAT 1004'!$A$53:$C$59,3,1)),0)
*13/3,
0),
IF($E$2="Monthly",
ROUND(
ROUND(((TRUNC($AN186*3/13,0)+0.99)*VLOOKUP((TRUNC($AN186*3/13,0)+0.99),'Tax scales - NAT 1004'!$A$53:$C$59,2,1)-VLOOKUP((TRUNC($AN186*3/13,0)+0.99),'Tax scales - NAT 1004'!$A$53:$C$59,3,1)),0)
*13/3,
0),
""))),
""),
"")</f>
        <v/>
      </c>
      <c r="AT186" s="118" t="str">
        <f>IFERROR(
IF(VLOOKUP($C186,'Employee information'!$B:$M,COLUMNS('Employee information'!$B:$M),0)=6,
IF($E$2="Fortnightly",
ROUND(
ROUND((((TRUNC($AN186/2,0)+0.99))*VLOOKUP((TRUNC($AN186/2,0)+0.99),'Tax scales - NAT 1004'!$A$65:$C$73,2,1)-VLOOKUP((TRUNC($AN186/2,0)+0.99),'Tax scales - NAT 1004'!$A$65:$C$73,3,1)),0)
*2,
0),
IF(AND($E$2="Monthly",ROUND($AN186-TRUNC($AN186),2)=0.33),
ROUND(
ROUND(((TRUNC(($AN186+0.01)*3/13,0)+0.99)*VLOOKUP((TRUNC(($AN186+0.01)*3/13,0)+0.99),'Tax scales - NAT 1004'!$A$65:$C$73,2,1)-VLOOKUP((TRUNC(($AN186+0.01)*3/13,0)+0.99),'Tax scales - NAT 1004'!$A$65:$C$73,3,1)),0)
*13/3,
0),
IF($E$2="Monthly",
ROUND(
ROUND(((TRUNC($AN186*3/13,0)+0.99)*VLOOKUP((TRUNC($AN186*3/13,0)+0.99),'Tax scales - NAT 1004'!$A$65:$C$73,2,1)-VLOOKUP((TRUNC($AN186*3/13,0)+0.99),'Tax scales - NAT 1004'!$A$65:$C$73,3,1)),0)
*13/3,
0),
""))),
""),
"")</f>
        <v/>
      </c>
      <c r="AU186" s="118">
        <f>IFERROR(
IF(VLOOKUP($C186,'Employee information'!$B:$M,COLUMNS('Employee information'!$B:$M),0)=11,
IF($E$2="Fortnightly",
ROUND(
ROUND((((TRUNC($AN186/2,0)+0.99))*VLOOKUP((TRUNC($AN186/2,0)+0.99),'Tax scales - NAT 3539'!$A$14:$C$38,2,1)-VLOOKUP((TRUNC($AN186/2,0)+0.99),'Tax scales - NAT 3539'!$A$14:$C$38,3,1)),0)
*2,
0),
IF(AND($E$2="Monthly",ROUND($AN186-TRUNC($AN186),2)=0.33),
ROUND(
ROUND(((TRUNC(($AN186+0.01)*3/13,0)+0.99)*VLOOKUP((TRUNC(($AN186+0.01)*3/13,0)+0.99),'Tax scales - NAT 3539'!$A$14:$C$38,2,1)-VLOOKUP((TRUNC(($AN186+0.01)*3/13,0)+0.99),'Tax scales - NAT 3539'!$A$14:$C$38,3,1)),0)
*13/3,
0),
IF($E$2="Monthly",
ROUND(
ROUND(((TRUNC($AN186*3/13,0)+0.99)*VLOOKUP((TRUNC($AN186*3/13,0)+0.99),'Tax scales - NAT 3539'!$A$14:$C$38,2,1)-VLOOKUP((TRUNC($AN186*3/13,0)+0.99),'Tax scales - NAT 3539'!$A$14:$C$38,3,1)),0)
*13/3,
0),
""))),
""),
"")</f>
        <v>0</v>
      </c>
      <c r="AV186" s="118" t="str">
        <f>IFERROR(
IF(VLOOKUP($C186,'Employee information'!$B:$M,COLUMNS('Employee information'!$B:$M),0)=22,
IF($E$2="Fortnightly",
ROUND(
ROUND((((TRUNC($AN186/2,0)+0.99))*VLOOKUP((TRUNC($AN186/2,0)+0.99),'Tax scales - NAT 3539'!$A$43:$C$69,2,1)-VLOOKUP((TRUNC($AN186/2,0)+0.99),'Tax scales - NAT 3539'!$A$43:$C$69,3,1)),0)
*2,
0),
IF(AND($E$2="Monthly",ROUND($AN186-TRUNC($AN186),2)=0.33),
ROUND(
ROUND(((TRUNC(($AN186+0.01)*3/13,0)+0.99)*VLOOKUP((TRUNC(($AN186+0.01)*3/13,0)+0.99),'Tax scales - NAT 3539'!$A$43:$C$69,2,1)-VLOOKUP((TRUNC(($AN186+0.01)*3/13,0)+0.99),'Tax scales - NAT 3539'!$A$43:$C$69,3,1)),0)
*13/3,
0),
IF($E$2="Monthly",
ROUND(
ROUND(((TRUNC($AN186*3/13,0)+0.99)*VLOOKUP((TRUNC($AN186*3/13,0)+0.99),'Tax scales - NAT 3539'!$A$43:$C$69,2,1)-VLOOKUP((TRUNC($AN186*3/13,0)+0.99),'Tax scales - NAT 3539'!$A$43:$C$69,3,1)),0)
*13/3,
0),
""))),
""),
"")</f>
        <v/>
      </c>
      <c r="AW186" s="118" t="str">
        <f>IFERROR(
IF(VLOOKUP($C186,'Employee information'!$B:$M,COLUMNS('Employee information'!$B:$M),0)=33,
IF($E$2="Fortnightly",
ROUND(
ROUND((((TRUNC($AN186/2,0)+0.99))*VLOOKUP((TRUNC($AN186/2,0)+0.99),'Tax scales - NAT 3539'!$A$74:$C$94,2,1)-VLOOKUP((TRUNC($AN186/2,0)+0.99),'Tax scales - NAT 3539'!$A$74:$C$94,3,1)),0)
*2,
0),
IF(AND($E$2="Monthly",ROUND($AN186-TRUNC($AN186),2)=0.33),
ROUND(
ROUND(((TRUNC(($AN186+0.01)*3/13,0)+0.99)*VLOOKUP((TRUNC(($AN186+0.01)*3/13,0)+0.99),'Tax scales - NAT 3539'!$A$74:$C$94,2,1)-VLOOKUP((TRUNC(($AN186+0.01)*3/13,0)+0.99),'Tax scales - NAT 3539'!$A$74:$C$94,3,1)),0)
*13/3,
0),
IF($E$2="Monthly",
ROUND(
ROUND(((TRUNC($AN186*3/13,0)+0.99)*VLOOKUP((TRUNC($AN186*3/13,0)+0.99),'Tax scales - NAT 3539'!$A$74:$C$94,2,1)-VLOOKUP((TRUNC($AN186*3/13,0)+0.99),'Tax scales - NAT 3539'!$A$74:$C$94,3,1)),0)
*13/3,
0),
""))),
""),
"")</f>
        <v/>
      </c>
      <c r="AX186" s="118" t="str">
        <f>IFERROR(
IF(VLOOKUP($C186,'Employee information'!$B:$M,COLUMNS('Employee information'!$B:$M),0)=55,
IF($E$2="Fortnightly",
ROUND(
ROUND((((TRUNC($AN186/2,0)+0.99))*VLOOKUP((TRUNC($AN186/2,0)+0.99),'Tax scales - NAT 3539'!$A$99:$C$123,2,1)-VLOOKUP((TRUNC($AN186/2,0)+0.99),'Tax scales - NAT 3539'!$A$99:$C$123,3,1)),0)
*2,
0),
IF(AND($E$2="Monthly",ROUND($AN186-TRUNC($AN186),2)=0.33),
ROUND(
ROUND(((TRUNC(($AN186+0.01)*3/13,0)+0.99)*VLOOKUP((TRUNC(($AN186+0.01)*3/13,0)+0.99),'Tax scales - NAT 3539'!$A$99:$C$123,2,1)-VLOOKUP((TRUNC(($AN186+0.01)*3/13,0)+0.99),'Tax scales - NAT 3539'!$A$99:$C$123,3,1)),0)
*13/3,
0),
IF($E$2="Monthly",
ROUND(
ROUND(((TRUNC($AN186*3/13,0)+0.99)*VLOOKUP((TRUNC($AN186*3/13,0)+0.99),'Tax scales - NAT 3539'!$A$99:$C$123,2,1)-VLOOKUP((TRUNC($AN186*3/13,0)+0.99),'Tax scales - NAT 3539'!$A$99:$C$123,3,1)),0)
*13/3,
0),
""))),
""),
"")</f>
        <v/>
      </c>
      <c r="AY186" s="118" t="str">
        <f>IFERROR(
IF(VLOOKUP($C186,'Employee information'!$B:$M,COLUMNS('Employee information'!$B:$M),0)=66,
IF($E$2="Fortnightly",
ROUND(
ROUND((((TRUNC($AN186/2,0)+0.99))*VLOOKUP((TRUNC($AN186/2,0)+0.99),'Tax scales - NAT 3539'!$A$127:$C$154,2,1)-VLOOKUP((TRUNC($AN186/2,0)+0.99),'Tax scales - NAT 3539'!$A$127:$C$154,3,1)),0)
*2,
0),
IF(AND($E$2="Monthly",ROUND($AN186-TRUNC($AN186),2)=0.33),
ROUND(
ROUND(((TRUNC(($AN186+0.01)*3/13,0)+0.99)*VLOOKUP((TRUNC(($AN186+0.01)*3/13,0)+0.99),'Tax scales - NAT 3539'!$A$127:$C$154,2,1)-VLOOKUP((TRUNC(($AN186+0.01)*3/13,0)+0.99),'Tax scales - NAT 3539'!$A$127:$C$154,3,1)),0)
*13/3,
0),
IF($E$2="Monthly",
ROUND(
ROUND(((TRUNC($AN186*3/13,0)+0.99)*VLOOKUP((TRUNC($AN186*3/13,0)+0.99),'Tax scales - NAT 3539'!$A$127:$C$154,2,1)-VLOOKUP((TRUNC($AN186*3/13,0)+0.99),'Tax scales - NAT 3539'!$A$127:$C$154,3,1)),0)
*13/3,
0),
""))),
""),
"")</f>
        <v/>
      </c>
      <c r="AZ186" s="118">
        <f>IFERROR(
HLOOKUP(VLOOKUP($C186,'Employee information'!$B:$M,COLUMNS('Employee information'!$B:$M),0),'PAYG worksheet'!$AO$184:$AY$203,COUNTA($C$185:$C186)+1,0),
0)</f>
        <v>0</v>
      </c>
      <c r="BA186" s="118"/>
      <c r="BB186" s="118">
        <f t="shared" ref="BB186:BB203" si="201">IFERROR($AM186-$AZ186-$BA186,"")</f>
        <v>0</v>
      </c>
      <c r="BC186" s="119">
        <f>IFERROR(
IF(OR($AE186=1,$AE186=""),SUM($P186,$AA186,$AC186,$AK186)*VLOOKUP($C186,'Employee information'!$B:$Q,COLUMNS('Employee information'!$B:$H),0),
IF($AE186=0,SUM($P186,$AA186,$AK186)*VLOOKUP($C186,'Employee information'!$B:$Q,COLUMNS('Employee information'!$B:$H),0),
0)),
0)</f>
        <v>0</v>
      </c>
      <c r="BE186" s="114">
        <f t="shared" si="186"/>
        <v>1615.3846153846152</v>
      </c>
      <c r="BF186" s="114">
        <f t="shared" si="187"/>
        <v>1615.3846153846152</v>
      </c>
      <c r="BG186" s="114">
        <f t="shared" si="188"/>
        <v>0</v>
      </c>
      <c r="BH186" s="114">
        <f t="shared" si="189"/>
        <v>0</v>
      </c>
      <c r="BI186" s="114">
        <f t="shared" si="190"/>
        <v>474</v>
      </c>
      <c r="BJ186" s="114">
        <f t="shared" si="191"/>
        <v>0</v>
      </c>
      <c r="BK186" s="114">
        <f t="shared" si="192"/>
        <v>0</v>
      </c>
      <c r="BL186" s="114">
        <f t="shared" ref="BL186:BL203" si="202">IF(AND($E$2="Monthly",$A186&gt;12),"",
SUMIFS($AK:$AK,$C:$C,$C186,$A:$A,"&lt;="&amp;$A186)
)</f>
        <v>0</v>
      </c>
      <c r="BM186" s="114">
        <f t="shared" si="193"/>
        <v>153.46153846153845</v>
      </c>
    </row>
    <row r="187" spans="1:65" x14ac:dyDescent="0.25">
      <c r="A187" s="228">
        <f t="shared" si="181"/>
        <v>7</v>
      </c>
      <c r="C187" s="278" t="s">
        <v>14</v>
      </c>
      <c r="E187" s="103">
        <f>IF($C187="",0,
IF(AND($E$2="Monthly",$A187&gt;12),0,
IF($E$2="Monthly",VLOOKUP($C187,'Employee information'!$B:$AM,COLUMNS('Employee information'!$B:S),0),
IF($E$2="Fortnightly",VLOOKUP($C187,'Employee information'!$B:$AM,COLUMNS('Employee information'!$B:R),0),
0))))</f>
        <v>0</v>
      </c>
      <c r="F187" s="106"/>
      <c r="G187" s="106"/>
      <c r="H187" s="106"/>
      <c r="I187" s="106"/>
      <c r="J187" s="103">
        <f t="shared" si="194"/>
        <v>0</v>
      </c>
      <c r="L187" s="113">
        <f>IF(AND($E$2="Monthly",$A187&gt;12),"",
IFERROR($J187*VLOOKUP($C187,'Employee information'!$B:$AI,COLUMNS('Employee information'!$B:$P),0),0))</f>
        <v>0</v>
      </c>
      <c r="M187" s="114">
        <f t="shared" si="195"/>
        <v>900</v>
      </c>
      <c r="O187" s="103">
        <f t="shared" si="196"/>
        <v>0</v>
      </c>
      <c r="P187" s="113">
        <f>IFERROR(
IF(AND($E$2="Monthly",$A187&gt;12),0,
$O187*VLOOKUP($C187,'Employee information'!$B:$AI,COLUMNS('Employee information'!$B:$P),0)),
0)</f>
        <v>0</v>
      </c>
      <c r="R187" s="114">
        <f t="shared" si="182"/>
        <v>900</v>
      </c>
      <c r="T187" s="103"/>
      <c r="U187" s="103"/>
      <c r="V187" s="282">
        <f>IF($C187="","",
IF(AND($E$2="Monthly",$A187&gt;12),"",
$T187*VLOOKUP($C187,'Employee information'!$B:$P,COLUMNS('Employee information'!$B:$P),0)))</f>
        <v>0</v>
      </c>
      <c r="W187" s="282">
        <f>IF($C187="","",
IF(AND($E$2="Monthly",$A187&gt;12),"",
$U187*VLOOKUP($C187,'Employee information'!$B:$P,COLUMNS('Employee information'!$B:$P),0)))</f>
        <v>0</v>
      </c>
      <c r="X187" s="114">
        <f t="shared" si="183"/>
        <v>0</v>
      </c>
      <c r="Y187" s="114">
        <f t="shared" si="184"/>
        <v>0</v>
      </c>
      <c r="AA187" s="118">
        <f>IFERROR(
IF(OR('Basic payroll data'!$D$12="",'Basic payroll data'!$D$12="No"),0,
$T187*VLOOKUP($C187,'Employee information'!$B:$P,COLUMNS('Employee information'!$B:$P),0)*AL_loading_perc),
0)</f>
        <v>0</v>
      </c>
      <c r="AC187" s="118"/>
      <c r="AD187" s="118"/>
      <c r="AE187" s="283" t="str">
        <f t="shared" si="197"/>
        <v/>
      </c>
      <c r="AF187" s="283" t="str">
        <f t="shared" si="198"/>
        <v/>
      </c>
      <c r="AG187" s="118"/>
      <c r="AH187" s="118"/>
      <c r="AI187" s="283" t="str">
        <f t="shared" si="199"/>
        <v/>
      </c>
      <c r="AJ187" s="118"/>
      <c r="AK187" s="118"/>
      <c r="AM187" s="118">
        <f t="shared" si="200"/>
        <v>0</v>
      </c>
      <c r="AN187" s="118">
        <f t="shared" si="185"/>
        <v>0</v>
      </c>
      <c r="AO187" s="118" t="str">
        <f>IFERROR(
IF(VLOOKUP($C187,'Employee information'!$B:$M,COLUMNS('Employee information'!$B:$M),0)=1,
IF($E$2="Fortnightly",
ROUND(
ROUND((((TRUNC($AN187/2,0)+0.99))*VLOOKUP((TRUNC($AN187/2,0)+0.99),'Tax scales - NAT 1004'!$A$12:$C$18,2,1)-VLOOKUP((TRUNC($AN187/2,0)+0.99),'Tax scales - NAT 1004'!$A$12:$C$18,3,1)),0)
*2,
0),
IF(AND($E$2="Monthly",ROUND($AN187-TRUNC($AN187),2)=0.33),
ROUND(
ROUND(((TRUNC(($AN187+0.01)*3/13,0)+0.99)*VLOOKUP((TRUNC(($AN187+0.01)*3/13,0)+0.99),'Tax scales - NAT 1004'!$A$12:$C$18,2,1)-VLOOKUP((TRUNC(($AN187+0.01)*3/13,0)+0.99),'Tax scales - NAT 1004'!$A$12:$C$18,3,1)),0)
*13/3,
0),
IF($E$2="Monthly",
ROUND(
ROUND(((TRUNC($AN187*3/13,0)+0.99)*VLOOKUP((TRUNC($AN187*3/13,0)+0.99),'Tax scales - NAT 1004'!$A$12:$C$18,2,1)-VLOOKUP((TRUNC($AN187*3/13,0)+0.99),'Tax scales - NAT 1004'!$A$12:$C$18,3,1)),0)
*13/3,
0),
""))),
""),
"")</f>
        <v/>
      </c>
      <c r="AP187" s="118" t="str">
        <f>IFERROR(
IF(VLOOKUP($C187,'Employee information'!$B:$M,COLUMNS('Employee information'!$B:$M),0)=2,
IF($E$2="Fortnightly",
ROUND(
ROUND((((TRUNC($AN187/2,0)+0.99))*VLOOKUP((TRUNC($AN187/2,0)+0.99),'Tax scales - NAT 1004'!$A$25:$C$33,2,1)-VLOOKUP((TRUNC($AN187/2,0)+0.99),'Tax scales - NAT 1004'!$A$25:$C$33,3,1)),0)
*2,
0),
IF(AND($E$2="Monthly",ROUND($AN187-TRUNC($AN187),2)=0.33),
ROUND(
ROUND(((TRUNC(($AN187+0.01)*3/13,0)+0.99)*VLOOKUP((TRUNC(($AN187+0.01)*3/13,0)+0.99),'Tax scales - NAT 1004'!$A$25:$C$33,2,1)-VLOOKUP((TRUNC(($AN187+0.01)*3/13,0)+0.99),'Tax scales - NAT 1004'!$A$25:$C$33,3,1)),0)
*13/3,
0),
IF($E$2="Monthly",
ROUND(
ROUND(((TRUNC($AN187*3/13,0)+0.99)*VLOOKUP((TRUNC($AN187*3/13,0)+0.99),'Tax scales - NAT 1004'!$A$25:$C$33,2,1)-VLOOKUP((TRUNC($AN187*3/13,0)+0.99),'Tax scales - NAT 1004'!$A$25:$C$33,3,1)),0)
*13/3,
0),
""))),
""),
"")</f>
        <v/>
      </c>
      <c r="AQ187" s="118" t="str">
        <f>IFERROR(
IF(VLOOKUP($C187,'Employee information'!$B:$M,COLUMNS('Employee information'!$B:$M),0)=3,
IF($E$2="Fortnightly",
ROUND(
ROUND((((TRUNC($AN187/2,0)+0.99))*VLOOKUP((TRUNC($AN187/2,0)+0.99),'Tax scales - NAT 1004'!$A$39:$C$41,2,1)-VLOOKUP((TRUNC($AN187/2,0)+0.99),'Tax scales - NAT 1004'!$A$39:$C$41,3,1)),0)
*2,
0),
IF(AND($E$2="Monthly",ROUND($AN187-TRUNC($AN187),2)=0.33),
ROUND(
ROUND(((TRUNC(($AN187+0.01)*3/13,0)+0.99)*VLOOKUP((TRUNC(($AN187+0.01)*3/13,0)+0.99),'Tax scales - NAT 1004'!$A$39:$C$41,2,1)-VLOOKUP((TRUNC(($AN187+0.01)*3/13,0)+0.99),'Tax scales - NAT 1004'!$A$39:$C$41,3,1)),0)
*13/3,
0),
IF($E$2="Monthly",
ROUND(
ROUND(((TRUNC($AN187*3/13,0)+0.99)*VLOOKUP((TRUNC($AN187*3/13,0)+0.99),'Tax scales - NAT 1004'!$A$39:$C$41,2,1)-VLOOKUP((TRUNC($AN187*3/13,0)+0.99),'Tax scales - NAT 1004'!$A$39:$C$41,3,1)),0)
*13/3,
0),
""))),
""),
"")</f>
        <v/>
      </c>
      <c r="AR187" s="118" t="str">
        <f>IFERROR(
IF(AND(VLOOKUP($C187,'Employee information'!$B:$M,COLUMNS('Employee information'!$B:$M),0)=4,
VLOOKUP($C187,'Employee information'!$B:$J,COLUMNS('Employee information'!$B:$J),0)="Resident"),
TRUNC(TRUNC($AN187)*'Tax scales - NAT 1004'!$B$47),
IF(AND(VLOOKUP($C187,'Employee information'!$B:$M,COLUMNS('Employee information'!$B:$M),0)=4,
VLOOKUP($C187,'Employee information'!$B:$J,COLUMNS('Employee information'!$B:$J),0)="Foreign resident"),
TRUNC(TRUNC($AN187)*'Tax scales - NAT 1004'!$B$48),
"")),
"")</f>
        <v/>
      </c>
      <c r="AS187" s="118" t="str">
        <f>IFERROR(
IF(VLOOKUP($C187,'Employee information'!$B:$M,COLUMNS('Employee information'!$B:$M),0)=5,
IF($E$2="Fortnightly",
ROUND(
ROUND((((TRUNC($AN187/2,0)+0.99))*VLOOKUP((TRUNC($AN187/2,0)+0.99),'Tax scales - NAT 1004'!$A$53:$C$59,2,1)-VLOOKUP((TRUNC($AN187/2,0)+0.99),'Tax scales - NAT 1004'!$A$53:$C$59,3,1)),0)
*2,
0),
IF(AND($E$2="Monthly",ROUND($AN187-TRUNC($AN187),2)=0.33),
ROUND(
ROUND(((TRUNC(($AN187+0.01)*3/13,0)+0.99)*VLOOKUP((TRUNC(($AN187+0.01)*3/13,0)+0.99),'Tax scales - NAT 1004'!$A$53:$C$59,2,1)-VLOOKUP((TRUNC(($AN187+0.01)*3/13,0)+0.99),'Tax scales - NAT 1004'!$A$53:$C$59,3,1)),0)
*13/3,
0),
IF($E$2="Monthly",
ROUND(
ROUND(((TRUNC($AN187*3/13,0)+0.99)*VLOOKUP((TRUNC($AN187*3/13,0)+0.99),'Tax scales - NAT 1004'!$A$53:$C$59,2,1)-VLOOKUP((TRUNC($AN187*3/13,0)+0.99),'Tax scales - NAT 1004'!$A$53:$C$59,3,1)),0)
*13/3,
0),
""))),
""),
"")</f>
        <v/>
      </c>
      <c r="AT187" s="118" t="str">
        <f>IFERROR(
IF(VLOOKUP($C187,'Employee information'!$B:$M,COLUMNS('Employee information'!$B:$M),0)=6,
IF($E$2="Fortnightly",
ROUND(
ROUND((((TRUNC($AN187/2,0)+0.99))*VLOOKUP((TRUNC($AN187/2,0)+0.99),'Tax scales - NAT 1004'!$A$65:$C$73,2,1)-VLOOKUP((TRUNC($AN187/2,0)+0.99),'Tax scales - NAT 1004'!$A$65:$C$73,3,1)),0)
*2,
0),
IF(AND($E$2="Monthly",ROUND($AN187-TRUNC($AN187),2)=0.33),
ROUND(
ROUND(((TRUNC(($AN187+0.01)*3/13,0)+0.99)*VLOOKUP((TRUNC(($AN187+0.01)*3/13,0)+0.99),'Tax scales - NAT 1004'!$A$65:$C$73,2,1)-VLOOKUP((TRUNC(($AN187+0.01)*3/13,0)+0.99),'Tax scales - NAT 1004'!$A$65:$C$73,3,1)),0)
*13/3,
0),
IF($E$2="Monthly",
ROUND(
ROUND(((TRUNC($AN187*3/13,0)+0.99)*VLOOKUP((TRUNC($AN187*3/13,0)+0.99),'Tax scales - NAT 1004'!$A$65:$C$73,2,1)-VLOOKUP((TRUNC($AN187*3/13,0)+0.99),'Tax scales - NAT 1004'!$A$65:$C$73,3,1)),0)
*13/3,
0),
""))),
""),
"")</f>
        <v/>
      </c>
      <c r="AU187" s="118" t="str">
        <f>IFERROR(
IF(VLOOKUP($C187,'Employee information'!$B:$M,COLUMNS('Employee information'!$B:$M),0)=11,
IF($E$2="Fortnightly",
ROUND(
ROUND((((TRUNC($AN187/2,0)+0.99))*VLOOKUP((TRUNC($AN187/2,0)+0.99),'Tax scales - NAT 3539'!$A$14:$C$38,2,1)-VLOOKUP((TRUNC($AN187/2,0)+0.99),'Tax scales - NAT 3539'!$A$14:$C$38,3,1)),0)
*2,
0),
IF(AND($E$2="Monthly",ROUND($AN187-TRUNC($AN187),2)=0.33),
ROUND(
ROUND(((TRUNC(($AN187+0.01)*3/13,0)+0.99)*VLOOKUP((TRUNC(($AN187+0.01)*3/13,0)+0.99),'Tax scales - NAT 3539'!$A$14:$C$38,2,1)-VLOOKUP((TRUNC(($AN187+0.01)*3/13,0)+0.99),'Tax scales - NAT 3539'!$A$14:$C$38,3,1)),0)
*13/3,
0),
IF($E$2="Monthly",
ROUND(
ROUND(((TRUNC($AN187*3/13,0)+0.99)*VLOOKUP((TRUNC($AN187*3/13,0)+0.99),'Tax scales - NAT 3539'!$A$14:$C$38,2,1)-VLOOKUP((TRUNC($AN187*3/13,0)+0.99),'Tax scales - NAT 3539'!$A$14:$C$38,3,1)),0)
*13/3,
0),
""))),
""),
"")</f>
        <v/>
      </c>
      <c r="AV187" s="118" t="str">
        <f>IFERROR(
IF(VLOOKUP($C187,'Employee information'!$B:$M,COLUMNS('Employee information'!$B:$M),0)=22,
IF($E$2="Fortnightly",
ROUND(
ROUND((((TRUNC($AN187/2,0)+0.99))*VLOOKUP((TRUNC($AN187/2,0)+0.99),'Tax scales - NAT 3539'!$A$43:$C$69,2,1)-VLOOKUP((TRUNC($AN187/2,0)+0.99),'Tax scales - NAT 3539'!$A$43:$C$69,3,1)),0)
*2,
0),
IF(AND($E$2="Monthly",ROUND($AN187-TRUNC($AN187),2)=0.33),
ROUND(
ROUND(((TRUNC(($AN187+0.01)*3/13,0)+0.99)*VLOOKUP((TRUNC(($AN187+0.01)*3/13,0)+0.99),'Tax scales - NAT 3539'!$A$43:$C$69,2,1)-VLOOKUP((TRUNC(($AN187+0.01)*3/13,0)+0.99),'Tax scales - NAT 3539'!$A$43:$C$69,3,1)),0)
*13/3,
0),
IF($E$2="Monthly",
ROUND(
ROUND(((TRUNC($AN187*3/13,0)+0.99)*VLOOKUP((TRUNC($AN187*3/13,0)+0.99),'Tax scales - NAT 3539'!$A$43:$C$69,2,1)-VLOOKUP((TRUNC($AN187*3/13,0)+0.99),'Tax scales - NAT 3539'!$A$43:$C$69,3,1)),0)
*13/3,
0),
""))),
""),
"")</f>
        <v/>
      </c>
      <c r="AW187" s="118">
        <f>IFERROR(
IF(VLOOKUP($C187,'Employee information'!$B:$M,COLUMNS('Employee information'!$B:$M),0)=33,
IF($E$2="Fortnightly",
ROUND(
ROUND((((TRUNC($AN187/2,0)+0.99))*VLOOKUP((TRUNC($AN187/2,0)+0.99),'Tax scales - NAT 3539'!$A$74:$C$94,2,1)-VLOOKUP((TRUNC($AN187/2,0)+0.99),'Tax scales - NAT 3539'!$A$74:$C$94,3,1)),0)
*2,
0),
IF(AND($E$2="Monthly",ROUND($AN187-TRUNC($AN187),2)=0.33),
ROUND(
ROUND(((TRUNC(($AN187+0.01)*3/13,0)+0.99)*VLOOKUP((TRUNC(($AN187+0.01)*3/13,0)+0.99),'Tax scales - NAT 3539'!$A$74:$C$94,2,1)-VLOOKUP((TRUNC(($AN187+0.01)*3/13,0)+0.99),'Tax scales - NAT 3539'!$A$74:$C$94,3,1)),0)
*13/3,
0),
IF($E$2="Monthly",
ROUND(
ROUND(((TRUNC($AN187*3/13,0)+0.99)*VLOOKUP((TRUNC($AN187*3/13,0)+0.99),'Tax scales - NAT 3539'!$A$74:$C$94,2,1)-VLOOKUP((TRUNC($AN187*3/13,0)+0.99),'Tax scales - NAT 3539'!$A$74:$C$94,3,1)),0)
*13/3,
0),
""))),
""),
"")</f>
        <v>0</v>
      </c>
      <c r="AX187" s="118" t="str">
        <f>IFERROR(
IF(VLOOKUP($C187,'Employee information'!$B:$M,COLUMNS('Employee information'!$B:$M),0)=55,
IF($E$2="Fortnightly",
ROUND(
ROUND((((TRUNC($AN187/2,0)+0.99))*VLOOKUP((TRUNC($AN187/2,0)+0.99),'Tax scales - NAT 3539'!$A$99:$C$123,2,1)-VLOOKUP((TRUNC($AN187/2,0)+0.99),'Tax scales - NAT 3539'!$A$99:$C$123,3,1)),0)
*2,
0),
IF(AND($E$2="Monthly",ROUND($AN187-TRUNC($AN187),2)=0.33),
ROUND(
ROUND(((TRUNC(($AN187+0.01)*3/13,0)+0.99)*VLOOKUP((TRUNC(($AN187+0.01)*3/13,0)+0.99),'Tax scales - NAT 3539'!$A$99:$C$123,2,1)-VLOOKUP((TRUNC(($AN187+0.01)*3/13,0)+0.99),'Tax scales - NAT 3539'!$A$99:$C$123,3,1)),0)
*13/3,
0),
IF($E$2="Monthly",
ROUND(
ROUND(((TRUNC($AN187*3/13,0)+0.99)*VLOOKUP((TRUNC($AN187*3/13,0)+0.99),'Tax scales - NAT 3539'!$A$99:$C$123,2,1)-VLOOKUP((TRUNC($AN187*3/13,0)+0.99),'Tax scales - NAT 3539'!$A$99:$C$123,3,1)),0)
*13/3,
0),
""))),
""),
"")</f>
        <v/>
      </c>
      <c r="AY187" s="118" t="str">
        <f>IFERROR(
IF(VLOOKUP($C187,'Employee information'!$B:$M,COLUMNS('Employee information'!$B:$M),0)=66,
IF($E$2="Fortnightly",
ROUND(
ROUND((((TRUNC($AN187/2,0)+0.99))*VLOOKUP((TRUNC($AN187/2,0)+0.99),'Tax scales - NAT 3539'!$A$127:$C$154,2,1)-VLOOKUP((TRUNC($AN187/2,0)+0.99),'Tax scales - NAT 3539'!$A$127:$C$154,3,1)),0)
*2,
0),
IF(AND($E$2="Monthly",ROUND($AN187-TRUNC($AN187),2)=0.33),
ROUND(
ROUND(((TRUNC(($AN187+0.01)*3/13,0)+0.99)*VLOOKUP((TRUNC(($AN187+0.01)*3/13,0)+0.99),'Tax scales - NAT 3539'!$A$127:$C$154,2,1)-VLOOKUP((TRUNC(($AN187+0.01)*3/13,0)+0.99),'Tax scales - NAT 3539'!$A$127:$C$154,3,1)),0)
*13/3,
0),
IF($E$2="Monthly",
ROUND(
ROUND(((TRUNC($AN187*3/13,0)+0.99)*VLOOKUP((TRUNC($AN187*3/13,0)+0.99),'Tax scales - NAT 3539'!$A$127:$C$154,2,1)-VLOOKUP((TRUNC($AN187*3/13,0)+0.99),'Tax scales - NAT 3539'!$A$127:$C$154,3,1)),0)
*13/3,
0),
""))),
""),
"")</f>
        <v/>
      </c>
      <c r="AZ187" s="118">
        <f>IFERROR(
HLOOKUP(VLOOKUP($C187,'Employee information'!$B:$M,COLUMNS('Employee information'!$B:$M),0),'PAYG worksheet'!$AO$184:$AY$203,COUNTA($C$185:$C187)+1,0),
0)</f>
        <v>0</v>
      </c>
      <c r="BA187" s="118"/>
      <c r="BB187" s="118">
        <f t="shared" si="201"/>
        <v>0</v>
      </c>
      <c r="BC187" s="119">
        <f>IFERROR(
IF(OR($AE187=1,$AE187=""),SUM($P187,$AA187,$AC187,$AK187)*VLOOKUP($C187,'Employee information'!$B:$Q,COLUMNS('Employee information'!$B:$H),0),
IF($AE187=0,SUM($P187,$AA187,$AK187)*VLOOKUP($C187,'Employee information'!$B:$Q,COLUMNS('Employee information'!$B:$H),0),
0)),
0)</f>
        <v>0</v>
      </c>
      <c r="BE187" s="114">
        <f t="shared" si="186"/>
        <v>900</v>
      </c>
      <c r="BF187" s="114">
        <f t="shared" si="187"/>
        <v>900</v>
      </c>
      <c r="BG187" s="114">
        <f t="shared" si="188"/>
        <v>0</v>
      </c>
      <c r="BH187" s="114">
        <f t="shared" si="189"/>
        <v>0</v>
      </c>
      <c r="BI187" s="114">
        <f t="shared" si="190"/>
        <v>292</v>
      </c>
      <c r="BJ187" s="114">
        <f t="shared" si="191"/>
        <v>0</v>
      </c>
      <c r="BK187" s="114">
        <f t="shared" si="192"/>
        <v>0</v>
      </c>
      <c r="BL187" s="114">
        <f t="shared" si="202"/>
        <v>0</v>
      </c>
      <c r="BM187" s="114">
        <f t="shared" si="193"/>
        <v>85.5</v>
      </c>
    </row>
    <row r="188" spans="1:65" x14ac:dyDescent="0.25">
      <c r="A188" s="228">
        <f t="shared" si="181"/>
        <v>7</v>
      </c>
      <c r="C188" s="278" t="s">
        <v>15</v>
      </c>
      <c r="E188" s="103">
        <f>IF($C188="",0,
IF(AND($E$2="Monthly",$A188&gt;12),0,
IF($E$2="Monthly",VLOOKUP($C188,'Employee information'!$B:$AM,COLUMNS('Employee information'!$B:S),0),
IF($E$2="Fortnightly",VLOOKUP($C188,'Employee information'!$B:$AM,COLUMNS('Employee information'!$B:R),0),
0))))</f>
        <v>75</v>
      </c>
      <c r="F188" s="106"/>
      <c r="G188" s="106"/>
      <c r="H188" s="106"/>
      <c r="I188" s="106"/>
      <c r="J188" s="103">
        <f t="shared" si="194"/>
        <v>75</v>
      </c>
      <c r="L188" s="113">
        <f>IF(AND($E$2="Monthly",$A188&gt;12),"",
IFERROR($J188*VLOOKUP($C188,'Employee information'!$B:$AI,COLUMNS('Employee information'!$B:$P),0),0))</f>
        <v>7692.3076923076924</v>
      </c>
      <c r="M188" s="114">
        <f t="shared" si="195"/>
        <v>53846.153846153851</v>
      </c>
      <c r="O188" s="103">
        <f t="shared" si="196"/>
        <v>75</v>
      </c>
      <c r="P188" s="113">
        <f>IFERROR(
IF(AND($E$2="Monthly",$A188&gt;12),0,
$O188*VLOOKUP($C188,'Employee information'!$B:$AI,COLUMNS('Employee information'!$B:$P),0)),
0)</f>
        <v>7692.3076923076924</v>
      </c>
      <c r="R188" s="114">
        <f t="shared" si="182"/>
        <v>53846.153846153851</v>
      </c>
      <c r="T188" s="103"/>
      <c r="U188" s="103"/>
      <c r="V188" s="282">
        <f>IF($C188="","",
IF(AND($E$2="Monthly",$A188&gt;12),"",
$T188*VLOOKUP($C188,'Employee information'!$B:$P,COLUMNS('Employee information'!$B:$P),0)))</f>
        <v>0</v>
      </c>
      <c r="W188" s="282">
        <f>IF($C188="","",
IF(AND($E$2="Monthly",$A188&gt;12),"",
$U188*VLOOKUP($C188,'Employee information'!$B:$P,COLUMNS('Employee information'!$B:$P),0)))</f>
        <v>0</v>
      </c>
      <c r="X188" s="114">
        <f t="shared" si="183"/>
        <v>1538.4615384615386</v>
      </c>
      <c r="Y188" s="114">
        <f t="shared" si="184"/>
        <v>512.82051282051282</v>
      </c>
      <c r="AA188" s="118">
        <f>IFERROR(
IF(OR('Basic payroll data'!$D$12="",'Basic payroll data'!$D$12="No"),0,
$T188*VLOOKUP($C188,'Employee information'!$B:$P,COLUMNS('Employee information'!$B:$P),0)*AL_loading_perc),
0)</f>
        <v>0</v>
      </c>
      <c r="AC188" s="118"/>
      <c r="AD188" s="118"/>
      <c r="AE188" s="283" t="str">
        <f t="shared" si="197"/>
        <v/>
      </c>
      <c r="AF188" s="283" t="str">
        <f t="shared" si="198"/>
        <v/>
      </c>
      <c r="AG188" s="118"/>
      <c r="AH188" s="118"/>
      <c r="AI188" s="283" t="str">
        <f t="shared" si="199"/>
        <v/>
      </c>
      <c r="AJ188" s="118"/>
      <c r="AK188" s="118"/>
      <c r="AM188" s="118">
        <f t="shared" si="200"/>
        <v>7692.3076923076924</v>
      </c>
      <c r="AN188" s="118">
        <f t="shared" si="185"/>
        <v>7692.3076923076924</v>
      </c>
      <c r="AO188" s="118" t="str">
        <f>IFERROR(
IF(VLOOKUP($C188,'Employee information'!$B:$M,COLUMNS('Employee information'!$B:$M),0)=1,
IF($E$2="Fortnightly",
ROUND(
ROUND((((TRUNC($AN188/2,0)+0.99))*VLOOKUP((TRUNC($AN188/2,0)+0.99),'Tax scales - NAT 1004'!$A$12:$C$18,2,1)-VLOOKUP((TRUNC($AN188/2,0)+0.99),'Tax scales - NAT 1004'!$A$12:$C$18,3,1)),0)
*2,
0),
IF(AND($E$2="Monthly",ROUND($AN188-TRUNC($AN188),2)=0.33),
ROUND(
ROUND(((TRUNC(($AN188+0.01)*3/13,0)+0.99)*VLOOKUP((TRUNC(($AN188+0.01)*3/13,0)+0.99),'Tax scales - NAT 1004'!$A$12:$C$18,2,1)-VLOOKUP((TRUNC(($AN188+0.01)*3/13,0)+0.99),'Tax scales - NAT 1004'!$A$12:$C$18,3,1)),0)
*13/3,
0),
IF($E$2="Monthly",
ROUND(
ROUND(((TRUNC($AN188*3/13,0)+0.99)*VLOOKUP((TRUNC($AN188*3/13,0)+0.99),'Tax scales - NAT 1004'!$A$12:$C$18,2,1)-VLOOKUP((TRUNC($AN188*3/13,0)+0.99),'Tax scales - NAT 1004'!$A$12:$C$18,3,1)),0)
*13/3,
0),
""))),
""),
"")</f>
        <v/>
      </c>
      <c r="AP188" s="118" t="str">
        <f>IFERROR(
IF(VLOOKUP($C188,'Employee information'!$B:$M,COLUMNS('Employee information'!$B:$M),0)=2,
IF($E$2="Fortnightly",
ROUND(
ROUND((((TRUNC($AN188/2,0)+0.99))*VLOOKUP((TRUNC($AN188/2,0)+0.99),'Tax scales - NAT 1004'!$A$25:$C$33,2,1)-VLOOKUP((TRUNC($AN188/2,0)+0.99),'Tax scales - NAT 1004'!$A$25:$C$33,3,1)),0)
*2,
0),
IF(AND($E$2="Monthly",ROUND($AN188-TRUNC($AN188),2)=0.33),
ROUND(
ROUND(((TRUNC(($AN188+0.01)*3/13,0)+0.99)*VLOOKUP((TRUNC(($AN188+0.01)*3/13,0)+0.99),'Tax scales - NAT 1004'!$A$25:$C$33,2,1)-VLOOKUP((TRUNC(($AN188+0.01)*3/13,0)+0.99),'Tax scales - NAT 1004'!$A$25:$C$33,3,1)),0)
*13/3,
0),
IF($E$2="Monthly",
ROUND(
ROUND(((TRUNC($AN188*3/13,0)+0.99)*VLOOKUP((TRUNC($AN188*3/13,0)+0.99),'Tax scales - NAT 1004'!$A$25:$C$33,2,1)-VLOOKUP((TRUNC($AN188*3/13,0)+0.99),'Tax scales - NAT 1004'!$A$25:$C$33,3,1)),0)
*13/3,
0),
""))),
""),
"")</f>
        <v/>
      </c>
      <c r="AQ188" s="118" t="str">
        <f>IFERROR(
IF(VLOOKUP($C188,'Employee information'!$B:$M,COLUMNS('Employee information'!$B:$M),0)=3,
IF($E$2="Fortnightly",
ROUND(
ROUND((((TRUNC($AN188/2,0)+0.99))*VLOOKUP((TRUNC($AN188/2,0)+0.99),'Tax scales - NAT 1004'!$A$39:$C$41,2,1)-VLOOKUP((TRUNC($AN188/2,0)+0.99),'Tax scales - NAT 1004'!$A$39:$C$41,3,1)),0)
*2,
0),
IF(AND($E$2="Monthly",ROUND($AN188-TRUNC($AN188),2)=0.33),
ROUND(
ROUND(((TRUNC(($AN188+0.01)*3/13,0)+0.99)*VLOOKUP((TRUNC(($AN188+0.01)*3/13,0)+0.99),'Tax scales - NAT 1004'!$A$39:$C$41,2,1)-VLOOKUP((TRUNC(($AN188+0.01)*3/13,0)+0.99),'Tax scales - NAT 1004'!$A$39:$C$41,3,1)),0)
*13/3,
0),
IF($E$2="Monthly",
ROUND(
ROUND(((TRUNC($AN188*3/13,0)+0.99)*VLOOKUP((TRUNC($AN188*3/13,0)+0.99),'Tax scales - NAT 1004'!$A$39:$C$41,2,1)-VLOOKUP((TRUNC($AN188*3/13,0)+0.99),'Tax scales - NAT 1004'!$A$39:$C$41,3,1)),0)
*13/3,
0),
""))),
""),
"")</f>
        <v/>
      </c>
      <c r="AR188" s="118" t="str">
        <f>IFERROR(
IF(AND(VLOOKUP($C188,'Employee information'!$B:$M,COLUMNS('Employee information'!$B:$M),0)=4,
VLOOKUP($C188,'Employee information'!$B:$J,COLUMNS('Employee information'!$B:$J),0)="Resident"),
TRUNC(TRUNC($AN188)*'Tax scales - NAT 1004'!$B$47),
IF(AND(VLOOKUP($C188,'Employee information'!$B:$M,COLUMNS('Employee information'!$B:$M),0)=4,
VLOOKUP($C188,'Employee information'!$B:$J,COLUMNS('Employee information'!$B:$J),0)="Foreign resident"),
TRUNC(TRUNC($AN188)*'Tax scales - NAT 1004'!$B$48),
"")),
"")</f>
        <v/>
      </c>
      <c r="AS188" s="118" t="str">
        <f>IFERROR(
IF(VLOOKUP($C188,'Employee information'!$B:$M,COLUMNS('Employee information'!$B:$M),0)=5,
IF($E$2="Fortnightly",
ROUND(
ROUND((((TRUNC($AN188/2,0)+0.99))*VLOOKUP((TRUNC($AN188/2,0)+0.99),'Tax scales - NAT 1004'!$A$53:$C$59,2,1)-VLOOKUP((TRUNC($AN188/2,0)+0.99),'Tax scales - NAT 1004'!$A$53:$C$59,3,1)),0)
*2,
0),
IF(AND($E$2="Monthly",ROUND($AN188-TRUNC($AN188),2)=0.33),
ROUND(
ROUND(((TRUNC(($AN188+0.01)*3/13,0)+0.99)*VLOOKUP((TRUNC(($AN188+0.01)*3/13,0)+0.99),'Tax scales - NAT 1004'!$A$53:$C$59,2,1)-VLOOKUP((TRUNC(($AN188+0.01)*3/13,0)+0.99),'Tax scales - NAT 1004'!$A$53:$C$59,3,1)),0)
*13/3,
0),
IF($E$2="Monthly",
ROUND(
ROUND(((TRUNC($AN188*3/13,0)+0.99)*VLOOKUP((TRUNC($AN188*3/13,0)+0.99),'Tax scales - NAT 1004'!$A$53:$C$59,2,1)-VLOOKUP((TRUNC($AN188*3/13,0)+0.99),'Tax scales - NAT 1004'!$A$53:$C$59,3,1)),0)
*13/3,
0),
""))),
""),
"")</f>
        <v/>
      </c>
      <c r="AT188" s="118" t="str">
        <f>IFERROR(
IF(VLOOKUP($C188,'Employee information'!$B:$M,COLUMNS('Employee information'!$B:$M),0)=6,
IF($E$2="Fortnightly",
ROUND(
ROUND((((TRUNC($AN188/2,0)+0.99))*VLOOKUP((TRUNC($AN188/2,0)+0.99),'Tax scales - NAT 1004'!$A$65:$C$73,2,1)-VLOOKUP((TRUNC($AN188/2,0)+0.99),'Tax scales - NAT 1004'!$A$65:$C$73,3,1)),0)
*2,
0),
IF(AND($E$2="Monthly",ROUND($AN188-TRUNC($AN188),2)=0.33),
ROUND(
ROUND(((TRUNC(($AN188+0.01)*3/13,0)+0.99)*VLOOKUP((TRUNC(($AN188+0.01)*3/13,0)+0.99),'Tax scales - NAT 1004'!$A$65:$C$73,2,1)-VLOOKUP((TRUNC(($AN188+0.01)*3/13,0)+0.99),'Tax scales - NAT 1004'!$A$65:$C$73,3,1)),0)
*13/3,
0),
IF($E$2="Monthly",
ROUND(
ROUND(((TRUNC($AN188*3/13,0)+0.99)*VLOOKUP((TRUNC($AN188*3/13,0)+0.99),'Tax scales - NAT 1004'!$A$65:$C$73,2,1)-VLOOKUP((TRUNC($AN188*3/13,0)+0.99),'Tax scales - NAT 1004'!$A$65:$C$73,3,1)),0)
*13/3,
0),
""))),
""),
"")</f>
        <v/>
      </c>
      <c r="AU188" s="118" t="str">
        <f>IFERROR(
IF(VLOOKUP($C188,'Employee information'!$B:$M,COLUMNS('Employee information'!$B:$M),0)=11,
IF($E$2="Fortnightly",
ROUND(
ROUND((((TRUNC($AN188/2,0)+0.99))*VLOOKUP((TRUNC($AN188/2,0)+0.99),'Tax scales - NAT 3539'!$A$14:$C$38,2,1)-VLOOKUP((TRUNC($AN188/2,0)+0.99),'Tax scales - NAT 3539'!$A$14:$C$38,3,1)),0)
*2,
0),
IF(AND($E$2="Monthly",ROUND($AN188-TRUNC($AN188),2)=0.33),
ROUND(
ROUND(((TRUNC(($AN188+0.01)*3/13,0)+0.99)*VLOOKUP((TRUNC(($AN188+0.01)*3/13,0)+0.99),'Tax scales - NAT 3539'!$A$14:$C$38,2,1)-VLOOKUP((TRUNC(($AN188+0.01)*3/13,0)+0.99),'Tax scales - NAT 3539'!$A$14:$C$38,3,1)),0)
*13/3,
0),
IF($E$2="Monthly",
ROUND(
ROUND(((TRUNC($AN188*3/13,0)+0.99)*VLOOKUP((TRUNC($AN188*3/13,0)+0.99),'Tax scales - NAT 3539'!$A$14:$C$38,2,1)-VLOOKUP((TRUNC($AN188*3/13,0)+0.99),'Tax scales - NAT 3539'!$A$14:$C$38,3,1)),0)
*13/3,
0),
""))),
""),
"")</f>
        <v/>
      </c>
      <c r="AV188" s="118" t="str">
        <f>IFERROR(
IF(VLOOKUP($C188,'Employee information'!$B:$M,COLUMNS('Employee information'!$B:$M),0)=22,
IF($E$2="Fortnightly",
ROUND(
ROUND((((TRUNC($AN188/2,0)+0.99))*VLOOKUP((TRUNC($AN188/2,0)+0.99),'Tax scales - NAT 3539'!$A$43:$C$69,2,1)-VLOOKUP((TRUNC($AN188/2,0)+0.99),'Tax scales - NAT 3539'!$A$43:$C$69,3,1)),0)
*2,
0),
IF(AND($E$2="Monthly",ROUND($AN188-TRUNC($AN188),2)=0.33),
ROUND(
ROUND(((TRUNC(($AN188+0.01)*3/13,0)+0.99)*VLOOKUP((TRUNC(($AN188+0.01)*3/13,0)+0.99),'Tax scales - NAT 3539'!$A$43:$C$69,2,1)-VLOOKUP((TRUNC(($AN188+0.01)*3/13,0)+0.99),'Tax scales - NAT 3539'!$A$43:$C$69,3,1)),0)
*13/3,
0),
IF($E$2="Monthly",
ROUND(
ROUND(((TRUNC($AN188*3/13,0)+0.99)*VLOOKUP((TRUNC($AN188*3/13,0)+0.99),'Tax scales - NAT 3539'!$A$43:$C$69,2,1)-VLOOKUP((TRUNC($AN188*3/13,0)+0.99),'Tax scales - NAT 3539'!$A$43:$C$69,3,1)),0)
*13/3,
0),
""))),
""),
"")</f>
        <v/>
      </c>
      <c r="AW188" s="118" t="str">
        <f>IFERROR(
IF(VLOOKUP($C188,'Employee information'!$B:$M,COLUMNS('Employee information'!$B:$M),0)=33,
IF($E$2="Fortnightly",
ROUND(
ROUND((((TRUNC($AN188/2,0)+0.99))*VLOOKUP((TRUNC($AN188/2,0)+0.99),'Tax scales - NAT 3539'!$A$74:$C$94,2,1)-VLOOKUP((TRUNC($AN188/2,0)+0.99),'Tax scales - NAT 3539'!$A$74:$C$94,3,1)),0)
*2,
0),
IF(AND($E$2="Monthly",ROUND($AN188-TRUNC($AN188),2)=0.33),
ROUND(
ROUND(((TRUNC(($AN188+0.01)*3/13,0)+0.99)*VLOOKUP((TRUNC(($AN188+0.01)*3/13,0)+0.99),'Tax scales - NAT 3539'!$A$74:$C$94,2,1)-VLOOKUP((TRUNC(($AN188+0.01)*3/13,0)+0.99),'Tax scales - NAT 3539'!$A$74:$C$94,3,1)),0)
*13/3,
0),
IF($E$2="Monthly",
ROUND(
ROUND(((TRUNC($AN188*3/13,0)+0.99)*VLOOKUP((TRUNC($AN188*3/13,0)+0.99),'Tax scales - NAT 3539'!$A$74:$C$94,2,1)-VLOOKUP((TRUNC($AN188*3/13,0)+0.99),'Tax scales - NAT 3539'!$A$74:$C$94,3,1)),0)
*13/3,
0),
""))),
""),
"")</f>
        <v/>
      </c>
      <c r="AX188" s="118">
        <f>IFERROR(
IF(VLOOKUP($C188,'Employee information'!$B:$M,COLUMNS('Employee information'!$B:$M),0)=55,
IF($E$2="Fortnightly",
ROUND(
ROUND((((TRUNC($AN188/2,0)+0.99))*VLOOKUP((TRUNC($AN188/2,0)+0.99),'Tax scales - NAT 3539'!$A$99:$C$123,2,1)-VLOOKUP((TRUNC($AN188/2,0)+0.99),'Tax scales - NAT 3539'!$A$99:$C$123,3,1)),0)
*2,
0),
IF(AND($E$2="Monthly",ROUND($AN188-TRUNC($AN188),2)=0.33),
ROUND(
ROUND(((TRUNC(($AN188+0.01)*3/13,0)+0.99)*VLOOKUP((TRUNC(($AN188+0.01)*3/13,0)+0.99),'Tax scales - NAT 3539'!$A$99:$C$123,2,1)-VLOOKUP((TRUNC(($AN188+0.01)*3/13,0)+0.99),'Tax scales - NAT 3539'!$A$99:$C$123,3,1)),0)
*13/3,
0),
IF($E$2="Monthly",
ROUND(
ROUND(((TRUNC($AN188*3/13,0)+0.99)*VLOOKUP((TRUNC($AN188*3/13,0)+0.99),'Tax scales - NAT 3539'!$A$99:$C$123,2,1)-VLOOKUP((TRUNC($AN188*3/13,0)+0.99),'Tax scales - NAT 3539'!$A$99:$C$123,3,1)),0)
*13/3,
0),
""))),
""),
"")</f>
        <v>3104</v>
      </c>
      <c r="AY188" s="118" t="str">
        <f>IFERROR(
IF(VLOOKUP($C188,'Employee information'!$B:$M,COLUMNS('Employee information'!$B:$M),0)=66,
IF($E$2="Fortnightly",
ROUND(
ROUND((((TRUNC($AN188/2,0)+0.99))*VLOOKUP((TRUNC($AN188/2,0)+0.99),'Tax scales - NAT 3539'!$A$127:$C$154,2,1)-VLOOKUP((TRUNC($AN188/2,0)+0.99),'Tax scales - NAT 3539'!$A$127:$C$154,3,1)),0)
*2,
0),
IF(AND($E$2="Monthly",ROUND($AN188-TRUNC($AN188),2)=0.33),
ROUND(
ROUND(((TRUNC(($AN188+0.01)*3/13,0)+0.99)*VLOOKUP((TRUNC(($AN188+0.01)*3/13,0)+0.99),'Tax scales - NAT 3539'!$A$127:$C$154,2,1)-VLOOKUP((TRUNC(($AN188+0.01)*3/13,0)+0.99),'Tax scales - NAT 3539'!$A$127:$C$154,3,1)),0)
*13/3,
0),
IF($E$2="Monthly",
ROUND(
ROUND(((TRUNC($AN188*3/13,0)+0.99)*VLOOKUP((TRUNC($AN188*3/13,0)+0.99),'Tax scales - NAT 3539'!$A$127:$C$154,2,1)-VLOOKUP((TRUNC($AN188*3/13,0)+0.99),'Tax scales - NAT 3539'!$A$127:$C$154,3,1)),0)
*13/3,
0),
""))),
""),
"")</f>
        <v/>
      </c>
      <c r="AZ188" s="118">
        <f>IFERROR(
HLOOKUP(VLOOKUP($C188,'Employee information'!$B:$M,COLUMNS('Employee information'!$B:$M),0),'PAYG worksheet'!$AO$184:$AY$203,COUNTA($C$185:$C188)+1,0),
0)</f>
        <v>3104</v>
      </c>
      <c r="BA188" s="118"/>
      <c r="BB188" s="118">
        <f t="shared" si="201"/>
        <v>4588.3076923076924</v>
      </c>
      <c r="BC188" s="119">
        <f>IFERROR(
IF(OR($AE188=1,$AE188=""),SUM($P188,$AA188,$AC188,$AK188)*VLOOKUP($C188,'Employee information'!$B:$Q,COLUMNS('Employee information'!$B:$H),0),
IF($AE188=0,SUM($P188,$AA188,$AK188)*VLOOKUP($C188,'Employee information'!$B:$Q,COLUMNS('Employee information'!$B:$H),0),
0)),
0)</f>
        <v>730.76923076923083</v>
      </c>
      <c r="BE188" s="114">
        <f t="shared" si="186"/>
        <v>53986.153846153851</v>
      </c>
      <c r="BF188" s="114">
        <f t="shared" si="187"/>
        <v>53846.153846153851</v>
      </c>
      <c r="BG188" s="114">
        <f t="shared" si="188"/>
        <v>0</v>
      </c>
      <c r="BH188" s="114">
        <f t="shared" si="189"/>
        <v>140</v>
      </c>
      <c r="BI188" s="114">
        <f t="shared" si="190"/>
        <v>21728</v>
      </c>
      <c r="BJ188" s="114">
        <f t="shared" si="191"/>
        <v>0</v>
      </c>
      <c r="BK188" s="114">
        <f t="shared" si="192"/>
        <v>0</v>
      </c>
      <c r="BL188" s="114">
        <f t="shared" si="202"/>
        <v>0</v>
      </c>
      <c r="BM188" s="114">
        <f t="shared" si="193"/>
        <v>5115.3846153846152</v>
      </c>
    </row>
    <row r="189" spans="1:65" x14ac:dyDescent="0.25">
      <c r="A189" s="228">
        <f t="shared" si="181"/>
        <v>7</v>
      </c>
      <c r="C189" s="278" t="s">
        <v>16</v>
      </c>
      <c r="E189" s="103">
        <f>IF($C189="",0,
IF(AND($E$2="Monthly",$A189&gt;12),0,
IF($E$2="Monthly",VLOOKUP($C189,'Employee information'!$B:$AM,COLUMNS('Employee information'!$B:S),0),
IF($E$2="Fortnightly",VLOOKUP($C189,'Employee information'!$B:$AM,COLUMNS('Employee information'!$B:R),0),
0))))</f>
        <v>75</v>
      </c>
      <c r="F189" s="106"/>
      <c r="G189" s="106"/>
      <c r="H189" s="106"/>
      <c r="I189" s="106"/>
      <c r="J189" s="103">
        <f t="shared" si="194"/>
        <v>75</v>
      </c>
      <c r="L189" s="113">
        <f>IF(AND($E$2="Monthly",$A189&gt;12),"",
IFERROR($J189*VLOOKUP($C189,'Employee information'!$B:$AI,COLUMNS('Employee information'!$B:$P),0),0))</f>
        <v>4125</v>
      </c>
      <c r="M189" s="114">
        <f t="shared" si="195"/>
        <v>28875</v>
      </c>
      <c r="O189" s="103">
        <f t="shared" si="196"/>
        <v>75</v>
      </c>
      <c r="P189" s="113">
        <f>IFERROR(
IF(AND($E$2="Monthly",$A189&gt;12),0,
$O189*VLOOKUP($C189,'Employee information'!$B:$AI,COLUMNS('Employee information'!$B:$P),0)),
0)</f>
        <v>4125</v>
      </c>
      <c r="R189" s="114">
        <f t="shared" si="182"/>
        <v>28875</v>
      </c>
      <c r="T189" s="103"/>
      <c r="U189" s="103"/>
      <c r="V189" s="282">
        <f>IF($C189="","",
IF(AND($E$2="Monthly",$A189&gt;12),"",
$T189*VLOOKUP($C189,'Employee information'!$B:$P,COLUMNS('Employee information'!$B:$P),0)))</f>
        <v>0</v>
      </c>
      <c r="W189" s="282">
        <f>IF($C189="","",
IF(AND($E$2="Monthly",$A189&gt;12),"",
$U189*VLOOKUP($C189,'Employee information'!$B:$P,COLUMNS('Employee information'!$B:$P),0)))</f>
        <v>0</v>
      </c>
      <c r="X189" s="114">
        <f t="shared" si="183"/>
        <v>0</v>
      </c>
      <c r="Y189" s="114">
        <f t="shared" si="184"/>
        <v>0</v>
      </c>
      <c r="AA189" s="118">
        <f>IFERROR(
IF(OR('Basic payroll data'!$D$12="",'Basic payroll data'!$D$12="No"),0,
$T189*VLOOKUP($C189,'Employee information'!$B:$P,COLUMNS('Employee information'!$B:$P),0)*AL_loading_perc),
0)</f>
        <v>0</v>
      </c>
      <c r="AC189" s="118"/>
      <c r="AD189" s="118"/>
      <c r="AE189" s="283" t="str">
        <f t="shared" si="197"/>
        <v/>
      </c>
      <c r="AF189" s="283" t="str">
        <f t="shared" si="198"/>
        <v/>
      </c>
      <c r="AG189" s="118"/>
      <c r="AH189" s="118"/>
      <c r="AI189" s="283" t="str">
        <f t="shared" si="199"/>
        <v/>
      </c>
      <c r="AJ189" s="118"/>
      <c r="AK189" s="118"/>
      <c r="AM189" s="118">
        <f t="shared" si="200"/>
        <v>4125</v>
      </c>
      <c r="AN189" s="118">
        <f t="shared" si="185"/>
        <v>4125</v>
      </c>
      <c r="AO189" s="118" t="str">
        <f>IFERROR(
IF(VLOOKUP($C189,'Employee information'!$B:$M,COLUMNS('Employee information'!$B:$M),0)=1,
IF($E$2="Fortnightly",
ROUND(
ROUND((((TRUNC($AN189/2,0)+0.99))*VLOOKUP((TRUNC($AN189/2,0)+0.99),'Tax scales - NAT 1004'!$A$12:$C$18,2,1)-VLOOKUP((TRUNC($AN189/2,0)+0.99),'Tax scales - NAT 1004'!$A$12:$C$18,3,1)),0)
*2,
0),
IF(AND($E$2="Monthly",ROUND($AN189-TRUNC($AN189),2)=0.33),
ROUND(
ROUND(((TRUNC(($AN189+0.01)*3/13,0)+0.99)*VLOOKUP((TRUNC(($AN189+0.01)*3/13,0)+0.99),'Tax scales - NAT 1004'!$A$12:$C$18,2,1)-VLOOKUP((TRUNC(($AN189+0.01)*3/13,0)+0.99),'Tax scales - NAT 1004'!$A$12:$C$18,3,1)),0)
*13/3,
0),
IF($E$2="Monthly",
ROUND(
ROUND(((TRUNC($AN189*3/13,0)+0.99)*VLOOKUP((TRUNC($AN189*3/13,0)+0.99),'Tax scales - NAT 1004'!$A$12:$C$18,2,1)-VLOOKUP((TRUNC($AN189*3/13,0)+0.99),'Tax scales - NAT 1004'!$A$12:$C$18,3,1)),0)
*13/3,
0),
""))),
""),
"")</f>
        <v/>
      </c>
      <c r="AP189" s="118" t="str">
        <f>IFERROR(
IF(VLOOKUP($C189,'Employee information'!$B:$M,COLUMNS('Employee information'!$B:$M),0)=2,
IF($E$2="Fortnightly",
ROUND(
ROUND((((TRUNC($AN189/2,0)+0.99))*VLOOKUP((TRUNC($AN189/2,0)+0.99),'Tax scales - NAT 1004'!$A$25:$C$33,2,1)-VLOOKUP((TRUNC($AN189/2,0)+0.99),'Tax scales - NAT 1004'!$A$25:$C$33,3,1)),0)
*2,
0),
IF(AND($E$2="Monthly",ROUND($AN189-TRUNC($AN189),2)=0.33),
ROUND(
ROUND(((TRUNC(($AN189+0.01)*3/13,0)+0.99)*VLOOKUP((TRUNC(($AN189+0.01)*3/13,0)+0.99),'Tax scales - NAT 1004'!$A$25:$C$33,2,1)-VLOOKUP((TRUNC(($AN189+0.01)*3/13,0)+0.99),'Tax scales - NAT 1004'!$A$25:$C$33,3,1)),0)
*13/3,
0),
IF($E$2="Monthly",
ROUND(
ROUND(((TRUNC($AN189*3/13,0)+0.99)*VLOOKUP((TRUNC($AN189*3/13,0)+0.99),'Tax scales - NAT 1004'!$A$25:$C$33,2,1)-VLOOKUP((TRUNC($AN189*3/13,0)+0.99),'Tax scales - NAT 1004'!$A$25:$C$33,3,1)),0)
*13/3,
0),
""))),
""),
"")</f>
        <v/>
      </c>
      <c r="AQ189" s="118" t="str">
        <f>IFERROR(
IF(VLOOKUP($C189,'Employee information'!$B:$M,COLUMNS('Employee information'!$B:$M),0)=3,
IF($E$2="Fortnightly",
ROUND(
ROUND((((TRUNC($AN189/2,0)+0.99))*VLOOKUP((TRUNC($AN189/2,0)+0.99),'Tax scales - NAT 1004'!$A$39:$C$41,2,1)-VLOOKUP((TRUNC($AN189/2,0)+0.99),'Tax scales - NAT 1004'!$A$39:$C$41,3,1)),0)
*2,
0),
IF(AND($E$2="Monthly",ROUND($AN189-TRUNC($AN189),2)=0.33),
ROUND(
ROUND(((TRUNC(($AN189+0.01)*3/13,0)+0.99)*VLOOKUP((TRUNC(($AN189+0.01)*3/13,0)+0.99),'Tax scales - NAT 1004'!$A$39:$C$41,2,1)-VLOOKUP((TRUNC(($AN189+0.01)*3/13,0)+0.99),'Tax scales - NAT 1004'!$A$39:$C$41,3,1)),0)
*13/3,
0),
IF($E$2="Monthly",
ROUND(
ROUND(((TRUNC($AN189*3/13,0)+0.99)*VLOOKUP((TRUNC($AN189*3/13,0)+0.99),'Tax scales - NAT 1004'!$A$39:$C$41,2,1)-VLOOKUP((TRUNC($AN189*3/13,0)+0.99),'Tax scales - NAT 1004'!$A$39:$C$41,3,1)),0)
*13/3,
0),
""))),
""),
"")</f>
        <v/>
      </c>
      <c r="AR189" s="118" t="str">
        <f>IFERROR(
IF(AND(VLOOKUP($C189,'Employee information'!$B:$M,COLUMNS('Employee information'!$B:$M),0)=4,
VLOOKUP($C189,'Employee information'!$B:$J,COLUMNS('Employee information'!$B:$J),0)="Resident"),
TRUNC(TRUNC($AN189)*'Tax scales - NAT 1004'!$B$47),
IF(AND(VLOOKUP($C189,'Employee information'!$B:$M,COLUMNS('Employee information'!$B:$M),0)=4,
VLOOKUP($C189,'Employee information'!$B:$J,COLUMNS('Employee information'!$B:$J),0)="Foreign resident"),
TRUNC(TRUNC($AN189)*'Tax scales - NAT 1004'!$B$48),
"")),
"")</f>
        <v/>
      </c>
      <c r="AS189" s="118" t="str">
        <f>IFERROR(
IF(VLOOKUP($C189,'Employee information'!$B:$M,COLUMNS('Employee information'!$B:$M),0)=5,
IF($E$2="Fortnightly",
ROUND(
ROUND((((TRUNC($AN189/2,0)+0.99))*VLOOKUP((TRUNC($AN189/2,0)+0.99),'Tax scales - NAT 1004'!$A$53:$C$59,2,1)-VLOOKUP((TRUNC($AN189/2,0)+0.99),'Tax scales - NAT 1004'!$A$53:$C$59,3,1)),0)
*2,
0),
IF(AND($E$2="Monthly",ROUND($AN189-TRUNC($AN189),2)=0.33),
ROUND(
ROUND(((TRUNC(($AN189+0.01)*3/13,0)+0.99)*VLOOKUP((TRUNC(($AN189+0.01)*3/13,0)+0.99),'Tax scales - NAT 1004'!$A$53:$C$59,2,1)-VLOOKUP((TRUNC(($AN189+0.01)*3/13,0)+0.99),'Tax scales - NAT 1004'!$A$53:$C$59,3,1)),0)
*13/3,
0),
IF($E$2="Monthly",
ROUND(
ROUND(((TRUNC($AN189*3/13,0)+0.99)*VLOOKUP((TRUNC($AN189*3/13,0)+0.99),'Tax scales - NAT 1004'!$A$53:$C$59,2,1)-VLOOKUP((TRUNC($AN189*3/13,0)+0.99),'Tax scales - NAT 1004'!$A$53:$C$59,3,1)),0)
*13/3,
0),
""))),
""),
"")</f>
        <v/>
      </c>
      <c r="AT189" s="118" t="str">
        <f>IFERROR(
IF(VLOOKUP($C189,'Employee information'!$B:$M,COLUMNS('Employee information'!$B:$M),0)=6,
IF($E$2="Fortnightly",
ROUND(
ROUND((((TRUNC($AN189/2,0)+0.99))*VLOOKUP((TRUNC($AN189/2,0)+0.99),'Tax scales - NAT 1004'!$A$65:$C$73,2,1)-VLOOKUP((TRUNC($AN189/2,0)+0.99),'Tax scales - NAT 1004'!$A$65:$C$73,3,1)),0)
*2,
0),
IF(AND($E$2="Monthly",ROUND($AN189-TRUNC($AN189),2)=0.33),
ROUND(
ROUND(((TRUNC(($AN189+0.01)*3/13,0)+0.99)*VLOOKUP((TRUNC(($AN189+0.01)*3/13,0)+0.99),'Tax scales - NAT 1004'!$A$65:$C$73,2,1)-VLOOKUP((TRUNC(($AN189+0.01)*3/13,0)+0.99),'Tax scales - NAT 1004'!$A$65:$C$73,3,1)),0)
*13/3,
0),
IF($E$2="Monthly",
ROUND(
ROUND(((TRUNC($AN189*3/13,0)+0.99)*VLOOKUP((TRUNC($AN189*3/13,0)+0.99),'Tax scales - NAT 1004'!$A$65:$C$73,2,1)-VLOOKUP((TRUNC($AN189*3/13,0)+0.99),'Tax scales - NAT 1004'!$A$65:$C$73,3,1)),0)
*13/3,
0),
""))),
""),
"")</f>
        <v/>
      </c>
      <c r="AU189" s="118">
        <f>IFERROR(
IF(VLOOKUP($C189,'Employee information'!$B:$M,COLUMNS('Employee information'!$B:$M),0)=11,
IF($E$2="Fortnightly",
ROUND(
ROUND((((TRUNC($AN189/2,0)+0.99))*VLOOKUP((TRUNC($AN189/2,0)+0.99),'Tax scales - NAT 3539'!$A$14:$C$38,2,1)-VLOOKUP((TRUNC($AN189/2,0)+0.99),'Tax scales - NAT 3539'!$A$14:$C$38,3,1)),0)
*2,
0),
IF(AND($E$2="Monthly",ROUND($AN189-TRUNC($AN189),2)=0.33),
ROUND(
ROUND(((TRUNC(($AN189+0.01)*3/13,0)+0.99)*VLOOKUP((TRUNC(($AN189+0.01)*3/13,0)+0.99),'Tax scales - NAT 3539'!$A$14:$C$38,2,1)-VLOOKUP((TRUNC(($AN189+0.01)*3/13,0)+0.99),'Tax scales - NAT 3539'!$A$14:$C$38,3,1)),0)
*13/3,
0),
IF($E$2="Monthly",
ROUND(
ROUND(((TRUNC($AN189*3/13,0)+0.99)*VLOOKUP((TRUNC($AN189*3/13,0)+0.99),'Tax scales - NAT 3539'!$A$14:$C$38,2,1)-VLOOKUP((TRUNC($AN189*3/13,0)+0.99),'Tax scales - NAT 3539'!$A$14:$C$38,3,1)),0)
*13/3,
0),
""))),
""),
"")</f>
        <v>1680</v>
      </c>
      <c r="AV189" s="118" t="str">
        <f>IFERROR(
IF(VLOOKUP($C189,'Employee information'!$B:$M,COLUMNS('Employee information'!$B:$M),0)=22,
IF($E$2="Fortnightly",
ROUND(
ROUND((((TRUNC($AN189/2,0)+0.99))*VLOOKUP((TRUNC($AN189/2,0)+0.99),'Tax scales - NAT 3539'!$A$43:$C$69,2,1)-VLOOKUP((TRUNC($AN189/2,0)+0.99),'Tax scales - NAT 3539'!$A$43:$C$69,3,1)),0)
*2,
0),
IF(AND($E$2="Monthly",ROUND($AN189-TRUNC($AN189),2)=0.33),
ROUND(
ROUND(((TRUNC(($AN189+0.01)*3/13,0)+0.99)*VLOOKUP((TRUNC(($AN189+0.01)*3/13,0)+0.99),'Tax scales - NAT 3539'!$A$43:$C$69,2,1)-VLOOKUP((TRUNC(($AN189+0.01)*3/13,0)+0.99),'Tax scales - NAT 3539'!$A$43:$C$69,3,1)),0)
*13/3,
0),
IF($E$2="Monthly",
ROUND(
ROUND(((TRUNC($AN189*3/13,0)+0.99)*VLOOKUP((TRUNC($AN189*3/13,0)+0.99),'Tax scales - NAT 3539'!$A$43:$C$69,2,1)-VLOOKUP((TRUNC($AN189*3/13,0)+0.99),'Tax scales - NAT 3539'!$A$43:$C$69,3,1)),0)
*13/3,
0),
""))),
""),
"")</f>
        <v/>
      </c>
      <c r="AW189" s="118" t="str">
        <f>IFERROR(
IF(VLOOKUP($C189,'Employee information'!$B:$M,COLUMNS('Employee information'!$B:$M),0)=33,
IF($E$2="Fortnightly",
ROUND(
ROUND((((TRUNC($AN189/2,0)+0.99))*VLOOKUP((TRUNC($AN189/2,0)+0.99),'Tax scales - NAT 3539'!$A$74:$C$94,2,1)-VLOOKUP((TRUNC($AN189/2,0)+0.99),'Tax scales - NAT 3539'!$A$74:$C$94,3,1)),0)
*2,
0),
IF(AND($E$2="Monthly",ROUND($AN189-TRUNC($AN189),2)=0.33),
ROUND(
ROUND(((TRUNC(($AN189+0.01)*3/13,0)+0.99)*VLOOKUP((TRUNC(($AN189+0.01)*3/13,0)+0.99),'Tax scales - NAT 3539'!$A$74:$C$94,2,1)-VLOOKUP((TRUNC(($AN189+0.01)*3/13,0)+0.99),'Tax scales - NAT 3539'!$A$74:$C$94,3,1)),0)
*13/3,
0),
IF($E$2="Monthly",
ROUND(
ROUND(((TRUNC($AN189*3/13,0)+0.99)*VLOOKUP((TRUNC($AN189*3/13,0)+0.99),'Tax scales - NAT 3539'!$A$74:$C$94,2,1)-VLOOKUP((TRUNC($AN189*3/13,0)+0.99),'Tax scales - NAT 3539'!$A$74:$C$94,3,1)),0)
*13/3,
0),
""))),
""),
"")</f>
        <v/>
      </c>
      <c r="AX189" s="118" t="str">
        <f>IFERROR(
IF(VLOOKUP($C189,'Employee information'!$B:$M,COLUMNS('Employee information'!$B:$M),0)=55,
IF($E$2="Fortnightly",
ROUND(
ROUND((((TRUNC($AN189/2,0)+0.99))*VLOOKUP((TRUNC($AN189/2,0)+0.99),'Tax scales - NAT 3539'!$A$99:$C$123,2,1)-VLOOKUP((TRUNC($AN189/2,0)+0.99),'Tax scales - NAT 3539'!$A$99:$C$123,3,1)),0)
*2,
0),
IF(AND($E$2="Monthly",ROUND($AN189-TRUNC($AN189),2)=0.33),
ROUND(
ROUND(((TRUNC(($AN189+0.01)*3/13,0)+0.99)*VLOOKUP((TRUNC(($AN189+0.01)*3/13,0)+0.99),'Tax scales - NAT 3539'!$A$99:$C$123,2,1)-VLOOKUP((TRUNC(($AN189+0.01)*3/13,0)+0.99),'Tax scales - NAT 3539'!$A$99:$C$123,3,1)),0)
*13/3,
0),
IF($E$2="Monthly",
ROUND(
ROUND(((TRUNC($AN189*3/13,0)+0.99)*VLOOKUP((TRUNC($AN189*3/13,0)+0.99),'Tax scales - NAT 3539'!$A$99:$C$123,2,1)-VLOOKUP((TRUNC($AN189*3/13,0)+0.99),'Tax scales - NAT 3539'!$A$99:$C$123,3,1)),0)
*13/3,
0),
""))),
""),
"")</f>
        <v/>
      </c>
      <c r="AY189" s="118" t="str">
        <f>IFERROR(
IF(VLOOKUP($C189,'Employee information'!$B:$M,COLUMNS('Employee information'!$B:$M),0)=66,
IF($E$2="Fortnightly",
ROUND(
ROUND((((TRUNC($AN189/2,0)+0.99))*VLOOKUP((TRUNC($AN189/2,0)+0.99),'Tax scales - NAT 3539'!$A$127:$C$154,2,1)-VLOOKUP((TRUNC($AN189/2,0)+0.99),'Tax scales - NAT 3539'!$A$127:$C$154,3,1)),0)
*2,
0),
IF(AND($E$2="Monthly",ROUND($AN189-TRUNC($AN189),2)=0.33),
ROUND(
ROUND(((TRUNC(($AN189+0.01)*3/13,0)+0.99)*VLOOKUP((TRUNC(($AN189+0.01)*3/13,0)+0.99),'Tax scales - NAT 3539'!$A$127:$C$154,2,1)-VLOOKUP((TRUNC(($AN189+0.01)*3/13,0)+0.99),'Tax scales - NAT 3539'!$A$127:$C$154,3,1)),0)
*13/3,
0),
IF($E$2="Monthly",
ROUND(
ROUND(((TRUNC($AN189*3/13,0)+0.99)*VLOOKUP((TRUNC($AN189*3/13,0)+0.99),'Tax scales - NAT 3539'!$A$127:$C$154,2,1)-VLOOKUP((TRUNC($AN189*3/13,0)+0.99),'Tax scales - NAT 3539'!$A$127:$C$154,3,1)),0)
*13/3,
0),
""))),
""),
"")</f>
        <v/>
      </c>
      <c r="AZ189" s="118">
        <f>IFERROR(
HLOOKUP(VLOOKUP($C189,'Employee information'!$B:$M,COLUMNS('Employee information'!$B:$M),0),'PAYG worksheet'!$AO$184:$AY$203,COUNTA($C$185:$C189)+1,0),
0)</f>
        <v>1680</v>
      </c>
      <c r="BA189" s="118"/>
      <c r="BB189" s="118">
        <f t="shared" si="201"/>
        <v>2445</v>
      </c>
      <c r="BC189" s="119">
        <f>IFERROR(
IF(OR($AE189=1,$AE189=""),SUM($P189,$AA189,$AC189,$AK189)*VLOOKUP($C189,'Employee information'!$B:$Q,COLUMNS('Employee information'!$B:$H),0),
IF($AE189=0,SUM($P189,$AA189,$AK189)*VLOOKUP($C189,'Employee information'!$B:$Q,COLUMNS('Employee information'!$B:$H),0),
0)),
0)</f>
        <v>391.875</v>
      </c>
      <c r="BE189" s="114">
        <f t="shared" si="186"/>
        <v>28975</v>
      </c>
      <c r="BF189" s="114">
        <f t="shared" si="187"/>
        <v>28975</v>
      </c>
      <c r="BG189" s="114">
        <f t="shared" si="188"/>
        <v>0</v>
      </c>
      <c r="BH189" s="114">
        <f t="shared" si="189"/>
        <v>0</v>
      </c>
      <c r="BI189" s="114">
        <f t="shared" si="190"/>
        <v>11808</v>
      </c>
      <c r="BJ189" s="114">
        <f t="shared" si="191"/>
        <v>0</v>
      </c>
      <c r="BK189" s="114">
        <f t="shared" si="192"/>
        <v>0</v>
      </c>
      <c r="BL189" s="114">
        <f t="shared" si="202"/>
        <v>100</v>
      </c>
      <c r="BM189" s="114">
        <f t="shared" si="193"/>
        <v>2752.625</v>
      </c>
    </row>
    <row r="190" spans="1:65" x14ac:dyDescent="0.25">
      <c r="A190" s="228">
        <f t="shared" si="181"/>
        <v>7</v>
      </c>
      <c r="C190" s="278" t="s">
        <v>17</v>
      </c>
      <c r="E190" s="103">
        <f>IF($C190="",0,
IF(AND($E$2="Monthly",$A190&gt;12),0,
IF($E$2="Monthly",VLOOKUP($C190,'Employee information'!$B:$AM,COLUMNS('Employee information'!$B:S),0),
IF($E$2="Fortnightly",VLOOKUP($C190,'Employee information'!$B:$AM,COLUMNS('Employee information'!$B:R),0),
0))))</f>
        <v>75</v>
      </c>
      <c r="F190" s="106"/>
      <c r="G190" s="106"/>
      <c r="H190" s="106"/>
      <c r="I190" s="106"/>
      <c r="J190" s="103">
        <f t="shared" si="194"/>
        <v>75</v>
      </c>
      <c r="L190" s="113">
        <f>IF(AND($E$2="Monthly",$A190&gt;12),"",
IFERROR($J190*VLOOKUP($C190,'Employee information'!$B:$AI,COLUMNS('Employee information'!$B:$P),0),0))</f>
        <v>2500</v>
      </c>
      <c r="M190" s="114">
        <f t="shared" si="195"/>
        <v>17500</v>
      </c>
      <c r="O190" s="103">
        <f t="shared" si="196"/>
        <v>75</v>
      </c>
      <c r="P190" s="113">
        <f>IFERROR(
IF(AND($E$2="Monthly",$A190&gt;12),0,
$O190*VLOOKUP($C190,'Employee information'!$B:$AI,COLUMNS('Employee information'!$B:$P),0)),
0)</f>
        <v>2500</v>
      </c>
      <c r="R190" s="114">
        <f t="shared" si="182"/>
        <v>17500</v>
      </c>
      <c r="T190" s="103"/>
      <c r="U190" s="103"/>
      <c r="V190" s="282">
        <f>IF($C190="","",
IF(AND($E$2="Monthly",$A190&gt;12),"",
$T190*VLOOKUP($C190,'Employee information'!$B:$P,COLUMNS('Employee information'!$B:$P),0)))</f>
        <v>0</v>
      </c>
      <c r="W190" s="282">
        <f>IF($C190="","",
IF(AND($E$2="Monthly",$A190&gt;12),"",
$U190*VLOOKUP($C190,'Employee information'!$B:$P,COLUMNS('Employee information'!$B:$P),0)))</f>
        <v>0</v>
      </c>
      <c r="X190" s="114">
        <f t="shared" si="183"/>
        <v>0</v>
      </c>
      <c r="Y190" s="114">
        <f t="shared" si="184"/>
        <v>0</v>
      </c>
      <c r="AA190" s="118">
        <f>IFERROR(
IF(OR('Basic payroll data'!$D$12="",'Basic payroll data'!$D$12="No"),0,
$T190*VLOOKUP($C190,'Employee information'!$B:$P,COLUMNS('Employee information'!$B:$P),0)*AL_loading_perc),
0)</f>
        <v>0</v>
      </c>
      <c r="AC190" s="118"/>
      <c r="AD190" s="118"/>
      <c r="AE190" s="283" t="str">
        <f t="shared" si="197"/>
        <v/>
      </c>
      <c r="AF190" s="283" t="str">
        <f t="shared" si="198"/>
        <v/>
      </c>
      <c r="AG190" s="118"/>
      <c r="AH190" s="118"/>
      <c r="AI190" s="283" t="str">
        <f t="shared" si="199"/>
        <v/>
      </c>
      <c r="AJ190" s="118"/>
      <c r="AK190" s="118"/>
      <c r="AM190" s="118">
        <f t="shared" si="200"/>
        <v>2500</v>
      </c>
      <c r="AN190" s="118">
        <f t="shared" si="185"/>
        <v>2500</v>
      </c>
      <c r="AO190" s="118" t="str">
        <f>IFERROR(
IF(VLOOKUP($C190,'Employee information'!$B:$M,COLUMNS('Employee information'!$B:$M),0)=1,
IF($E$2="Fortnightly",
ROUND(
ROUND((((TRUNC($AN190/2,0)+0.99))*VLOOKUP((TRUNC($AN190/2,0)+0.99),'Tax scales - NAT 1004'!$A$12:$C$18,2,1)-VLOOKUP((TRUNC($AN190/2,0)+0.99),'Tax scales - NAT 1004'!$A$12:$C$18,3,1)),0)
*2,
0),
IF(AND($E$2="Monthly",ROUND($AN190-TRUNC($AN190),2)=0.33),
ROUND(
ROUND(((TRUNC(($AN190+0.01)*3/13,0)+0.99)*VLOOKUP((TRUNC(($AN190+0.01)*3/13,0)+0.99),'Tax scales - NAT 1004'!$A$12:$C$18,2,1)-VLOOKUP((TRUNC(($AN190+0.01)*3/13,0)+0.99),'Tax scales - NAT 1004'!$A$12:$C$18,3,1)),0)
*13/3,
0),
IF($E$2="Monthly",
ROUND(
ROUND(((TRUNC($AN190*3/13,0)+0.99)*VLOOKUP((TRUNC($AN190*3/13,0)+0.99),'Tax scales - NAT 1004'!$A$12:$C$18,2,1)-VLOOKUP((TRUNC($AN190*3/13,0)+0.99),'Tax scales - NAT 1004'!$A$12:$C$18,3,1)),0)
*13/3,
0),
""))),
""),
"")</f>
        <v/>
      </c>
      <c r="AP190" s="118" t="str">
        <f>IFERROR(
IF(VLOOKUP($C190,'Employee information'!$B:$M,COLUMNS('Employee information'!$B:$M),0)=2,
IF($E$2="Fortnightly",
ROUND(
ROUND((((TRUNC($AN190/2,0)+0.99))*VLOOKUP((TRUNC($AN190/2,0)+0.99),'Tax scales - NAT 1004'!$A$25:$C$33,2,1)-VLOOKUP((TRUNC($AN190/2,0)+0.99),'Tax scales - NAT 1004'!$A$25:$C$33,3,1)),0)
*2,
0),
IF(AND($E$2="Monthly",ROUND($AN190-TRUNC($AN190),2)=0.33),
ROUND(
ROUND(((TRUNC(($AN190+0.01)*3/13,0)+0.99)*VLOOKUP((TRUNC(($AN190+0.01)*3/13,0)+0.99),'Tax scales - NAT 1004'!$A$25:$C$33,2,1)-VLOOKUP((TRUNC(($AN190+0.01)*3/13,0)+0.99),'Tax scales - NAT 1004'!$A$25:$C$33,3,1)),0)
*13/3,
0),
IF($E$2="Monthly",
ROUND(
ROUND(((TRUNC($AN190*3/13,0)+0.99)*VLOOKUP((TRUNC($AN190*3/13,0)+0.99),'Tax scales - NAT 1004'!$A$25:$C$33,2,1)-VLOOKUP((TRUNC($AN190*3/13,0)+0.99),'Tax scales - NAT 1004'!$A$25:$C$33,3,1)),0)
*13/3,
0),
""))),
""),
"")</f>
        <v/>
      </c>
      <c r="AQ190" s="118" t="str">
        <f>IFERROR(
IF(VLOOKUP($C190,'Employee information'!$B:$M,COLUMNS('Employee information'!$B:$M),0)=3,
IF($E$2="Fortnightly",
ROUND(
ROUND((((TRUNC($AN190/2,0)+0.99))*VLOOKUP((TRUNC($AN190/2,0)+0.99),'Tax scales - NAT 1004'!$A$39:$C$41,2,1)-VLOOKUP((TRUNC($AN190/2,0)+0.99),'Tax scales - NAT 1004'!$A$39:$C$41,3,1)),0)
*2,
0),
IF(AND($E$2="Monthly",ROUND($AN190-TRUNC($AN190),2)=0.33),
ROUND(
ROUND(((TRUNC(($AN190+0.01)*3/13,0)+0.99)*VLOOKUP((TRUNC(($AN190+0.01)*3/13,0)+0.99),'Tax scales - NAT 1004'!$A$39:$C$41,2,1)-VLOOKUP((TRUNC(($AN190+0.01)*3/13,0)+0.99),'Tax scales - NAT 1004'!$A$39:$C$41,3,1)),0)
*13/3,
0),
IF($E$2="Monthly",
ROUND(
ROUND(((TRUNC($AN190*3/13,0)+0.99)*VLOOKUP((TRUNC($AN190*3/13,0)+0.99),'Tax scales - NAT 1004'!$A$39:$C$41,2,1)-VLOOKUP((TRUNC($AN190*3/13,0)+0.99),'Tax scales - NAT 1004'!$A$39:$C$41,3,1)),0)
*13/3,
0),
""))),
""),
"")</f>
        <v/>
      </c>
      <c r="AR190" s="118">
        <f>IFERROR(
IF(AND(VLOOKUP($C190,'Employee information'!$B:$M,COLUMNS('Employee information'!$B:$M),0)=4,
VLOOKUP($C190,'Employee information'!$B:$J,COLUMNS('Employee information'!$B:$J),0)="Resident"),
TRUNC(TRUNC($AN190)*'Tax scales - NAT 1004'!$B$47),
IF(AND(VLOOKUP($C190,'Employee information'!$B:$M,COLUMNS('Employee information'!$B:$M),0)=4,
VLOOKUP($C190,'Employee information'!$B:$J,COLUMNS('Employee information'!$B:$J),0)="Foreign resident"),
TRUNC(TRUNC($AN190)*'Tax scales - NAT 1004'!$B$48),
"")),
"")</f>
        <v>1175</v>
      </c>
      <c r="AS190" s="118" t="str">
        <f>IFERROR(
IF(VLOOKUP($C190,'Employee information'!$B:$M,COLUMNS('Employee information'!$B:$M),0)=5,
IF($E$2="Fortnightly",
ROUND(
ROUND((((TRUNC($AN190/2,0)+0.99))*VLOOKUP((TRUNC($AN190/2,0)+0.99),'Tax scales - NAT 1004'!$A$53:$C$59,2,1)-VLOOKUP((TRUNC($AN190/2,0)+0.99),'Tax scales - NAT 1004'!$A$53:$C$59,3,1)),0)
*2,
0),
IF(AND($E$2="Monthly",ROUND($AN190-TRUNC($AN190),2)=0.33),
ROUND(
ROUND(((TRUNC(($AN190+0.01)*3/13,0)+0.99)*VLOOKUP((TRUNC(($AN190+0.01)*3/13,0)+0.99),'Tax scales - NAT 1004'!$A$53:$C$59,2,1)-VLOOKUP((TRUNC(($AN190+0.01)*3/13,0)+0.99),'Tax scales - NAT 1004'!$A$53:$C$59,3,1)),0)
*13/3,
0),
IF($E$2="Monthly",
ROUND(
ROUND(((TRUNC($AN190*3/13,0)+0.99)*VLOOKUP((TRUNC($AN190*3/13,0)+0.99),'Tax scales - NAT 1004'!$A$53:$C$59,2,1)-VLOOKUP((TRUNC($AN190*3/13,0)+0.99),'Tax scales - NAT 1004'!$A$53:$C$59,3,1)),0)
*13/3,
0),
""))),
""),
"")</f>
        <v/>
      </c>
      <c r="AT190" s="118" t="str">
        <f>IFERROR(
IF(VLOOKUP($C190,'Employee information'!$B:$M,COLUMNS('Employee information'!$B:$M),0)=6,
IF($E$2="Fortnightly",
ROUND(
ROUND((((TRUNC($AN190/2,0)+0.99))*VLOOKUP((TRUNC($AN190/2,0)+0.99),'Tax scales - NAT 1004'!$A$65:$C$73,2,1)-VLOOKUP((TRUNC($AN190/2,0)+0.99),'Tax scales - NAT 1004'!$A$65:$C$73,3,1)),0)
*2,
0),
IF(AND($E$2="Monthly",ROUND($AN190-TRUNC($AN190),2)=0.33),
ROUND(
ROUND(((TRUNC(($AN190+0.01)*3/13,0)+0.99)*VLOOKUP((TRUNC(($AN190+0.01)*3/13,0)+0.99),'Tax scales - NAT 1004'!$A$65:$C$73,2,1)-VLOOKUP((TRUNC(($AN190+0.01)*3/13,0)+0.99),'Tax scales - NAT 1004'!$A$65:$C$73,3,1)),0)
*13/3,
0),
IF($E$2="Monthly",
ROUND(
ROUND(((TRUNC($AN190*3/13,0)+0.99)*VLOOKUP((TRUNC($AN190*3/13,0)+0.99),'Tax scales - NAT 1004'!$A$65:$C$73,2,1)-VLOOKUP((TRUNC($AN190*3/13,0)+0.99),'Tax scales - NAT 1004'!$A$65:$C$73,3,1)),0)
*13/3,
0),
""))),
""),
"")</f>
        <v/>
      </c>
      <c r="AU190" s="118" t="str">
        <f>IFERROR(
IF(VLOOKUP($C190,'Employee information'!$B:$M,COLUMNS('Employee information'!$B:$M),0)=11,
IF($E$2="Fortnightly",
ROUND(
ROUND((((TRUNC($AN190/2,0)+0.99))*VLOOKUP((TRUNC($AN190/2,0)+0.99),'Tax scales - NAT 3539'!$A$14:$C$38,2,1)-VLOOKUP((TRUNC($AN190/2,0)+0.99),'Tax scales - NAT 3539'!$A$14:$C$38,3,1)),0)
*2,
0),
IF(AND($E$2="Monthly",ROUND($AN190-TRUNC($AN190),2)=0.33),
ROUND(
ROUND(((TRUNC(($AN190+0.01)*3/13,0)+0.99)*VLOOKUP((TRUNC(($AN190+0.01)*3/13,0)+0.99),'Tax scales - NAT 3539'!$A$14:$C$38,2,1)-VLOOKUP((TRUNC(($AN190+0.01)*3/13,0)+0.99),'Tax scales - NAT 3539'!$A$14:$C$38,3,1)),0)
*13/3,
0),
IF($E$2="Monthly",
ROUND(
ROUND(((TRUNC($AN190*3/13,0)+0.99)*VLOOKUP((TRUNC($AN190*3/13,0)+0.99),'Tax scales - NAT 3539'!$A$14:$C$38,2,1)-VLOOKUP((TRUNC($AN190*3/13,0)+0.99),'Tax scales - NAT 3539'!$A$14:$C$38,3,1)),0)
*13/3,
0),
""))),
""),
"")</f>
        <v/>
      </c>
      <c r="AV190" s="118" t="str">
        <f>IFERROR(
IF(VLOOKUP($C190,'Employee information'!$B:$M,COLUMNS('Employee information'!$B:$M),0)=22,
IF($E$2="Fortnightly",
ROUND(
ROUND((((TRUNC($AN190/2,0)+0.99))*VLOOKUP((TRUNC($AN190/2,0)+0.99),'Tax scales - NAT 3539'!$A$43:$C$69,2,1)-VLOOKUP((TRUNC($AN190/2,0)+0.99),'Tax scales - NAT 3539'!$A$43:$C$69,3,1)),0)
*2,
0),
IF(AND($E$2="Monthly",ROUND($AN190-TRUNC($AN190),2)=0.33),
ROUND(
ROUND(((TRUNC(($AN190+0.01)*3/13,0)+0.99)*VLOOKUP((TRUNC(($AN190+0.01)*3/13,0)+0.99),'Tax scales - NAT 3539'!$A$43:$C$69,2,1)-VLOOKUP((TRUNC(($AN190+0.01)*3/13,0)+0.99),'Tax scales - NAT 3539'!$A$43:$C$69,3,1)),0)
*13/3,
0),
IF($E$2="Monthly",
ROUND(
ROUND(((TRUNC($AN190*3/13,0)+0.99)*VLOOKUP((TRUNC($AN190*3/13,0)+0.99),'Tax scales - NAT 3539'!$A$43:$C$69,2,1)-VLOOKUP((TRUNC($AN190*3/13,0)+0.99),'Tax scales - NAT 3539'!$A$43:$C$69,3,1)),0)
*13/3,
0),
""))),
""),
"")</f>
        <v/>
      </c>
      <c r="AW190" s="118" t="str">
        <f>IFERROR(
IF(VLOOKUP($C190,'Employee information'!$B:$M,COLUMNS('Employee information'!$B:$M),0)=33,
IF($E$2="Fortnightly",
ROUND(
ROUND((((TRUNC($AN190/2,0)+0.99))*VLOOKUP((TRUNC($AN190/2,0)+0.99),'Tax scales - NAT 3539'!$A$74:$C$94,2,1)-VLOOKUP((TRUNC($AN190/2,0)+0.99),'Tax scales - NAT 3539'!$A$74:$C$94,3,1)),0)
*2,
0),
IF(AND($E$2="Monthly",ROUND($AN190-TRUNC($AN190),2)=0.33),
ROUND(
ROUND(((TRUNC(($AN190+0.01)*3/13,0)+0.99)*VLOOKUP((TRUNC(($AN190+0.01)*3/13,0)+0.99),'Tax scales - NAT 3539'!$A$74:$C$94,2,1)-VLOOKUP((TRUNC(($AN190+0.01)*3/13,0)+0.99),'Tax scales - NAT 3539'!$A$74:$C$94,3,1)),0)
*13/3,
0),
IF($E$2="Monthly",
ROUND(
ROUND(((TRUNC($AN190*3/13,0)+0.99)*VLOOKUP((TRUNC($AN190*3/13,0)+0.99),'Tax scales - NAT 3539'!$A$74:$C$94,2,1)-VLOOKUP((TRUNC($AN190*3/13,0)+0.99),'Tax scales - NAT 3539'!$A$74:$C$94,3,1)),0)
*13/3,
0),
""))),
""),
"")</f>
        <v/>
      </c>
      <c r="AX190" s="118" t="str">
        <f>IFERROR(
IF(VLOOKUP($C190,'Employee information'!$B:$M,COLUMNS('Employee information'!$B:$M),0)=55,
IF($E$2="Fortnightly",
ROUND(
ROUND((((TRUNC($AN190/2,0)+0.99))*VLOOKUP((TRUNC($AN190/2,0)+0.99),'Tax scales - NAT 3539'!$A$99:$C$123,2,1)-VLOOKUP((TRUNC($AN190/2,0)+0.99),'Tax scales - NAT 3539'!$A$99:$C$123,3,1)),0)
*2,
0),
IF(AND($E$2="Monthly",ROUND($AN190-TRUNC($AN190),2)=0.33),
ROUND(
ROUND(((TRUNC(($AN190+0.01)*3/13,0)+0.99)*VLOOKUP((TRUNC(($AN190+0.01)*3/13,0)+0.99),'Tax scales - NAT 3539'!$A$99:$C$123,2,1)-VLOOKUP((TRUNC(($AN190+0.01)*3/13,0)+0.99),'Tax scales - NAT 3539'!$A$99:$C$123,3,1)),0)
*13/3,
0),
IF($E$2="Monthly",
ROUND(
ROUND(((TRUNC($AN190*3/13,0)+0.99)*VLOOKUP((TRUNC($AN190*3/13,0)+0.99),'Tax scales - NAT 3539'!$A$99:$C$123,2,1)-VLOOKUP((TRUNC($AN190*3/13,0)+0.99),'Tax scales - NAT 3539'!$A$99:$C$123,3,1)),0)
*13/3,
0),
""))),
""),
"")</f>
        <v/>
      </c>
      <c r="AY190" s="118" t="str">
        <f>IFERROR(
IF(VLOOKUP($C190,'Employee information'!$B:$M,COLUMNS('Employee information'!$B:$M),0)=66,
IF($E$2="Fortnightly",
ROUND(
ROUND((((TRUNC($AN190/2,0)+0.99))*VLOOKUP((TRUNC($AN190/2,0)+0.99),'Tax scales - NAT 3539'!$A$127:$C$154,2,1)-VLOOKUP((TRUNC($AN190/2,0)+0.99),'Tax scales - NAT 3539'!$A$127:$C$154,3,1)),0)
*2,
0),
IF(AND($E$2="Monthly",ROUND($AN190-TRUNC($AN190),2)=0.33),
ROUND(
ROUND(((TRUNC(($AN190+0.01)*3/13,0)+0.99)*VLOOKUP((TRUNC(($AN190+0.01)*3/13,0)+0.99),'Tax scales - NAT 3539'!$A$127:$C$154,2,1)-VLOOKUP((TRUNC(($AN190+0.01)*3/13,0)+0.99),'Tax scales - NAT 3539'!$A$127:$C$154,3,1)),0)
*13/3,
0),
IF($E$2="Monthly",
ROUND(
ROUND(((TRUNC($AN190*3/13,0)+0.99)*VLOOKUP((TRUNC($AN190*3/13,0)+0.99),'Tax scales - NAT 3539'!$A$127:$C$154,2,1)-VLOOKUP((TRUNC($AN190*3/13,0)+0.99),'Tax scales - NAT 3539'!$A$127:$C$154,3,1)),0)
*13/3,
0),
""))),
""),
"")</f>
        <v/>
      </c>
      <c r="AZ190" s="118">
        <f>IFERROR(
HLOOKUP(VLOOKUP($C190,'Employee information'!$B:$M,COLUMNS('Employee information'!$B:$M),0),'PAYG worksheet'!$AO$184:$AY$203,COUNTA($C$185:$C190)+1,0),
0)</f>
        <v>1175</v>
      </c>
      <c r="BA190" s="118"/>
      <c r="BB190" s="118">
        <f t="shared" si="201"/>
        <v>1325</v>
      </c>
      <c r="BC190" s="119">
        <f>IFERROR(
IF(OR($AE190=1,$AE190=""),SUM($P190,$AA190,$AC190,$AK190)*VLOOKUP($C190,'Employee information'!$B:$Q,COLUMNS('Employee information'!$B:$H),0),
IF($AE190=0,SUM($P190,$AA190,$AK190)*VLOOKUP($C190,'Employee information'!$B:$Q,COLUMNS('Employee information'!$B:$H),0),
0)),
0)</f>
        <v>237.5</v>
      </c>
      <c r="BE190" s="114">
        <f t="shared" si="186"/>
        <v>17500</v>
      </c>
      <c r="BF190" s="114">
        <f t="shared" si="187"/>
        <v>17500</v>
      </c>
      <c r="BG190" s="114">
        <f t="shared" si="188"/>
        <v>0</v>
      </c>
      <c r="BH190" s="114">
        <f t="shared" si="189"/>
        <v>0</v>
      </c>
      <c r="BI190" s="114">
        <f t="shared" si="190"/>
        <v>8225</v>
      </c>
      <c r="BJ190" s="114">
        <f t="shared" si="191"/>
        <v>0</v>
      </c>
      <c r="BK190" s="114">
        <f t="shared" si="192"/>
        <v>0</v>
      </c>
      <c r="BL190" s="114">
        <f t="shared" si="202"/>
        <v>0</v>
      </c>
      <c r="BM190" s="114">
        <f t="shared" si="193"/>
        <v>1662.5</v>
      </c>
    </row>
    <row r="191" spans="1:65" x14ac:dyDescent="0.25">
      <c r="A191" s="228">
        <f t="shared" si="181"/>
        <v>7</v>
      </c>
      <c r="C191" s="278" t="s">
        <v>95</v>
      </c>
      <c r="E191" s="103">
        <f>IF($C191="",0,
IF(AND($E$2="Monthly",$A191&gt;12),0,
IF($E$2="Monthly",VLOOKUP($C191,'Employee information'!$B:$AM,COLUMNS('Employee information'!$B:S),0),
IF($E$2="Fortnightly",VLOOKUP($C191,'Employee information'!$B:$AM,COLUMNS('Employee information'!$B:R),0),
0))))</f>
        <v>45</v>
      </c>
      <c r="F191" s="106"/>
      <c r="G191" s="106"/>
      <c r="H191" s="106"/>
      <c r="I191" s="106"/>
      <c r="J191" s="103">
        <f t="shared" si="194"/>
        <v>45</v>
      </c>
      <c r="L191" s="113">
        <f>IF(AND($E$2="Monthly",$A191&gt;12),"",
IFERROR($J191*VLOOKUP($C191,'Employee information'!$B:$AI,COLUMNS('Employee information'!$B:$P),0),0))</f>
        <v>1107.6923076923078</v>
      </c>
      <c r="M191" s="114">
        <f t="shared" si="195"/>
        <v>7753.8461538461543</v>
      </c>
      <c r="O191" s="103">
        <f t="shared" si="196"/>
        <v>45</v>
      </c>
      <c r="P191" s="113">
        <f>IFERROR(
IF(AND($E$2="Monthly",$A191&gt;12),0,
$O191*VLOOKUP($C191,'Employee information'!$B:$AI,COLUMNS('Employee information'!$B:$P),0)),
0)</f>
        <v>1107.6923076923078</v>
      </c>
      <c r="R191" s="114">
        <f t="shared" si="182"/>
        <v>7753.8461538461543</v>
      </c>
      <c r="T191" s="103"/>
      <c r="U191" s="103"/>
      <c r="V191" s="282">
        <f>IF($C191="","",
IF(AND($E$2="Monthly",$A191&gt;12),"",
$T191*VLOOKUP($C191,'Employee information'!$B:$P,COLUMNS('Employee information'!$B:$P),0)))</f>
        <v>0</v>
      </c>
      <c r="W191" s="282">
        <f>IF($C191="","",
IF(AND($E$2="Monthly",$A191&gt;12),"",
$U191*VLOOKUP($C191,'Employee information'!$B:$P,COLUMNS('Employee information'!$B:$P),0)))</f>
        <v>0</v>
      </c>
      <c r="X191" s="114">
        <f t="shared" si="183"/>
        <v>0</v>
      </c>
      <c r="Y191" s="114">
        <f t="shared" si="184"/>
        <v>0</v>
      </c>
      <c r="AA191" s="118">
        <f>IFERROR(
IF(OR('Basic payroll data'!$D$12="",'Basic payroll data'!$D$12="No"),0,
$T191*VLOOKUP($C191,'Employee information'!$B:$P,COLUMNS('Employee information'!$B:$P),0)*AL_loading_perc),
0)</f>
        <v>0</v>
      </c>
      <c r="AC191" s="118"/>
      <c r="AD191" s="118"/>
      <c r="AE191" s="283" t="str">
        <f t="shared" si="197"/>
        <v/>
      </c>
      <c r="AF191" s="283" t="str">
        <f t="shared" si="198"/>
        <v/>
      </c>
      <c r="AG191" s="118"/>
      <c r="AH191" s="118"/>
      <c r="AI191" s="283" t="str">
        <f t="shared" si="199"/>
        <v/>
      </c>
      <c r="AJ191" s="118"/>
      <c r="AK191" s="118"/>
      <c r="AM191" s="118">
        <f t="shared" si="200"/>
        <v>1107.6923076923078</v>
      </c>
      <c r="AN191" s="118">
        <f t="shared" si="185"/>
        <v>1107.6923076923078</v>
      </c>
      <c r="AO191" s="118" t="str">
        <f>IFERROR(
IF(VLOOKUP($C191,'Employee information'!$B:$M,COLUMNS('Employee information'!$B:$M),0)=1,
IF($E$2="Fortnightly",
ROUND(
ROUND((((TRUNC($AN191/2,0)+0.99))*VLOOKUP((TRUNC($AN191/2,0)+0.99),'Tax scales - NAT 1004'!$A$12:$C$18,2,1)-VLOOKUP((TRUNC($AN191/2,0)+0.99),'Tax scales - NAT 1004'!$A$12:$C$18,3,1)),0)
*2,
0),
IF(AND($E$2="Monthly",ROUND($AN191-TRUNC($AN191),2)=0.33),
ROUND(
ROUND(((TRUNC(($AN191+0.01)*3/13,0)+0.99)*VLOOKUP((TRUNC(($AN191+0.01)*3/13,0)+0.99),'Tax scales - NAT 1004'!$A$12:$C$18,2,1)-VLOOKUP((TRUNC(($AN191+0.01)*3/13,0)+0.99),'Tax scales - NAT 1004'!$A$12:$C$18,3,1)),0)
*13/3,
0),
IF($E$2="Monthly",
ROUND(
ROUND(((TRUNC($AN191*3/13,0)+0.99)*VLOOKUP((TRUNC($AN191*3/13,0)+0.99),'Tax scales - NAT 1004'!$A$12:$C$18,2,1)-VLOOKUP((TRUNC($AN191*3/13,0)+0.99),'Tax scales - NAT 1004'!$A$12:$C$18,3,1)),0)
*13/3,
0),
""))),
""),
"")</f>
        <v/>
      </c>
      <c r="AP191" s="118" t="str">
        <f>IFERROR(
IF(VLOOKUP($C191,'Employee information'!$B:$M,COLUMNS('Employee information'!$B:$M),0)=2,
IF($E$2="Fortnightly",
ROUND(
ROUND((((TRUNC($AN191/2,0)+0.99))*VLOOKUP((TRUNC($AN191/2,0)+0.99),'Tax scales - NAT 1004'!$A$25:$C$33,2,1)-VLOOKUP((TRUNC($AN191/2,0)+0.99),'Tax scales - NAT 1004'!$A$25:$C$33,3,1)),0)
*2,
0),
IF(AND($E$2="Monthly",ROUND($AN191-TRUNC($AN191),2)=0.33),
ROUND(
ROUND(((TRUNC(($AN191+0.01)*3/13,0)+0.99)*VLOOKUP((TRUNC(($AN191+0.01)*3/13,0)+0.99),'Tax scales - NAT 1004'!$A$25:$C$33,2,1)-VLOOKUP((TRUNC(($AN191+0.01)*3/13,0)+0.99),'Tax scales - NAT 1004'!$A$25:$C$33,3,1)),0)
*13/3,
0),
IF($E$2="Monthly",
ROUND(
ROUND(((TRUNC($AN191*3/13,0)+0.99)*VLOOKUP((TRUNC($AN191*3/13,0)+0.99),'Tax scales - NAT 1004'!$A$25:$C$33,2,1)-VLOOKUP((TRUNC($AN191*3/13,0)+0.99),'Tax scales - NAT 1004'!$A$25:$C$33,3,1)),0)
*13/3,
0),
""))),
""),
"")</f>
        <v/>
      </c>
      <c r="AQ191" s="118" t="str">
        <f>IFERROR(
IF(VLOOKUP($C191,'Employee information'!$B:$M,COLUMNS('Employee information'!$B:$M),0)=3,
IF($E$2="Fortnightly",
ROUND(
ROUND((((TRUNC($AN191/2,0)+0.99))*VLOOKUP((TRUNC($AN191/2,0)+0.99),'Tax scales - NAT 1004'!$A$39:$C$41,2,1)-VLOOKUP((TRUNC($AN191/2,0)+0.99),'Tax scales - NAT 1004'!$A$39:$C$41,3,1)),0)
*2,
0),
IF(AND($E$2="Monthly",ROUND($AN191-TRUNC($AN191),2)=0.33),
ROUND(
ROUND(((TRUNC(($AN191+0.01)*3/13,0)+0.99)*VLOOKUP((TRUNC(($AN191+0.01)*3/13,0)+0.99),'Tax scales - NAT 1004'!$A$39:$C$41,2,1)-VLOOKUP((TRUNC(($AN191+0.01)*3/13,0)+0.99),'Tax scales - NAT 1004'!$A$39:$C$41,3,1)),0)
*13/3,
0),
IF($E$2="Monthly",
ROUND(
ROUND(((TRUNC($AN191*3/13,0)+0.99)*VLOOKUP((TRUNC($AN191*3/13,0)+0.99),'Tax scales - NAT 1004'!$A$39:$C$41,2,1)-VLOOKUP((TRUNC($AN191*3/13,0)+0.99),'Tax scales - NAT 1004'!$A$39:$C$41,3,1)),0)
*13/3,
0),
""))),
""),
"")</f>
        <v/>
      </c>
      <c r="AR191" s="118" t="str">
        <f>IFERROR(
IF(AND(VLOOKUP($C191,'Employee information'!$B:$M,COLUMNS('Employee information'!$B:$M),0)=4,
VLOOKUP($C191,'Employee information'!$B:$J,COLUMNS('Employee information'!$B:$J),0)="Resident"),
TRUNC(TRUNC($AN191)*'Tax scales - NAT 1004'!$B$47),
IF(AND(VLOOKUP($C191,'Employee information'!$B:$M,COLUMNS('Employee information'!$B:$M),0)=4,
VLOOKUP($C191,'Employee information'!$B:$J,COLUMNS('Employee information'!$B:$J),0)="Foreign resident"),
TRUNC(TRUNC($AN191)*'Tax scales - NAT 1004'!$B$48),
"")),
"")</f>
        <v/>
      </c>
      <c r="AS191" s="118" t="str">
        <f>IFERROR(
IF(VLOOKUP($C191,'Employee information'!$B:$M,COLUMNS('Employee information'!$B:$M),0)=5,
IF($E$2="Fortnightly",
ROUND(
ROUND((((TRUNC($AN191/2,0)+0.99))*VLOOKUP((TRUNC($AN191/2,0)+0.99),'Tax scales - NAT 1004'!$A$53:$C$59,2,1)-VLOOKUP((TRUNC($AN191/2,0)+0.99),'Tax scales - NAT 1004'!$A$53:$C$59,3,1)),0)
*2,
0),
IF(AND($E$2="Monthly",ROUND($AN191-TRUNC($AN191),2)=0.33),
ROUND(
ROUND(((TRUNC(($AN191+0.01)*3/13,0)+0.99)*VLOOKUP((TRUNC(($AN191+0.01)*3/13,0)+0.99),'Tax scales - NAT 1004'!$A$53:$C$59,2,1)-VLOOKUP((TRUNC(($AN191+0.01)*3/13,0)+0.99),'Tax scales - NAT 1004'!$A$53:$C$59,3,1)),0)
*13/3,
0),
IF($E$2="Monthly",
ROUND(
ROUND(((TRUNC($AN191*3/13,0)+0.99)*VLOOKUP((TRUNC($AN191*3/13,0)+0.99),'Tax scales - NAT 1004'!$A$53:$C$59,2,1)-VLOOKUP((TRUNC($AN191*3/13,0)+0.99),'Tax scales - NAT 1004'!$A$53:$C$59,3,1)),0)
*13/3,
0),
""))),
""),
"")</f>
        <v/>
      </c>
      <c r="AT191" s="118" t="str">
        <f>IFERROR(
IF(VLOOKUP($C191,'Employee information'!$B:$M,COLUMNS('Employee information'!$B:$M),0)=6,
IF($E$2="Fortnightly",
ROUND(
ROUND((((TRUNC($AN191/2,0)+0.99))*VLOOKUP((TRUNC($AN191/2,0)+0.99),'Tax scales - NAT 1004'!$A$65:$C$73,2,1)-VLOOKUP((TRUNC($AN191/2,0)+0.99),'Tax scales - NAT 1004'!$A$65:$C$73,3,1)),0)
*2,
0),
IF(AND($E$2="Monthly",ROUND($AN191-TRUNC($AN191),2)=0.33),
ROUND(
ROUND(((TRUNC(($AN191+0.01)*3/13,0)+0.99)*VLOOKUP((TRUNC(($AN191+0.01)*3/13,0)+0.99),'Tax scales - NAT 1004'!$A$65:$C$73,2,1)-VLOOKUP((TRUNC(($AN191+0.01)*3/13,0)+0.99),'Tax scales - NAT 1004'!$A$65:$C$73,3,1)),0)
*13/3,
0),
IF($E$2="Monthly",
ROUND(
ROUND(((TRUNC($AN191*3/13,0)+0.99)*VLOOKUP((TRUNC($AN191*3/13,0)+0.99),'Tax scales - NAT 1004'!$A$65:$C$73,2,1)-VLOOKUP((TRUNC($AN191*3/13,0)+0.99),'Tax scales - NAT 1004'!$A$65:$C$73,3,1)),0)
*13/3,
0),
""))),
""),
"")</f>
        <v/>
      </c>
      <c r="AU191" s="118" t="str">
        <f>IFERROR(
IF(VLOOKUP($C191,'Employee information'!$B:$M,COLUMNS('Employee information'!$B:$M),0)=11,
IF($E$2="Fortnightly",
ROUND(
ROUND((((TRUNC($AN191/2,0)+0.99))*VLOOKUP((TRUNC($AN191/2,0)+0.99),'Tax scales - NAT 3539'!$A$14:$C$38,2,1)-VLOOKUP((TRUNC($AN191/2,0)+0.99),'Tax scales - NAT 3539'!$A$14:$C$38,3,1)),0)
*2,
0),
IF(AND($E$2="Monthly",ROUND($AN191-TRUNC($AN191),2)=0.33),
ROUND(
ROUND(((TRUNC(($AN191+0.01)*3/13,0)+0.99)*VLOOKUP((TRUNC(($AN191+0.01)*3/13,0)+0.99),'Tax scales - NAT 3539'!$A$14:$C$38,2,1)-VLOOKUP((TRUNC(($AN191+0.01)*3/13,0)+0.99),'Tax scales - NAT 3539'!$A$14:$C$38,3,1)),0)
*13/3,
0),
IF($E$2="Monthly",
ROUND(
ROUND(((TRUNC($AN191*3/13,0)+0.99)*VLOOKUP((TRUNC($AN191*3/13,0)+0.99),'Tax scales - NAT 3539'!$A$14:$C$38,2,1)-VLOOKUP((TRUNC($AN191*3/13,0)+0.99),'Tax scales - NAT 3539'!$A$14:$C$38,3,1)),0)
*13/3,
0),
""))),
""),
"")</f>
        <v/>
      </c>
      <c r="AV191" s="118" t="str">
        <f>IFERROR(
IF(VLOOKUP($C191,'Employee information'!$B:$M,COLUMNS('Employee information'!$B:$M),0)=22,
IF($E$2="Fortnightly",
ROUND(
ROUND((((TRUNC($AN191/2,0)+0.99))*VLOOKUP((TRUNC($AN191/2,0)+0.99),'Tax scales - NAT 3539'!$A$43:$C$69,2,1)-VLOOKUP((TRUNC($AN191/2,0)+0.99),'Tax scales - NAT 3539'!$A$43:$C$69,3,1)),0)
*2,
0),
IF(AND($E$2="Monthly",ROUND($AN191-TRUNC($AN191),2)=0.33),
ROUND(
ROUND(((TRUNC(($AN191+0.01)*3/13,0)+0.99)*VLOOKUP((TRUNC(($AN191+0.01)*3/13,0)+0.99),'Tax scales - NAT 3539'!$A$43:$C$69,2,1)-VLOOKUP((TRUNC(($AN191+0.01)*3/13,0)+0.99),'Tax scales - NAT 3539'!$A$43:$C$69,3,1)),0)
*13/3,
0),
IF($E$2="Monthly",
ROUND(
ROUND(((TRUNC($AN191*3/13,0)+0.99)*VLOOKUP((TRUNC($AN191*3/13,0)+0.99),'Tax scales - NAT 3539'!$A$43:$C$69,2,1)-VLOOKUP((TRUNC($AN191*3/13,0)+0.99),'Tax scales - NAT 3539'!$A$43:$C$69,3,1)),0)
*13/3,
0),
""))),
""),
"")</f>
        <v/>
      </c>
      <c r="AW191" s="118" t="str">
        <f>IFERROR(
IF(VLOOKUP($C191,'Employee information'!$B:$M,COLUMNS('Employee information'!$B:$M),0)=33,
IF($E$2="Fortnightly",
ROUND(
ROUND((((TRUNC($AN191/2,0)+0.99))*VLOOKUP((TRUNC($AN191/2,0)+0.99),'Tax scales - NAT 3539'!$A$74:$C$94,2,1)-VLOOKUP((TRUNC($AN191/2,0)+0.99),'Tax scales - NAT 3539'!$A$74:$C$94,3,1)),0)
*2,
0),
IF(AND($E$2="Monthly",ROUND($AN191-TRUNC($AN191),2)=0.33),
ROUND(
ROUND(((TRUNC(($AN191+0.01)*3/13,0)+0.99)*VLOOKUP((TRUNC(($AN191+0.01)*3/13,0)+0.99),'Tax scales - NAT 3539'!$A$74:$C$94,2,1)-VLOOKUP((TRUNC(($AN191+0.01)*3/13,0)+0.99),'Tax scales - NAT 3539'!$A$74:$C$94,3,1)),0)
*13/3,
0),
IF($E$2="Monthly",
ROUND(
ROUND(((TRUNC($AN191*3/13,0)+0.99)*VLOOKUP((TRUNC($AN191*3/13,0)+0.99),'Tax scales - NAT 3539'!$A$74:$C$94,2,1)-VLOOKUP((TRUNC($AN191*3/13,0)+0.99),'Tax scales - NAT 3539'!$A$74:$C$94,3,1)),0)
*13/3,
0),
""))),
""),
"")</f>
        <v/>
      </c>
      <c r="AX191" s="118" t="str">
        <f>IFERROR(
IF(VLOOKUP($C191,'Employee information'!$B:$M,COLUMNS('Employee information'!$B:$M),0)=55,
IF($E$2="Fortnightly",
ROUND(
ROUND((((TRUNC($AN191/2,0)+0.99))*VLOOKUP((TRUNC($AN191/2,0)+0.99),'Tax scales - NAT 3539'!$A$99:$C$123,2,1)-VLOOKUP((TRUNC($AN191/2,0)+0.99),'Tax scales - NAT 3539'!$A$99:$C$123,3,1)),0)
*2,
0),
IF(AND($E$2="Monthly",ROUND($AN191-TRUNC($AN191),2)=0.33),
ROUND(
ROUND(((TRUNC(($AN191+0.01)*3/13,0)+0.99)*VLOOKUP((TRUNC(($AN191+0.01)*3/13,0)+0.99),'Tax scales - NAT 3539'!$A$99:$C$123,2,1)-VLOOKUP((TRUNC(($AN191+0.01)*3/13,0)+0.99),'Tax scales - NAT 3539'!$A$99:$C$123,3,1)),0)
*13/3,
0),
IF($E$2="Monthly",
ROUND(
ROUND(((TRUNC($AN191*3/13,0)+0.99)*VLOOKUP((TRUNC($AN191*3/13,0)+0.99),'Tax scales - NAT 3539'!$A$99:$C$123,2,1)-VLOOKUP((TRUNC($AN191*3/13,0)+0.99),'Tax scales - NAT 3539'!$A$99:$C$123,3,1)),0)
*13/3,
0),
""))),
""),
"")</f>
        <v/>
      </c>
      <c r="AY191" s="118">
        <f>IFERROR(
IF(VLOOKUP($C191,'Employee information'!$B:$M,COLUMNS('Employee information'!$B:$M),0)=66,
IF($E$2="Fortnightly",
ROUND(
ROUND((((TRUNC($AN191/2,0)+0.99))*VLOOKUP((TRUNC($AN191/2,0)+0.99),'Tax scales - NAT 3539'!$A$127:$C$154,2,1)-VLOOKUP((TRUNC($AN191/2,0)+0.99),'Tax scales - NAT 3539'!$A$127:$C$154,3,1)),0)
*2,
0),
IF(AND($E$2="Monthly",ROUND($AN191-TRUNC($AN191),2)=0.33),
ROUND(
ROUND(((TRUNC(($AN191+0.01)*3/13,0)+0.99)*VLOOKUP((TRUNC(($AN191+0.01)*3/13,0)+0.99),'Tax scales - NAT 3539'!$A$127:$C$154,2,1)-VLOOKUP((TRUNC(($AN191+0.01)*3/13,0)+0.99),'Tax scales - NAT 3539'!$A$127:$C$154,3,1)),0)
*13/3,
0),
IF($E$2="Monthly",
ROUND(
ROUND(((TRUNC($AN191*3/13,0)+0.99)*VLOOKUP((TRUNC($AN191*3/13,0)+0.99),'Tax scales - NAT 3539'!$A$127:$C$154,2,1)-VLOOKUP((TRUNC($AN191*3/13,0)+0.99),'Tax scales - NAT 3539'!$A$127:$C$154,3,1)),0)
*13/3,
0),
""))),
""),
"")</f>
        <v>74</v>
      </c>
      <c r="AZ191" s="118">
        <f>IFERROR(
HLOOKUP(VLOOKUP($C191,'Employee information'!$B:$M,COLUMNS('Employee information'!$B:$M),0),'PAYG worksheet'!$AO$184:$AY$203,COUNTA($C$185:$C191)+1,0),
0)</f>
        <v>74</v>
      </c>
      <c r="BA191" s="118"/>
      <c r="BB191" s="118">
        <f t="shared" si="201"/>
        <v>1033.6923076923078</v>
      </c>
      <c r="BC191" s="119">
        <f>IFERROR(
IF(OR($AE191=1,$AE191=""),SUM($P191,$AA191,$AC191,$AK191)*VLOOKUP($C191,'Employee information'!$B:$Q,COLUMNS('Employee information'!$B:$H),0),
IF($AE191=0,SUM($P191,$AA191,$AK191)*VLOOKUP($C191,'Employee information'!$B:$Q,COLUMNS('Employee information'!$B:$H),0),
0)),
0)</f>
        <v>105.23076923076924</v>
      </c>
      <c r="BE191" s="114">
        <f t="shared" si="186"/>
        <v>7753.8461538461543</v>
      </c>
      <c r="BF191" s="114">
        <f t="shared" si="187"/>
        <v>7753.8461538461543</v>
      </c>
      <c r="BG191" s="114">
        <f t="shared" si="188"/>
        <v>0</v>
      </c>
      <c r="BH191" s="114">
        <f t="shared" si="189"/>
        <v>0</v>
      </c>
      <c r="BI191" s="114">
        <f t="shared" si="190"/>
        <v>518</v>
      </c>
      <c r="BJ191" s="114">
        <f t="shared" si="191"/>
        <v>0</v>
      </c>
      <c r="BK191" s="114">
        <f t="shared" si="192"/>
        <v>0</v>
      </c>
      <c r="BL191" s="114">
        <f t="shared" si="202"/>
        <v>0</v>
      </c>
      <c r="BM191" s="114">
        <f t="shared" si="193"/>
        <v>736.61538461538476</v>
      </c>
    </row>
    <row r="192" spans="1:65" x14ac:dyDescent="0.25">
      <c r="A192" s="228">
        <f t="shared" si="181"/>
        <v>7</v>
      </c>
      <c r="C192" s="278"/>
      <c r="E192" s="103">
        <f>IF($C192="",0,
IF(AND($E$2="Monthly",$A192&gt;12),0,
IF($E$2="Monthly",VLOOKUP($C192,'Employee information'!$B:$AM,COLUMNS('Employee information'!$B:S),0),
IF($E$2="Fortnightly",VLOOKUP($C192,'Employee information'!$B:$AM,COLUMNS('Employee information'!$B:R),0),
0))))</f>
        <v>0</v>
      </c>
      <c r="F192" s="106"/>
      <c r="G192" s="106"/>
      <c r="H192" s="106"/>
      <c r="I192" s="106"/>
      <c r="J192" s="103">
        <f>IF($E$2="Monthly",
IF(AND($E$2="Monthly",$H192&lt;&gt;""),$H192,
IF(AND($E$2="Monthly",$E192=0),SUM($F192:$G192),
$E192)),
IF($E$2="Fortnightly",
IF(AND($E$2="Fortnightly",$H192&lt;&gt;""),$H192,
IF(AND($E$2="Fortnightly",$F192&lt;&gt;"",$E192&lt;&gt;0),$F192,
IF(AND($E$2="Fortnightly",$E192=0),SUM($F192:$G192),
$E192)))))</f>
        <v>0</v>
      </c>
      <c r="L192" s="113">
        <f>IF(AND($E$2="Monthly",$A192&gt;12),"",
IFERROR($J192*VLOOKUP($C192,'Employee information'!$B:$AI,COLUMNS('Employee information'!$B:$P),0),0))</f>
        <v>0</v>
      </c>
      <c r="M192" s="114">
        <f t="shared" si="195"/>
        <v>0</v>
      </c>
      <c r="O192" s="103">
        <f t="shared" si="196"/>
        <v>0</v>
      </c>
      <c r="P192" s="113">
        <f>IFERROR(
IF(AND($E$2="Monthly",$A192&gt;12),0,
$O192*VLOOKUP($C192,'Employee information'!$B:$AI,COLUMNS('Employee information'!$B:$P),0)),
0)</f>
        <v>0</v>
      </c>
      <c r="R192" s="114">
        <f t="shared" si="182"/>
        <v>0</v>
      </c>
      <c r="T192" s="103"/>
      <c r="U192" s="103"/>
      <c r="V192" s="282" t="str">
        <f>IF($C192="","",
IF(AND($E$2="Monthly",$A192&gt;12),"",
$T192*VLOOKUP($C192,'Employee information'!$B:$P,COLUMNS('Employee information'!$B:$P),0)))</f>
        <v/>
      </c>
      <c r="W192" s="282" t="str">
        <f>IF($C192="","",
IF(AND($E$2="Monthly",$A192&gt;12),"",
$U192*VLOOKUP($C192,'Employee information'!$B:$P,COLUMNS('Employee information'!$B:$P),0)))</f>
        <v/>
      </c>
      <c r="X192" s="114">
        <f t="shared" si="183"/>
        <v>0</v>
      </c>
      <c r="Y192" s="114">
        <f t="shared" si="184"/>
        <v>0</v>
      </c>
      <c r="AA192" s="118">
        <f>IFERROR(
IF(OR('Basic payroll data'!$D$12="",'Basic payroll data'!$D$12="No"),0,
$T192*VLOOKUP($C192,'Employee information'!$B:$P,COLUMNS('Employee information'!$B:$P),0)*AL_loading_perc),
0)</f>
        <v>0</v>
      </c>
      <c r="AC192" s="118"/>
      <c r="AD192" s="118"/>
      <c r="AE192" s="283" t="str">
        <f t="shared" si="197"/>
        <v/>
      </c>
      <c r="AF192" s="283" t="str">
        <f t="shared" si="198"/>
        <v/>
      </c>
      <c r="AG192" s="118"/>
      <c r="AH192" s="118"/>
      <c r="AI192" s="283" t="str">
        <f t="shared" si="199"/>
        <v/>
      </c>
      <c r="AJ192" s="118"/>
      <c r="AK192" s="118"/>
      <c r="AM192" s="118">
        <f t="shared" si="200"/>
        <v>0</v>
      </c>
      <c r="AN192" s="118">
        <f t="shared" si="185"/>
        <v>0</v>
      </c>
      <c r="AO192" s="118" t="str">
        <f>IFERROR(
IF(VLOOKUP($C192,'Employee information'!$B:$M,COLUMNS('Employee information'!$B:$M),0)=1,
IF($E$2="Fortnightly",
ROUND(
ROUND((((TRUNC($AN192/2,0)+0.99))*VLOOKUP((TRUNC($AN192/2,0)+0.99),'Tax scales - NAT 1004'!$A$12:$C$18,2,1)-VLOOKUP((TRUNC($AN192/2,0)+0.99),'Tax scales - NAT 1004'!$A$12:$C$18,3,1)),0)
*2,
0),
IF(AND($E$2="Monthly",ROUND($AN192-TRUNC($AN192),2)=0.33),
ROUND(
ROUND(((TRUNC(($AN192+0.01)*3/13,0)+0.99)*VLOOKUP((TRUNC(($AN192+0.01)*3/13,0)+0.99),'Tax scales - NAT 1004'!$A$12:$C$18,2,1)-VLOOKUP((TRUNC(($AN192+0.01)*3/13,0)+0.99),'Tax scales - NAT 1004'!$A$12:$C$18,3,1)),0)
*13/3,
0),
IF($E$2="Monthly",
ROUND(
ROUND(((TRUNC($AN192*3/13,0)+0.99)*VLOOKUP((TRUNC($AN192*3/13,0)+0.99),'Tax scales - NAT 1004'!$A$12:$C$18,2,1)-VLOOKUP((TRUNC($AN192*3/13,0)+0.99),'Tax scales - NAT 1004'!$A$12:$C$18,3,1)),0)
*13/3,
0),
""))),
""),
"")</f>
        <v/>
      </c>
      <c r="AP192" s="118" t="str">
        <f>IFERROR(
IF(VLOOKUP($C192,'Employee information'!$B:$M,COLUMNS('Employee information'!$B:$M),0)=2,
IF($E$2="Fortnightly",
ROUND(
ROUND((((TRUNC($AN192/2,0)+0.99))*VLOOKUP((TRUNC($AN192/2,0)+0.99),'Tax scales - NAT 1004'!$A$25:$C$33,2,1)-VLOOKUP((TRUNC($AN192/2,0)+0.99),'Tax scales - NAT 1004'!$A$25:$C$33,3,1)),0)
*2,
0),
IF(AND($E$2="Monthly",ROUND($AN192-TRUNC($AN192),2)=0.33),
ROUND(
ROUND(((TRUNC(($AN192+0.01)*3/13,0)+0.99)*VLOOKUP((TRUNC(($AN192+0.01)*3/13,0)+0.99),'Tax scales - NAT 1004'!$A$25:$C$33,2,1)-VLOOKUP((TRUNC(($AN192+0.01)*3/13,0)+0.99),'Tax scales - NAT 1004'!$A$25:$C$33,3,1)),0)
*13/3,
0),
IF($E$2="Monthly",
ROUND(
ROUND(((TRUNC($AN192*3/13,0)+0.99)*VLOOKUP((TRUNC($AN192*3/13,0)+0.99),'Tax scales - NAT 1004'!$A$25:$C$33,2,1)-VLOOKUP((TRUNC($AN192*3/13,0)+0.99),'Tax scales - NAT 1004'!$A$25:$C$33,3,1)),0)
*13/3,
0),
""))),
""),
"")</f>
        <v/>
      </c>
      <c r="AQ192" s="118" t="str">
        <f>IFERROR(
IF(VLOOKUP($C192,'Employee information'!$B:$M,COLUMNS('Employee information'!$B:$M),0)=3,
IF($E$2="Fortnightly",
ROUND(
ROUND((((TRUNC($AN192/2,0)+0.99))*VLOOKUP((TRUNC($AN192/2,0)+0.99),'Tax scales - NAT 1004'!$A$39:$C$41,2,1)-VLOOKUP((TRUNC($AN192/2,0)+0.99),'Tax scales - NAT 1004'!$A$39:$C$41,3,1)),0)
*2,
0),
IF(AND($E$2="Monthly",ROUND($AN192-TRUNC($AN192),2)=0.33),
ROUND(
ROUND(((TRUNC(($AN192+0.01)*3/13,0)+0.99)*VLOOKUP((TRUNC(($AN192+0.01)*3/13,0)+0.99),'Tax scales - NAT 1004'!$A$39:$C$41,2,1)-VLOOKUP((TRUNC(($AN192+0.01)*3/13,0)+0.99),'Tax scales - NAT 1004'!$A$39:$C$41,3,1)),0)
*13/3,
0),
IF($E$2="Monthly",
ROUND(
ROUND(((TRUNC($AN192*3/13,0)+0.99)*VLOOKUP((TRUNC($AN192*3/13,0)+0.99),'Tax scales - NAT 1004'!$A$39:$C$41,2,1)-VLOOKUP((TRUNC($AN192*3/13,0)+0.99),'Tax scales - NAT 1004'!$A$39:$C$41,3,1)),0)
*13/3,
0),
""))),
""),
"")</f>
        <v/>
      </c>
      <c r="AR192" s="118" t="str">
        <f>IFERROR(
IF(AND(VLOOKUP($C192,'Employee information'!$B:$M,COLUMNS('Employee information'!$B:$M),0)=4,
VLOOKUP($C192,'Employee information'!$B:$J,COLUMNS('Employee information'!$B:$J),0)="Resident"),
TRUNC(TRUNC($AN192)*'Tax scales - NAT 1004'!$B$47),
IF(AND(VLOOKUP($C192,'Employee information'!$B:$M,COLUMNS('Employee information'!$B:$M),0)=4,
VLOOKUP($C192,'Employee information'!$B:$J,COLUMNS('Employee information'!$B:$J),0)="Foreign resident"),
TRUNC(TRUNC($AN192)*'Tax scales - NAT 1004'!$B$48),
"")),
"")</f>
        <v/>
      </c>
      <c r="AS192" s="118" t="str">
        <f>IFERROR(
IF(VLOOKUP($C192,'Employee information'!$B:$M,COLUMNS('Employee information'!$B:$M),0)=5,
IF($E$2="Fortnightly",
ROUND(
ROUND((((TRUNC($AN192/2,0)+0.99))*VLOOKUP((TRUNC($AN192/2,0)+0.99),'Tax scales - NAT 1004'!$A$53:$C$59,2,1)-VLOOKUP((TRUNC($AN192/2,0)+0.99),'Tax scales - NAT 1004'!$A$53:$C$59,3,1)),0)
*2,
0),
IF(AND($E$2="Monthly",ROUND($AN192-TRUNC($AN192),2)=0.33),
ROUND(
ROUND(((TRUNC(($AN192+0.01)*3/13,0)+0.99)*VLOOKUP((TRUNC(($AN192+0.01)*3/13,0)+0.99),'Tax scales - NAT 1004'!$A$53:$C$59,2,1)-VLOOKUP((TRUNC(($AN192+0.01)*3/13,0)+0.99),'Tax scales - NAT 1004'!$A$53:$C$59,3,1)),0)
*13/3,
0),
IF($E$2="Monthly",
ROUND(
ROUND(((TRUNC($AN192*3/13,0)+0.99)*VLOOKUP((TRUNC($AN192*3/13,0)+0.99),'Tax scales - NAT 1004'!$A$53:$C$59,2,1)-VLOOKUP((TRUNC($AN192*3/13,0)+0.99),'Tax scales - NAT 1004'!$A$53:$C$59,3,1)),0)
*13/3,
0),
""))),
""),
"")</f>
        <v/>
      </c>
      <c r="AT192" s="118" t="str">
        <f>IFERROR(
IF(VLOOKUP($C192,'Employee information'!$B:$M,COLUMNS('Employee information'!$B:$M),0)=6,
IF($E$2="Fortnightly",
ROUND(
ROUND((((TRUNC($AN192/2,0)+0.99))*VLOOKUP((TRUNC($AN192/2,0)+0.99),'Tax scales - NAT 1004'!$A$65:$C$73,2,1)-VLOOKUP((TRUNC($AN192/2,0)+0.99),'Tax scales - NAT 1004'!$A$65:$C$73,3,1)),0)
*2,
0),
IF(AND($E$2="Monthly",ROUND($AN192-TRUNC($AN192),2)=0.33),
ROUND(
ROUND(((TRUNC(($AN192+0.01)*3/13,0)+0.99)*VLOOKUP((TRUNC(($AN192+0.01)*3/13,0)+0.99),'Tax scales - NAT 1004'!$A$65:$C$73,2,1)-VLOOKUP((TRUNC(($AN192+0.01)*3/13,0)+0.99),'Tax scales - NAT 1004'!$A$65:$C$73,3,1)),0)
*13/3,
0),
IF($E$2="Monthly",
ROUND(
ROUND(((TRUNC($AN192*3/13,0)+0.99)*VLOOKUP((TRUNC($AN192*3/13,0)+0.99),'Tax scales - NAT 1004'!$A$65:$C$73,2,1)-VLOOKUP((TRUNC($AN192*3/13,0)+0.99),'Tax scales - NAT 1004'!$A$65:$C$73,3,1)),0)
*13/3,
0),
""))),
""),
"")</f>
        <v/>
      </c>
      <c r="AU192" s="118" t="str">
        <f>IFERROR(
IF(VLOOKUP($C192,'Employee information'!$B:$M,COLUMNS('Employee information'!$B:$M),0)=11,
IF($E$2="Fortnightly",
ROUND(
ROUND((((TRUNC($AN192/2,0)+0.99))*VLOOKUP((TRUNC($AN192/2,0)+0.99),'Tax scales - NAT 3539'!$A$14:$C$38,2,1)-VLOOKUP((TRUNC($AN192/2,0)+0.99),'Tax scales - NAT 3539'!$A$14:$C$38,3,1)),0)
*2,
0),
IF(AND($E$2="Monthly",ROUND($AN192-TRUNC($AN192),2)=0.33),
ROUND(
ROUND(((TRUNC(($AN192+0.01)*3/13,0)+0.99)*VLOOKUP((TRUNC(($AN192+0.01)*3/13,0)+0.99),'Tax scales - NAT 3539'!$A$14:$C$38,2,1)-VLOOKUP((TRUNC(($AN192+0.01)*3/13,0)+0.99),'Tax scales - NAT 3539'!$A$14:$C$38,3,1)),0)
*13/3,
0),
IF($E$2="Monthly",
ROUND(
ROUND(((TRUNC($AN192*3/13,0)+0.99)*VLOOKUP((TRUNC($AN192*3/13,0)+0.99),'Tax scales - NAT 3539'!$A$14:$C$38,2,1)-VLOOKUP((TRUNC($AN192*3/13,0)+0.99),'Tax scales - NAT 3539'!$A$14:$C$38,3,1)),0)
*13/3,
0),
""))),
""),
"")</f>
        <v/>
      </c>
      <c r="AV192" s="118" t="str">
        <f>IFERROR(
IF(VLOOKUP($C192,'Employee information'!$B:$M,COLUMNS('Employee information'!$B:$M),0)=22,
IF($E$2="Fortnightly",
ROUND(
ROUND((((TRUNC($AN192/2,0)+0.99))*VLOOKUP((TRUNC($AN192/2,0)+0.99),'Tax scales - NAT 3539'!$A$43:$C$69,2,1)-VLOOKUP((TRUNC($AN192/2,0)+0.99),'Tax scales - NAT 3539'!$A$43:$C$69,3,1)),0)
*2,
0),
IF(AND($E$2="Monthly",ROUND($AN192-TRUNC($AN192),2)=0.33),
ROUND(
ROUND(((TRUNC(($AN192+0.01)*3/13,0)+0.99)*VLOOKUP((TRUNC(($AN192+0.01)*3/13,0)+0.99),'Tax scales - NAT 3539'!$A$43:$C$69,2,1)-VLOOKUP((TRUNC(($AN192+0.01)*3/13,0)+0.99),'Tax scales - NAT 3539'!$A$43:$C$69,3,1)),0)
*13/3,
0),
IF($E$2="Monthly",
ROUND(
ROUND(((TRUNC($AN192*3/13,0)+0.99)*VLOOKUP((TRUNC($AN192*3/13,0)+0.99),'Tax scales - NAT 3539'!$A$43:$C$69,2,1)-VLOOKUP((TRUNC($AN192*3/13,0)+0.99),'Tax scales - NAT 3539'!$A$43:$C$69,3,1)),0)
*13/3,
0),
""))),
""),
"")</f>
        <v/>
      </c>
      <c r="AW192" s="118" t="str">
        <f>IFERROR(
IF(VLOOKUP($C192,'Employee information'!$B:$M,COLUMNS('Employee information'!$B:$M),0)=33,
IF($E$2="Fortnightly",
ROUND(
ROUND((((TRUNC($AN192/2,0)+0.99))*VLOOKUP((TRUNC($AN192/2,0)+0.99),'Tax scales - NAT 3539'!$A$74:$C$94,2,1)-VLOOKUP((TRUNC($AN192/2,0)+0.99),'Tax scales - NAT 3539'!$A$74:$C$94,3,1)),0)
*2,
0),
IF(AND($E$2="Monthly",ROUND($AN192-TRUNC($AN192),2)=0.33),
ROUND(
ROUND(((TRUNC(($AN192+0.01)*3/13,0)+0.99)*VLOOKUP((TRUNC(($AN192+0.01)*3/13,0)+0.99),'Tax scales - NAT 3539'!$A$74:$C$94,2,1)-VLOOKUP((TRUNC(($AN192+0.01)*3/13,0)+0.99),'Tax scales - NAT 3539'!$A$74:$C$94,3,1)),0)
*13/3,
0),
IF($E$2="Monthly",
ROUND(
ROUND(((TRUNC($AN192*3/13,0)+0.99)*VLOOKUP((TRUNC($AN192*3/13,0)+0.99),'Tax scales - NAT 3539'!$A$74:$C$94,2,1)-VLOOKUP((TRUNC($AN192*3/13,0)+0.99),'Tax scales - NAT 3539'!$A$74:$C$94,3,1)),0)
*13/3,
0),
""))),
""),
"")</f>
        <v/>
      </c>
      <c r="AX192" s="118" t="str">
        <f>IFERROR(
IF(VLOOKUP($C192,'Employee information'!$B:$M,COLUMNS('Employee information'!$B:$M),0)=55,
IF($E$2="Fortnightly",
ROUND(
ROUND((((TRUNC($AN192/2,0)+0.99))*VLOOKUP((TRUNC($AN192/2,0)+0.99),'Tax scales - NAT 3539'!$A$99:$C$123,2,1)-VLOOKUP((TRUNC($AN192/2,0)+0.99),'Tax scales - NAT 3539'!$A$99:$C$123,3,1)),0)
*2,
0),
IF(AND($E$2="Monthly",ROUND($AN192-TRUNC($AN192),2)=0.33),
ROUND(
ROUND(((TRUNC(($AN192+0.01)*3/13,0)+0.99)*VLOOKUP((TRUNC(($AN192+0.01)*3/13,0)+0.99),'Tax scales - NAT 3539'!$A$99:$C$123,2,1)-VLOOKUP((TRUNC(($AN192+0.01)*3/13,0)+0.99),'Tax scales - NAT 3539'!$A$99:$C$123,3,1)),0)
*13/3,
0),
IF($E$2="Monthly",
ROUND(
ROUND(((TRUNC($AN192*3/13,0)+0.99)*VLOOKUP((TRUNC($AN192*3/13,0)+0.99),'Tax scales - NAT 3539'!$A$99:$C$123,2,1)-VLOOKUP((TRUNC($AN192*3/13,0)+0.99),'Tax scales - NAT 3539'!$A$99:$C$123,3,1)),0)
*13/3,
0),
""))),
""),
"")</f>
        <v/>
      </c>
      <c r="AY192" s="118" t="str">
        <f>IFERROR(
IF(VLOOKUP($C192,'Employee information'!$B:$M,COLUMNS('Employee information'!$B:$M),0)=66,
IF($E$2="Fortnightly",
ROUND(
ROUND((((TRUNC($AN192/2,0)+0.99))*VLOOKUP((TRUNC($AN192/2,0)+0.99),'Tax scales - NAT 3539'!$A$127:$C$154,2,1)-VLOOKUP((TRUNC($AN192/2,0)+0.99),'Tax scales - NAT 3539'!$A$127:$C$154,3,1)),0)
*2,
0),
IF(AND($E$2="Monthly",ROUND($AN192-TRUNC($AN192),2)=0.33),
ROUND(
ROUND(((TRUNC(($AN192+0.01)*3/13,0)+0.99)*VLOOKUP((TRUNC(($AN192+0.01)*3/13,0)+0.99),'Tax scales - NAT 3539'!$A$127:$C$154,2,1)-VLOOKUP((TRUNC(($AN192+0.01)*3/13,0)+0.99),'Tax scales - NAT 3539'!$A$127:$C$154,3,1)),0)
*13/3,
0),
IF($E$2="Monthly",
ROUND(
ROUND(((TRUNC($AN192*3/13,0)+0.99)*VLOOKUP((TRUNC($AN192*3/13,0)+0.99),'Tax scales - NAT 3539'!$A$127:$C$154,2,1)-VLOOKUP((TRUNC($AN192*3/13,0)+0.99),'Tax scales - NAT 3539'!$A$127:$C$154,3,1)),0)
*13/3,
0),
""))),
""),
"")</f>
        <v/>
      </c>
      <c r="AZ192" s="118">
        <f>IFERROR(
HLOOKUP(VLOOKUP($C192,'Employee information'!$B:$M,COLUMNS('Employee information'!$B:$M),0),'PAYG worksheet'!$AO$184:$AY$203,COUNTA($C$185:$C192)+1,0),
0)</f>
        <v>0</v>
      </c>
      <c r="BA192" s="118"/>
      <c r="BB192" s="118">
        <f t="shared" si="201"/>
        <v>0</v>
      </c>
      <c r="BC192" s="119">
        <f>IFERROR(
IF(OR($AE192=1,$AE192=""),SUM($P192,$AA192,$AC192,$AK192)*VLOOKUP($C192,'Employee information'!$B:$Q,COLUMNS('Employee information'!$B:$H),0),
IF($AE192=0,SUM($P192,$AA192,$AK192)*VLOOKUP($C192,'Employee information'!$B:$Q,COLUMNS('Employee information'!$B:$H),0),
0)),
0)</f>
        <v>0</v>
      </c>
      <c r="BE192" s="114">
        <f t="shared" si="186"/>
        <v>0</v>
      </c>
      <c r="BF192" s="114">
        <f t="shared" si="187"/>
        <v>0</v>
      </c>
      <c r="BG192" s="114">
        <f t="shared" si="188"/>
        <v>0</v>
      </c>
      <c r="BH192" s="114">
        <f t="shared" si="189"/>
        <v>0</v>
      </c>
      <c r="BI192" s="114">
        <f t="shared" si="190"/>
        <v>0</v>
      </c>
      <c r="BJ192" s="114">
        <f t="shared" si="191"/>
        <v>0</v>
      </c>
      <c r="BK192" s="114">
        <f t="shared" si="192"/>
        <v>0</v>
      </c>
      <c r="BL192" s="114">
        <f t="shared" si="202"/>
        <v>0</v>
      </c>
      <c r="BM192" s="114">
        <f t="shared" si="193"/>
        <v>0</v>
      </c>
    </row>
    <row r="193" spans="1:65" x14ac:dyDescent="0.25">
      <c r="A193" s="228">
        <f t="shared" si="181"/>
        <v>7</v>
      </c>
      <c r="C193" s="278"/>
      <c r="E193" s="103">
        <f>IF($C193="",0,
IF(AND($E$2="Monthly",$A193&gt;12),0,
IF($E$2="Monthly",VLOOKUP($C193,'Employee information'!$B:$AM,COLUMNS('Employee information'!$B:S),0),
IF($E$2="Fortnightly",VLOOKUP($C193,'Employee information'!$B:$AM,COLUMNS('Employee information'!$B:R),0),
0))))</f>
        <v>0</v>
      </c>
      <c r="F193" s="106"/>
      <c r="G193" s="106"/>
      <c r="H193" s="106"/>
      <c r="I193" s="106"/>
      <c r="J193" s="103">
        <f t="shared" si="194"/>
        <v>0</v>
      </c>
      <c r="L193" s="113">
        <f>IF(AND($E$2="Monthly",$A193&gt;12),"",
IFERROR($J193*VLOOKUP($C193,'Employee information'!$B:$AI,COLUMNS('Employee information'!$B:$P),0),0))</f>
        <v>0</v>
      </c>
      <c r="M193" s="114">
        <f t="shared" si="195"/>
        <v>0</v>
      </c>
      <c r="O193" s="103">
        <f t="shared" si="196"/>
        <v>0</v>
      </c>
      <c r="P193" s="113">
        <f>IFERROR(
IF(AND($E$2="Monthly",$A193&gt;12),0,
$O193*VLOOKUP($C193,'Employee information'!$B:$AI,COLUMNS('Employee information'!$B:$P),0)),
0)</f>
        <v>0</v>
      </c>
      <c r="R193" s="114">
        <f t="shared" si="182"/>
        <v>0</v>
      </c>
      <c r="T193" s="103"/>
      <c r="U193" s="103"/>
      <c r="V193" s="282" t="str">
        <f>IF($C193="","",
IF(AND($E$2="Monthly",$A193&gt;12),"",
$T193*VLOOKUP($C193,'Employee information'!$B:$P,COLUMNS('Employee information'!$B:$P),0)))</f>
        <v/>
      </c>
      <c r="W193" s="282" t="str">
        <f>IF($C193="","",
IF(AND($E$2="Monthly",$A193&gt;12),"",
$U193*VLOOKUP($C193,'Employee information'!$B:$P,COLUMNS('Employee information'!$B:$P),0)))</f>
        <v/>
      </c>
      <c r="X193" s="114">
        <f t="shared" si="183"/>
        <v>0</v>
      </c>
      <c r="Y193" s="114">
        <f t="shared" si="184"/>
        <v>0</v>
      </c>
      <c r="AA193" s="118">
        <f>IFERROR(
IF(OR('Basic payroll data'!$D$12="",'Basic payroll data'!$D$12="No"),0,
$T193*VLOOKUP($C193,'Employee information'!$B:$P,COLUMNS('Employee information'!$B:$P),0)*AL_loading_perc),
0)</f>
        <v>0</v>
      </c>
      <c r="AC193" s="118"/>
      <c r="AD193" s="118"/>
      <c r="AE193" s="283" t="str">
        <f t="shared" si="197"/>
        <v/>
      </c>
      <c r="AF193" s="283" t="str">
        <f t="shared" si="198"/>
        <v/>
      </c>
      <c r="AG193" s="118"/>
      <c r="AH193" s="118"/>
      <c r="AI193" s="283" t="str">
        <f t="shared" si="199"/>
        <v/>
      </c>
      <c r="AJ193" s="118"/>
      <c r="AK193" s="118"/>
      <c r="AM193" s="118">
        <f t="shared" si="200"/>
        <v>0</v>
      </c>
      <c r="AN193" s="118">
        <f t="shared" si="185"/>
        <v>0</v>
      </c>
      <c r="AO193" s="118" t="str">
        <f>IFERROR(
IF(VLOOKUP($C193,'Employee information'!$B:$M,COLUMNS('Employee information'!$B:$M),0)=1,
IF($E$2="Fortnightly",
ROUND(
ROUND((((TRUNC($AN193/2,0)+0.99))*VLOOKUP((TRUNC($AN193/2,0)+0.99),'Tax scales - NAT 1004'!$A$12:$C$18,2,1)-VLOOKUP((TRUNC($AN193/2,0)+0.99),'Tax scales - NAT 1004'!$A$12:$C$18,3,1)),0)
*2,
0),
IF(AND($E$2="Monthly",ROUND($AN193-TRUNC($AN193),2)=0.33),
ROUND(
ROUND(((TRUNC(($AN193+0.01)*3/13,0)+0.99)*VLOOKUP((TRUNC(($AN193+0.01)*3/13,0)+0.99),'Tax scales - NAT 1004'!$A$12:$C$18,2,1)-VLOOKUP((TRUNC(($AN193+0.01)*3/13,0)+0.99),'Tax scales - NAT 1004'!$A$12:$C$18,3,1)),0)
*13/3,
0),
IF($E$2="Monthly",
ROUND(
ROUND(((TRUNC($AN193*3/13,0)+0.99)*VLOOKUP((TRUNC($AN193*3/13,0)+0.99),'Tax scales - NAT 1004'!$A$12:$C$18,2,1)-VLOOKUP((TRUNC($AN193*3/13,0)+0.99),'Tax scales - NAT 1004'!$A$12:$C$18,3,1)),0)
*13/3,
0),
""))),
""),
"")</f>
        <v/>
      </c>
      <c r="AP193" s="118" t="str">
        <f>IFERROR(
IF(VLOOKUP($C193,'Employee information'!$B:$M,COLUMNS('Employee information'!$B:$M),0)=2,
IF($E$2="Fortnightly",
ROUND(
ROUND((((TRUNC($AN193/2,0)+0.99))*VLOOKUP((TRUNC($AN193/2,0)+0.99),'Tax scales - NAT 1004'!$A$25:$C$33,2,1)-VLOOKUP((TRUNC($AN193/2,0)+0.99),'Tax scales - NAT 1004'!$A$25:$C$33,3,1)),0)
*2,
0),
IF(AND($E$2="Monthly",ROUND($AN193-TRUNC($AN193),2)=0.33),
ROUND(
ROUND(((TRUNC(($AN193+0.01)*3/13,0)+0.99)*VLOOKUP((TRUNC(($AN193+0.01)*3/13,0)+0.99),'Tax scales - NAT 1004'!$A$25:$C$33,2,1)-VLOOKUP((TRUNC(($AN193+0.01)*3/13,0)+0.99),'Tax scales - NAT 1004'!$A$25:$C$33,3,1)),0)
*13/3,
0),
IF($E$2="Monthly",
ROUND(
ROUND(((TRUNC($AN193*3/13,0)+0.99)*VLOOKUP((TRUNC($AN193*3/13,0)+0.99),'Tax scales - NAT 1004'!$A$25:$C$33,2,1)-VLOOKUP((TRUNC($AN193*3/13,0)+0.99),'Tax scales - NAT 1004'!$A$25:$C$33,3,1)),0)
*13/3,
0),
""))),
""),
"")</f>
        <v/>
      </c>
      <c r="AQ193" s="118" t="str">
        <f>IFERROR(
IF(VLOOKUP($C193,'Employee information'!$B:$M,COLUMNS('Employee information'!$B:$M),0)=3,
IF($E$2="Fortnightly",
ROUND(
ROUND((((TRUNC($AN193/2,0)+0.99))*VLOOKUP((TRUNC($AN193/2,0)+0.99),'Tax scales - NAT 1004'!$A$39:$C$41,2,1)-VLOOKUP((TRUNC($AN193/2,0)+0.99),'Tax scales - NAT 1004'!$A$39:$C$41,3,1)),0)
*2,
0),
IF(AND($E$2="Monthly",ROUND($AN193-TRUNC($AN193),2)=0.33),
ROUND(
ROUND(((TRUNC(($AN193+0.01)*3/13,0)+0.99)*VLOOKUP((TRUNC(($AN193+0.01)*3/13,0)+0.99),'Tax scales - NAT 1004'!$A$39:$C$41,2,1)-VLOOKUP((TRUNC(($AN193+0.01)*3/13,0)+0.99),'Tax scales - NAT 1004'!$A$39:$C$41,3,1)),0)
*13/3,
0),
IF($E$2="Monthly",
ROUND(
ROUND(((TRUNC($AN193*3/13,0)+0.99)*VLOOKUP((TRUNC($AN193*3/13,0)+0.99),'Tax scales - NAT 1004'!$A$39:$C$41,2,1)-VLOOKUP((TRUNC($AN193*3/13,0)+0.99),'Tax scales - NAT 1004'!$A$39:$C$41,3,1)),0)
*13/3,
0),
""))),
""),
"")</f>
        <v/>
      </c>
      <c r="AR193" s="118" t="str">
        <f>IFERROR(
IF(AND(VLOOKUP($C193,'Employee information'!$B:$M,COLUMNS('Employee information'!$B:$M),0)=4,
VLOOKUP($C193,'Employee information'!$B:$J,COLUMNS('Employee information'!$B:$J),0)="Resident"),
TRUNC(TRUNC($AN193)*'Tax scales - NAT 1004'!$B$47),
IF(AND(VLOOKUP($C193,'Employee information'!$B:$M,COLUMNS('Employee information'!$B:$M),0)=4,
VLOOKUP($C193,'Employee information'!$B:$J,COLUMNS('Employee information'!$B:$J),0)="Foreign resident"),
TRUNC(TRUNC($AN193)*'Tax scales - NAT 1004'!$B$48),
"")),
"")</f>
        <v/>
      </c>
      <c r="AS193" s="118" t="str">
        <f>IFERROR(
IF(VLOOKUP($C193,'Employee information'!$B:$M,COLUMNS('Employee information'!$B:$M),0)=5,
IF($E$2="Fortnightly",
ROUND(
ROUND((((TRUNC($AN193/2,0)+0.99))*VLOOKUP((TRUNC($AN193/2,0)+0.99),'Tax scales - NAT 1004'!$A$53:$C$59,2,1)-VLOOKUP((TRUNC($AN193/2,0)+0.99),'Tax scales - NAT 1004'!$A$53:$C$59,3,1)),0)
*2,
0),
IF(AND($E$2="Monthly",ROUND($AN193-TRUNC($AN193),2)=0.33),
ROUND(
ROUND(((TRUNC(($AN193+0.01)*3/13,0)+0.99)*VLOOKUP((TRUNC(($AN193+0.01)*3/13,0)+0.99),'Tax scales - NAT 1004'!$A$53:$C$59,2,1)-VLOOKUP((TRUNC(($AN193+0.01)*3/13,0)+0.99),'Tax scales - NAT 1004'!$A$53:$C$59,3,1)),0)
*13/3,
0),
IF($E$2="Monthly",
ROUND(
ROUND(((TRUNC($AN193*3/13,0)+0.99)*VLOOKUP((TRUNC($AN193*3/13,0)+0.99),'Tax scales - NAT 1004'!$A$53:$C$59,2,1)-VLOOKUP((TRUNC($AN193*3/13,0)+0.99),'Tax scales - NAT 1004'!$A$53:$C$59,3,1)),0)
*13/3,
0),
""))),
""),
"")</f>
        <v/>
      </c>
      <c r="AT193" s="118" t="str">
        <f>IFERROR(
IF(VLOOKUP($C193,'Employee information'!$B:$M,COLUMNS('Employee information'!$B:$M),0)=6,
IF($E$2="Fortnightly",
ROUND(
ROUND((((TRUNC($AN193/2,0)+0.99))*VLOOKUP((TRUNC($AN193/2,0)+0.99),'Tax scales - NAT 1004'!$A$65:$C$73,2,1)-VLOOKUP((TRUNC($AN193/2,0)+0.99),'Tax scales - NAT 1004'!$A$65:$C$73,3,1)),0)
*2,
0),
IF(AND($E$2="Monthly",ROUND($AN193-TRUNC($AN193),2)=0.33),
ROUND(
ROUND(((TRUNC(($AN193+0.01)*3/13,0)+0.99)*VLOOKUP((TRUNC(($AN193+0.01)*3/13,0)+0.99),'Tax scales - NAT 1004'!$A$65:$C$73,2,1)-VLOOKUP((TRUNC(($AN193+0.01)*3/13,0)+0.99),'Tax scales - NAT 1004'!$A$65:$C$73,3,1)),0)
*13/3,
0),
IF($E$2="Monthly",
ROUND(
ROUND(((TRUNC($AN193*3/13,0)+0.99)*VLOOKUP((TRUNC($AN193*3/13,0)+0.99),'Tax scales - NAT 1004'!$A$65:$C$73,2,1)-VLOOKUP((TRUNC($AN193*3/13,0)+0.99),'Tax scales - NAT 1004'!$A$65:$C$73,3,1)),0)
*13/3,
0),
""))),
""),
"")</f>
        <v/>
      </c>
      <c r="AU193" s="118" t="str">
        <f>IFERROR(
IF(VLOOKUP($C193,'Employee information'!$B:$M,COLUMNS('Employee information'!$B:$M),0)=11,
IF($E$2="Fortnightly",
ROUND(
ROUND((((TRUNC($AN193/2,0)+0.99))*VLOOKUP((TRUNC($AN193/2,0)+0.99),'Tax scales - NAT 3539'!$A$14:$C$38,2,1)-VLOOKUP((TRUNC($AN193/2,0)+0.99),'Tax scales - NAT 3539'!$A$14:$C$38,3,1)),0)
*2,
0),
IF(AND($E$2="Monthly",ROUND($AN193-TRUNC($AN193),2)=0.33),
ROUND(
ROUND(((TRUNC(($AN193+0.01)*3/13,0)+0.99)*VLOOKUP((TRUNC(($AN193+0.01)*3/13,0)+0.99),'Tax scales - NAT 3539'!$A$14:$C$38,2,1)-VLOOKUP((TRUNC(($AN193+0.01)*3/13,0)+0.99),'Tax scales - NAT 3539'!$A$14:$C$38,3,1)),0)
*13/3,
0),
IF($E$2="Monthly",
ROUND(
ROUND(((TRUNC($AN193*3/13,0)+0.99)*VLOOKUP((TRUNC($AN193*3/13,0)+0.99),'Tax scales - NAT 3539'!$A$14:$C$38,2,1)-VLOOKUP((TRUNC($AN193*3/13,0)+0.99),'Tax scales - NAT 3539'!$A$14:$C$38,3,1)),0)
*13/3,
0),
""))),
""),
"")</f>
        <v/>
      </c>
      <c r="AV193" s="118" t="str">
        <f>IFERROR(
IF(VLOOKUP($C193,'Employee information'!$B:$M,COLUMNS('Employee information'!$B:$M),0)=22,
IF($E$2="Fortnightly",
ROUND(
ROUND((((TRUNC($AN193/2,0)+0.99))*VLOOKUP((TRUNC($AN193/2,0)+0.99),'Tax scales - NAT 3539'!$A$43:$C$69,2,1)-VLOOKUP((TRUNC($AN193/2,0)+0.99),'Tax scales - NAT 3539'!$A$43:$C$69,3,1)),0)
*2,
0),
IF(AND($E$2="Monthly",ROUND($AN193-TRUNC($AN193),2)=0.33),
ROUND(
ROUND(((TRUNC(($AN193+0.01)*3/13,0)+0.99)*VLOOKUP((TRUNC(($AN193+0.01)*3/13,0)+0.99),'Tax scales - NAT 3539'!$A$43:$C$69,2,1)-VLOOKUP((TRUNC(($AN193+0.01)*3/13,0)+0.99),'Tax scales - NAT 3539'!$A$43:$C$69,3,1)),0)
*13/3,
0),
IF($E$2="Monthly",
ROUND(
ROUND(((TRUNC($AN193*3/13,0)+0.99)*VLOOKUP((TRUNC($AN193*3/13,0)+0.99),'Tax scales - NAT 3539'!$A$43:$C$69,2,1)-VLOOKUP((TRUNC($AN193*3/13,0)+0.99),'Tax scales - NAT 3539'!$A$43:$C$69,3,1)),0)
*13/3,
0),
""))),
""),
"")</f>
        <v/>
      </c>
      <c r="AW193" s="118" t="str">
        <f>IFERROR(
IF(VLOOKUP($C193,'Employee information'!$B:$M,COLUMNS('Employee information'!$B:$M),0)=33,
IF($E$2="Fortnightly",
ROUND(
ROUND((((TRUNC($AN193/2,0)+0.99))*VLOOKUP((TRUNC($AN193/2,0)+0.99),'Tax scales - NAT 3539'!$A$74:$C$94,2,1)-VLOOKUP((TRUNC($AN193/2,0)+0.99),'Tax scales - NAT 3539'!$A$74:$C$94,3,1)),0)
*2,
0),
IF(AND($E$2="Monthly",ROUND($AN193-TRUNC($AN193),2)=0.33),
ROUND(
ROUND(((TRUNC(($AN193+0.01)*3/13,0)+0.99)*VLOOKUP((TRUNC(($AN193+0.01)*3/13,0)+0.99),'Tax scales - NAT 3539'!$A$74:$C$94,2,1)-VLOOKUP((TRUNC(($AN193+0.01)*3/13,0)+0.99),'Tax scales - NAT 3539'!$A$74:$C$94,3,1)),0)
*13/3,
0),
IF($E$2="Monthly",
ROUND(
ROUND(((TRUNC($AN193*3/13,0)+0.99)*VLOOKUP((TRUNC($AN193*3/13,0)+0.99),'Tax scales - NAT 3539'!$A$74:$C$94,2,1)-VLOOKUP((TRUNC($AN193*3/13,0)+0.99),'Tax scales - NAT 3539'!$A$74:$C$94,3,1)),0)
*13/3,
0),
""))),
""),
"")</f>
        <v/>
      </c>
      <c r="AX193" s="118" t="str">
        <f>IFERROR(
IF(VLOOKUP($C193,'Employee information'!$B:$M,COLUMNS('Employee information'!$B:$M),0)=55,
IF($E$2="Fortnightly",
ROUND(
ROUND((((TRUNC($AN193/2,0)+0.99))*VLOOKUP((TRUNC($AN193/2,0)+0.99),'Tax scales - NAT 3539'!$A$99:$C$123,2,1)-VLOOKUP((TRUNC($AN193/2,0)+0.99),'Tax scales - NAT 3539'!$A$99:$C$123,3,1)),0)
*2,
0),
IF(AND($E$2="Monthly",ROUND($AN193-TRUNC($AN193),2)=0.33),
ROUND(
ROUND(((TRUNC(($AN193+0.01)*3/13,0)+0.99)*VLOOKUP((TRUNC(($AN193+0.01)*3/13,0)+0.99),'Tax scales - NAT 3539'!$A$99:$C$123,2,1)-VLOOKUP((TRUNC(($AN193+0.01)*3/13,0)+0.99),'Tax scales - NAT 3539'!$A$99:$C$123,3,1)),0)
*13/3,
0),
IF($E$2="Monthly",
ROUND(
ROUND(((TRUNC($AN193*3/13,0)+0.99)*VLOOKUP((TRUNC($AN193*3/13,0)+0.99),'Tax scales - NAT 3539'!$A$99:$C$123,2,1)-VLOOKUP((TRUNC($AN193*3/13,0)+0.99),'Tax scales - NAT 3539'!$A$99:$C$123,3,1)),0)
*13/3,
0),
""))),
""),
"")</f>
        <v/>
      </c>
      <c r="AY193" s="118" t="str">
        <f>IFERROR(
IF(VLOOKUP($C193,'Employee information'!$B:$M,COLUMNS('Employee information'!$B:$M),0)=66,
IF($E$2="Fortnightly",
ROUND(
ROUND((((TRUNC($AN193/2,0)+0.99))*VLOOKUP((TRUNC($AN193/2,0)+0.99),'Tax scales - NAT 3539'!$A$127:$C$154,2,1)-VLOOKUP((TRUNC($AN193/2,0)+0.99),'Tax scales - NAT 3539'!$A$127:$C$154,3,1)),0)
*2,
0),
IF(AND($E$2="Monthly",ROUND($AN193-TRUNC($AN193),2)=0.33),
ROUND(
ROUND(((TRUNC(($AN193+0.01)*3/13,0)+0.99)*VLOOKUP((TRUNC(($AN193+0.01)*3/13,0)+0.99),'Tax scales - NAT 3539'!$A$127:$C$154,2,1)-VLOOKUP((TRUNC(($AN193+0.01)*3/13,0)+0.99),'Tax scales - NAT 3539'!$A$127:$C$154,3,1)),0)
*13/3,
0),
IF($E$2="Monthly",
ROUND(
ROUND(((TRUNC($AN193*3/13,0)+0.99)*VLOOKUP((TRUNC($AN193*3/13,0)+0.99),'Tax scales - NAT 3539'!$A$127:$C$154,2,1)-VLOOKUP((TRUNC($AN193*3/13,0)+0.99),'Tax scales - NAT 3539'!$A$127:$C$154,3,1)),0)
*13/3,
0),
""))),
""),
"")</f>
        <v/>
      </c>
      <c r="AZ193" s="118">
        <f>IFERROR(
HLOOKUP(VLOOKUP($C193,'Employee information'!$B:$M,COLUMNS('Employee information'!$B:$M),0),'PAYG worksheet'!$AO$184:$AY$203,COUNTA($C$185:$C193)+1,0),
0)</f>
        <v>0</v>
      </c>
      <c r="BA193" s="118"/>
      <c r="BB193" s="118">
        <f t="shared" si="201"/>
        <v>0</v>
      </c>
      <c r="BC193" s="119">
        <f>IFERROR(
IF(OR($AE193=1,$AE193=""),SUM($P193,$AA193,$AC193,$AK193)*VLOOKUP($C193,'Employee information'!$B:$Q,COLUMNS('Employee information'!$B:$H),0),
IF($AE193=0,SUM($P193,$AA193,$AK193)*VLOOKUP($C193,'Employee information'!$B:$Q,COLUMNS('Employee information'!$B:$H),0),
0)),
0)</f>
        <v>0</v>
      </c>
      <c r="BE193" s="114">
        <f t="shared" si="186"/>
        <v>0</v>
      </c>
      <c r="BF193" s="114">
        <f t="shared" si="187"/>
        <v>0</v>
      </c>
      <c r="BG193" s="114">
        <f t="shared" si="188"/>
        <v>0</v>
      </c>
      <c r="BH193" s="114">
        <f t="shared" si="189"/>
        <v>0</v>
      </c>
      <c r="BI193" s="114">
        <f t="shared" si="190"/>
        <v>0</v>
      </c>
      <c r="BJ193" s="114">
        <f t="shared" si="191"/>
        <v>0</v>
      </c>
      <c r="BK193" s="114">
        <f t="shared" si="192"/>
        <v>0</v>
      </c>
      <c r="BL193" s="114">
        <f t="shared" si="202"/>
        <v>0</v>
      </c>
      <c r="BM193" s="114">
        <f t="shared" si="193"/>
        <v>0</v>
      </c>
    </row>
    <row r="194" spans="1:65" x14ac:dyDescent="0.25">
      <c r="A194" s="228">
        <f t="shared" si="181"/>
        <v>7</v>
      </c>
      <c r="C194" s="278"/>
      <c r="E194" s="103">
        <f>IF($C194="",0,
IF(AND($E$2="Monthly",$A194&gt;12),0,
IF($E$2="Monthly",VLOOKUP($C194,'Employee information'!$B:$AM,COLUMNS('Employee information'!$B:S),0),
IF($E$2="Fortnightly",VLOOKUP($C194,'Employee information'!$B:$AM,COLUMNS('Employee information'!$B:R),0),
0))))</f>
        <v>0</v>
      </c>
      <c r="F194" s="106"/>
      <c r="G194" s="106"/>
      <c r="H194" s="106"/>
      <c r="I194" s="106"/>
      <c r="J194" s="103">
        <f t="shared" si="194"/>
        <v>0</v>
      </c>
      <c r="L194" s="113">
        <f>IF(AND($E$2="Monthly",$A194&gt;12),"",
IFERROR($J194*VLOOKUP($C194,'Employee information'!$B:$AI,COLUMNS('Employee information'!$B:$P),0),0))</f>
        <v>0</v>
      </c>
      <c r="M194" s="114">
        <f t="shared" si="195"/>
        <v>0</v>
      </c>
      <c r="O194" s="103">
        <f>IF($E$2="Monthly",
IF(AND($E$2="Monthly",$H194&lt;&gt;""),$H194,
IF(AND($E$2="Monthly",$E194=0),$F194,
$E194)),
IF($E$2="Fortnightly",
IF(AND($E$2="Fortnightly",$H194&lt;&gt;""),$H194,
IF(AND($E$2="Fortnightly",$F194&lt;&gt;"",$E194&lt;&gt;0),$F194,
IF(AND($E$2="Fortnightly",$E194=0),$F194,
$E194)))))</f>
        <v>0</v>
      </c>
      <c r="P194" s="113">
        <f>IFERROR(
IF(AND($E$2="Monthly",$A194&gt;12),0,
$O194*VLOOKUP($C194,'Employee information'!$B:$AI,COLUMNS('Employee information'!$B:$P),0)),
0)</f>
        <v>0</v>
      </c>
      <c r="R194" s="114">
        <f t="shared" si="182"/>
        <v>0</v>
      </c>
      <c r="T194" s="103"/>
      <c r="U194" s="103"/>
      <c r="V194" s="282" t="str">
        <f>IF($C194="","",
IF(AND($E$2="Monthly",$A194&gt;12),"",
$T194*VLOOKUP($C194,'Employee information'!$B:$P,COLUMNS('Employee information'!$B:$P),0)))</f>
        <v/>
      </c>
      <c r="W194" s="282" t="str">
        <f>IF($C194="","",
IF(AND($E$2="Monthly",$A194&gt;12),"",
$U194*VLOOKUP($C194,'Employee information'!$B:$P,COLUMNS('Employee information'!$B:$P),0)))</f>
        <v/>
      </c>
      <c r="X194" s="114">
        <f t="shared" si="183"/>
        <v>0</v>
      </c>
      <c r="Y194" s="114">
        <f t="shared" si="184"/>
        <v>0</v>
      </c>
      <c r="AA194" s="118">
        <f>IFERROR(
IF(OR('Basic payroll data'!$D$12="",'Basic payroll data'!$D$12="No"),0,
$T194*VLOOKUP($C194,'Employee information'!$B:$P,COLUMNS('Employee information'!$B:$P),0)*AL_loading_perc),
0)</f>
        <v>0</v>
      </c>
      <c r="AC194" s="118"/>
      <c r="AD194" s="118"/>
      <c r="AE194" s="283" t="str">
        <f t="shared" si="197"/>
        <v/>
      </c>
      <c r="AF194" s="283" t="str">
        <f t="shared" si="198"/>
        <v/>
      </c>
      <c r="AG194" s="118"/>
      <c r="AH194" s="118"/>
      <c r="AI194" s="283" t="str">
        <f t="shared" si="199"/>
        <v/>
      </c>
      <c r="AJ194" s="118"/>
      <c r="AK194" s="118"/>
      <c r="AM194" s="118">
        <f t="shared" si="200"/>
        <v>0</v>
      </c>
      <c r="AN194" s="118">
        <f t="shared" si="185"/>
        <v>0</v>
      </c>
      <c r="AO194" s="118" t="str">
        <f>IFERROR(
IF(VLOOKUP($C194,'Employee information'!$B:$M,COLUMNS('Employee information'!$B:$M),0)=1,
IF($E$2="Fortnightly",
ROUND(
ROUND((((TRUNC($AN194/2,0)+0.99))*VLOOKUP((TRUNC($AN194/2,0)+0.99),'Tax scales - NAT 1004'!$A$12:$C$18,2,1)-VLOOKUP((TRUNC($AN194/2,0)+0.99),'Tax scales - NAT 1004'!$A$12:$C$18,3,1)),0)
*2,
0),
IF(AND($E$2="Monthly",ROUND($AN194-TRUNC($AN194),2)=0.33),
ROUND(
ROUND(((TRUNC(($AN194+0.01)*3/13,0)+0.99)*VLOOKUP((TRUNC(($AN194+0.01)*3/13,0)+0.99),'Tax scales - NAT 1004'!$A$12:$C$18,2,1)-VLOOKUP((TRUNC(($AN194+0.01)*3/13,0)+0.99),'Tax scales - NAT 1004'!$A$12:$C$18,3,1)),0)
*13/3,
0),
IF($E$2="Monthly",
ROUND(
ROUND(((TRUNC($AN194*3/13,0)+0.99)*VLOOKUP((TRUNC($AN194*3/13,0)+0.99),'Tax scales - NAT 1004'!$A$12:$C$18,2,1)-VLOOKUP((TRUNC($AN194*3/13,0)+0.99),'Tax scales - NAT 1004'!$A$12:$C$18,3,1)),0)
*13/3,
0),
""))),
""),
"")</f>
        <v/>
      </c>
      <c r="AP194" s="118" t="str">
        <f>IFERROR(
IF(VLOOKUP($C194,'Employee information'!$B:$M,COLUMNS('Employee information'!$B:$M),0)=2,
IF($E$2="Fortnightly",
ROUND(
ROUND((((TRUNC($AN194/2,0)+0.99))*VLOOKUP((TRUNC($AN194/2,0)+0.99),'Tax scales - NAT 1004'!$A$25:$C$33,2,1)-VLOOKUP((TRUNC($AN194/2,0)+0.99),'Tax scales - NAT 1004'!$A$25:$C$33,3,1)),0)
*2,
0),
IF(AND($E$2="Monthly",ROUND($AN194-TRUNC($AN194),2)=0.33),
ROUND(
ROUND(((TRUNC(($AN194+0.01)*3/13,0)+0.99)*VLOOKUP((TRUNC(($AN194+0.01)*3/13,0)+0.99),'Tax scales - NAT 1004'!$A$25:$C$33,2,1)-VLOOKUP((TRUNC(($AN194+0.01)*3/13,0)+0.99),'Tax scales - NAT 1004'!$A$25:$C$33,3,1)),0)
*13/3,
0),
IF($E$2="Monthly",
ROUND(
ROUND(((TRUNC($AN194*3/13,0)+0.99)*VLOOKUP((TRUNC($AN194*3/13,0)+0.99),'Tax scales - NAT 1004'!$A$25:$C$33,2,1)-VLOOKUP((TRUNC($AN194*3/13,0)+0.99),'Tax scales - NAT 1004'!$A$25:$C$33,3,1)),0)
*13/3,
0),
""))),
""),
"")</f>
        <v/>
      </c>
      <c r="AQ194" s="118" t="str">
        <f>IFERROR(
IF(VLOOKUP($C194,'Employee information'!$B:$M,COLUMNS('Employee information'!$B:$M),0)=3,
IF($E$2="Fortnightly",
ROUND(
ROUND((((TRUNC($AN194/2,0)+0.99))*VLOOKUP((TRUNC($AN194/2,0)+0.99),'Tax scales - NAT 1004'!$A$39:$C$41,2,1)-VLOOKUP((TRUNC($AN194/2,0)+0.99),'Tax scales - NAT 1004'!$A$39:$C$41,3,1)),0)
*2,
0),
IF(AND($E$2="Monthly",ROUND($AN194-TRUNC($AN194),2)=0.33),
ROUND(
ROUND(((TRUNC(($AN194+0.01)*3/13,0)+0.99)*VLOOKUP((TRUNC(($AN194+0.01)*3/13,0)+0.99),'Tax scales - NAT 1004'!$A$39:$C$41,2,1)-VLOOKUP((TRUNC(($AN194+0.01)*3/13,0)+0.99),'Tax scales - NAT 1004'!$A$39:$C$41,3,1)),0)
*13/3,
0),
IF($E$2="Monthly",
ROUND(
ROUND(((TRUNC($AN194*3/13,0)+0.99)*VLOOKUP((TRUNC($AN194*3/13,0)+0.99),'Tax scales - NAT 1004'!$A$39:$C$41,2,1)-VLOOKUP((TRUNC($AN194*3/13,0)+0.99),'Tax scales - NAT 1004'!$A$39:$C$41,3,1)),0)
*13/3,
0),
""))),
""),
"")</f>
        <v/>
      </c>
      <c r="AR194" s="118" t="str">
        <f>IFERROR(
IF(AND(VLOOKUP($C194,'Employee information'!$B:$M,COLUMNS('Employee information'!$B:$M),0)=4,
VLOOKUP($C194,'Employee information'!$B:$J,COLUMNS('Employee information'!$B:$J),0)="Resident"),
TRUNC(TRUNC($AN194)*'Tax scales - NAT 1004'!$B$47),
IF(AND(VLOOKUP($C194,'Employee information'!$B:$M,COLUMNS('Employee information'!$B:$M),0)=4,
VLOOKUP($C194,'Employee information'!$B:$J,COLUMNS('Employee information'!$B:$J),0)="Foreign resident"),
TRUNC(TRUNC($AN194)*'Tax scales - NAT 1004'!$B$48),
"")),
"")</f>
        <v/>
      </c>
      <c r="AS194" s="118" t="str">
        <f>IFERROR(
IF(VLOOKUP($C194,'Employee information'!$B:$M,COLUMNS('Employee information'!$B:$M),0)=5,
IF($E$2="Fortnightly",
ROUND(
ROUND((((TRUNC($AN194/2,0)+0.99))*VLOOKUP((TRUNC($AN194/2,0)+0.99),'Tax scales - NAT 1004'!$A$53:$C$59,2,1)-VLOOKUP((TRUNC($AN194/2,0)+0.99),'Tax scales - NAT 1004'!$A$53:$C$59,3,1)),0)
*2,
0),
IF(AND($E$2="Monthly",ROUND($AN194-TRUNC($AN194),2)=0.33),
ROUND(
ROUND(((TRUNC(($AN194+0.01)*3/13,0)+0.99)*VLOOKUP((TRUNC(($AN194+0.01)*3/13,0)+0.99),'Tax scales - NAT 1004'!$A$53:$C$59,2,1)-VLOOKUP((TRUNC(($AN194+0.01)*3/13,0)+0.99),'Tax scales - NAT 1004'!$A$53:$C$59,3,1)),0)
*13/3,
0),
IF($E$2="Monthly",
ROUND(
ROUND(((TRUNC($AN194*3/13,0)+0.99)*VLOOKUP((TRUNC($AN194*3/13,0)+0.99),'Tax scales - NAT 1004'!$A$53:$C$59,2,1)-VLOOKUP((TRUNC($AN194*3/13,0)+0.99),'Tax scales - NAT 1004'!$A$53:$C$59,3,1)),0)
*13/3,
0),
""))),
""),
"")</f>
        <v/>
      </c>
      <c r="AT194" s="118" t="str">
        <f>IFERROR(
IF(VLOOKUP($C194,'Employee information'!$B:$M,COLUMNS('Employee information'!$B:$M),0)=6,
IF($E$2="Fortnightly",
ROUND(
ROUND((((TRUNC($AN194/2,0)+0.99))*VLOOKUP((TRUNC($AN194/2,0)+0.99),'Tax scales - NAT 1004'!$A$65:$C$73,2,1)-VLOOKUP((TRUNC($AN194/2,0)+0.99),'Tax scales - NAT 1004'!$A$65:$C$73,3,1)),0)
*2,
0),
IF(AND($E$2="Monthly",ROUND($AN194-TRUNC($AN194),2)=0.33),
ROUND(
ROUND(((TRUNC(($AN194+0.01)*3/13,0)+0.99)*VLOOKUP((TRUNC(($AN194+0.01)*3/13,0)+0.99),'Tax scales - NAT 1004'!$A$65:$C$73,2,1)-VLOOKUP((TRUNC(($AN194+0.01)*3/13,0)+0.99),'Tax scales - NAT 1004'!$A$65:$C$73,3,1)),0)
*13/3,
0),
IF($E$2="Monthly",
ROUND(
ROUND(((TRUNC($AN194*3/13,0)+0.99)*VLOOKUP((TRUNC($AN194*3/13,0)+0.99),'Tax scales - NAT 1004'!$A$65:$C$73,2,1)-VLOOKUP((TRUNC($AN194*3/13,0)+0.99),'Tax scales - NAT 1004'!$A$65:$C$73,3,1)),0)
*13/3,
0),
""))),
""),
"")</f>
        <v/>
      </c>
      <c r="AU194" s="118" t="str">
        <f>IFERROR(
IF(VLOOKUP($C194,'Employee information'!$B:$M,COLUMNS('Employee information'!$B:$M),0)=11,
IF($E$2="Fortnightly",
ROUND(
ROUND((((TRUNC($AN194/2,0)+0.99))*VLOOKUP((TRUNC($AN194/2,0)+0.99),'Tax scales - NAT 3539'!$A$14:$C$38,2,1)-VLOOKUP((TRUNC($AN194/2,0)+0.99),'Tax scales - NAT 3539'!$A$14:$C$38,3,1)),0)
*2,
0),
IF(AND($E$2="Monthly",ROUND($AN194-TRUNC($AN194),2)=0.33),
ROUND(
ROUND(((TRUNC(($AN194+0.01)*3/13,0)+0.99)*VLOOKUP((TRUNC(($AN194+0.01)*3/13,0)+0.99),'Tax scales - NAT 3539'!$A$14:$C$38,2,1)-VLOOKUP((TRUNC(($AN194+0.01)*3/13,0)+0.99),'Tax scales - NAT 3539'!$A$14:$C$38,3,1)),0)
*13/3,
0),
IF($E$2="Monthly",
ROUND(
ROUND(((TRUNC($AN194*3/13,0)+0.99)*VLOOKUP((TRUNC($AN194*3/13,0)+0.99),'Tax scales - NAT 3539'!$A$14:$C$38,2,1)-VLOOKUP((TRUNC($AN194*3/13,0)+0.99),'Tax scales - NAT 3539'!$A$14:$C$38,3,1)),0)
*13/3,
0),
""))),
""),
"")</f>
        <v/>
      </c>
      <c r="AV194" s="118" t="str">
        <f>IFERROR(
IF(VLOOKUP($C194,'Employee information'!$B:$M,COLUMNS('Employee information'!$B:$M),0)=22,
IF($E$2="Fortnightly",
ROUND(
ROUND((((TRUNC($AN194/2,0)+0.99))*VLOOKUP((TRUNC($AN194/2,0)+0.99),'Tax scales - NAT 3539'!$A$43:$C$69,2,1)-VLOOKUP((TRUNC($AN194/2,0)+0.99),'Tax scales - NAT 3539'!$A$43:$C$69,3,1)),0)
*2,
0),
IF(AND($E$2="Monthly",ROUND($AN194-TRUNC($AN194),2)=0.33),
ROUND(
ROUND(((TRUNC(($AN194+0.01)*3/13,0)+0.99)*VLOOKUP((TRUNC(($AN194+0.01)*3/13,0)+0.99),'Tax scales - NAT 3539'!$A$43:$C$69,2,1)-VLOOKUP((TRUNC(($AN194+0.01)*3/13,0)+0.99),'Tax scales - NAT 3539'!$A$43:$C$69,3,1)),0)
*13/3,
0),
IF($E$2="Monthly",
ROUND(
ROUND(((TRUNC($AN194*3/13,0)+0.99)*VLOOKUP((TRUNC($AN194*3/13,0)+0.99),'Tax scales - NAT 3539'!$A$43:$C$69,2,1)-VLOOKUP((TRUNC($AN194*3/13,0)+0.99),'Tax scales - NAT 3539'!$A$43:$C$69,3,1)),0)
*13/3,
0),
""))),
""),
"")</f>
        <v/>
      </c>
      <c r="AW194" s="118" t="str">
        <f>IFERROR(
IF(VLOOKUP($C194,'Employee information'!$B:$M,COLUMNS('Employee information'!$B:$M),0)=33,
IF($E$2="Fortnightly",
ROUND(
ROUND((((TRUNC($AN194/2,0)+0.99))*VLOOKUP((TRUNC($AN194/2,0)+0.99),'Tax scales - NAT 3539'!$A$74:$C$94,2,1)-VLOOKUP((TRUNC($AN194/2,0)+0.99),'Tax scales - NAT 3539'!$A$74:$C$94,3,1)),0)
*2,
0),
IF(AND($E$2="Monthly",ROUND($AN194-TRUNC($AN194),2)=0.33),
ROUND(
ROUND(((TRUNC(($AN194+0.01)*3/13,0)+0.99)*VLOOKUP((TRUNC(($AN194+0.01)*3/13,0)+0.99),'Tax scales - NAT 3539'!$A$74:$C$94,2,1)-VLOOKUP((TRUNC(($AN194+0.01)*3/13,0)+0.99),'Tax scales - NAT 3539'!$A$74:$C$94,3,1)),0)
*13/3,
0),
IF($E$2="Monthly",
ROUND(
ROUND(((TRUNC($AN194*3/13,0)+0.99)*VLOOKUP((TRUNC($AN194*3/13,0)+0.99),'Tax scales - NAT 3539'!$A$74:$C$94,2,1)-VLOOKUP((TRUNC($AN194*3/13,0)+0.99),'Tax scales - NAT 3539'!$A$74:$C$94,3,1)),0)
*13/3,
0),
""))),
""),
"")</f>
        <v/>
      </c>
      <c r="AX194" s="118" t="str">
        <f>IFERROR(
IF(VLOOKUP($C194,'Employee information'!$B:$M,COLUMNS('Employee information'!$B:$M),0)=55,
IF($E$2="Fortnightly",
ROUND(
ROUND((((TRUNC($AN194/2,0)+0.99))*VLOOKUP((TRUNC($AN194/2,0)+0.99),'Tax scales - NAT 3539'!$A$99:$C$123,2,1)-VLOOKUP((TRUNC($AN194/2,0)+0.99),'Tax scales - NAT 3539'!$A$99:$C$123,3,1)),0)
*2,
0),
IF(AND($E$2="Monthly",ROUND($AN194-TRUNC($AN194),2)=0.33),
ROUND(
ROUND(((TRUNC(($AN194+0.01)*3/13,0)+0.99)*VLOOKUP((TRUNC(($AN194+0.01)*3/13,0)+0.99),'Tax scales - NAT 3539'!$A$99:$C$123,2,1)-VLOOKUP((TRUNC(($AN194+0.01)*3/13,0)+0.99),'Tax scales - NAT 3539'!$A$99:$C$123,3,1)),0)
*13/3,
0),
IF($E$2="Monthly",
ROUND(
ROUND(((TRUNC($AN194*3/13,0)+0.99)*VLOOKUP((TRUNC($AN194*3/13,0)+0.99),'Tax scales - NAT 3539'!$A$99:$C$123,2,1)-VLOOKUP((TRUNC($AN194*3/13,0)+0.99),'Tax scales - NAT 3539'!$A$99:$C$123,3,1)),0)
*13/3,
0),
""))),
""),
"")</f>
        <v/>
      </c>
      <c r="AY194" s="118" t="str">
        <f>IFERROR(
IF(VLOOKUP($C194,'Employee information'!$B:$M,COLUMNS('Employee information'!$B:$M),0)=66,
IF($E$2="Fortnightly",
ROUND(
ROUND((((TRUNC($AN194/2,0)+0.99))*VLOOKUP((TRUNC($AN194/2,0)+0.99),'Tax scales - NAT 3539'!$A$127:$C$154,2,1)-VLOOKUP((TRUNC($AN194/2,0)+0.99),'Tax scales - NAT 3539'!$A$127:$C$154,3,1)),0)
*2,
0),
IF(AND($E$2="Monthly",ROUND($AN194-TRUNC($AN194),2)=0.33),
ROUND(
ROUND(((TRUNC(($AN194+0.01)*3/13,0)+0.99)*VLOOKUP((TRUNC(($AN194+0.01)*3/13,0)+0.99),'Tax scales - NAT 3539'!$A$127:$C$154,2,1)-VLOOKUP((TRUNC(($AN194+0.01)*3/13,0)+0.99),'Tax scales - NAT 3539'!$A$127:$C$154,3,1)),0)
*13/3,
0),
IF($E$2="Monthly",
ROUND(
ROUND(((TRUNC($AN194*3/13,0)+0.99)*VLOOKUP((TRUNC($AN194*3/13,0)+0.99),'Tax scales - NAT 3539'!$A$127:$C$154,2,1)-VLOOKUP((TRUNC($AN194*3/13,0)+0.99),'Tax scales - NAT 3539'!$A$127:$C$154,3,1)),0)
*13/3,
0),
""))),
""),
"")</f>
        <v/>
      </c>
      <c r="AZ194" s="118">
        <f>IFERROR(
HLOOKUP(VLOOKUP($C194,'Employee information'!$B:$M,COLUMNS('Employee information'!$B:$M),0),'PAYG worksheet'!$AO$184:$AY$203,COUNTA($C$185:$C194)+1,0),
0)</f>
        <v>0</v>
      </c>
      <c r="BA194" s="118"/>
      <c r="BB194" s="118">
        <f t="shared" si="201"/>
        <v>0</v>
      </c>
      <c r="BC194" s="119">
        <f>IFERROR(
IF(OR($AE194=1,$AE194=""),SUM($P194,$AA194,$AC194,$AK194)*VLOOKUP($C194,'Employee information'!$B:$Q,COLUMNS('Employee information'!$B:$H),0),
IF($AE194=0,SUM($P194,$AA194,$AK194)*VLOOKUP($C194,'Employee information'!$B:$Q,COLUMNS('Employee information'!$B:$H),0),
0)),
0)</f>
        <v>0</v>
      </c>
      <c r="BE194" s="114">
        <f t="shared" si="186"/>
        <v>0</v>
      </c>
      <c r="BF194" s="114">
        <f t="shared" si="187"/>
        <v>0</v>
      </c>
      <c r="BG194" s="114">
        <f t="shared" si="188"/>
        <v>0</v>
      </c>
      <c r="BH194" s="114">
        <f t="shared" si="189"/>
        <v>0</v>
      </c>
      <c r="BI194" s="114">
        <f t="shared" si="190"/>
        <v>0</v>
      </c>
      <c r="BJ194" s="114">
        <f t="shared" si="191"/>
        <v>0</v>
      </c>
      <c r="BK194" s="114">
        <f t="shared" si="192"/>
        <v>0</v>
      </c>
      <c r="BL194" s="114">
        <f t="shared" si="202"/>
        <v>0</v>
      </c>
      <c r="BM194" s="114">
        <f t="shared" si="193"/>
        <v>0</v>
      </c>
    </row>
    <row r="195" spans="1:65" x14ac:dyDescent="0.25">
      <c r="A195" s="228">
        <f t="shared" si="181"/>
        <v>7</v>
      </c>
      <c r="C195" s="278"/>
      <c r="E195" s="103">
        <f>IF($C195="",0,
IF(AND($E$2="Monthly",$A195&gt;12),0,
IF($E$2="Monthly",VLOOKUP($C195,'Employee information'!$B:$AM,COLUMNS('Employee information'!$B:S),0),
IF($E$2="Fortnightly",VLOOKUP($C195,'Employee information'!$B:$AM,COLUMNS('Employee information'!$B:R),0),
0))))</f>
        <v>0</v>
      </c>
      <c r="F195" s="106"/>
      <c r="G195" s="106"/>
      <c r="H195" s="106"/>
      <c r="I195" s="106"/>
      <c r="J195" s="103">
        <f t="shared" si="194"/>
        <v>0</v>
      </c>
      <c r="L195" s="113">
        <f>IF(AND($E$2="Monthly",$A195&gt;12),"",
IFERROR($J195*VLOOKUP($C195,'Employee information'!$B:$AI,COLUMNS('Employee information'!$B:$P),0),0))</f>
        <v>0</v>
      </c>
      <c r="M195" s="114">
        <f t="shared" si="195"/>
        <v>0</v>
      </c>
      <c r="O195" s="103">
        <f t="shared" si="196"/>
        <v>0</v>
      </c>
      <c r="P195" s="113">
        <f>IFERROR(
IF(AND($E$2="Monthly",$A195&gt;12),0,
$O195*VLOOKUP($C195,'Employee information'!$B:$AI,COLUMNS('Employee information'!$B:$P),0)),
0)</f>
        <v>0</v>
      </c>
      <c r="R195" s="114">
        <f t="shared" si="182"/>
        <v>0</v>
      </c>
      <c r="T195" s="103"/>
      <c r="U195" s="103"/>
      <c r="V195" s="282" t="str">
        <f>IF($C195="","",
IF(AND($E$2="Monthly",$A195&gt;12),"",
$T195*VLOOKUP($C195,'Employee information'!$B:$P,COLUMNS('Employee information'!$B:$P),0)))</f>
        <v/>
      </c>
      <c r="W195" s="282" t="str">
        <f>IF($C195="","",
IF(AND($E$2="Monthly",$A195&gt;12),"",
$U195*VLOOKUP($C195,'Employee information'!$B:$P,COLUMNS('Employee information'!$B:$P),0)))</f>
        <v/>
      </c>
      <c r="X195" s="114">
        <f t="shared" si="183"/>
        <v>0</v>
      </c>
      <c r="Y195" s="114">
        <f t="shared" si="184"/>
        <v>0</v>
      </c>
      <c r="AA195" s="118">
        <f>IFERROR(
IF(OR('Basic payroll data'!$D$12="",'Basic payroll data'!$D$12="No"),0,
$T195*VLOOKUP($C195,'Employee information'!$B:$P,COLUMNS('Employee information'!$B:$P),0)*AL_loading_perc),
0)</f>
        <v>0</v>
      </c>
      <c r="AC195" s="118"/>
      <c r="AD195" s="118"/>
      <c r="AE195" s="283" t="str">
        <f t="shared" si="197"/>
        <v/>
      </c>
      <c r="AF195" s="283" t="str">
        <f t="shared" si="198"/>
        <v/>
      </c>
      <c r="AG195" s="118"/>
      <c r="AH195" s="118"/>
      <c r="AI195" s="283" t="str">
        <f t="shared" si="199"/>
        <v/>
      </c>
      <c r="AJ195" s="118"/>
      <c r="AK195" s="118"/>
      <c r="AM195" s="118">
        <f t="shared" si="200"/>
        <v>0</v>
      </c>
      <c r="AN195" s="118">
        <f t="shared" si="185"/>
        <v>0</v>
      </c>
      <c r="AO195" s="118" t="str">
        <f>IFERROR(
IF(VLOOKUP($C195,'Employee information'!$B:$M,COLUMNS('Employee information'!$B:$M),0)=1,
IF($E$2="Fortnightly",
ROUND(
ROUND((((TRUNC($AN195/2,0)+0.99))*VLOOKUP((TRUNC($AN195/2,0)+0.99),'Tax scales - NAT 1004'!$A$12:$C$18,2,1)-VLOOKUP((TRUNC($AN195/2,0)+0.99),'Tax scales - NAT 1004'!$A$12:$C$18,3,1)),0)
*2,
0),
IF(AND($E$2="Monthly",ROUND($AN195-TRUNC($AN195),2)=0.33),
ROUND(
ROUND(((TRUNC(($AN195+0.01)*3/13,0)+0.99)*VLOOKUP((TRUNC(($AN195+0.01)*3/13,0)+0.99),'Tax scales - NAT 1004'!$A$12:$C$18,2,1)-VLOOKUP((TRUNC(($AN195+0.01)*3/13,0)+0.99),'Tax scales - NAT 1004'!$A$12:$C$18,3,1)),0)
*13/3,
0),
IF($E$2="Monthly",
ROUND(
ROUND(((TRUNC($AN195*3/13,0)+0.99)*VLOOKUP((TRUNC($AN195*3/13,0)+0.99),'Tax scales - NAT 1004'!$A$12:$C$18,2,1)-VLOOKUP((TRUNC($AN195*3/13,0)+0.99),'Tax scales - NAT 1004'!$A$12:$C$18,3,1)),0)
*13/3,
0),
""))),
""),
"")</f>
        <v/>
      </c>
      <c r="AP195" s="118" t="str">
        <f>IFERROR(
IF(VLOOKUP($C195,'Employee information'!$B:$M,COLUMNS('Employee information'!$B:$M),0)=2,
IF($E$2="Fortnightly",
ROUND(
ROUND((((TRUNC($AN195/2,0)+0.99))*VLOOKUP((TRUNC($AN195/2,0)+0.99),'Tax scales - NAT 1004'!$A$25:$C$33,2,1)-VLOOKUP((TRUNC($AN195/2,0)+0.99),'Tax scales - NAT 1004'!$A$25:$C$33,3,1)),0)
*2,
0),
IF(AND($E$2="Monthly",ROUND($AN195-TRUNC($AN195),2)=0.33),
ROUND(
ROUND(((TRUNC(($AN195+0.01)*3/13,0)+0.99)*VLOOKUP((TRUNC(($AN195+0.01)*3/13,0)+0.99),'Tax scales - NAT 1004'!$A$25:$C$33,2,1)-VLOOKUP((TRUNC(($AN195+0.01)*3/13,0)+0.99),'Tax scales - NAT 1004'!$A$25:$C$33,3,1)),0)
*13/3,
0),
IF($E$2="Monthly",
ROUND(
ROUND(((TRUNC($AN195*3/13,0)+0.99)*VLOOKUP((TRUNC($AN195*3/13,0)+0.99),'Tax scales - NAT 1004'!$A$25:$C$33,2,1)-VLOOKUP((TRUNC($AN195*3/13,0)+0.99),'Tax scales - NAT 1004'!$A$25:$C$33,3,1)),0)
*13/3,
0),
""))),
""),
"")</f>
        <v/>
      </c>
      <c r="AQ195" s="118" t="str">
        <f>IFERROR(
IF(VLOOKUP($C195,'Employee information'!$B:$M,COLUMNS('Employee information'!$B:$M),0)=3,
IF($E$2="Fortnightly",
ROUND(
ROUND((((TRUNC($AN195/2,0)+0.99))*VLOOKUP((TRUNC($AN195/2,0)+0.99),'Tax scales - NAT 1004'!$A$39:$C$41,2,1)-VLOOKUP((TRUNC($AN195/2,0)+0.99),'Tax scales - NAT 1004'!$A$39:$C$41,3,1)),0)
*2,
0),
IF(AND($E$2="Monthly",ROUND($AN195-TRUNC($AN195),2)=0.33),
ROUND(
ROUND(((TRUNC(($AN195+0.01)*3/13,0)+0.99)*VLOOKUP((TRUNC(($AN195+0.01)*3/13,0)+0.99),'Tax scales - NAT 1004'!$A$39:$C$41,2,1)-VLOOKUP((TRUNC(($AN195+0.01)*3/13,0)+0.99),'Tax scales - NAT 1004'!$A$39:$C$41,3,1)),0)
*13/3,
0),
IF($E$2="Monthly",
ROUND(
ROUND(((TRUNC($AN195*3/13,0)+0.99)*VLOOKUP((TRUNC($AN195*3/13,0)+0.99),'Tax scales - NAT 1004'!$A$39:$C$41,2,1)-VLOOKUP((TRUNC($AN195*3/13,0)+0.99),'Tax scales - NAT 1004'!$A$39:$C$41,3,1)),0)
*13/3,
0),
""))),
""),
"")</f>
        <v/>
      </c>
      <c r="AR195" s="118" t="str">
        <f>IFERROR(
IF(AND(VLOOKUP($C195,'Employee information'!$B:$M,COLUMNS('Employee information'!$B:$M),0)=4,
VLOOKUP($C195,'Employee information'!$B:$J,COLUMNS('Employee information'!$B:$J),0)="Resident"),
TRUNC(TRUNC($AN195)*'Tax scales - NAT 1004'!$B$47),
IF(AND(VLOOKUP($C195,'Employee information'!$B:$M,COLUMNS('Employee information'!$B:$M),0)=4,
VLOOKUP($C195,'Employee information'!$B:$J,COLUMNS('Employee information'!$B:$J),0)="Foreign resident"),
TRUNC(TRUNC($AN195)*'Tax scales - NAT 1004'!$B$48),
"")),
"")</f>
        <v/>
      </c>
      <c r="AS195" s="118" t="str">
        <f>IFERROR(
IF(VLOOKUP($C195,'Employee information'!$B:$M,COLUMNS('Employee information'!$B:$M),0)=5,
IF($E$2="Fortnightly",
ROUND(
ROUND((((TRUNC($AN195/2,0)+0.99))*VLOOKUP((TRUNC($AN195/2,0)+0.99),'Tax scales - NAT 1004'!$A$53:$C$59,2,1)-VLOOKUP((TRUNC($AN195/2,0)+0.99),'Tax scales - NAT 1004'!$A$53:$C$59,3,1)),0)
*2,
0),
IF(AND($E$2="Monthly",ROUND($AN195-TRUNC($AN195),2)=0.33),
ROUND(
ROUND(((TRUNC(($AN195+0.01)*3/13,0)+0.99)*VLOOKUP((TRUNC(($AN195+0.01)*3/13,0)+0.99),'Tax scales - NAT 1004'!$A$53:$C$59,2,1)-VLOOKUP((TRUNC(($AN195+0.01)*3/13,0)+0.99),'Tax scales - NAT 1004'!$A$53:$C$59,3,1)),0)
*13/3,
0),
IF($E$2="Monthly",
ROUND(
ROUND(((TRUNC($AN195*3/13,0)+0.99)*VLOOKUP((TRUNC($AN195*3/13,0)+0.99),'Tax scales - NAT 1004'!$A$53:$C$59,2,1)-VLOOKUP((TRUNC($AN195*3/13,0)+0.99),'Tax scales - NAT 1004'!$A$53:$C$59,3,1)),0)
*13/3,
0),
""))),
""),
"")</f>
        <v/>
      </c>
      <c r="AT195" s="118" t="str">
        <f>IFERROR(
IF(VLOOKUP($C195,'Employee information'!$B:$M,COLUMNS('Employee information'!$B:$M),0)=6,
IF($E$2="Fortnightly",
ROUND(
ROUND((((TRUNC($AN195/2,0)+0.99))*VLOOKUP((TRUNC($AN195/2,0)+0.99),'Tax scales - NAT 1004'!$A$65:$C$73,2,1)-VLOOKUP((TRUNC($AN195/2,0)+0.99),'Tax scales - NAT 1004'!$A$65:$C$73,3,1)),0)
*2,
0),
IF(AND($E$2="Monthly",ROUND($AN195-TRUNC($AN195),2)=0.33),
ROUND(
ROUND(((TRUNC(($AN195+0.01)*3/13,0)+0.99)*VLOOKUP((TRUNC(($AN195+0.01)*3/13,0)+0.99),'Tax scales - NAT 1004'!$A$65:$C$73,2,1)-VLOOKUP((TRUNC(($AN195+0.01)*3/13,0)+0.99),'Tax scales - NAT 1004'!$A$65:$C$73,3,1)),0)
*13/3,
0),
IF($E$2="Monthly",
ROUND(
ROUND(((TRUNC($AN195*3/13,0)+0.99)*VLOOKUP((TRUNC($AN195*3/13,0)+0.99),'Tax scales - NAT 1004'!$A$65:$C$73,2,1)-VLOOKUP((TRUNC($AN195*3/13,0)+0.99),'Tax scales - NAT 1004'!$A$65:$C$73,3,1)),0)
*13/3,
0),
""))),
""),
"")</f>
        <v/>
      </c>
      <c r="AU195" s="118" t="str">
        <f>IFERROR(
IF(VLOOKUP($C195,'Employee information'!$B:$M,COLUMNS('Employee information'!$B:$M),0)=11,
IF($E$2="Fortnightly",
ROUND(
ROUND((((TRUNC($AN195/2,0)+0.99))*VLOOKUP((TRUNC($AN195/2,0)+0.99),'Tax scales - NAT 3539'!$A$14:$C$38,2,1)-VLOOKUP((TRUNC($AN195/2,0)+0.99),'Tax scales - NAT 3539'!$A$14:$C$38,3,1)),0)
*2,
0),
IF(AND($E$2="Monthly",ROUND($AN195-TRUNC($AN195),2)=0.33),
ROUND(
ROUND(((TRUNC(($AN195+0.01)*3/13,0)+0.99)*VLOOKUP((TRUNC(($AN195+0.01)*3/13,0)+0.99),'Tax scales - NAT 3539'!$A$14:$C$38,2,1)-VLOOKUP((TRUNC(($AN195+0.01)*3/13,0)+0.99),'Tax scales - NAT 3539'!$A$14:$C$38,3,1)),0)
*13/3,
0),
IF($E$2="Monthly",
ROUND(
ROUND(((TRUNC($AN195*3/13,0)+0.99)*VLOOKUP((TRUNC($AN195*3/13,0)+0.99),'Tax scales - NAT 3539'!$A$14:$C$38,2,1)-VLOOKUP((TRUNC($AN195*3/13,0)+0.99),'Tax scales - NAT 3539'!$A$14:$C$38,3,1)),0)
*13/3,
0),
""))),
""),
"")</f>
        <v/>
      </c>
      <c r="AV195" s="118" t="str">
        <f>IFERROR(
IF(VLOOKUP($C195,'Employee information'!$B:$M,COLUMNS('Employee information'!$B:$M),0)=22,
IF($E$2="Fortnightly",
ROUND(
ROUND((((TRUNC($AN195/2,0)+0.99))*VLOOKUP((TRUNC($AN195/2,0)+0.99),'Tax scales - NAT 3539'!$A$43:$C$69,2,1)-VLOOKUP((TRUNC($AN195/2,0)+0.99),'Tax scales - NAT 3539'!$A$43:$C$69,3,1)),0)
*2,
0),
IF(AND($E$2="Monthly",ROUND($AN195-TRUNC($AN195),2)=0.33),
ROUND(
ROUND(((TRUNC(($AN195+0.01)*3/13,0)+0.99)*VLOOKUP((TRUNC(($AN195+0.01)*3/13,0)+0.99),'Tax scales - NAT 3539'!$A$43:$C$69,2,1)-VLOOKUP((TRUNC(($AN195+0.01)*3/13,0)+0.99),'Tax scales - NAT 3539'!$A$43:$C$69,3,1)),0)
*13/3,
0),
IF($E$2="Monthly",
ROUND(
ROUND(((TRUNC($AN195*3/13,0)+0.99)*VLOOKUP((TRUNC($AN195*3/13,0)+0.99),'Tax scales - NAT 3539'!$A$43:$C$69,2,1)-VLOOKUP((TRUNC($AN195*3/13,0)+0.99),'Tax scales - NAT 3539'!$A$43:$C$69,3,1)),0)
*13/3,
0),
""))),
""),
"")</f>
        <v/>
      </c>
      <c r="AW195" s="118" t="str">
        <f>IFERROR(
IF(VLOOKUP($C195,'Employee information'!$B:$M,COLUMNS('Employee information'!$B:$M),0)=33,
IF($E$2="Fortnightly",
ROUND(
ROUND((((TRUNC($AN195/2,0)+0.99))*VLOOKUP((TRUNC($AN195/2,0)+0.99),'Tax scales - NAT 3539'!$A$74:$C$94,2,1)-VLOOKUP((TRUNC($AN195/2,0)+0.99),'Tax scales - NAT 3539'!$A$74:$C$94,3,1)),0)
*2,
0),
IF(AND($E$2="Monthly",ROUND($AN195-TRUNC($AN195),2)=0.33),
ROUND(
ROUND(((TRUNC(($AN195+0.01)*3/13,0)+0.99)*VLOOKUP((TRUNC(($AN195+0.01)*3/13,0)+0.99),'Tax scales - NAT 3539'!$A$74:$C$94,2,1)-VLOOKUP((TRUNC(($AN195+0.01)*3/13,0)+0.99),'Tax scales - NAT 3539'!$A$74:$C$94,3,1)),0)
*13/3,
0),
IF($E$2="Monthly",
ROUND(
ROUND(((TRUNC($AN195*3/13,0)+0.99)*VLOOKUP((TRUNC($AN195*3/13,0)+0.99),'Tax scales - NAT 3539'!$A$74:$C$94,2,1)-VLOOKUP((TRUNC($AN195*3/13,0)+0.99),'Tax scales - NAT 3539'!$A$74:$C$94,3,1)),0)
*13/3,
0),
""))),
""),
"")</f>
        <v/>
      </c>
      <c r="AX195" s="118" t="str">
        <f>IFERROR(
IF(VLOOKUP($C195,'Employee information'!$B:$M,COLUMNS('Employee information'!$B:$M),0)=55,
IF($E$2="Fortnightly",
ROUND(
ROUND((((TRUNC($AN195/2,0)+0.99))*VLOOKUP((TRUNC($AN195/2,0)+0.99),'Tax scales - NAT 3539'!$A$99:$C$123,2,1)-VLOOKUP((TRUNC($AN195/2,0)+0.99),'Tax scales - NAT 3539'!$A$99:$C$123,3,1)),0)
*2,
0),
IF(AND($E$2="Monthly",ROUND($AN195-TRUNC($AN195),2)=0.33),
ROUND(
ROUND(((TRUNC(($AN195+0.01)*3/13,0)+0.99)*VLOOKUP((TRUNC(($AN195+0.01)*3/13,0)+0.99),'Tax scales - NAT 3539'!$A$99:$C$123,2,1)-VLOOKUP((TRUNC(($AN195+0.01)*3/13,0)+0.99),'Tax scales - NAT 3539'!$A$99:$C$123,3,1)),0)
*13/3,
0),
IF($E$2="Monthly",
ROUND(
ROUND(((TRUNC($AN195*3/13,0)+0.99)*VLOOKUP((TRUNC($AN195*3/13,0)+0.99),'Tax scales - NAT 3539'!$A$99:$C$123,2,1)-VLOOKUP((TRUNC($AN195*3/13,0)+0.99),'Tax scales - NAT 3539'!$A$99:$C$123,3,1)),0)
*13/3,
0),
""))),
""),
"")</f>
        <v/>
      </c>
      <c r="AY195" s="118" t="str">
        <f>IFERROR(
IF(VLOOKUP($C195,'Employee information'!$B:$M,COLUMNS('Employee information'!$B:$M),0)=66,
IF($E$2="Fortnightly",
ROUND(
ROUND((((TRUNC($AN195/2,0)+0.99))*VLOOKUP((TRUNC($AN195/2,0)+0.99),'Tax scales - NAT 3539'!$A$127:$C$154,2,1)-VLOOKUP((TRUNC($AN195/2,0)+0.99),'Tax scales - NAT 3539'!$A$127:$C$154,3,1)),0)
*2,
0),
IF(AND($E$2="Monthly",ROUND($AN195-TRUNC($AN195),2)=0.33),
ROUND(
ROUND(((TRUNC(($AN195+0.01)*3/13,0)+0.99)*VLOOKUP((TRUNC(($AN195+0.01)*3/13,0)+0.99),'Tax scales - NAT 3539'!$A$127:$C$154,2,1)-VLOOKUP((TRUNC(($AN195+0.01)*3/13,0)+0.99),'Tax scales - NAT 3539'!$A$127:$C$154,3,1)),0)
*13/3,
0),
IF($E$2="Monthly",
ROUND(
ROUND(((TRUNC($AN195*3/13,0)+0.99)*VLOOKUP((TRUNC($AN195*3/13,0)+0.99),'Tax scales - NAT 3539'!$A$127:$C$154,2,1)-VLOOKUP((TRUNC($AN195*3/13,0)+0.99),'Tax scales - NAT 3539'!$A$127:$C$154,3,1)),0)
*13/3,
0),
""))),
""),
"")</f>
        <v/>
      </c>
      <c r="AZ195" s="118">
        <f>IFERROR(
HLOOKUP(VLOOKUP($C195,'Employee information'!$B:$M,COLUMNS('Employee information'!$B:$M),0),'PAYG worksheet'!$AO$184:$AY$203,COUNTA($C$185:$C195)+1,0),
0)</f>
        <v>0</v>
      </c>
      <c r="BA195" s="118"/>
      <c r="BB195" s="118">
        <f t="shared" si="201"/>
        <v>0</v>
      </c>
      <c r="BC195" s="119">
        <f>IFERROR(
IF(OR($AE195=1,$AE195=""),SUM($P195,$AA195,$AC195,$AK195)*VLOOKUP($C195,'Employee information'!$B:$Q,COLUMNS('Employee information'!$B:$H),0),
IF($AE195=0,SUM($P195,$AA195,$AK195)*VLOOKUP($C195,'Employee information'!$B:$Q,COLUMNS('Employee information'!$B:$H),0),
0)),
0)</f>
        <v>0</v>
      </c>
      <c r="BE195" s="114">
        <f t="shared" si="186"/>
        <v>0</v>
      </c>
      <c r="BF195" s="114">
        <f t="shared" si="187"/>
        <v>0</v>
      </c>
      <c r="BG195" s="114">
        <f t="shared" si="188"/>
        <v>0</v>
      </c>
      <c r="BH195" s="114">
        <f t="shared" si="189"/>
        <v>0</v>
      </c>
      <c r="BI195" s="114">
        <f t="shared" si="190"/>
        <v>0</v>
      </c>
      <c r="BJ195" s="114">
        <f t="shared" si="191"/>
        <v>0</v>
      </c>
      <c r="BK195" s="114">
        <f t="shared" si="192"/>
        <v>0</v>
      </c>
      <c r="BL195" s="114">
        <f t="shared" si="202"/>
        <v>0</v>
      </c>
      <c r="BM195" s="114">
        <f t="shared" si="193"/>
        <v>0</v>
      </c>
    </row>
    <row r="196" spans="1:65" x14ac:dyDescent="0.25">
      <c r="A196" s="228">
        <f t="shared" si="181"/>
        <v>7</v>
      </c>
      <c r="C196" s="278"/>
      <c r="E196" s="103">
        <f>IF($C196="",0,
IF(AND($E$2="Monthly",$A196&gt;12),0,
IF($E$2="Monthly",VLOOKUP($C196,'Employee information'!$B:$AM,COLUMNS('Employee information'!$B:S),0),
IF($E$2="Fortnightly",VLOOKUP($C196,'Employee information'!$B:$AM,COLUMNS('Employee information'!$B:R),0),
0))))</f>
        <v>0</v>
      </c>
      <c r="F196" s="106"/>
      <c r="G196" s="106"/>
      <c r="H196" s="106"/>
      <c r="I196" s="106"/>
      <c r="J196" s="103">
        <f t="shared" si="194"/>
        <v>0</v>
      </c>
      <c r="L196" s="113">
        <f>IF(AND($E$2="Monthly",$A196&gt;12),"",
IFERROR($J196*VLOOKUP($C196,'Employee information'!$B:$AI,COLUMNS('Employee information'!$B:$P),0),0))</f>
        <v>0</v>
      </c>
      <c r="M196" s="114">
        <f t="shared" si="195"/>
        <v>0</v>
      </c>
      <c r="O196" s="103">
        <f t="shared" si="196"/>
        <v>0</v>
      </c>
      <c r="P196" s="113">
        <f>IFERROR(
IF(AND($E$2="Monthly",$A196&gt;12),0,
$O196*VLOOKUP($C196,'Employee information'!$B:$AI,COLUMNS('Employee information'!$B:$P),0)),
0)</f>
        <v>0</v>
      </c>
      <c r="R196" s="114">
        <f t="shared" si="182"/>
        <v>0</v>
      </c>
      <c r="T196" s="103"/>
      <c r="U196" s="103"/>
      <c r="V196" s="282" t="str">
        <f>IF($C196="","",
IF(AND($E$2="Monthly",$A196&gt;12),"",
$T196*VLOOKUP($C196,'Employee information'!$B:$P,COLUMNS('Employee information'!$B:$P),0)))</f>
        <v/>
      </c>
      <c r="W196" s="282" t="str">
        <f>IF($C196="","",
IF(AND($E$2="Monthly",$A196&gt;12),"",
$U196*VLOOKUP($C196,'Employee information'!$B:$P,COLUMNS('Employee information'!$B:$P),0)))</f>
        <v/>
      </c>
      <c r="X196" s="114">
        <f t="shared" si="183"/>
        <v>0</v>
      </c>
      <c r="Y196" s="114">
        <f t="shared" si="184"/>
        <v>0</v>
      </c>
      <c r="AA196" s="118">
        <f>IFERROR(
IF(OR('Basic payroll data'!$D$12="",'Basic payroll data'!$D$12="No"),0,
$T196*VLOOKUP($C196,'Employee information'!$B:$P,COLUMNS('Employee information'!$B:$P),0)*AL_loading_perc),
0)</f>
        <v>0</v>
      </c>
      <c r="AC196" s="118"/>
      <c r="AD196" s="118"/>
      <c r="AE196" s="283" t="str">
        <f t="shared" si="197"/>
        <v/>
      </c>
      <c r="AF196" s="283" t="str">
        <f t="shared" si="198"/>
        <v/>
      </c>
      <c r="AG196" s="118"/>
      <c r="AH196" s="118"/>
      <c r="AI196" s="283" t="str">
        <f t="shared" si="199"/>
        <v/>
      </c>
      <c r="AJ196" s="118"/>
      <c r="AK196" s="118"/>
      <c r="AM196" s="118">
        <f t="shared" si="200"/>
        <v>0</v>
      </c>
      <c r="AN196" s="118">
        <f t="shared" si="185"/>
        <v>0</v>
      </c>
      <c r="AO196" s="118" t="str">
        <f>IFERROR(
IF(VLOOKUP($C196,'Employee information'!$B:$M,COLUMNS('Employee information'!$B:$M),0)=1,
IF($E$2="Fortnightly",
ROUND(
ROUND((((TRUNC($AN196/2,0)+0.99))*VLOOKUP((TRUNC($AN196/2,0)+0.99),'Tax scales - NAT 1004'!$A$12:$C$18,2,1)-VLOOKUP((TRUNC($AN196/2,0)+0.99),'Tax scales - NAT 1004'!$A$12:$C$18,3,1)),0)
*2,
0),
IF(AND($E$2="Monthly",ROUND($AN196-TRUNC($AN196),2)=0.33),
ROUND(
ROUND(((TRUNC(($AN196+0.01)*3/13,0)+0.99)*VLOOKUP((TRUNC(($AN196+0.01)*3/13,0)+0.99),'Tax scales - NAT 1004'!$A$12:$C$18,2,1)-VLOOKUP((TRUNC(($AN196+0.01)*3/13,0)+0.99),'Tax scales - NAT 1004'!$A$12:$C$18,3,1)),0)
*13/3,
0),
IF($E$2="Monthly",
ROUND(
ROUND(((TRUNC($AN196*3/13,0)+0.99)*VLOOKUP((TRUNC($AN196*3/13,0)+0.99),'Tax scales - NAT 1004'!$A$12:$C$18,2,1)-VLOOKUP((TRUNC($AN196*3/13,0)+0.99),'Tax scales - NAT 1004'!$A$12:$C$18,3,1)),0)
*13/3,
0),
""))),
""),
"")</f>
        <v/>
      </c>
      <c r="AP196" s="118" t="str">
        <f>IFERROR(
IF(VLOOKUP($C196,'Employee information'!$B:$M,COLUMNS('Employee information'!$B:$M),0)=2,
IF($E$2="Fortnightly",
ROUND(
ROUND((((TRUNC($AN196/2,0)+0.99))*VLOOKUP((TRUNC($AN196/2,0)+0.99),'Tax scales - NAT 1004'!$A$25:$C$33,2,1)-VLOOKUP((TRUNC($AN196/2,0)+0.99),'Tax scales - NAT 1004'!$A$25:$C$33,3,1)),0)
*2,
0),
IF(AND($E$2="Monthly",ROUND($AN196-TRUNC($AN196),2)=0.33),
ROUND(
ROUND(((TRUNC(($AN196+0.01)*3/13,0)+0.99)*VLOOKUP((TRUNC(($AN196+0.01)*3/13,0)+0.99),'Tax scales - NAT 1004'!$A$25:$C$33,2,1)-VLOOKUP((TRUNC(($AN196+0.01)*3/13,0)+0.99),'Tax scales - NAT 1004'!$A$25:$C$33,3,1)),0)
*13/3,
0),
IF($E$2="Monthly",
ROUND(
ROUND(((TRUNC($AN196*3/13,0)+0.99)*VLOOKUP((TRUNC($AN196*3/13,0)+0.99),'Tax scales - NAT 1004'!$A$25:$C$33,2,1)-VLOOKUP((TRUNC($AN196*3/13,0)+0.99),'Tax scales - NAT 1004'!$A$25:$C$33,3,1)),0)
*13/3,
0),
""))),
""),
"")</f>
        <v/>
      </c>
      <c r="AQ196" s="118" t="str">
        <f>IFERROR(
IF(VLOOKUP($C196,'Employee information'!$B:$M,COLUMNS('Employee information'!$B:$M),0)=3,
IF($E$2="Fortnightly",
ROUND(
ROUND((((TRUNC($AN196/2,0)+0.99))*VLOOKUP((TRUNC($AN196/2,0)+0.99),'Tax scales - NAT 1004'!$A$39:$C$41,2,1)-VLOOKUP((TRUNC($AN196/2,0)+0.99),'Tax scales - NAT 1004'!$A$39:$C$41,3,1)),0)
*2,
0),
IF(AND($E$2="Monthly",ROUND($AN196-TRUNC($AN196),2)=0.33),
ROUND(
ROUND(((TRUNC(($AN196+0.01)*3/13,0)+0.99)*VLOOKUP((TRUNC(($AN196+0.01)*3/13,0)+0.99),'Tax scales - NAT 1004'!$A$39:$C$41,2,1)-VLOOKUP((TRUNC(($AN196+0.01)*3/13,0)+0.99),'Tax scales - NAT 1004'!$A$39:$C$41,3,1)),0)
*13/3,
0),
IF($E$2="Monthly",
ROUND(
ROUND(((TRUNC($AN196*3/13,0)+0.99)*VLOOKUP((TRUNC($AN196*3/13,0)+0.99),'Tax scales - NAT 1004'!$A$39:$C$41,2,1)-VLOOKUP((TRUNC($AN196*3/13,0)+0.99),'Tax scales - NAT 1004'!$A$39:$C$41,3,1)),0)
*13/3,
0),
""))),
""),
"")</f>
        <v/>
      </c>
      <c r="AR196" s="118" t="str">
        <f>IFERROR(
IF(AND(VLOOKUP($C196,'Employee information'!$B:$M,COLUMNS('Employee information'!$B:$M),0)=4,
VLOOKUP($C196,'Employee information'!$B:$J,COLUMNS('Employee information'!$B:$J),0)="Resident"),
TRUNC(TRUNC($AN196)*'Tax scales - NAT 1004'!$B$47),
IF(AND(VLOOKUP($C196,'Employee information'!$B:$M,COLUMNS('Employee information'!$B:$M),0)=4,
VLOOKUP($C196,'Employee information'!$B:$J,COLUMNS('Employee information'!$B:$J),0)="Foreign resident"),
TRUNC(TRUNC($AN196)*'Tax scales - NAT 1004'!$B$48),
"")),
"")</f>
        <v/>
      </c>
      <c r="AS196" s="118" t="str">
        <f>IFERROR(
IF(VLOOKUP($C196,'Employee information'!$B:$M,COLUMNS('Employee information'!$B:$M),0)=5,
IF($E$2="Fortnightly",
ROUND(
ROUND((((TRUNC($AN196/2,0)+0.99))*VLOOKUP((TRUNC($AN196/2,0)+0.99),'Tax scales - NAT 1004'!$A$53:$C$59,2,1)-VLOOKUP((TRUNC($AN196/2,0)+0.99),'Tax scales - NAT 1004'!$A$53:$C$59,3,1)),0)
*2,
0),
IF(AND($E$2="Monthly",ROUND($AN196-TRUNC($AN196),2)=0.33),
ROUND(
ROUND(((TRUNC(($AN196+0.01)*3/13,0)+0.99)*VLOOKUP((TRUNC(($AN196+0.01)*3/13,0)+0.99),'Tax scales - NAT 1004'!$A$53:$C$59,2,1)-VLOOKUP((TRUNC(($AN196+0.01)*3/13,0)+0.99),'Tax scales - NAT 1004'!$A$53:$C$59,3,1)),0)
*13/3,
0),
IF($E$2="Monthly",
ROUND(
ROUND(((TRUNC($AN196*3/13,0)+0.99)*VLOOKUP((TRUNC($AN196*3/13,0)+0.99),'Tax scales - NAT 1004'!$A$53:$C$59,2,1)-VLOOKUP((TRUNC($AN196*3/13,0)+0.99),'Tax scales - NAT 1004'!$A$53:$C$59,3,1)),0)
*13/3,
0),
""))),
""),
"")</f>
        <v/>
      </c>
      <c r="AT196" s="118" t="str">
        <f>IFERROR(
IF(VLOOKUP($C196,'Employee information'!$B:$M,COLUMNS('Employee information'!$B:$M),0)=6,
IF($E$2="Fortnightly",
ROUND(
ROUND((((TRUNC($AN196/2,0)+0.99))*VLOOKUP((TRUNC($AN196/2,0)+0.99),'Tax scales - NAT 1004'!$A$65:$C$73,2,1)-VLOOKUP((TRUNC($AN196/2,0)+0.99),'Tax scales - NAT 1004'!$A$65:$C$73,3,1)),0)
*2,
0),
IF(AND($E$2="Monthly",ROUND($AN196-TRUNC($AN196),2)=0.33),
ROUND(
ROUND(((TRUNC(($AN196+0.01)*3/13,0)+0.99)*VLOOKUP((TRUNC(($AN196+0.01)*3/13,0)+0.99),'Tax scales - NAT 1004'!$A$65:$C$73,2,1)-VLOOKUP((TRUNC(($AN196+0.01)*3/13,0)+0.99),'Tax scales - NAT 1004'!$A$65:$C$73,3,1)),0)
*13/3,
0),
IF($E$2="Monthly",
ROUND(
ROUND(((TRUNC($AN196*3/13,0)+0.99)*VLOOKUP((TRUNC($AN196*3/13,0)+0.99),'Tax scales - NAT 1004'!$A$65:$C$73,2,1)-VLOOKUP((TRUNC($AN196*3/13,0)+0.99),'Tax scales - NAT 1004'!$A$65:$C$73,3,1)),0)
*13/3,
0),
""))),
""),
"")</f>
        <v/>
      </c>
      <c r="AU196" s="118" t="str">
        <f>IFERROR(
IF(VLOOKUP($C196,'Employee information'!$B:$M,COLUMNS('Employee information'!$B:$M),0)=11,
IF($E$2="Fortnightly",
ROUND(
ROUND((((TRUNC($AN196/2,0)+0.99))*VLOOKUP((TRUNC($AN196/2,0)+0.99),'Tax scales - NAT 3539'!$A$14:$C$38,2,1)-VLOOKUP((TRUNC($AN196/2,0)+0.99),'Tax scales - NAT 3539'!$A$14:$C$38,3,1)),0)
*2,
0),
IF(AND($E$2="Monthly",ROUND($AN196-TRUNC($AN196),2)=0.33),
ROUND(
ROUND(((TRUNC(($AN196+0.01)*3/13,0)+0.99)*VLOOKUP((TRUNC(($AN196+0.01)*3/13,0)+0.99),'Tax scales - NAT 3539'!$A$14:$C$38,2,1)-VLOOKUP((TRUNC(($AN196+0.01)*3/13,0)+0.99),'Tax scales - NAT 3539'!$A$14:$C$38,3,1)),0)
*13/3,
0),
IF($E$2="Monthly",
ROUND(
ROUND(((TRUNC($AN196*3/13,0)+0.99)*VLOOKUP((TRUNC($AN196*3/13,0)+0.99),'Tax scales - NAT 3539'!$A$14:$C$38,2,1)-VLOOKUP((TRUNC($AN196*3/13,0)+0.99),'Tax scales - NAT 3539'!$A$14:$C$38,3,1)),0)
*13/3,
0),
""))),
""),
"")</f>
        <v/>
      </c>
      <c r="AV196" s="118" t="str">
        <f>IFERROR(
IF(VLOOKUP($C196,'Employee information'!$B:$M,COLUMNS('Employee information'!$B:$M),0)=22,
IF($E$2="Fortnightly",
ROUND(
ROUND((((TRUNC($AN196/2,0)+0.99))*VLOOKUP((TRUNC($AN196/2,0)+0.99),'Tax scales - NAT 3539'!$A$43:$C$69,2,1)-VLOOKUP((TRUNC($AN196/2,0)+0.99),'Tax scales - NAT 3539'!$A$43:$C$69,3,1)),0)
*2,
0),
IF(AND($E$2="Monthly",ROUND($AN196-TRUNC($AN196),2)=0.33),
ROUND(
ROUND(((TRUNC(($AN196+0.01)*3/13,0)+0.99)*VLOOKUP((TRUNC(($AN196+0.01)*3/13,0)+0.99),'Tax scales - NAT 3539'!$A$43:$C$69,2,1)-VLOOKUP((TRUNC(($AN196+0.01)*3/13,0)+0.99),'Tax scales - NAT 3539'!$A$43:$C$69,3,1)),0)
*13/3,
0),
IF($E$2="Monthly",
ROUND(
ROUND(((TRUNC($AN196*3/13,0)+0.99)*VLOOKUP((TRUNC($AN196*3/13,0)+0.99),'Tax scales - NAT 3539'!$A$43:$C$69,2,1)-VLOOKUP((TRUNC($AN196*3/13,0)+0.99),'Tax scales - NAT 3539'!$A$43:$C$69,3,1)),0)
*13/3,
0),
""))),
""),
"")</f>
        <v/>
      </c>
      <c r="AW196" s="118" t="str">
        <f>IFERROR(
IF(VLOOKUP($C196,'Employee information'!$B:$M,COLUMNS('Employee information'!$B:$M),0)=33,
IF($E$2="Fortnightly",
ROUND(
ROUND((((TRUNC($AN196/2,0)+0.99))*VLOOKUP((TRUNC($AN196/2,0)+0.99),'Tax scales - NAT 3539'!$A$74:$C$94,2,1)-VLOOKUP((TRUNC($AN196/2,0)+0.99),'Tax scales - NAT 3539'!$A$74:$C$94,3,1)),0)
*2,
0),
IF(AND($E$2="Monthly",ROUND($AN196-TRUNC($AN196),2)=0.33),
ROUND(
ROUND(((TRUNC(($AN196+0.01)*3/13,0)+0.99)*VLOOKUP((TRUNC(($AN196+0.01)*3/13,0)+0.99),'Tax scales - NAT 3539'!$A$74:$C$94,2,1)-VLOOKUP((TRUNC(($AN196+0.01)*3/13,0)+0.99),'Tax scales - NAT 3539'!$A$74:$C$94,3,1)),0)
*13/3,
0),
IF($E$2="Monthly",
ROUND(
ROUND(((TRUNC($AN196*3/13,0)+0.99)*VLOOKUP((TRUNC($AN196*3/13,0)+0.99),'Tax scales - NAT 3539'!$A$74:$C$94,2,1)-VLOOKUP((TRUNC($AN196*3/13,0)+0.99),'Tax scales - NAT 3539'!$A$74:$C$94,3,1)),0)
*13/3,
0),
""))),
""),
"")</f>
        <v/>
      </c>
      <c r="AX196" s="118" t="str">
        <f>IFERROR(
IF(VLOOKUP($C196,'Employee information'!$B:$M,COLUMNS('Employee information'!$B:$M),0)=55,
IF($E$2="Fortnightly",
ROUND(
ROUND((((TRUNC($AN196/2,0)+0.99))*VLOOKUP((TRUNC($AN196/2,0)+0.99),'Tax scales - NAT 3539'!$A$99:$C$123,2,1)-VLOOKUP((TRUNC($AN196/2,0)+0.99),'Tax scales - NAT 3539'!$A$99:$C$123,3,1)),0)
*2,
0),
IF(AND($E$2="Monthly",ROUND($AN196-TRUNC($AN196),2)=0.33),
ROUND(
ROUND(((TRUNC(($AN196+0.01)*3/13,0)+0.99)*VLOOKUP((TRUNC(($AN196+0.01)*3/13,0)+0.99),'Tax scales - NAT 3539'!$A$99:$C$123,2,1)-VLOOKUP((TRUNC(($AN196+0.01)*3/13,0)+0.99),'Tax scales - NAT 3539'!$A$99:$C$123,3,1)),0)
*13/3,
0),
IF($E$2="Monthly",
ROUND(
ROUND(((TRUNC($AN196*3/13,0)+0.99)*VLOOKUP((TRUNC($AN196*3/13,0)+0.99),'Tax scales - NAT 3539'!$A$99:$C$123,2,1)-VLOOKUP((TRUNC($AN196*3/13,0)+0.99),'Tax scales - NAT 3539'!$A$99:$C$123,3,1)),0)
*13/3,
0),
""))),
""),
"")</f>
        <v/>
      </c>
      <c r="AY196" s="118" t="str">
        <f>IFERROR(
IF(VLOOKUP($C196,'Employee information'!$B:$M,COLUMNS('Employee information'!$B:$M),0)=66,
IF($E$2="Fortnightly",
ROUND(
ROUND((((TRUNC($AN196/2,0)+0.99))*VLOOKUP((TRUNC($AN196/2,0)+0.99),'Tax scales - NAT 3539'!$A$127:$C$154,2,1)-VLOOKUP((TRUNC($AN196/2,0)+0.99),'Tax scales - NAT 3539'!$A$127:$C$154,3,1)),0)
*2,
0),
IF(AND($E$2="Monthly",ROUND($AN196-TRUNC($AN196),2)=0.33),
ROUND(
ROUND(((TRUNC(($AN196+0.01)*3/13,0)+0.99)*VLOOKUP((TRUNC(($AN196+0.01)*3/13,0)+0.99),'Tax scales - NAT 3539'!$A$127:$C$154,2,1)-VLOOKUP((TRUNC(($AN196+0.01)*3/13,0)+0.99),'Tax scales - NAT 3539'!$A$127:$C$154,3,1)),0)
*13/3,
0),
IF($E$2="Monthly",
ROUND(
ROUND(((TRUNC($AN196*3/13,0)+0.99)*VLOOKUP((TRUNC($AN196*3/13,0)+0.99),'Tax scales - NAT 3539'!$A$127:$C$154,2,1)-VLOOKUP((TRUNC($AN196*3/13,0)+0.99),'Tax scales - NAT 3539'!$A$127:$C$154,3,1)),0)
*13/3,
0),
""))),
""),
"")</f>
        <v/>
      </c>
      <c r="AZ196" s="118">
        <f>IFERROR(
HLOOKUP(VLOOKUP($C196,'Employee information'!$B:$M,COLUMNS('Employee information'!$B:$M),0),'PAYG worksheet'!$AO$184:$AY$203,COUNTA($C$185:$C196)+1,0),
0)</f>
        <v>0</v>
      </c>
      <c r="BA196" s="118"/>
      <c r="BB196" s="118">
        <f t="shared" si="201"/>
        <v>0</v>
      </c>
      <c r="BC196" s="119">
        <f>IFERROR(
IF(OR($AE196=1,$AE196=""),SUM($P196,$AA196,$AC196,$AK196)*VLOOKUP($C196,'Employee information'!$B:$Q,COLUMNS('Employee information'!$B:$H),0),
IF($AE196=0,SUM($P196,$AA196,$AK196)*VLOOKUP($C196,'Employee information'!$B:$Q,COLUMNS('Employee information'!$B:$H),0),
0)),
0)</f>
        <v>0</v>
      </c>
      <c r="BE196" s="114">
        <f t="shared" si="186"/>
        <v>0</v>
      </c>
      <c r="BF196" s="114">
        <f t="shared" si="187"/>
        <v>0</v>
      </c>
      <c r="BG196" s="114">
        <f t="shared" si="188"/>
        <v>0</v>
      </c>
      <c r="BH196" s="114">
        <f t="shared" si="189"/>
        <v>0</v>
      </c>
      <c r="BI196" s="114">
        <f t="shared" si="190"/>
        <v>0</v>
      </c>
      <c r="BJ196" s="114">
        <f t="shared" si="191"/>
        <v>0</v>
      </c>
      <c r="BK196" s="114">
        <f t="shared" si="192"/>
        <v>0</v>
      </c>
      <c r="BL196" s="114">
        <f t="shared" si="202"/>
        <v>0</v>
      </c>
      <c r="BM196" s="114">
        <f t="shared" si="193"/>
        <v>0</v>
      </c>
    </row>
    <row r="197" spans="1:65" x14ac:dyDescent="0.25">
      <c r="A197" s="228">
        <f t="shared" si="181"/>
        <v>7</v>
      </c>
      <c r="C197" s="278"/>
      <c r="E197" s="103">
        <f>IF($C197="",0,
IF(AND($E$2="Monthly",$A197&gt;12),0,
IF($E$2="Monthly",VLOOKUP($C197,'Employee information'!$B:$AM,COLUMNS('Employee information'!$B:S),0),
IF($E$2="Fortnightly",VLOOKUP($C197,'Employee information'!$B:$AM,COLUMNS('Employee information'!$B:R),0),
0))))</f>
        <v>0</v>
      </c>
      <c r="F197" s="106"/>
      <c r="G197" s="106"/>
      <c r="H197" s="106"/>
      <c r="I197" s="106"/>
      <c r="J197" s="103">
        <f t="shared" si="194"/>
        <v>0</v>
      </c>
      <c r="L197" s="113">
        <f>IF(AND($E$2="Monthly",$A197&gt;12),"",
IFERROR($J197*VLOOKUP($C197,'Employee information'!$B:$AI,COLUMNS('Employee information'!$B:$P),0),0))</f>
        <v>0</v>
      </c>
      <c r="M197" s="114">
        <f t="shared" si="195"/>
        <v>0</v>
      </c>
      <c r="O197" s="103">
        <f t="shared" si="196"/>
        <v>0</v>
      </c>
      <c r="P197" s="113">
        <f>IFERROR(
IF(AND($E$2="Monthly",$A197&gt;12),0,
$O197*VLOOKUP($C197,'Employee information'!$B:$AI,COLUMNS('Employee information'!$B:$P),0)),
0)</f>
        <v>0</v>
      </c>
      <c r="R197" s="114">
        <f t="shared" si="182"/>
        <v>0</v>
      </c>
      <c r="T197" s="103"/>
      <c r="U197" s="103"/>
      <c r="V197" s="282" t="str">
        <f>IF($C197="","",
IF(AND($E$2="Monthly",$A197&gt;12),"",
$T197*VLOOKUP($C197,'Employee information'!$B:$P,COLUMNS('Employee information'!$B:$P),0)))</f>
        <v/>
      </c>
      <c r="W197" s="282" t="str">
        <f>IF($C197="","",
IF(AND($E$2="Monthly",$A197&gt;12),"",
$U197*VLOOKUP($C197,'Employee information'!$B:$P,COLUMNS('Employee information'!$B:$P),0)))</f>
        <v/>
      </c>
      <c r="X197" s="114">
        <f t="shared" si="183"/>
        <v>0</v>
      </c>
      <c r="Y197" s="114">
        <f t="shared" si="184"/>
        <v>0</v>
      </c>
      <c r="AA197" s="118">
        <f>IFERROR(
IF(OR('Basic payroll data'!$D$12="",'Basic payroll data'!$D$12="No"),0,
$T197*VLOOKUP($C197,'Employee information'!$B:$P,COLUMNS('Employee information'!$B:$P),0)*AL_loading_perc),
0)</f>
        <v>0</v>
      </c>
      <c r="AC197" s="118"/>
      <c r="AD197" s="118"/>
      <c r="AE197" s="283" t="str">
        <f t="shared" si="197"/>
        <v/>
      </c>
      <c r="AF197" s="283" t="str">
        <f t="shared" si="198"/>
        <v/>
      </c>
      <c r="AG197" s="118"/>
      <c r="AH197" s="118"/>
      <c r="AI197" s="283" t="str">
        <f t="shared" si="199"/>
        <v/>
      </c>
      <c r="AJ197" s="118"/>
      <c r="AK197" s="118"/>
      <c r="AM197" s="118">
        <f t="shared" si="200"/>
        <v>0</v>
      </c>
      <c r="AN197" s="118">
        <f t="shared" si="185"/>
        <v>0</v>
      </c>
      <c r="AO197" s="118" t="str">
        <f>IFERROR(
IF(VLOOKUP($C197,'Employee information'!$B:$M,COLUMNS('Employee information'!$B:$M),0)=1,
IF($E$2="Fortnightly",
ROUND(
ROUND((((TRUNC($AN197/2,0)+0.99))*VLOOKUP((TRUNC($AN197/2,0)+0.99),'Tax scales - NAT 1004'!$A$12:$C$18,2,1)-VLOOKUP((TRUNC($AN197/2,0)+0.99),'Tax scales - NAT 1004'!$A$12:$C$18,3,1)),0)
*2,
0),
IF(AND($E$2="Monthly",ROUND($AN197-TRUNC($AN197),2)=0.33),
ROUND(
ROUND(((TRUNC(($AN197+0.01)*3/13,0)+0.99)*VLOOKUP((TRUNC(($AN197+0.01)*3/13,0)+0.99),'Tax scales - NAT 1004'!$A$12:$C$18,2,1)-VLOOKUP((TRUNC(($AN197+0.01)*3/13,0)+0.99),'Tax scales - NAT 1004'!$A$12:$C$18,3,1)),0)
*13/3,
0),
IF($E$2="Monthly",
ROUND(
ROUND(((TRUNC($AN197*3/13,0)+0.99)*VLOOKUP((TRUNC($AN197*3/13,0)+0.99),'Tax scales - NAT 1004'!$A$12:$C$18,2,1)-VLOOKUP((TRUNC($AN197*3/13,0)+0.99),'Tax scales - NAT 1004'!$A$12:$C$18,3,1)),0)
*13/3,
0),
""))),
""),
"")</f>
        <v/>
      </c>
      <c r="AP197" s="118" t="str">
        <f>IFERROR(
IF(VLOOKUP($C197,'Employee information'!$B:$M,COLUMNS('Employee information'!$B:$M),0)=2,
IF($E$2="Fortnightly",
ROUND(
ROUND((((TRUNC($AN197/2,0)+0.99))*VLOOKUP((TRUNC($AN197/2,0)+0.99),'Tax scales - NAT 1004'!$A$25:$C$33,2,1)-VLOOKUP((TRUNC($AN197/2,0)+0.99),'Tax scales - NAT 1004'!$A$25:$C$33,3,1)),0)
*2,
0),
IF(AND($E$2="Monthly",ROUND($AN197-TRUNC($AN197),2)=0.33),
ROUND(
ROUND(((TRUNC(($AN197+0.01)*3/13,0)+0.99)*VLOOKUP((TRUNC(($AN197+0.01)*3/13,0)+0.99),'Tax scales - NAT 1004'!$A$25:$C$33,2,1)-VLOOKUP((TRUNC(($AN197+0.01)*3/13,0)+0.99),'Tax scales - NAT 1004'!$A$25:$C$33,3,1)),0)
*13/3,
0),
IF($E$2="Monthly",
ROUND(
ROUND(((TRUNC($AN197*3/13,0)+0.99)*VLOOKUP((TRUNC($AN197*3/13,0)+0.99),'Tax scales - NAT 1004'!$A$25:$C$33,2,1)-VLOOKUP((TRUNC($AN197*3/13,0)+0.99),'Tax scales - NAT 1004'!$A$25:$C$33,3,1)),0)
*13/3,
0),
""))),
""),
"")</f>
        <v/>
      </c>
      <c r="AQ197" s="118" t="str">
        <f>IFERROR(
IF(VLOOKUP($C197,'Employee information'!$B:$M,COLUMNS('Employee information'!$B:$M),0)=3,
IF($E$2="Fortnightly",
ROUND(
ROUND((((TRUNC($AN197/2,0)+0.99))*VLOOKUP((TRUNC($AN197/2,0)+0.99),'Tax scales - NAT 1004'!$A$39:$C$41,2,1)-VLOOKUP((TRUNC($AN197/2,0)+0.99),'Tax scales - NAT 1004'!$A$39:$C$41,3,1)),0)
*2,
0),
IF(AND($E$2="Monthly",ROUND($AN197-TRUNC($AN197),2)=0.33),
ROUND(
ROUND(((TRUNC(($AN197+0.01)*3/13,0)+0.99)*VLOOKUP((TRUNC(($AN197+0.01)*3/13,0)+0.99),'Tax scales - NAT 1004'!$A$39:$C$41,2,1)-VLOOKUP((TRUNC(($AN197+0.01)*3/13,0)+0.99),'Tax scales - NAT 1004'!$A$39:$C$41,3,1)),0)
*13/3,
0),
IF($E$2="Monthly",
ROUND(
ROUND(((TRUNC($AN197*3/13,0)+0.99)*VLOOKUP((TRUNC($AN197*3/13,0)+0.99),'Tax scales - NAT 1004'!$A$39:$C$41,2,1)-VLOOKUP((TRUNC($AN197*3/13,0)+0.99),'Tax scales - NAT 1004'!$A$39:$C$41,3,1)),0)
*13/3,
0),
""))),
""),
"")</f>
        <v/>
      </c>
      <c r="AR197" s="118" t="str">
        <f>IFERROR(
IF(AND(VLOOKUP($C197,'Employee information'!$B:$M,COLUMNS('Employee information'!$B:$M),0)=4,
VLOOKUP($C197,'Employee information'!$B:$J,COLUMNS('Employee information'!$B:$J),0)="Resident"),
TRUNC(TRUNC($AN197)*'Tax scales - NAT 1004'!$B$47),
IF(AND(VLOOKUP($C197,'Employee information'!$B:$M,COLUMNS('Employee information'!$B:$M),0)=4,
VLOOKUP($C197,'Employee information'!$B:$J,COLUMNS('Employee information'!$B:$J),0)="Foreign resident"),
TRUNC(TRUNC($AN197)*'Tax scales - NAT 1004'!$B$48),
"")),
"")</f>
        <v/>
      </c>
      <c r="AS197" s="118" t="str">
        <f>IFERROR(
IF(VLOOKUP($C197,'Employee information'!$B:$M,COLUMNS('Employee information'!$B:$M),0)=5,
IF($E$2="Fortnightly",
ROUND(
ROUND((((TRUNC($AN197/2,0)+0.99))*VLOOKUP((TRUNC($AN197/2,0)+0.99),'Tax scales - NAT 1004'!$A$53:$C$59,2,1)-VLOOKUP((TRUNC($AN197/2,0)+0.99),'Tax scales - NAT 1004'!$A$53:$C$59,3,1)),0)
*2,
0),
IF(AND($E$2="Monthly",ROUND($AN197-TRUNC($AN197),2)=0.33),
ROUND(
ROUND(((TRUNC(($AN197+0.01)*3/13,0)+0.99)*VLOOKUP((TRUNC(($AN197+0.01)*3/13,0)+0.99),'Tax scales - NAT 1004'!$A$53:$C$59,2,1)-VLOOKUP((TRUNC(($AN197+0.01)*3/13,0)+0.99),'Tax scales - NAT 1004'!$A$53:$C$59,3,1)),0)
*13/3,
0),
IF($E$2="Monthly",
ROUND(
ROUND(((TRUNC($AN197*3/13,0)+0.99)*VLOOKUP((TRUNC($AN197*3/13,0)+0.99),'Tax scales - NAT 1004'!$A$53:$C$59,2,1)-VLOOKUP((TRUNC($AN197*3/13,0)+0.99),'Tax scales - NAT 1004'!$A$53:$C$59,3,1)),0)
*13/3,
0),
""))),
""),
"")</f>
        <v/>
      </c>
      <c r="AT197" s="118" t="str">
        <f>IFERROR(
IF(VLOOKUP($C197,'Employee information'!$B:$M,COLUMNS('Employee information'!$B:$M),0)=6,
IF($E$2="Fortnightly",
ROUND(
ROUND((((TRUNC($AN197/2,0)+0.99))*VLOOKUP((TRUNC($AN197/2,0)+0.99),'Tax scales - NAT 1004'!$A$65:$C$73,2,1)-VLOOKUP((TRUNC($AN197/2,0)+0.99),'Tax scales - NAT 1004'!$A$65:$C$73,3,1)),0)
*2,
0),
IF(AND($E$2="Monthly",ROUND($AN197-TRUNC($AN197),2)=0.33),
ROUND(
ROUND(((TRUNC(($AN197+0.01)*3/13,0)+0.99)*VLOOKUP((TRUNC(($AN197+0.01)*3/13,0)+0.99),'Tax scales - NAT 1004'!$A$65:$C$73,2,1)-VLOOKUP((TRUNC(($AN197+0.01)*3/13,0)+0.99),'Tax scales - NAT 1004'!$A$65:$C$73,3,1)),0)
*13/3,
0),
IF($E$2="Monthly",
ROUND(
ROUND(((TRUNC($AN197*3/13,0)+0.99)*VLOOKUP((TRUNC($AN197*3/13,0)+0.99),'Tax scales - NAT 1004'!$A$65:$C$73,2,1)-VLOOKUP((TRUNC($AN197*3/13,0)+0.99),'Tax scales - NAT 1004'!$A$65:$C$73,3,1)),0)
*13/3,
0),
""))),
""),
"")</f>
        <v/>
      </c>
      <c r="AU197" s="118" t="str">
        <f>IFERROR(
IF(VLOOKUP($C197,'Employee information'!$B:$M,COLUMNS('Employee information'!$B:$M),0)=11,
IF($E$2="Fortnightly",
ROUND(
ROUND((((TRUNC($AN197/2,0)+0.99))*VLOOKUP((TRUNC($AN197/2,0)+0.99),'Tax scales - NAT 3539'!$A$14:$C$38,2,1)-VLOOKUP((TRUNC($AN197/2,0)+0.99),'Tax scales - NAT 3539'!$A$14:$C$38,3,1)),0)
*2,
0),
IF(AND($E$2="Monthly",ROUND($AN197-TRUNC($AN197),2)=0.33),
ROUND(
ROUND(((TRUNC(($AN197+0.01)*3/13,0)+0.99)*VLOOKUP((TRUNC(($AN197+0.01)*3/13,0)+0.99),'Tax scales - NAT 3539'!$A$14:$C$38,2,1)-VLOOKUP((TRUNC(($AN197+0.01)*3/13,0)+0.99),'Tax scales - NAT 3539'!$A$14:$C$38,3,1)),0)
*13/3,
0),
IF($E$2="Monthly",
ROUND(
ROUND(((TRUNC($AN197*3/13,0)+0.99)*VLOOKUP((TRUNC($AN197*3/13,0)+0.99),'Tax scales - NAT 3539'!$A$14:$C$38,2,1)-VLOOKUP((TRUNC($AN197*3/13,0)+0.99),'Tax scales - NAT 3539'!$A$14:$C$38,3,1)),0)
*13/3,
0),
""))),
""),
"")</f>
        <v/>
      </c>
      <c r="AV197" s="118" t="str">
        <f>IFERROR(
IF(VLOOKUP($C197,'Employee information'!$B:$M,COLUMNS('Employee information'!$B:$M),0)=22,
IF($E$2="Fortnightly",
ROUND(
ROUND((((TRUNC($AN197/2,0)+0.99))*VLOOKUP((TRUNC($AN197/2,0)+0.99),'Tax scales - NAT 3539'!$A$43:$C$69,2,1)-VLOOKUP((TRUNC($AN197/2,0)+0.99),'Tax scales - NAT 3539'!$A$43:$C$69,3,1)),0)
*2,
0),
IF(AND($E$2="Monthly",ROUND($AN197-TRUNC($AN197),2)=0.33),
ROUND(
ROUND(((TRUNC(($AN197+0.01)*3/13,0)+0.99)*VLOOKUP((TRUNC(($AN197+0.01)*3/13,0)+0.99),'Tax scales - NAT 3539'!$A$43:$C$69,2,1)-VLOOKUP((TRUNC(($AN197+0.01)*3/13,0)+0.99),'Tax scales - NAT 3539'!$A$43:$C$69,3,1)),0)
*13/3,
0),
IF($E$2="Monthly",
ROUND(
ROUND(((TRUNC($AN197*3/13,0)+0.99)*VLOOKUP((TRUNC($AN197*3/13,0)+0.99),'Tax scales - NAT 3539'!$A$43:$C$69,2,1)-VLOOKUP((TRUNC($AN197*3/13,0)+0.99),'Tax scales - NAT 3539'!$A$43:$C$69,3,1)),0)
*13/3,
0),
""))),
""),
"")</f>
        <v/>
      </c>
      <c r="AW197" s="118" t="str">
        <f>IFERROR(
IF(VLOOKUP($C197,'Employee information'!$B:$M,COLUMNS('Employee information'!$B:$M),0)=33,
IF($E$2="Fortnightly",
ROUND(
ROUND((((TRUNC($AN197/2,0)+0.99))*VLOOKUP((TRUNC($AN197/2,0)+0.99),'Tax scales - NAT 3539'!$A$74:$C$94,2,1)-VLOOKUP((TRUNC($AN197/2,0)+0.99),'Tax scales - NAT 3539'!$A$74:$C$94,3,1)),0)
*2,
0),
IF(AND($E$2="Monthly",ROUND($AN197-TRUNC($AN197),2)=0.33),
ROUND(
ROUND(((TRUNC(($AN197+0.01)*3/13,0)+0.99)*VLOOKUP((TRUNC(($AN197+0.01)*3/13,0)+0.99),'Tax scales - NAT 3539'!$A$74:$C$94,2,1)-VLOOKUP((TRUNC(($AN197+0.01)*3/13,0)+0.99),'Tax scales - NAT 3539'!$A$74:$C$94,3,1)),0)
*13/3,
0),
IF($E$2="Monthly",
ROUND(
ROUND(((TRUNC($AN197*3/13,0)+0.99)*VLOOKUP((TRUNC($AN197*3/13,0)+0.99),'Tax scales - NAT 3539'!$A$74:$C$94,2,1)-VLOOKUP((TRUNC($AN197*3/13,0)+0.99),'Tax scales - NAT 3539'!$A$74:$C$94,3,1)),0)
*13/3,
0),
""))),
""),
"")</f>
        <v/>
      </c>
      <c r="AX197" s="118" t="str">
        <f>IFERROR(
IF(VLOOKUP($C197,'Employee information'!$B:$M,COLUMNS('Employee information'!$B:$M),0)=55,
IF($E$2="Fortnightly",
ROUND(
ROUND((((TRUNC($AN197/2,0)+0.99))*VLOOKUP((TRUNC($AN197/2,0)+0.99),'Tax scales - NAT 3539'!$A$99:$C$123,2,1)-VLOOKUP((TRUNC($AN197/2,0)+0.99),'Tax scales - NAT 3539'!$A$99:$C$123,3,1)),0)
*2,
0),
IF(AND($E$2="Monthly",ROUND($AN197-TRUNC($AN197),2)=0.33),
ROUND(
ROUND(((TRUNC(($AN197+0.01)*3/13,0)+0.99)*VLOOKUP((TRUNC(($AN197+0.01)*3/13,0)+0.99),'Tax scales - NAT 3539'!$A$99:$C$123,2,1)-VLOOKUP((TRUNC(($AN197+0.01)*3/13,0)+0.99),'Tax scales - NAT 3539'!$A$99:$C$123,3,1)),0)
*13/3,
0),
IF($E$2="Monthly",
ROUND(
ROUND(((TRUNC($AN197*3/13,0)+0.99)*VLOOKUP((TRUNC($AN197*3/13,0)+0.99),'Tax scales - NAT 3539'!$A$99:$C$123,2,1)-VLOOKUP((TRUNC($AN197*3/13,0)+0.99),'Tax scales - NAT 3539'!$A$99:$C$123,3,1)),0)
*13/3,
0),
""))),
""),
"")</f>
        <v/>
      </c>
      <c r="AY197" s="118" t="str">
        <f>IFERROR(
IF(VLOOKUP($C197,'Employee information'!$B:$M,COLUMNS('Employee information'!$B:$M),0)=66,
IF($E$2="Fortnightly",
ROUND(
ROUND((((TRUNC($AN197/2,0)+0.99))*VLOOKUP((TRUNC($AN197/2,0)+0.99),'Tax scales - NAT 3539'!$A$127:$C$154,2,1)-VLOOKUP((TRUNC($AN197/2,0)+0.99),'Tax scales - NAT 3539'!$A$127:$C$154,3,1)),0)
*2,
0),
IF(AND($E$2="Monthly",ROUND($AN197-TRUNC($AN197),2)=0.33),
ROUND(
ROUND(((TRUNC(($AN197+0.01)*3/13,0)+0.99)*VLOOKUP((TRUNC(($AN197+0.01)*3/13,0)+0.99),'Tax scales - NAT 3539'!$A$127:$C$154,2,1)-VLOOKUP((TRUNC(($AN197+0.01)*3/13,0)+0.99),'Tax scales - NAT 3539'!$A$127:$C$154,3,1)),0)
*13/3,
0),
IF($E$2="Monthly",
ROUND(
ROUND(((TRUNC($AN197*3/13,0)+0.99)*VLOOKUP((TRUNC($AN197*3/13,0)+0.99),'Tax scales - NAT 3539'!$A$127:$C$154,2,1)-VLOOKUP((TRUNC($AN197*3/13,0)+0.99),'Tax scales - NAT 3539'!$A$127:$C$154,3,1)),0)
*13/3,
0),
""))),
""),
"")</f>
        <v/>
      </c>
      <c r="AZ197" s="118">
        <f>IFERROR(
HLOOKUP(VLOOKUP($C197,'Employee information'!$B:$M,COLUMNS('Employee information'!$B:$M),0),'PAYG worksheet'!$AO$184:$AY$203,COUNTA($C$185:$C197)+1,0),
0)</f>
        <v>0</v>
      </c>
      <c r="BA197" s="118"/>
      <c r="BB197" s="118">
        <f t="shared" si="201"/>
        <v>0</v>
      </c>
      <c r="BC197" s="119">
        <f>IFERROR(
IF(OR($AE197=1,$AE197=""),SUM($P197,$AA197,$AC197,$AK197)*VLOOKUP($C197,'Employee information'!$B:$Q,COLUMNS('Employee information'!$B:$H),0),
IF($AE197=0,SUM($P197,$AA197,$AK197)*VLOOKUP($C197,'Employee information'!$B:$Q,COLUMNS('Employee information'!$B:$H),0),
0)),
0)</f>
        <v>0</v>
      </c>
      <c r="BE197" s="114">
        <f t="shared" si="186"/>
        <v>0</v>
      </c>
      <c r="BF197" s="114">
        <f t="shared" si="187"/>
        <v>0</v>
      </c>
      <c r="BG197" s="114">
        <f t="shared" si="188"/>
        <v>0</v>
      </c>
      <c r="BH197" s="114">
        <f t="shared" si="189"/>
        <v>0</v>
      </c>
      <c r="BI197" s="114">
        <f t="shared" si="190"/>
        <v>0</v>
      </c>
      <c r="BJ197" s="114">
        <f t="shared" si="191"/>
        <v>0</v>
      </c>
      <c r="BK197" s="114">
        <f t="shared" si="192"/>
        <v>0</v>
      </c>
      <c r="BL197" s="114">
        <f t="shared" si="202"/>
        <v>0</v>
      </c>
      <c r="BM197" s="114">
        <f t="shared" si="193"/>
        <v>0</v>
      </c>
    </row>
    <row r="198" spans="1:65" x14ac:dyDescent="0.25">
      <c r="A198" s="228">
        <f t="shared" si="181"/>
        <v>7</v>
      </c>
      <c r="C198" s="278"/>
      <c r="E198" s="103">
        <f>IF($C198="",0,
IF(AND($E$2="Monthly",$A198&gt;12),0,
IF($E$2="Monthly",VLOOKUP($C198,'Employee information'!$B:$AM,COLUMNS('Employee information'!$B:S),0),
IF($E$2="Fortnightly",VLOOKUP($C198,'Employee information'!$B:$AM,COLUMNS('Employee information'!$B:R),0),
0))))</f>
        <v>0</v>
      </c>
      <c r="F198" s="106"/>
      <c r="G198" s="106"/>
      <c r="H198" s="106"/>
      <c r="I198" s="106"/>
      <c r="J198" s="103">
        <f t="shared" si="194"/>
        <v>0</v>
      </c>
      <c r="L198" s="113">
        <f>IF(AND($E$2="Monthly",$A198&gt;12),"",
IFERROR($J198*VLOOKUP($C198,'Employee information'!$B:$AI,COLUMNS('Employee information'!$B:$P),0),0))</f>
        <v>0</v>
      </c>
      <c r="M198" s="114">
        <f t="shared" si="195"/>
        <v>0</v>
      </c>
      <c r="O198" s="103">
        <f t="shared" si="196"/>
        <v>0</v>
      </c>
      <c r="P198" s="113">
        <f>IFERROR(
IF(AND($E$2="Monthly",$A198&gt;12),0,
$O198*VLOOKUP($C198,'Employee information'!$B:$AI,COLUMNS('Employee information'!$B:$P),0)),
0)</f>
        <v>0</v>
      </c>
      <c r="R198" s="114">
        <f t="shared" si="182"/>
        <v>0</v>
      </c>
      <c r="T198" s="103"/>
      <c r="U198" s="103"/>
      <c r="V198" s="282" t="str">
        <f>IF($C198="","",
IF(AND($E$2="Monthly",$A198&gt;12),"",
$T198*VLOOKUP($C198,'Employee information'!$B:$P,COLUMNS('Employee information'!$B:$P),0)))</f>
        <v/>
      </c>
      <c r="W198" s="282" t="str">
        <f>IF($C198="","",
IF(AND($E$2="Monthly",$A198&gt;12),"",
$U198*VLOOKUP($C198,'Employee information'!$B:$P,COLUMNS('Employee information'!$B:$P),0)))</f>
        <v/>
      </c>
      <c r="X198" s="114">
        <f t="shared" si="183"/>
        <v>0</v>
      </c>
      <c r="Y198" s="114">
        <f t="shared" si="184"/>
        <v>0</v>
      </c>
      <c r="AA198" s="118">
        <f>IFERROR(
IF(OR('Basic payroll data'!$D$12="",'Basic payroll data'!$D$12="No"),0,
$T198*VLOOKUP($C198,'Employee information'!$B:$P,COLUMNS('Employee information'!$B:$P),0)*AL_loading_perc),
0)</f>
        <v>0</v>
      </c>
      <c r="AC198" s="118"/>
      <c r="AD198" s="118"/>
      <c r="AE198" s="283" t="str">
        <f t="shared" si="197"/>
        <v/>
      </c>
      <c r="AF198" s="283" t="str">
        <f t="shared" si="198"/>
        <v/>
      </c>
      <c r="AG198" s="118"/>
      <c r="AH198" s="118"/>
      <c r="AI198" s="283" t="str">
        <f t="shared" si="199"/>
        <v/>
      </c>
      <c r="AJ198" s="118"/>
      <c r="AK198" s="118"/>
      <c r="AM198" s="118">
        <f t="shared" si="200"/>
        <v>0</v>
      </c>
      <c r="AN198" s="118">
        <f t="shared" si="185"/>
        <v>0</v>
      </c>
      <c r="AO198" s="118" t="str">
        <f>IFERROR(
IF(VLOOKUP($C198,'Employee information'!$B:$M,COLUMNS('Employee information'!$B:$M),0)=1,
IF($E$2="Fortnightly",
ROUND(
ROUND((((TRUNC($AN198/2,0)+0.99))*VLOOKUP((TRUNC($AN198/2,0)+0.99),'Tax scales - NAT 1004'!$A$12:$C$18,2,1)-VLOOKUP((TRUNC($AN198/2,0)+0.99),'Tax scales - NAT 1004'!$A$12:$C$18,3,1)),0)
*2,
0),
IF(AND($E$2="Monthly",ROUND($AN198-TRUNC($AN198),2)=0.33),
ROUND(
ROUND(((TRUNC(($AN198+0.01)*3/13,0)+0.99)*VLOOKUP((TRUNC(($AN198+0.01)*3/13,0)+0.99),'Tax scales - NAT 1004'!$A$12:$C$18,2,1)-VLOOKUP((TRUNC(($AN198+0.01)*3/13,0)+0.99),'Tax scales - NAT 1004'!$A$12:$C$18,3,1)),0)
*13/3,
0),
IF($E$2="Monthly",
ROUND(
ROUND(((TRUNC($AN198*3/13,0)+0.99)*VLOOKUP((TRUNC($AN198*3/13,0)+0.99),'Tax scales - NAT 1004'!$A$12:$C$18,2,1)-VLOOKUP((TRUNC($AN198*3/13,0)+0.99),'Tax scales - NAT 1004'!$A$12:$C$18,3,1)),0)
*13/3,
0),
""))),
""),
"")</f>
        <v/>
      </c>
      <c r="AP198" s="118" t="str">
        <f>IFERROR(
IF(VLOOKUP($C198,'Employee information'!$B:$M,COLUMNS('Employee information'!$B:$M),0)=2,
IF($E$2="Fortnightly",
ROUND(
ROUND((((TRUNC($AN198/2,0)+0.99))*VLOOKUP((TRUNC($AN198/2,0)+0.99),'Tax scales - NAT 1004'!$A$25:$C$33,2,1)-VLOOKUP((TRUNC($AN198/2,0)+0.99),'Tax scales - NAT 1004'!$A$25:$C$33,3,1)),0)
*2,
0),
IF(AND($E$2="Monthly",ROUND($AN198-TRUNC($AN198),2)=0.33),
ROUND(
ROUND(((TRUNC(($AN198+0.01)*3/13,0)+0.99)*VLOOKUP((TRUNC(($AN198+0.01)*3/13,0)+0.99),'Tax scales - NAT 1004'!$A$25:$C$33,2,1)-VLOOKUP((TRUNC(($AN198+0.01)*3/13,0)+0.99),'Tax scales - NAT 1004'!$A$25:$C$33,3,1)),0)
*13/3,
0),
IF($E$2="Monthly",
ROUND(
ROUND(((TRUNC($AN198*3/13,0)+0.99)*VLOOKUP((TRUNC($AN198*3/13,0)+0.99),'Tax scales - NAT 1004'!$A$25:$C$33,2,1)-VLOOKUP((TRUNC($AN198*3/13,0)+0.99),'Tax scales - NAT 1004'!$A$25:$C$33,3,1)),0)
*13/3,
0),
""))),
""),
"")</f>
        <v/>
      </c>
      <c r="AQ198" s="118" t="str">
        <f>IFERROR(
IF(VLOOKUP($C198,'Employee information'!$B:$M,COLUMNS('Employee information'!$B:$M),0)=3,
IF($E$2="Fortnightly",
ROUND(
ROUND((((TRUNC($AN198/2,0)+0.99))*VLOOKUP((TRUNC($AN198/2,0)+0.99),'Tax scales - NAT 1004'!$A$39:$C$41,2,1)-VLOOKUP((TRUNC($AN198/2,0)+0.99),'Tax scales - NAT 1004'!$A$39:$C$41,3,1)),0)
*2,
0),
IF(AND($E$2="Monthly",ROUND($AN198-TRUNC($AN198),2)=0.33),
ROUND(
ROUND(((TRUNC(($AN198+0.01)*3/13,0)+0.99)*VLOOKUP((TRUNC(($AN198+0.01)*3/13,0)+0.99),'Tax scales - NAT 1004'!$A$39:$C$41,2,1)-VLOOKUP((TRUNC(($AN198+0.01)*3/13,0)+0.99),'Tax scales - NAT 1004'!$A$39:$C$41,3,1)),0)
*13/3,
0),
IF($E$2="Monthly",
ROUND(
ROUND(((TRUNC($AN198*3/13,0)+0.99)*VLOOKUP((TRUNC($AN198*3/13,0)+0.99),'Tax scales - NAT 1004'!$A$39:$C$41,2,1)-VLOOKUP((TRUNC($AN198*3/13,0)+0.99),'Tax scales - NAT 1004'!$A$39:$C$41,3,1)),0)
*13/3,
0),
""))),
""),
"")</f>
        <v/>
      </c>
      <c r="AR198" s="118" t="str">
        <f>IFERROR(
IF(AND(VLOOKUP($C198,'Employee information'!$B:$M,COLUMNS('Employee information'!$B:$M),0)=4,
VLOOKUP($C198,'Employee information'!$B:$J,COLUMNS('Employee information'!$B:$J),0)="Resident"),
TRUNC(TRUNC($AN198)*'Tax scales - NAT 1004'!$B$47),
IF(AND(VLOOKUP($C198,'Employee information'!$B:$M,COLUMNS('Employee information'!$B:$M),0)=4,
VLOOKUP($C198,'Employee information'!$B:$J,COLUMNS('Employee information'!$B:$J),0)="Foreign resident"),
TRUNC(TRUNC($AN198)*'Tax scales - NAT 1004'!$B$48),
"")),
"")</f>
        <v/>
      </c>
      <c r="AS198" s="118" t="str">
        <f>IFERROR(
IF(VLOOKUP($C198,'Employee information'!$B:$M,COLUMNS('Employee information'!$B:$M),0)=5,
IF($E$2="Fortnightly",
ROUND(
ROUND((((TRUNC($AN198/2,0)+0.99))*VLOOKUP((TRUNC($AN198/2,0)+0.99),'Tax scales - NAT 1004'!$A$53:$C$59,2,1)-VLOOKUP((TRUNC($AN198/2,0)+0.99),'Tax scales - NAT 1004'!$A$53:$C$59,3,1)),0)
*2,
0),
IF(AND($E$2="Monthly",ROUND($AN198-TRUNC($AN198),2)=0.33),
ROUND(
ROUND(((TRUNC(($AN198+0.01)*3/13,0)+0.99)*VLOOKUP((TRUNC(($AN198+0.01)*3/13,0)+0.99),'Tax scales - NAT 1004'!$A$53:$C$59,2,1)-VLOOKUP((TRUNC(($AN198+0.01)*3/13,0)+0.99),'Tax scales - NAT 1004'!$A$53:$C$59,3,1)),0)
*13/3,
0),
IF($E$2="Monthly",
ROUND(
ROUND(((TRUNC($AN198*3/13,0)+0.99)*VLOOKUP((TRUNC($AN198*3/13,0)+0.99),'Tax scales - NAT 1004'!$A$53:$C$59,2,1)-VLOOKUP((TRUNC($AN198*3/13,0)+0.99),'Tax scales - NAT 1004'!$A$53:$C$59,3,1)),0)
*13/3,
0),
""))),
""),
"")</f>
        <v/>
      </c>
      <c r="AT198" s="118" t="str">
        <f>IFERROR(
IF(VLOOKUP($C198,'Employee information'!$B:$M,COLUMNS('Employee information'!$B:$M),0)=6,
IF($E$2="Fortnightly",
ROUND(
ROUND((((TRUNC($AN198/2,0)+0.99))*VLOOKUP((TRUNC($AN198/2,0)+0.99),'Tax scales - NAT 1004'!$A$65:$C$73,2,1)-VLOOKUP((TRUNC($AN198/2,0)+0.99),'Tax scales - NAT 1004'!$A$65:$C$73,3,1)),0)
*2,
0),
IF(AND($E$2="Monthly",ROUND($AN198-TRUNC($AN198),2)=0.33),
ROUND(
ROUND(((TRUNC(($AN198+0.01)*3/13,0)+0.99)*VLOOKUP((TRUNC(($AN198+0.01)*3/13,0)+0.99),'Tax scales - NAT 1004'!$A$65:$C$73,2,1)-VLOOKUP((TRUNC(($AN198+0.01)*3/13,0)+0.99),'Tax scales - NAT 1004'!$A$65:$C$73,3,1)),0)
*13/3,
0),
IF($E$2="Monthly",
ROUND(
ROUND(((TRUNC($AN198*3/13,0)+0.99)*VLOOKUP((TRUNC($AN198*3/13,0)+0.99),'Tax scales - NAT 1004'!$A$65:$C$73,2,1)-VLOOKUP((TRUNC($AN198*3/13,0)+0.99),'Tax scales - NAT 1004'!$A$65:$C$73,3,1)),0)
*13/3,
0),
""))),
""),
"")</f>
        <v/>
      </c>
      <c r="AU198" s="118" t="str">
        <f>IFERROR(
IF(VLOOKUP($C198,'Employee information'!$B:$M,COLUMNS('Employee information'!$B:$M),0)=11,
IF($E$2="Fortnightly",
ROUND(
ROUND((((TRUNC($AN198/2,0)+0.99))*VLOOKUP((TRUNC($AN198/2,0)+0.99),'Tax scales - NAT 3539'!$A$14:$C$38,2,1)-VLOOKUP((TRUNC($AN198/2,0)+0.99),'Tax scales - NAT 3539'!$A$14:$C$38,3,1)),0)
*2,
0),
IF(AND($E$2="Monthly",ROUND($AN198-TRUNC($AN198),2)=0.33),
ROUND(
ROUND(((TRUNC(($AN198+0.01)*3/13,0)+0.99)*VLOOKUP((TRUNC(($AN198+0.01)*3/13,0)+0.99),'Tax scales - NAT 3539'!$A$14:$C$38,2,1)-VLOOKUP((TRUNC(($AN198+0.01)*3/13,0)+0.99),'Tax scales - NAT 3539'!$A$14:$C$38,3,1)),0)
*13/3,
0),
IF($E$2="Monthly",
ROUND(
ROUND(((TRUNC($AN198*3/13,0)+0.99)*VLOOKUP((TRUNC($AN198*3/13,0)+0.99),'Tax scales - NAT 3539'!$A$14:$C$38,2,1)-VLOOKUP((TRUNC($AN198*3/13,0)+0.99),'Tax scales - NAT 3539'!$A$14:$C$38,3,1)),0)
*13/3,
0),
""))),
""),
"")</f>
        <v/>
      </c>
      <c r="AV198" s="118" t="str">
        <f>IFERROR(
IF(VLOOKUP($C198,'Employee information'!$B:$M,COLUMNS('Employee information'!$B:$M),0)=22,
IF($E$2="Fortnightly",
ROUND(
ROUND((((TRUNC($AN198/2,0)+0.99))*VLOOKUP((TRUNC($AN198/2,0)+0.99),'Tax scales - NAT 3539'!$A$43:$C$69,2,1)-VLOOKUP((TRUNC($AN198/2,0)+0.99),'Tax scales - NAT 3539'!$A$43:$C$69,3,1)),0)
*2,
0),
IF(AND($E$2="Monthly",ROUND($AN198-TRUNC($AN198),2)=0.33),
ROUND(
ROUND(((TRUNC(($AN198+0.01)*3/13,0)+0.99)*VLOOKUP((TRUNC(($AN198+0.01)*3/13,0)+0.99),'Tax scales - NAT 3539'!$A$43:$C$69,2,1)-VLOOKUP((TRUNC(($AN198+0.01)*3/13,0)+0.99),'Tax scales - NAT 3539'!$A$43:$C$69,3,1)),0)
*13/3,
0),
IF($E$2="Monthly",
ROUND(
ROUND(((TRUNC($AN198*3/13,0)+0.99)*VLOOKUP((TRUNC($AN198*3/13,0)+0.99),'Tax scales - NAT 3539'!$A$43:$C$69,2,1)-VLOOKUP((TRUNC($AN198*3/13,0)+0.99),'Tax scales - NAT 3539'!$A$43:$C$69,3,1)),0)
*13/3,
0),
""))),
""),
"")</f>
        <v/>
      </c>
      <c r="AW198" s="118" t="str">
        <f>IFERROR(
IF(VLOOKUP($C198,'Employee information'!$B:$M,COLUMNS('Employee information'!$B:$M),0)=33,
IF($E$2="Fortnightly",
ROUND(
ROUND((((TRUNC($AN198/2,0)+0.99))*VLOOKUP((TRUNC($AN198/2,0)+0.99),'Tax scales - NAT 3539'!$A$74:$C$94,2,1)-VLOOKUP((TRUNC($AN198/2,0)+0.99),'Tax scales - NAT 3539'!$A$74:$C$94,3,1)),0)
*2,
0),
IF(AND($E$2="Monthly",ROUND($AN198-TRUNC($AN198),2)=0.33),
ROUND(
ROUND(((TRUNC(($AN198+0.01)*3/13,0)+0.99)*VLOOKUP((TRUNC(($AN198+0.01)*3/13,0)+0.99),'Tax scales - NAT 3539'!$A$74:$C$94,2,1)-VLOOKUP((TRUNC(($AN198+0.01)*3/13,0)+0.99),'Tax scales - NAT 3539'!$A$74:$C$94,3,1)),0)
*13/3,
0),
IF($E$2="Monthly",
ROUND(
ROUND(((TRUNC($AN198*3/13,0)+0.99)*VLOOKUP((TRUNC($AN198*3/13,0)+0.99),'Tax scales - NAT 3539'!$A$74:$C$94,2,1)-VLOOKUP((TRUNC($AN198*3/13,0)+0.99),'Tax scales - NAT 3539'!$A$74:$C$94,3,1)),0)
*13/3,
0),
""))),
""),
"")</f>
        <v/>
      </c>
      <c r="AX198" s="118" t="str">
        <f>IFERROR(
IF(VLOOKUP($C198,'Employee information'!$B:$M,COLUMNS('Employee information'!$B:$M),0)=55,
IF($E$2="Fortnightly",
ROUND(
ROUND((((TRUNC($AN198/2,0)+0.99))*VLOOKUP((TRUNC($AN198/2,0)+0.99),'Tax scales - NAT 3539'!$A$99:$C$123,2,1)-VLOOKUP((TRUNC($AN198/2,0)+0.99),'Tax scales - NAT 3539'!$A$99:$C$123,3,1)),0)
*2,
0),
IF(AND($E$2="Monthly",ROUND($AN198-TRUNC($AN198),2)=0.33),
ROUND(
ROUND(((TRUNC(($AN198+0.01)*3/13,0)+0.99)*VLOOKUP((TRUNC(($AN198+0.01)*3/13,0)+0.99),'Tax scales - NAT 3539'!$A$99:$C$123,2,1)-VLOOKUP((TRUNC(($AN198+0.01)*3/13,0)+0.99),'Tax scales - NAT 3539'!$A$99:$C$123,3,1)),0)
*13/3,
0),
IF($E$2="Monthly",
ROUND(
ROUND(((TRUNC($AN198*3/13,0)+0.99)*VLOOKUP((TRUNC($AN198*3/13,0)+0.99),'Tax scales - NAT 3539'!$A$99:$C$123,2,1)-VLOOKUP((TRUNC($AN198*3/13,0)+0.99),'Tax scales - NAT 3539'!$A$99:$C$123,3,1)),0)
*13/3,
0),
""))),
""),
"")</f>
        <v/>
      </c>
      <c r="AY198" s="118" t="str">
        <f>IFERROR(
IF(VLOOKUP($C198,'Employee information'!$B:$M,COLUMNS('Employee information'!$B:$M),0)=66,
IF($E$2="Fortnightly",
ROUND(
ROUND((((TRUNC($AN198/2,0)+0.99))*VLOOKUP((TRUNC($AN198/2,0)+0.99),'Tax scales - NAT 3539'!$A$127:$C$154,2,1)-VLOOKUP((TRUNC($AN198/2,0)+0.99),'Tax scales - NAT 3539'!$A$127:$C$154,3,1)),0)
*2,
0),
IF(AND($E$2="Monthly",ROUND($AN198-TRUNC($AN198),2)=0.33),
ROUND(
ROUND(((TRUNC(($AN198+0.01)*3/13,0)+0.99)*VLOOKUP((TRUNC(($AN198+0.01)*3/13,0)+0.99),'Tax scales - NAT 3539'!$A$127:$C$154,2,1)-VLOOKUP((TRUNC(($AN198+0.01)*3/13,0)+0.99),'Tax scales - NAT 3539'!$A$127:$C$154,3,1)),0)
*13/3,
0),
IF($E$2="Monthly",
ROUND(
ROUND(((TRUNC($AN198*3/13,0)+0.99)*VLOOKUP((TRUNC($AN198*3/13,0)+0.99),'Tax scales - NAT 3539'!$A$127:$C$154,2,1)-VLOOKUP((TRUNC($AN198*3/13,0)+0.99),'Tax scales - NAT 3539'!$A$127:$C$154,3,1)),0)
*13/3,
0),
""))),
""),
"")</f>
        <v/>
      </c>
      <c r="AZ198" s="118">
        <f>IFERROR(
HLOOKUP(VLOOKUP($C198,'Employee information'!$B:$M,COLUMNS('Employee information'!$B:$M),0),'PAYG worksheet'!$AO$184:$AY$203,COUNTA($C$185:$C198)+1,0),
0)</f>
        <v>0</v>
      </c>
      <c r="BA198" s="118"/>
      <c r="BB198" s="118">
        <f t="shared" si="201"/>
        <v>0</v>
      </c>
      <c r="BC198" s="119">
        <f>IFERROR(
IF(OR($AE198=1,$AE198=""),SUM($P198,$AA198,$AC198,$AK198)*VLOOKUP($C198,'Employee information'!$B:$Q,COLUMNS('Employee information'!$B:$H),0),
IF($AE198=0,SUM($P198,$AA198,$AK198)*VLOOKUP($C198,'Employee information'!$B:$Q,COLUMNS('Employee information'!$B:$H),0),
0)),
0)</f>
        <v>0</v>
      </c>
      <c r="BE198" s="114">
        <f t="shared" si="186"/>
        <v>0</v>
      </c>
      <c r="BF198" s="114">
        <f t="shared" si="187"/>
        <v>0</v>
      </c>
      <c r="BG198" s="114">
        <f t="shared" si="188"/>
        <v>0</v>
      </c>
      <c r="BH198" s="114">
        <f t="shared" si="189"/>
        <v>0</v>
      </c>
      <c r="BI198" s="114">
        <f t="shared" si="190"/>
        <v>0</v>
      </c>
      <c r="BJ198" s="114">
        <f t="shared" si="191"/>
        <v>0</v>
      </c>
      <c r="BK198" s="114">
        <f t="shared" si="192"/>
        <v>0</v>
      </c>
      <c r="BL198" s="114">
        <f t="shared" si="202"/>
        <v>0</v>
      </c>
      <c r="BM198" s="114">
        <f t="shared" si="193"/>
        <v>0</v>
      </c>
    </row>
    <row r="199" spans="1:65" x14ac:dyDescent="0.25">
      <c r="A199" s="228">
        <f t="shared" si="181"/>
        <v>7</v>
      </c>
      <c r="C199" s="278"/>
      <c r="E199" s="103">
        <f>IF($C199="",0,
IF(AND($E$2="Monthly",$A199&gt;12),0,
IF($E$2="Monthly",VLOOKUP($C199,'Employee information'!$B:$AM,COLUMNS('Employee information'!$B:S),0),
IF($E$2="Fortnightly",VLOOKUP($C199,'Employee information'!$B:$AM,COLUMNS('Employee information'!$B:R),0),
0))))</f>
        <v>0</v>
      </c>
      <c r="F199" s="106"/>
      <c r="G199" s="106"/>
      <c r="H199" s="106"/>
      <c r="I199" s="106"/>
      <c r="J199" s="103">
        <f t="shared" si="194"/>
        <v>0</v>
      </c>
      <c r="L199" s="113">
        <f>IF(AND($E$2="Monthly",$A199&gt;12),"",
IFERROR($J199*VLOOKUP($C199,'Employee information'!$B:$AI,COLUMNS('Employee information'!$B:$P),0),0))</f>
        <v>0</v>
      </c>
      <c r="M199" s="114">
        <f t="shared" si="195"/>
        <v>0</v>
      </c>
      <c r="O199" s="103">
        <f t="shared" si="196"/>
        <v>0</v>
      </c>
      <c r="P199" s="113">
        <f>IFERROR(
IF(AND($E$2="Monthly",$A199&gt;12),0,
$O199*VLOOKUP($C199,'Employee information'!$B:$AI,COLUMNS('Employee information'!$B:$P),0)),
0)</f>
        <v>0</v>
      </c>
      <c r="R199" s="114">
        <f t="shared" si="182"/>
        <v>0</v>
      </c>
      <c r="T199" s="103"/>
      <c r="U199" s="103"/>
      <c r="V199" s="282" t="str">
        <f>IF($C199="","",
IF(AND($E$2="Monthly",$A199&gt;12),"",
$T199*VLOOKUP($C199,'Employee information'!$B:$P,COLUMNS('Employee information'!$B:$P),0)))</f>
        <v/>
      </c>
      <c r="W199" s="282" t="str">
        <f>IF($C199="","",
IF(AND($E$2="Monthly",$A199&gt;12),"",
$U199*VLOOKUP($C199,'Employee information'!$B:$P,COLUMNS('Employee information'!$B:$P),0)))</f>
        <v/>
      </c>
      <c r="X199" s="114">
        <f t="shared" si="183"/>
        <v>0</v>
      </c>
      <c r="Y199" s="114">
        <f t="shared" si="184"/>
        <v>0</v>
      </c>
      <c r="AA199" s="118">
        <f>IFERROR(
IF(OR('Basic payroll data'!$D$12="",'Basic payroll data'!$D$12="No"),0,
$T199*VLOOKUP($C199,'Employee information'!$B:$P,COLUMNS('Employee information'!$B:$P),0)*AL_loading_perc),
0)</f>
        <v>0</v>
      </c>
      <c r="AC199" s="118"/>
      <c r="AD199" s="118"/>
      <c r="AE199" s="283" t="str">
        <f t="shared" si="197"/>
        <v/>
      </c>
      <c r="AF199" s="283" t="str">
        <f t="shared" si="198"/>
        <v/>
      </c>
      <c r="AG199" s="118"/>
      <c r="AH199" s="118"/>
      <c r="AI199" s="283" t="str">
        <f t="shared" si="199"/>
        <v/>
      </c>
      <c r="AJ199" s="118"/>
      <c r="AK199" s="118"/>
      <c r="AM199" s="118">
        <f t="shared" si="200"/>
        <v>0</v>
      </c>
      <c r="AN199" s="118">
        <f t="shared" si="185"/>
        <v>0</v>
      </c>
      <c r="AO199" s="118" t="str">
        <f>IFERROR(
IF(VLOOKUP($C199,'Employee information'!$B:$M,COLUMNS('Employee information'!$B:$M),0)=1,
IF($E$2="Fortnightly",
ROUND(
ROUND((((TRUNC($AN199/2,0)+0.99))*VLOOKUP((TRUNC($AN199/2,0)+0.99),'Tax scales - NAT 1004'!$A$12:$C$18,2,1)-VLOOKUP((TRUNC($AN199/2,0)+0.99),'Tax scales - NAT 1004'!$A$12:$C$18,3,1)),0)
*2,
0),
IF(AND($E$2="Monthly",ROUND($AN199-TRUNC($AN199),2)=0.33),
ROUND(
ROUND(((TRUNC(($AN199+0.01)*3/13,0)+0.99)*VLOOKUP((TRUNC(($AN199+0.01)*3/13,0)+0.99),'Tax scales - NAT 1004'!$A$12:$C$18,2,1)-VLOOKUP((TRUNC(($AN199+0.01)*3/13,0)+0.99),'Tax scales - NAT 1004'!$A$12:$C$18,3,1)),0)
*13/3,
0),
IF($E$2="Monthly",
ROUND(
ROUND(((TRUNC($AN199*3/13,0)+0.99)*VLOOKUP((TRUNC($AN199*3/13,0)+0.99),'Tax scales - NAT 1004'!$A$12:$C$18,2,1)-VLOOKUP((TRUNC($AN199*3/13,0)+0.99),'Tax scales - NAT 1004'!$A$12:$C$18,3,1)),0)
*13/3,
0),
""))),
""),
"")</f>
        <v/>
      </c>
      <c r="AP199" s="118" t="str">
        <f>IFERROR(
IF(VLOOKUP($C199,'Employee information'!$B:$M,COLUMNS('Employee information'!$B:$M),0)=2,
IF($E$2="Fortnightly",
ROUND(
ROUND((((TRUNC($AN199/2,0)+0.99))*VLOOKUP((TRUNC($AN199/2,0)+0.99),'Tax scales - NAT 1004'!$A$25:$C$33,2,1)-VLOOKUP((TRUNC($AN199/2,0)+0.99),'Tax scales - NAT 1004'!$A$25:$C$33,3,1)),0)
*2,
0),
IF(AND($E$2="Monthly",ROUND($AN199-TRUNC($AN199),2)=0.33),
ROUND(
ROUND(((TRUNC(($AN199+0.01)*3/13,0)+0.99)*VLOOKUP((TRUNC(($AN199+0.01)*3/13,0)+0.99),'Tax scales - NAT 1004'!$A$25:$C$33,2,1)-VLOOKUP((TRUNC(($AN199+0.01)*3/13,0)+0.99),'Tax scales - NAT 1004'!$A$25:$C$33,3,1)),0)
*13/3,
0),
IF($E$2="Monthly",
ROUND(
ROUND(((TRUNC($AN199*3/13,0)+0.99)*VLOOKUP((TRUNC($AN199*3/13,0)+0.99),'Tax scales - NAT 1004'!$A$25:$C$33,2,1)-VLOOKUP((TRUNC($AN199*3/13,0)+0.99),'Tax scales - NAT 1004'!$A$25:$C$33,3,1)),0)
*13/3,
0),
""))),
""),
"")</f>
        <v/>
      </c>
      <c r="AQ199" s="118" t="str">
        <f>IFERROR(
IF(VLOOKUP($C199,'Employee information'!$B:$M,COLUMNS('Employee information'!$B:$M),0)=3,
IF($E$2="Fortnightly",
ROUND(
ROUND((((TRUNC($AN199/2,0)+0.99))*VLOOKUP((TRUNC($AN199/2,0)+0.99),'Tax scales - NAT 1004'!$A$39:$C$41,2,1)-VLOOKUP((TRUNC($AN199/2,0)+0.99),'Tax scales - NAT 1004'!$A$39:$C$41,3,1)),0)
*2,
0),
IF(AND($E$2="Monthly",ROUND($AN199-TRUNC($AN199),2)=0.33),
ROUND(
ROUND(((TRUNC(($AN199+0.01)*3/13,0)+0.99)*VLOOKUP((TRUNC(($AN199+0.01)*3/13,0)+0.99),'Tax scales - NAT 1004'!$A$39:$C$41,2,1)-VLOOKUP((TRUNC(($AN199+0.01)*3/13,0)+0.99),'Tax scales - NAT 1004'!$A$39:$C$41,3,1)),0)
*13/3,
0),
IF($E$2="Monthly",
ROUND(
ROUND(((TRUNC($AN199*3/13,0)+0.99)*VLOOKUP((TRUNC($AN199*3/13,0)+0.99),'Tax scales - NAT 1004'!$A$39:$C$41,2,1)-VLOOKUP((TRUNC($AN199*3/13,0)+0.99),'Tax scales - NAT 1004'!$A$39:$C$41,3,1)),0)
*13/3,
0),
""))),
""),
"")</f>
        <v/>
      </c>
      <c r="AR199" s="118" t="str">
        <f>IFERROR(
IF(AND(VLOOKUP($C199,'Employee information'!$B:$M,COLUMNS('Employee information'!$B:$M),0)=4,
VLOOKUP($C199,'Employee information'!$B:$J,COLUMNS('Employee information'!$B:$J),0)="Resident"),
TRUNC(TRUNC($AN199)*'Tax scales - NAT 1004'!$B$47),
IF(AND(VLOOKUP($C199,'Employee information'!$B:$M,COLUMNS('Employee information'!$B:$M),0)=4,
VLOOKUP($C199,'Employee information'!$B:$J,COLUMNS('Employee information'!$B:$J),0)="Foreign resident"),
TRUNC(TRUNC($AN199)*'Tax scales - NAT 1004'!$B$48),
"")),
"")</f>
        <v/>
      </c>
      <c r="AS199" s="118" t="str">
        <f>IFERROR(
IF(VLOOKUP($C199,'Employee information'!$B:$M,COLUMNS('Employee information'!$B:$M),0)=5,
IF($E$2="Fortnightly",
ROUND(
ROUND((((TRUNC($AN199/2,0)+0.99))*VLOOKUP((TRUNC($AN199/2,0)+0.99),'Tax scales - NAT 1004'!$A$53:$C$59,2,1)-VLOOKUP((TRUNC($AN199/2,0)+0.99),'Tax scales - NAT 1004'!$A$53:$C$59,3,1)),0)
*2,
0),
IF(AND($E$2="Monthly",ROUND($AN199-TRUNC($AN199),2)=0.33),
ROUND(
ROUND(((TRUNC(($AN199+0.01)*3/13,0)+0.99)*VLOOKUP((TRUNC(($AN199+0.01)*3/13,0)+0.99),'Tax scales - NAT 1004'!$A$53:$C$59,2,1)-VLOOKUP((TRUNC(($AN199+0.01)*3/13,0)+0.99),'Tax scales - NAT 1004'!$A$53:$C$59,3,1)),0)
*13/3,
0),
IF($E$2="Monthly",
ROUND(
ROUND(((TRUNC($AN199*3/13,0)+0.99)*VLOOKUP((TRUNC($AN199*3/13,0)+0.99),'Tax scales - NAT 1004'!$A$53:$C$59,2,1)-VLOOKUP((TRUNC($AN199*3/13,0)+0.99),'Tax scales - NAT 1004'!$A$53:$C$59,3,1)),0)
*13/3,
0),
""))),
""),
"")</f>
        <v/>
      </c>
      <c r="AT199" s="118" t="str">
        <f>IFERROR(
IF(VLOOKUP($C199,'Employee information'!$B:$M,COLUMNS('Employee information'!$B:$M),0)=6,
IF($E$2="Fortnightly",
ROUND(
ROUND((((TRUNC($AN199/2,0)+0.99))*VLOOKUP((TRUNC($AN199/2,0)+0.99),'Tax scales - NAT 1004'!$A$65:$C$73,2,1)-VLOOKUP((TRUNC($AN199/2,0)+0.99),'Tax scales - NAT 1004'!$A$65:$C$73,3,1)),0)
*2,
0),
IF(AND($E$2="Monthly",ROUND($AN199-TRUNC($AN199),2)=0.33),
ROUND(
ROUND(((TRUNC(($AN199+0.01)*3/13,0)+0.99)*VLOOKUP((TRUNC(($AN199+0.01)*3/13,0)+0.99),'Tax scales - NAT 1004'!$A$65:$C$73,2,1)-VLOOKUP((TRUNC(($AN199+0.01)*3/13,0)+0.99),'Tax scales - NAT 1004'!$A$65:$C$73,3,1)),0)
*13/3,
0),
IF($E$2="Monthly",
ROUND(
ROUND(((TRUNC($AN199*3/13,0)+0.99)*VLOOKUP((TRUNC($AN199*3/13,0)+0.99),'Tax scales - NAT 1004'!$A$65:$C$73,2,1)-VLOOKUP((TRUNC($AN199*3/13,0)+0.99),'Tax scales - NAT 1004'!$A$65:$C$73,3,1)),0)
*13/3,
0),
""))),
""),
"")</f>
        <v/>
      </c>
      <c r="AU199" s="118" t="str">
        <f>IFERROR(
IF(VLOOKUP($C199,'Employee information'!$B:$M,COLUMNS('Employee information'!$B:$M),0)=11,
IF($E$2="Fortnightly",
ROUND(
ROUND((((TRUNC($AN199/2,0)+0.99))*VLOOKUP((TRUNC($AN199/2,0)+0.99),'Tax scales - NAT 3539'!$A$14:$C$38,2,1)-VLOOKUP((TRUNC($AN199/2,0)+0.99),'Tax scales - NAT 3539'!$A$14:$C$38,3,1)),0)
*2,
0),
IF(AND($E$2="Monthly",ROUND($AN199-TRUNC($AN199),2)=0.33),
ROUND(
ROUND(((TRUNC(($AN199+0.01)*3/13,0)+0.99)*VLOOKUP((TRUNC(($AN199+0.01)*3/13,0)+0.99),'Tax scales - NAT 3539'!$A$14:$C$38,2,1)-VLOOKUP((TRUNC(($AN199+0.01)*3/13,0)+0.99),'Tax scales - NAT 3539'!$A$14:$C$38,3,1)),0)
*13/3,
0),
IF($E$2="Monthly",
ROUND(
ROUND(((TRUNC($AN199*3/13,0)+0.99)*VLOOKUP((TRUNC($AN199*3/13,0)+0.99),'Tax scales - NAT 3539'!$A$14:$C$38,2,1)-VLOOKUP((TRUNC($AN199*3/13,0)+0.99),'Tax scales - NAT 3539'!$A$14:$C$38,3,1)),0)
*13/3,
0),
""))),
""),
"")</f>
        <v/>
      </c>
      <c r="AV199" s="118" t="str">
        <f>IFERROR(
IF(VLOOKUP($C199,'Employee information'!$B:$M,COLUMNS('Employee information'!$B:$M),0)=22,
IF($E$2="Fortnightly",
ROUND(
ROUND((((TRUNC($AN199/2,0)+0.99))*VLOOKUP((TRUNC($AN199/2,0)+0.99),'Tax scales - NAT 3539'!$A$43:$C$69,2,1)-VLOOKUP((TRUNC($AN199/2,0)+0.99),'Tax scales - NAT 3539'!$A$43:$C$69,3,1)),0)
*2,
0),
IF(AND($E$2="Monthly",ROUND($AN199-TRUNC($AN199),2)=0.33),
ROUND(
ROUND(((TRUNC(($AN199+0.01)*3/13,0)+0.99)*VLOOKUP((TRUNC(($AN199+0.01)*3/13,0)+0.99),'Tax scales - NAT 3539'!$A$43:$C$69,2,1)-VLOOKUP((TRUNC(($AN199+0.01)*3/13,0)+0.99),'Tax scales - NAT 3539'!$A$43:$C$69,3,1)),0)
*13/3,
0),
IF($E$2="Monthly",
ROUND(
ROUND(((TRUNC($AN199*3/13,0)+0.99)*VLOOKUP((TRUNC($AN199*3/13,0)+0.99),'Tax scales - NAT 3539'!$A$43:$C$69,2,1)-VLOOKUP((TRUNC($AN199*3/13,0)+0.99),'Tax scales - NAT 3539'!$A$43:$C$69,3,1)),0)
*13/3,
0),
""))),
""),
"")</f>
        <v/>
      </c>
      <c r="AW199" s="118" t="str">
        <f>IFERROR(
IF(VLOOKUP($C199,'Employee information'!$B:$M,COLUMNS('Employee information'!$B:$M),0)=33,
IF($E$2="Fortnightly",
ROUND(
ROUND((((TRUNC($AN199/2,0)+0.99))*VLOOKUP((TRUNC($AN199/2,0)+0.99),'Tax scales - NAT 3539'!$A$74:$C$94,2,1)-VLOOKUP((TRUNC($AN199/2,0)+0.99),'Tax scales - NAT 3539'!$A$74:$C$94,3,1)),0)
*2,
0),
IF(AND($E$2="Monthly",ROUND($AN199-TRUNC($AN199),2)=0.33),
ROUND(
ROUND(((TRUNC(($AN199+0.01)*3/13,0)+0.99)*VLOOKUP((TRUNC(($AN199+0.01)*3/13,0)+0.99),'Tax scales - NAT 3539'!$A$74:$C$94,2,1)-VLOOKUP((TRUNC(($AN199+0.01)*3/13,0)+0.99),'Tax scales - NAT 3539'!$A$74:$C$94,3,1)),0)
*13/3,
0),
IF($E$2="Monthly",
ROUND(
ROUND(((TRUNC($AN199*3/13,0)+0.99)*VLOOKUP((TRUNC($AN199*3/13,0)+0.99),'Tax scales - NAT 3539'!$A$74:$C$94,2,1)-VLOOKUP((TRUNC($AN199*3/13,0)+0.99),'Tax scales - NAT 3539'!$A$74:$C$94,3,1)),0)
*13/3,
0),
""))),
""),
"")</f>
        <v/>
      </c>
      <c r="AX199" s="118" t="str">
        <f>IFERROR(
IF(VLOOKUP($C199,'Employee information'!$B:$M,COLUMNS('Employee information'!$B:$M),0)=55,
IF($E$2="Fortnightly",
ROUND(
ROUND((((TRUNC($AN199/2,0)+0.99))*VLOOKUP((TRUNC($AN199/2,0)+0.99),'Tax scales - NAT 3539'!$A$99:$C$123,2,1)-VLOOKUP((TRUNC($AN199/2,0)+0.99),'Tax scales - NAT 3539'!$A$99:$C$123,3,1)),0)
*2,
0),
IF(AND($E$2="Monthly",ROUND($AN199-TRUNC($AN199),2)=0.33),
ROUND(
ROUND(((TRUNC(($AN199+0.01)*3/13,0)+0.99)*VLOOKUP((TRUNC(($AN199+0.01)*3/13,0)+0.99),'Tax scales - NAT 3539'!$A$99:$C$123,2,1)-VLOOKUP((TRUNC(($AN199+0.01)*3/13,0)+0.99),'Tax scales - NAT 3539'!$A$99:$C$123,3,1)),0)
*13/3,
0),
IF($E$2="Monthly",
ROUND(
ROUND(((TRUNC($AN199*3/13,0)+0.99)*VLOOKUP((TRUNC($AN199*3/13,0)+0.99),'Tax scales - NAT 3539'!$A$99:$C$123,2,1)-VLOOKUP((TRUNC($AN199*3/13,0)+0.99),'Tax scales - NAT 3539'!$A$99:$C$123,3,1)),0)
*13/3,
0),
""))),
""),
"")</f>
        <v/>
      </c>
      <c r="AY199" s="118" t="str">
        <f>IFERROR(
IF(VLOOKUP($C199,'Employee information'!$B:$M,COLUMNS('Employee information'!$B:$M),0)=66,
IF($E$2="Fortnightly",
ROUND(
ROUND((((TRUNC($AN199/2,0)+0.99))*VLOOKUP((TRUNC($AN199/2,0)+0.99),'Tax scales - NAT 3539'!$A$127:$C$154,2,1)-VLOOKUP((TRUNC($AN199/2,0)+0.99),'Tax scales - NAT 3539'!$A$127:$C$154,3,1)),0)
*2,
0),
IF(AND($E$2="Monthly",ROUND($AN199-TRUNC($AN199),2)=0.33),
ROUND(
ROUND(((TRUNC(($AN199+0.01)*3/13,0)+0.99)*VLOOKUP((TRUNC(($AN199+0.01)*3/13,0)+0.99),'Tax scales - NAT 3539'!$A$127:$C$154,2,1)-VLOOKUP((TRUNC(($AN199+0.01)*3/13,0)+0.99),'Tax scales - NAT 3539'!$A$127:$C$154,3,1)),0)
*13/3,
0),
IF($E$2="Monthly",
ROUND(
ROUND(((TRUNC($AN199*3/13,0)+0.99)*VLOOKUP((TRUNC($AN199*3/13,0)+0.99),'Tax scales - NAT 3539'!$A$127:$C$154,2,1)-VLOOKUP((TRUNC($AN199*3/13,0)+0.99),'Tax scales - NAT 3539'!$A$127:$C$154,3,1)),0)
*13/3,
0),
""))),
""),
"")</f>
        <v/>
      </c>
      <c r="AZ199" s="118">
        <f>IFERROR(
HLOOKUP(VLOOKUP($C199,'Employee information'!$B:$M,COLUMNS('Employee information'!$B:$M),0),'PAYG worksheet'!$AO$184:$AY$203,COUNTA($C$185:$C199)+1,0),
0)</f>
        <v>0</v>
      </c>
      <c r="BA199" s="118"/>
      <c r="BB199" s="118">
        <f t="shared" si="201"/>
        <v>0</v>
      </c>
      <c r="BC199" s="119">
        <f>IFERROR(
IF(OR($AE199=1,$AE199=""),SUM($P199,$AA199,$AC199,$AK199)*VLOOKUP($C199,'Employee information'!$B:$Q,COLUMNS('Employee information'!$B:$H),0),
IF($AE199=0,SUM($P199,$AA199,$AK199)*VLOOKUP($C199,'Employee information'!$B:$Q,COLUMNS('Employee information'!$B:$H),0),
0)),
0)</f>
        <v>0</v>
      </c>
      <c r="BE199" s="114">
        <f t="shared" si="186"/>
        <v>0</v>
      </c>
      <c r="BF199" s="114">
        <f t="shared" si="187"/>
        <v>0</v>
      </c>
      <c r="BG199" s="114">
        <f t="shared" si="188"/>
        <v>0</v>
      </c>
      <c r="BH199" s="114">
        <f t="shared" si="189"/>
        <v>0</v>
      </c>
      <c r="BI199" s="114">
        <f t="shared" si="190"/>
        <v>0</v>
      </c>
      <c r="BJ199" s="114">
        <f t="shared" si="191"/>
        <v>0</v>
      </c>
      <c r="BK199" s="114">
        <f t="shared" si="192"/>
        <v>0</v>
      </c>
      <c r="BL199" s="114">
        <f t="shared" si="202"/>
        <v>0</v>
      </c>
      <c r="BM199" s="114">
        <f t="shared" si="193"/>
        <v>0</v>
      </c>
    </row>
    <row r="200" spans="1:65" x14ac:dyDescent="0.25">
      <c r="A200" s="228">
        <f t="shared" si="181"/>
        <v>7</v>
      </c>
      <c r="C200" s="278"/>
      <c r="E200" s="103">
        <f>IF($C200="",0,
IF(AND($E$2="Monthly",$A200&gt;12),0,
IF($E$2="Monthly",VLOOKUP($C200,'Employee information'!$B:$AM,COLUMNS('Employee information'!$B:S),0),
IF($E$2="Fortnightly",VLOOKUP($C200,'Employee information'!$B:$AM,COLUMNS('Employee information'!$B:R),0),
0))))</f>
        <v>0</v>
      </c>
      <c r="F200" s="106"/>
      <c r="G200" s="106"/>
      <c r="H200" s="106"/>
      <c r="I200" s="106"/>
      <c r="J200" s="103">
        <f t="shared" si="194"/>
        <v>0</v>
      </c>
      <c r="L200" s="113">
        <f>IF(AND($E$2="Monthly",$A200&gt;12),"",
IFERROR($J200*VLOOKUP($C200,'Employee information'!$B:$AI,COLUMNS('Employee information'!$B:$P),0),0))</f>
        <v>0</v>
      </c>
      <c r="M200" s="114">
        <f t="shared" si="195"/>
        <v>0</v>
      </c>
      <c r="O200" s="103">
        <f t="shared" si="196"/>
        <v>0</v>
      </c>
      <c r="P200" s="113">
        <f>IFERROR(
IF(AND($E$2="Monthly",$A200&gt;12),0,
$O200*VLOOKUP($C200,'Employee information'!$B:$AI,COLUMNS('Employee information'!$B:$P),0)),
0)</f>
        <v>0</v>
      </c>
      <c r="R200" s="114">
        <f t="shared" si="182"/>
        <v>0</v>
      </c>
      <c r="T200" s="103"/>
      <c r="U200" s="103"/>
      <c r="V200" s="282" t="str">
        <f>IF($C200="","",
IF(AND($E$2="Monthly",$A200&gt;12),"",
$T200*VLOOKUP($C200,'Employee information'!$B:$P,COLUMNS('Employee information'!$B:$P),0)))</f>
        <v/>
      </c>
      <c r="W200" s="282" t="str">
        <f>IF($C200="","",
IF(AND($E$2="Monthly",$A200&gt;12),"",
$U200*VLOOKUP($C200,'Employee information'!$B:$P,COLUMNS('Employee information'!$B:$P),0)))</f>
        <v/>
      </c>
      <c r="X200" s="114">
        <f t="shared" si="183"/>
        <v>0</v>
      </c>
      <c r="Y200" s="114">
        <f t="shared" si="184"/>
        <v>0</v>
      </c>
      <c r="AA200" s="118">
        <f>IFERROR(
IF(OR('Basic payroll data'!$D$12="",'Basic payroll data'!$D$12="No"),0,
$T200*VLOOKUP($C200,'Employee information'!$B:$P,COLUMNS('Employee information'!$B:$P),0)*AL_loading_perc),
0)</f>
        <v>0</v>
      </c>
      <c r="AC200" s="118"/>
      <c r="AD200" s="118"/>
      <c r="AE200" s="283" t="str">
        <f t="shared" si="197"/>
        <v/>
      </c>
      <c r="AF200" s="283" t="str">
        <f t="shared" si="198"/>
        <v/>
      </c>
      <c r="AG200" s="118"/>
      <c r="AH200" s="118"/>
      <c r="AI200" s="283" t="str">
        <f t="shared" si="199"/>
        <v/>
      </c>
      <c r="AJ200" s="118"/>
      <c r="AK200" s="118"/>
      <c r="AM200" s="118">
        <f t="shared" si="200"/>
        <v>0</v>
      </c>
      <c r="AN200" s="118">
        <f t="shared" si="185"/>
        <v>0</v>
      </c>
      <c r="AO200" s="118" t="str">
        <f>IFERROR(
IF(VLOOKUP($C200,'Employee information'!$B:$M,COLUMNS('Employee information'!$B:$M),0)=1,
IF($E$2="Fortnightly",
ROUND(
ROUND((((TRUNC($AN200/2,0)+0.99))*VLOOKUP((TRUNC($AN200/2,0)+0.99),'Tax scales - NAT 1004'!$A$12:$C$18,2,1)-VLOOKUP((TRUNC($AN200/2,0)+0.99),'Tax scales - NAT 1004'!$A$12:$C$18,3,1)),0)
*2,
0),
IF(AND($E$2="Monthly",ROUND($AN200-TRUNC($AN200),2)=0.33),
ROUND(
ROUND(((TRUNC(($AN200+0.01)*3/13,0)+0.99)*VLOOKUP((TRUNC(($AN200+0.01)*3/13,0)+0.99),'Tax scales - NAT 1004'!$A$12:$C$18,2,1)-VLOOKUP((TRUNC(($AN200+0.01)*3/13,0)+0.99),'Tax scales - NAT 1004'!$A$12:$C$18,3,1)),0)
*13/3,
0),
IF($E$2="Monthly",
ROUND(
ROUND(((TRUNC($AN200*3/13,0)+0.99)*VLOOKUP((TRUNC($AN200*3/13,0)+0.99),'Tax scales - NAT 1004'!$A$12:$C$18,2,1)-VLOOKUP((TRUNC($AN200*3/13,0)+0.99),'Tax scales - NAT 1004'!$A$12:$C$18,3,1)),0)
*13/3,
0),
""))),
""),
"")</f>
        <v/>
      </c>
      <c r="AP200" s="118" t="str">
        <f>IFERROR(
IF(VLOOKUP($C200,'Employee information'!$B:$M,COLUMNS('Employee information'!$B:$M),0)=2,
IF($E$2="Fortnightly",
ROUND(
ROUND((((TRUNC($AN200/2,0)+0.99))*VLOOKUP((TRUNC($AN200/2,0)+0.99),'Tax scales - NAT 1004'!$A$25:$C$33,2,1)-VLOOKUP((TRUNC($AN200/2,0)+0.99),'Tax scales - NAT 1004'!$A$25:$C$33,3,1)),0)
*2,
0),
IF(AND($E$2="Monthly",ROUND($AN200-TRUNC($AN200),2)=0.33),
ROUND(
ROUND(((TRUNC(($AN200+0.01)*3/13,0)+0.99)*VLOOKUP((TRUNC(($AN200+0.01)*3/13,0)+0.99),'Tax scales - NAT 1004'!$A$25:$C$33,2,1)-VLOOKUP((TRUNC(($AN200+0.01)*3/13,0)+0.99),'Tax scales - NAT 1004'!$A$25:$C$33,3,1)),0)
*13/3,
0),
IF($E$2="Monthly",
ROUND(
ROUND(((TRUNC($AN200*3/13,0)+0.99)*VLOOKUP((TRUNC($AN200*3/13,0)+0.99),'Tax scales - NAT 1004'!$A$25:$C$33,2,1)-VLOOKUP((TRUNC($AN200*3/13,0)+0.99),'Tax scales - NAT 1004'!$A$25:$C$33,3,1)),0)
*13/3,
0),
""))),
""),
"")</f>
        <v/>
      </c>
      <c r="AQ200" s="118" t="str">
        <f>IFERROR(
IF(VLOOKUP($C200,'Employee information'!$B:$M,COLUMNS('Employee information'!$B:$M),0)=3,
IF($E$2="Fortnightly",
ROUND(
ROUND((((TRUNC($AN200/2,0)+0.99))*VLOOKUP((TRUNC($AN200/2,0)+0.99),'Tax scales - NAT 1004'!$A$39:$C$41,2,1)-VLOOKUP((TRUNC($AN200/2,0)+0.99),'Tax scales - NAT 1004'!$A$39:$C$41,3,1)),0)
*2,
0),
IF(AND($E$2="Monthly",ROUND($AN200-TRUNC($AN200),2)=0.33),
ROUND(
ROUND(((TRUNC(($AN200+0.01)*3/13,0)+0.99)*VLOOKUP((TRUNC(($AN200+0.01)*3/13,0)+0.99),'Tax scales - NAT 1004'!$A$39:$C$41,2,1)-VLOOKUP((TRUNC(($AN200+0.01)*3/13,0)+0.99),'Tax scales - NAT 1004'!$A$39:$C$41,3,1)),0)
*13/3,
0),
IF($E$2="Monthly",
ROUND(
ROUND(((TRUNC($AN200*3/13,0)+0.99)*VLOOKUP((TRUNC($AN200*3/13,0)+0.99),'Tax scales - NAT 1004'!$A$39:$C$41,2,1)-VLOOKUP((TRUNC($AN200*3/13,0)+0.99),'Tax scales - NAT 1004'!$A$39:$C$41,3,1)),0)
*13/3,
0),
""))),
""),
"")</f>
        <v/>
      </c>
      <c r="AR200" s="118" t="str">
        <f>IFERROR(
IF(AND(VLOOKUP($C200,'Employee information'!$B:$M,COLUMNS('Employee information'!$B:$M),0)=4,
VLOOKUP($C200,'Employee information'!$B:$J,COLUMNS('Employee information'!$B:$J),0)="Resident"),
TRUNC(TRUNC($AN200)*'Tax scales - NAT 1004'!$B$47),
IF(AND(VLOOKUP($C200,'Employee information'!$B:$M,COLUMNS('Employee information'!$B:$M),0)=4,
VLOOKUP($C200,'Employee information'!$B:$J,COLUMNS('Employee information'!$B:$J),0)="Foreign resident"),
TRUNC(TRUNC($AN200)*'Tax scales - NAT 1004'!$B$48),
"")),
"")</f>
        <v/>
      </c>
      <c r="AS200" s="118" t="str">
        <f>IFERROR(
IF(VLOOKUP($C200,'Employee information'!$B:$M,COLUMNS('Employee information'!$B:$M),0)=5,
IF($E$2="Fortnightly",
ROUND(
ROUND((((TRUNC($AN200/2,0)+0.99))*VLOOKUP((TRUNC($AN200/2,0)+0.99),'Tax scales - NAT 1004'!$A$53:$C$59,2,1)-VLOOKUP((TRUNC($AN200/2,0)+0.99),'Tax scales - NAT 1004'!$A$53:$C$59,3,1)),0)
*2,
0),
IF(AND($E$2="Monthly",ROUND($AN200-TRUNC($AN200),2)=0.33),
ROUND(
ROUND(((TRUNC(($AN200+0.01)*3/13,0)+0.99)*VLOOKUP((TRUNC(($AN200+0.01)*3/13,0)+0.99),'Tax scales - NAT 1004'!$A$53:$C$59,2,1)-VLOOKUP((TRUNC(($AN200+0.01)*3/13,0)+0.99),'Tax scales - NAT 1004'!$A$53:$C$59,3,1)),0)
*13/3,
0),
IF($E$2="Monthly",
ROUND(
ROUND(((TRUNC($AN200*3/13,0)+0.99)*VLOOKUP((TRUNC($AN200*3/13,0)+0.99),'Tax scales - NAT 1004'!$A$53:$C$59,2,1)-VLOOKUP((TRUNC($AN200*3/13,0)+0.99),'Tax scales - NAT 1004'!$A$53:$C$59,3,1)),0)
*13/3,
0),
""))),
""),
"")</f>
        <v/>
      </c>
      <c r="AT200" s="118" t="str">
        <f>IFERROR(
IF(VLOOKUP($C200,'Employee information'!$B:$M,COLUMNS('Employee information'!$B:$M),0)=6,
IF($E$2="Fortnightly",
ROUND(
ROUND((((TRUNC($AN200/2,0)+0.99))*VLOOKUP((TRUNC($AN200/2,0)+0.99),'Tax scales - NAT 1004'!$A$65:$C$73,2,1)-VLOOKUP((TRUNC($AN200/2,0)+0.99),'Tax scales - NAT 1004'!$A$65:$C$73,3,1)),0)
*2,
0),
IF(AND($E$2="Monthly",ROUND($AN200-TRUNC($AN200),2)=0.33),
ROUND(
ROUND(((TRUNC(($AN200+0.01)*3/13,0)+0.99)*VLOOKUP((TRUNC(($AN200+0.01)*3/13,0)+0.99),'Tax scales - NAT 1004'!$A$65:$C$73,2,1)-VLOOKUP((TRUNC(($AN200+0.01)*3/13,0)+0.99),'Tax scales - NAT 1004'!$A$65:$C$73,3,1)),0)
*13/3,
0),
IF($E$2="Monthly",
ROUND(
ROUND(((TRUNC($AN200*3/13,0)+0.99)*VLOOKUP((TRUNC($AN200*3/13,0)+0.99),'Tax scales - NAT 1004'!$A$65:$C$73,2,1)-VLOOKUP((TRUNC($AN200*3/13,0)+0.99),'Tax scales - NAT 1004'!$A$65:$C$73,3,1)),0)
*13/3,
0),
""))),
""),
"")</f>
        <v/>
      </c>
      <c r="AU200" s="118" t="str">
        <f>IFERROR(
IF(VLOOKUP($C200,'Employee information'!$B:$M,COLUMNS('Employee information'!$B:$M),0)=11,
IF($E$2="Fortnightly",
ROUND(
ROUND((((TRUNC($AN200/2,0)+0.99))*VLOOKUP((TRUNC($AN200/2,0)+0.99),'Tax scales - NAT 3539'!$A$14:$C$38,2,1)-VLOOKUP((TRUNC($AN200/2,0)+0.99),'Tax scales - NAT 3539'!$A$14:$C$38,3,1)),0)
*2,
0),
IF(AND($E$2="Monthly",ROUND($AN200-TRUNC($AN200),2)=0.33),
ROUND(
ROUND(((TRUNC(($AN200+0.01)*3/13,0)+0.99)*VLOOKUP((TRUNC(($AN200+0.01)*3/13,0)+0.99),'Tax scales - NAT 3539'!$A$14:$C$38,2,1)-VLOOKUP((TRUNC(($AN200+0.01)*3/13,0)+0.99),'Tax scales - NAT 3539'!$A$14:$C$38,3,1)),0)
*13/3,
0),
IF($E$2="Monthly",
ROUND(
ROUND(((TRUNC($AN200*3/13,0)+0.99)*VLOOKUP((TRUNC($AN200*3/13,0)+0.99),'Tax scales - NAT 3539'!$A$14:$C$38,2,1)-VLOOKUP((TRUNC($AN200*3/13,0)+0.99),'Tax scales - NAT 3539'!$A$14:$C$38,3,1)),0)
*13/3,
0),
""))),
""),
"")</f>
        <v/>
      </c>
      <c r="AV200" s="118" t="str">
        <f>IFERROR(
IF(VLOOKUP($C200,'Employee information'!$B:$M,COLUMNS('Employee information'!$B:$M),0)=22,
IF($E$2="Fortnightly",
ROUND(
ROUND((((TRUNC($AN200/2,0)+0.99))*VLOOKUP((TRUNC($AN200/2,0)+0.99),'Tax scales - NAT 3539'!$A$43:$C$69,2,1)-VLOOKUP((TRUNC($AN200/2,0)+0.99),'Tax scales - NAT 3539'!$A$43:$C$69,3,1)),0)
*2,
0),
IF(AND($E$2="Monthly",ROUND($AN200-TRUNC($AN200),2)=0.33),
ROUND(
ROUND(((TRUNC(($AN200+0.01)*3/13,0)+0.99)*VLOOKUP((TRUNC(($AN200+0.01)*3/13,0)+0.99),'Tax scales - NAT 3539'!$A$43:$C$69,2,1)-VLOOKUP((TRUNC(($AN200+0.01)*3/13,0)+0.99),'Tax scales - NAT 3539'!$A$43:$C$69,3,1)),0)
*13/3,
0),
IF($E$2="Monthly",
ROUND(
ROUND(((TRUNC($AN200*3/13,0)+0.99)*VLOOKUP((TRUNC($AN200*3/13,0)+0.99),'Tax scales - NAT 3539'!$A$43:$C$69,2,1)-VLOOKUP((TRUNC($AN200*3/13,0)+0.99),'Tax scales - NAT 3539'!$A$43:$C$69,3,1)),0)
*13/3,
0),
""))),
""),
"")</f>
        <v/>
      </c>
      <c r="AW200" s="118" t="str">
        <f>IFERROR(
IF(VLOOKUP($C200,'Employee information'!$B:$M,COLUMNS('Employee information'!$B:$M),0)=33,
IF($E$2="Fortnightly",
ROUND(
ROUND((((TRUNC($AN200/2,0)+0.99))*VLOOKUP((TRUNC($AN200/2,0)+0.99),'Tax scales - NAT 3539'!$A$74:$C$94,2,1)-VLOOKUP((TRUNC($AN200/2,0)+0.99),'Tax scales - NAT 3539'!$A$74:$C$94,3,1)),0)
*2,
0),
IF(AND($E$2="Monthly",ROUND($AN200-TRUNC($AN200),2)=0.33),
ROUND(
ROUND(((TRUNC(($AN200+0.01)*3/13,0)+0.99)*VLOOKUP((TRUNC(($AN200+0.01)*3/13,0)+0.99),'Tax scales - NAT 3539'!$A$74:$C$94,2,1)-VLOOKUP((TRUNC(($AN200+0.01)*3/13,0)+0.99),'Tax scales - NAT 3539'!$A$74:$C$94,3,1)),0)
*13/3,
0),
IF($E$2="Monthly",
ROUND(
ROUND(((TRUNC($AN200*3/13,0)+0.99)*VLOOKUP((TRUNC($AN200*3/13,0)+0.99),'Tax scales - NAT 3539'!$A$74:$C$94,2,1)-VLOOKUP((TRUNC($AN200*3/13,0)+0.99),'Tax scales - NAT 3539'!$A$74:$C$94,3,1)),0)
*13/3,
0),
""))),
""),
"")</f>
        <v/>
      </c>
      <c r="AX200" s="118" t="str">
        <f>IFERROR(
IF(VLOOKUP($C200,'Employee information'!$B:$M,COLUMNS('Employee information'!$B:$M),0)=55,
IF($E$2="Fortnightly",
ROUND(
ROUND((((TRUNC($AN200/2,0)+0.99))*VLOOKUP((TRUNC($AN200/2,0)+0.99),'Tax scales - NAT 3539'!$A$99:$C$123,2,1)-VLOOKUP((TRUNC($AN200/2,0)+0.99),'Tax scales - NAT 3539'!$A$99:$C$123,3,1)),0)
*2,
0),
IF(AND($E$2="Monthly",ROUND($AN200-TRUNC($AN200),2)=0.33),
ROUND(
ROUND(((TRUNC(($AN200+0.01)*3/13,0)+0.99)*VLOOKUP((TRUNC(($AN200+0.01)*3/13,0)+0.99),'Tax scales - NAT 3539'!$A$99:$C$123,2,1)-VLOOKUP((TRUNC(($AN200+0.01)*3/13,0)+0.99),'Tax scales - NAT 3539'!$A$99:$C$123,3,1)),0)
*13/3,
0),
IF($E$2="Monthly",
ROUND(
ROUND(((TRUNC($AN200*3/13,0)+0.99)*VLOOKUP((TRUNC($AN200*3/13,0)+0.99),'Tax scales - NAT 3539'!$A$99:$C$123,2,1)-VLOOKUP((TRUNC($AN200*3/13,0)+0.99),'Tax scales - NAT 3539'!$A$99:$C$123,3,1)),0)
*13/3,
0),
""))),
""),
"")</f>
        <v/>
      </c>
      <c r="AY200" s="118" t="str">
        <f>IFERROR(
IF(VLOOKUP($C200,'Employee information'!$B:$M,COLUMNS('Employee information'!$B:$M),0)=66,
IF($E$2="Fortnightly",
ROUND(
ROUND((((TRUNC($AN200/2,0)+0.99))*VLOOKUP((TRUNC($AN200/2,0)+0.99),'Tax scales - NAT 3539'!$A$127:$C$154,2,1)-VLOOKUP((TRUNC($AN200/2,0)+0.99),'Tax scales - NAT 3539'!$A$127:$C$154,3,1)),0)
*2,
0),
IF(AND($E$2="Monthly",ROUND($AN200-TRUNC($AN200),2)=0.33),
ROUND(
ROUND(((TRUNC(($AN200+0.01)*3/13,0)+0.99)*VLOOKUP((TRUNC(($AN200+0.01)*3/13,0)+0.99),'Tax scales - NAT 3539'!$A$127:$C$154,2,1)-VLOOKUP((TRUNC(($AN200+0.01)*3/13,0)+0.99),'Tax scales - NAT 3539'!$A$127:$C$154,3,1)),0)
*13/3,
0),
IF($E$2="Monthly",
ROUND(
ROUND(((TRUNC($AN200*3/13,0)+0.99)*VLOOKUP((TRUNC($AN200*3/13,0)+0.99),'Tax scales - NAT 3539'!$A$127:$C$154,2,1)-VLOOKUP((TRUNC($AN200*3/13,0)+0.99),'Tax scales - NAT 3539'!$A$127:$C$154,3,1)),0)
*13/3,
0),
""))),
""),
"")</f>
        <v/>
      </c>
      <c r="AZ200" s="118">
        <f>IFERROR(
HLOOKUP(VLOOKUP($C200,'Employee information'!$B:$M,COLUMNS('Employee information'!$B:$M),0),'PAYG worksheet'!$AO$184:$AY$203,COUNTA($C$185:$C200)+1,0),
0)</f>
        <v>0</v>
      </c>
      <c r="BA200" s="118"/>
      <c r="BB200" s="118">
        <f t="shared" si="201"/>
        <v>0</v>
      </c>
      <c r="BC200" s="119">
        <f>IFERROR(
IF(OR($AE200=1,$AE200=""),SUM($P200,$AA200,$AC200,$AK200)*VLOOKUP($C200,'Employee information'!$B:$Q,COLUMNS('Employee information'!$B:$H),0),
IF($AE200=0,SUM($P200,$AA200,$AK200)*VLOOKUP($C200,'Employee information'!$B:$Q,COLUMNS('Employee information'!$B:$H),0),
0)),
0)</f>
        <v>0</v>
      </c>
      <c r="BE200" s="114">
        <f t="shared" si="186"/>
        <v>0</v>
      </c>
      <c r="BF200" s="114">
        <f t="shared" si="187"/>
        <v>0</v>
      </c>
      <c r="BG200" s="114">
        <f t="shared" si="188"/>
        <v>0</v>
      </c>
      <c r="BH200" s="114">
        <f t="shared" si="189"/>
        <v>0</v>
      </c>
      <c r="BI200" s="114">
        <f t="shared" si="190"/>
        <v>0</v>
      </c>
      <c r="BJ200" s="114">
        <f t="shared" si="191"/>
        <v>0</v>
      </c>
      <c r="BK200" s="114">
        <f t="shared" si="192"/>
        <v>0</v>
      </c>
      <c r="BL200" s="114">
        <f t="shared" si="202"/>
        <v>0</v>
      </c>
      <c r="BM200" s="114">
        <f t="shared" si="193"/>
        <v>0</v>
      </c>
    </row>
    <row r="201" spans="1:65" x14ac:dyDescent="0.25">
      <c r="A201" s="228">
        <f t="shared" si="181"/>
        <v>7</v>
      </c>
      <c r="C201" s="278"/>
      <c r="E201" s="103">
        <f>IF($C201="",0,
IF(AND($E$2="Monthly",$A201&gt;12),0,
IF($E$2="Monthly",VLOOKUP($C201,'Employee information'!$B:$AM,COLUMNS('Employee information'!$B:S),0),
IF($E$2="Fortnightly",VLOOKUP($C201,'Employee information'!$B:$AM,COLUMNS('Employee information'!$B:R),0),
0))))</f>
        <v>0</v>
      </c>
      <c r="F201" s="106"/>
      <c r="G201" s="106"/>
      <c r="H201" s="106"/>
      <c r="I201" s="106"/>
      <c r="J201" s="103">
        <f t="shared" si="194"/>
        <v>0</v>
      </c>
      <c r="L201" s="113">
        <f>IF(AND($E$2="Monthly",$A201&gt;12),"",
IFERROR($J201*VLOOKUP($C201,'Employee information'!$B:$AI,COLUMNS('Employee information'!$B:$P),0),0))</f>
        <v>0</v>
      </c>
      <c r="M201" s="114">
        <f t="shared" si="195"/>
        <v>0</v>
      </c>
      <c r="O201" s="103">
        <f t="shared" si="196"/>
        <v>0</v>
      </c>
      <c r="P201" s="113">
        <f>IFERROR(
IF(AND($E$2="Monthly",$A201&gt;12),0,
$O201*VLOOKUP($C201,'Employee information'!$B:$AI,COLUMNS('Employee information'!$B:$P),0)),
0)</f>
        <v>0</v>
      </c>
      <c r="R201" s="114">
        <f t="shared" si="182"/>
        <v>0</v>
      </c>
      <c r="T201" s="103"/>
      <c r="U201" s="103"/>
      <c r="V201" s="282" t="str">
        <f>IF($C201="","",
IF(AND($E$2="Monthly",$A201&gt;12),"",
$T201*VLOOKUP($C201,'Employee information'!$B:$P,COLUMNS('Employee information'!$B:$P),0)))</f>
        <v/>
      </c>
      <c r="W201" s="282" t="str">
        <f>IF($C201="","",
IF(AND($E$2="Monthly",$A201&gt;12),"",
$U201*VLOOKUP($C201,'Employee information'!$B:$P,COLUMNS('Employee information'!$B:$P),0)))</f>
        <v/>
      </c>
      <c r="X201" s="114">
        <f t="shared" si="183"/>
        <v>0</v>
      </c>
      <c r="Y201" s="114">
        <f t="shared" si="184"/>
        <v>0</v>
      </c>
      <c r="AA201" s="118">
        <f>IFERROR(
IF(OR('Basic payroll data'!$D$12="",'Basic payroll data'!$D$12="No"),0,
$T201*VLOOKUP($C201,'Employee information'!$B:$P,COLUMNS('Employee information'!$B:$P),0)*AL_loading_perc),
0)</f>
        <v>0</v>
      </c>
      <c r="AC201" s="118"/>
      <c r="AD201" s="118"/>
      <c r="AE201" s="283" t="str">
        <f t="shared" si="197"/>
        <v/>
      </c>
      <c r="AF201" s="283" t="str">
        <f t="shared" si="198"/>
        <v/>
      </c>
      <c r="AG201" s="118"/>
      <c r="AH201" s="118"/>
      <c r="AI201" s="283" t="str">
        <f t="shared" si="199"/>
        <v/>
      </c>
      <c r="AJ201" s="118"/>
      <c r="AK201" s="118"/>
      <c r="AM201" s="118">
        <f t="shared" si="200"/>
        <v>0</v>
      </c>
      <c r="AN201" s="118">
        <f t="shared" si="185"/>
        <v>0</v>
      </c>
      <c r="AO201" s="118" t="str">
        <f>IFERROR(
IF(VLOOKUP($C201,'Employee information'!$B:$M,COLUMNS('Employee information'!$B:$M),0)=1,
IF($E$2="Fortnightly",
ROUND(
ROUND((((TRUNC($AN201/2,0)+0.99))*VLOOKUP((TRUNC($AN201/2,0)+0.99),'Tax scales - NAT 1004'!$A$12:$C$18,2,1)-VLOOKUP((TRUNC($AN201/2,0)+0.99),'Tax scales - NAT 1004'!$A$12:$C$18,3,1)),0)
*2,
0),
IF(AND($E$2="Monthly",ROUND($AN201-TRUNC($AN201),2)=0.33),
ROUND(
ROUND(((TRUNC(($AN201+0.01)*3/13,0)+0.99)*VLOOKUP((TRUNC(($AN201+0.01)*3/13,0)+0.99),'Tax scales - NAT 1004'!$A$12:$C$18,2,1)-VLOOKUP((TRUNC(($AN201+0.01)*3/13,0)+0.99),'Tax scales - NAT 1004'!$A$12:$C$18,3,1)),0)
*13/3,
0),
IF($E$2="Monthly",
ROUND(
ROUND(((TRUNC($AN201*3/13,0)+0.99)*VLOOKUP((TRUNC($AN201*3/13,0)+0.99),'Tax scales - NAT 1004'!$A$12:$C$18,2,1)-VLOOKUP((TRUNC($AN201*3/13,0)+0.99),'Tax scales - NAT 1004'!$A$12:$C$18,3,1)),0)
*13/3,
0),
""))),
""),
"")</f>
        <v/>
      </c>
      <c r="AP201" s="118" t="str">
        <f>IFERROR(
IF(VLOOKUP($C201,'Employee information'!$B:$M,COLUMNS('Employee information'!$B:$M),0)=2,
IF($E$2="Fortnightly",
ROUND(
ROUND((((TRUNC($AN201/2,0)+0.99))*VLOOKUP((TRUNC($AN201/2,0)+0.99),'Tax scales - NAT 1004'!$A$25:$C$33,2,1)-VLOOKUP((TRUNC($AN201/2,0)+0.99),'Tax scales - NAT 1004'!$A$25:$C$33,3,1)),0)
*2,
0),
IF(AND($E$2="Monthly",ROUND($AN201-TRUNC($AN201),2)=0.33),
ROUND(
ROUND(((TRUNC(($AN201+0.01)*3/13,0)+0.99)*VLOOKUP((TRUNC(($AN201+0.01)*3/13,0)+0.99),'Tax scales - NAT 1004'!$A$25:$C$33,2,1)-VLOOKUP((TRUNC(($AN201+0.01)*3/13,0)+0.99),'Tax scales - NAT 1004'!$A$25:$C$33,3,1)),0)
*13/3,
0),
IF($E$2="Monthly",
ROUND(
ROUND(((TRUNC($AN201*3/13,0)+0.99)*VLOOKUP((TRUNC($AN201*3/13,0)+0.99),'Tax scales - NAT 1004'!$A$25:$C$33,2,1)-VLOOKUP((TRUNC($AN201*3/13,0)+0.99),'Tax scales - NAT 1004'!$A$25:$C$33,3,1)),0)
*13/3,
0),
""))),
""),
"")</f>
        <v/>
      </c>
      <c r="AQ201" s="118" t="str">
        <f>IFERROR(
IF(VLOOKUP($C201,'Employee information'!$B:$M,COLUMNS('Employee information'!$B:$M),0)=3,
IF($E$2="Fortnightly",
ROUND(
ROUND((((TRUNC($AN201/2,0)+0.99))*VLOOKUP((TRUNC($AN201/2,0)+0.99),'Tax scales - NAT 1004'!$A$39:$C$41,2,1)-VLOOKUP((TRUNC($AN201/2,0)+0.99),'Tax scales - NAT 1004'!$A$39:$C$41,3,1)),0)
*2,
0),
IF(AND($E$2="Monthly",ROUND($AN201-TRUNC($AN201),2)=0.33),
ROUND(
ROUND(((TRUNC(($AN201+0.01)*3/13,0)+0.99)*VLOOKUP((TRUNC(($AN201+0.01)*3/13,0)+0.99),'Tax scales - NAT 1004'!$A$39:$C$41,2,1)-VLOOKUP((TRUNC(($AN201+0.01)*3/13,0)+0.99),'Tax scales - NAT 1004'!$A$39:$C$41,3,1)),0)
*13/3,
0),
IF($E$2="Monthly",
ROUND(
ROUND(((TRUNC($AN201*3/13,0)+0.99)*VLOOKUP((TRUNC($AN201*3/13,0)+0.99),'Tax scales - NAT 1004'!$A$39:$C$41,2,1)-VLOOKUP((TRUNC($AN201*3/13,0)+0.99),'Tax scales - NAT 1004'!$A$39:$C$41,3,1)),0)
*13/3,
0),
""))),
""),
"")</f>
        <v/>
      </c>
      <c r="AR201" s="118" t="str">
        <f>IFERROR(
IF(AND(VLOOKUP($C201,'Employee information'!$B:$M,COLUMNS('Employee information'!$B:$M),0)=4,
VLOOKUP($C201,'Employee information'!$B:$J,COLUMNS('Employee information'!$B:$J),0)="Resident"),
TRUNC(TRUNC($AN201)*'Tax scales - NAT 1004'!$B$47),
IF(AND(VLOOKUP($C201,'Employee information'!$B:$M,COLUMNS('Employee information'!$B:$M),0)=4,
VLOOKUP($C201,'Employee information'!$B:$J,COLUMNS('Employee information'!$B:$J),0)="Foreign resident"),
TRUNC(TRUNC($AN201)*'Tax scales - NAT 1004'!$B$48),
"")),
"")</f>
        <v/>
      </c>
      <c r="AS201" s="118" t="str">
        <f>IFERROR(
IF(VLOOKUP($C201,'Employee information'!$B:$M,COLUMNS('Employee information'!$B:$M),0)=5,
IF($E$2="Fortnightly",
ROUND(
ROUND((((TRUNC($AN201/2,0)+0.99))*VLOOKUP((TRUNC($AN201/2,0)+0.99),'Tax scales - NAT 1004'!$A$53:$C$59,2,1)-VLOOKUP((TRUNC($AN201/2,0)+0.99),'Tax scales - NAT 1004'!$A$53:$C$59,3,1)),0)
*2,
0),
IF(AND($E$2="Monthly",ROUND($AN201-TRUNC($AN201),2)=0.33),
ROUND(
ROUND(((TRUNC(($AN201+0.01)*3/13,0)+0.99)*VLOOKUP((TRUNC(($AN201+0.01)*3/13,0)+0.99),'Tax scales - NAT 1004'!$A$53:$C$59,2,1)-VLOOKUP((TRUNC(($AN201+0.01)*3/13,0)+0.99),'Tax scales - NAT 1004'!$A$53:$C$59,3,1)),0)
*13/3,
0),
IF($E$2="Monthly",
ROUND(
ROUND(((TRUNC($AN201*3/13,0)+0.99)*VLOOKUP((TRUNC($AN201*3/13,0)+0.99),'Tax scales - NAT 1004'!$A$53:$C$59,2,1)-VLOOKUP((TRUNC($AN201*3/13,0)+0.99),'Tax scales - NAT 1004'!$A$53:$C$59,3,1)),0)
*13/3,
0),
""))),
""),
"")</f>
        <v/>
      </c>
      <c r="AT201" s="118" t="str">
        <f>IFERROR(
IF(VLOOKUP($C201,'Employee information'!$B:$M,COLUMNS('Employee information'!$B:$M),0)=6,
IF($E$2="Fortnightly",
ROUND(
ROUND((((TRUNC($AN201/2,0)+0.99))*VLOOKUP((TRUNC($AN201/2,0)+0.99),'Tax scales - NAT 1004'!$A$65:$C$73,2,1)-VLOOKUP((TRUNC($AN201/2,0)+0.99),'Tax scales - NAT 1004'!$A$65:$C$73,3,1)),0)
*2,
0),
IF(AND($E$2="Monthly",ROUND($AN201-TRUNC($AN201),2)=0.33),
ROUND(
ROUND(((TRUNC(($AN201+0.01)*3/13,0)+0.99)*VLOOKUP((TRUNC(($AN201+0.01)*3/13,0)+0.99),'Tax scales - NAT 1004'!$A$65:$C$73,2,1)-VLOOKUP((TRUNC(($AN201+0.01)*3/13,0)+0.99),'Tax scales - NAT 1004'!$A$65:$C$73,3,1)),0)
*13/3,
0),
IF($E$2="Monthly",
ROUND(
ROUND(((TRUNC($AN201*3/13,0)+0.99)*VLOOKUP((TRUNC($AN201*3/13,0)+0.99),'Tax scales - NAT 1004'!$A$65:$C$73,2,1)-VLOOKUP((TRUNC($AN201*3/13,0)+0.99),'Tax scales - NAT 1004'!$A$65:$C$73,3,1)),0)
*13/3,
0),
""))),
""),
"")</f>
        <v/>
      </c>
      <c r="AU201" s="118" t="str">
        <f>IFERROR(
IF(VLOOKUP($C201,'Employee information'!$B:$M,COLUMNS('Employee information'!$B:$M),0)=11,
IF($E$2="Fortnightly",
ROUND(
ROUND((((TRUNC($AN201/2,0)+0.99))*VLOOKUP((TRUNC($AN201/2,0)+0.99),'Tax scales - NAT 3539'!$A$14:$C$38,2,1)-VLOOKUP((TRUNC($AN201/2,0)+0.99),'Tax scales - NAT 3539'!$A$14:$C$38,3,1)),0)
*2,
0),
IF(AND($E$2="Monthly",ROUND($AN201-TRUNC($AN201),2)=0.33),
ROUND(
ROUND(((TRUNC(($AN201+0.01)*3/13,0)+0.99)*VLOOKUP((TRUNC(($AN201+0.01)*3/13,0)+0.99),'Tax scales - NAT 3539'!$A$14:$C$38,2,1)-VLOOKUP((TRUNC(($AN201+0.01)*3/13,0)+0.99),'Tax scales - NAT 3539'!$A$14:$C$38,3,1)),0)
*13/3,
0),
IF($E$2="Monthly",
ROUND(
ROUND(((TRUNC($AN201*3/13,0)+0.99)*VLOOKUP((TRUNC($AN201*3/13,0)+0.99),'Tax scales - NAT 3539'!$A$14:$C$38,2,1)-VLOOKUP((TRUNC($AN201*3/13,0)+0.99),'Tax scales - NAT 3539'!$A$14:$C$38,3,1)),0)
*13/3,
0),
""))),
""),
"")</f>
        <v/>
      </c>
      <c r="AV201" s="118" t="str">
        <f>IFERROR(
IF(VLOOKUP($C201,'Employee information'!$B:$M,COLUMNS('Employee information'!$B:$M),0)=22,
IF($E$2="Fortnightly",
ROUND(
ROUND((((TRUNC($AN201/2,0)+0.99))*VLOOKUP((TRUNC($AN201/2,0)+0.99),'Tax scales - NAT 3539'!$A$43:$C$69,2,1)-VLOOKUP((TRUNC($AN201/2,0)+0.99),'Tax scales - NAT 3539'!$A$43:$C$69,3,1)),0)
*2,
0),
IF(AND($E$2="Monthly",ROUND($AN201-TRUNC($AN201),2)=0.33),
ROUND(
ROUND(((TRUNC(($AN201+0.01)*3/13,0)+0.99)*VLOOKUP((TRUNC(($AN201+0.01)*3/13,0)+0.99),'Tax scales - NAT 3539'!$A$43:$C$69,2,1)-VLOOKUP((TRUNC(($AN201+0.01)*3/13,0)+0.99),'Tax scales - NAT 3539'!$A$43:$C$69,3,1)),0)
*13/3,
0),
IF($E$2="Monthly",
ROUND(
ROUND(((TRUNC($AN201*3/13,0)+0.99)*VLOOKUP((TRUNC($AN201*3/13,0)+0.99),'Tax scales - NAT 3539'!$A$43:$C$69,2,1)-VLOOKUP((TRUNC($AN201*3/13,0)+0.99),'Tax scales - NAT 3539'!$A$43:$C$69,3,1)),0)
*13/3,
0),
""))),
""),
"")</f>
        <v/>
      </c>
      <c r="AW201" s="118" t="str">
        <f>IFERROR(
IF(VLOOKUP($C201,'Employee information'!$B:$M,COLUMNS('Employee information'!$B:$M),0)=33,
IF($E$2="Fortnightly",
ROUND(
ROUND((((TRUNC($AN201/2,0)+0.99))*VLOOKUP((TRUNC($AN201/2,0)+0.99),'Tax scales - NAT 3539'!$A$74:$C$94,2,1)-VLOOKUP((TRUNC($AN201/2,0)+0.99),'Tax scales - NAT 3539'!$A$74:$C$94,3,1)),0)
*2,
0),
IF(AND($E$2="Monthly",ROUND($AN201-TRUNC($AN201),2)=0.33),
ROUND(
ROUND(((TRUNC(($AN201+0.01)*3/13,0)+0.99)*VLOOKUP((TRUNC(($AN201+0.01)*3/13,0)+0.99),'Tax scales - NAT 3539'!$A$74:$C$94,2,1)-VLOOKUP((TRUNC(($AN201+0.01)*3/13,0)+0.99),'Tax scales - NAT 3539'!$A$74:$C$94,3,1)),0)
*13/3,
0),
IF($E$2="Monthly",
ROUND(
ROUND(((TRUNC($AN201*3/13,0)+0.99)*VLOOKUP((TRUNC($AN201*3/13,0)+0.99),'Tax scales - NAT 3539'!$A$74:$C$94,2,1)-VLOOKUP((TRUNC($AN201*3/13,0)+0.99),'Tax scales - NAT 3539'!$A$74:$C$94,3,1)),0)
*13/3,
0),
""))),
""),
"")</f>
        <v/>
      </c>
      <c r="AX201" s="118" t="str">
        <f>IFERROR(
IF(VLOOKUP($C201,'Employee information'!$B:$M,COLUMNS('Employee information'!$B:$M),0)=55,
IF($E$2="Fortnightly",
ROUND(
ROUND((((TRUNC($AN201/2,0)+0.99))*VLOOKUP((TRUNC($AN201/2,0)+0.99),'Tax scales - NAT 3539'!$A$99:$C$123,2,1)-VLOOKUP((TRUNC($AN201/2,0)+0.99),'Tax scales - NAT 3539'!$A$99:$C$123,3,1)),0)
*2,
0),
IF(AND($E$2="Monthly",ROUND($AN201-TRUNC($AN201),2)=0.33),
ROUND(
ROUND(((TRUNC(($AN201+0.01)*3/13,0)+0.99)*VLOOKUP((TRUNC(($AN201+0.01)*3/13,0)+0.99),'Tax scales - NAT 3539'!$A$99:$C$123,2,1)-VLOOKUP((TRUNC(($AN201+0.01)*3/13,0)+0.99),'Tax scales - NAT 3539'!$A$99:$C$123,3,1)),0)
*13/3,
0),
IF($E$2="Monthly",
ROUND(
ROUND(((TRUNC($AN201*3/13,0)+0.99)*VLOOKUP((TRUNC($AN201*3/13,0)+0.99),'Tax scales - NAT 3539'!$A$99:$C$123,2,1)-VLOOKUP((TRUNC($AN201*3/13,0)+0.99),'Tax scales - NAT 3539'!$A$99:$C$123,3,1)),0)
*13/3,
0),
""))),
""),
"")</f>
        <v/>
      </c>
      <c r="AY201" s="118" t="str">
        <f>IFERROR(
IF(VLOOKUP($C201,'Employee information'!$B:$M,COLUMNS('Employee information'!$B:$M),0)=66,
IF($E$2="Fortnightly",
ROUND(
ROUND((((TRUNC($AN201/2,0)+0.99))*VLOOKUP((TRUNC($AN201/2,0)+0.99),'Tax scales - NAT 3539'!$A$127:$C$154,2,1)-VLOOKUP((TRUNC($AN201/2,0)+0.99),'Tax scales - NAT 3539'!$A$127:$C$154,3,1)),0)
*2,
0),
IF(AND($E$2="Monthly",ROUND($AN201-TRUNC($AN201),2)=0.33),
ROUND(
ROUND(((TRUNC(($AN201+0.01)*3/13,0)+0.99)*VLOOKUP((TRUNC(($AN201+0.01)*3/13,0)+0.99),'Tax scales - NAT 3539'!$A$127:$C$154,2,1)-VLOOKUP((TRUNC(($AN201+0.01)*3/13,0)+0.99),'Tax scales - NAT 3539'!$A$127:$C$154,3,1)),0)
*13/3,
0),
IF($E$2="Monthly",
ROUND(
ROUND(((TRUNC($AN201*3/13,0)+0.99)*VLOOKUP((TRUNC($AN201*3/13,0)+0.99),'Tax scales - NAT 3539'!$A$127:$C$154,2,1)-VLOOKUP((TRUNC($AN201*3/13,0)+0.99),'Tax scales - NAT 3539'!$A$127:$C$154,3,1)),0)
*13/3,
0),
""))),
""),
"")</f>
        <v/>
      </c>
      <c r="AZ201" s="118">
        <f>IFERROR(
HLOOKUP(VLOOKUP($C201,'Employee information'!$B:$M,COLUMNS('Employee information'!$B:$M),0),'PAYG worksheet'!$AO$184:$AY$203,COUNTA($C$185:$C201)+1,0),
0)</f>
        <v>0</v>
      </c>
      <c r="BA201" s="118"/>
      <c r="BB201" s="118">
        <f t="shared" si="201"/>
        <v>0</v>
      </c>
      <c r="BC201" s="119">
        <f>IFERROR(
IF(OR($AE201=1,$AE201=""),SUM($P201,$AA201,$AC201,$AK201)*VLOOKUP($C201,'Employee information'!$B:$Q,COLUMNS('Employee information'!$B:$H),0),
IF($AE201=0,SUM($P201,$AA201,$AK201)*VLOOKUP($C201,'Employee information'!$B:$Q,COLUMNS('Employee information'!$B:$H),0),
0)),
0)</f>
        <v>0</v>
      </c>
      <c r="BE201" s="114">
        <f t="shared" si="186"/>
        <v>0</v>
      </c>
      <c r="BF201" s="114">
        <f t="shared" si="187"/>
        <v>0</v>
      </c>
      <c r="BG201" s="114">
        <f t="shared" si="188"/>
        <v>0</v>
      </c>
      <c r="BH201" s="114">
        <f t="shared" si="189"/>
        <v>0</v>
      </c>
      <c r="BI201" s="114">
        <f t="shared" si="190"/>
        <v>0</v>
      </c>
      <c r="BJ201" s="114">
        <f t="shared" si="191"/>
        <v>0</v>
      </c>
      <c r="BK201" s="114">
        <f t="shared" si="192"/>
        <v>0</v>
      </c>
      <c r="BL201" s="114">
        <f t="shared" si="202"/>
        <v>0</v>
      </c>
      <c r="BM201" s="114">
        <f t="shared" si="193"/>
        <v>0</v>
      </c>
    </row>
    <row r="202" spans="1:65" x14ac:dyDescent="0.25">
      <c r="A202" s="228">
        <f t="shared" si="181"/>
        <v>7</v>
      </c>
      <c r="C202" s="278"/>
      <c r="E202" s="103">
        <f>IF($C202="",0,
IF(AND($E$2="Monthly",$A202&gt;12),0,
IF($E$2="Monthly",VLOOKUP($C202,'Employee information'!$B:$AM,COLUMNS('Employee information'!$B:S),0),
IF($E$2="Fortnightly",VLOOKUP($C202,'Employee information'!$B:$AM,COLUMNS('Employee information'!$B:R),0),
0))))</f>
        <v>0</v>
      </c>
      <c r="F202" s="106"/>
      <c r="G202" s="106"/>
      <c r="H202" s="106"/>
      <c r="I202" s="106"/>
      <c r="J202" s="103">
        <f t="shared" si="194"/>
        <v>0</v>
      </c>
      <c r="L202" s="113">
        <f>IF(AND($E$2="Monthly",$A202&gt;12),"",
IFERROR($J202*VLOOKUP($C202,'Employee information'!$B:$AI,COLUMNS('Employee information'!$B:$P),0),0))</f>
        <v>0</v>
      </c>
      <c r="M202" s="114">
        <f t="shared" si="195"/>
        <v>0</v>
      </c>
      <c r="O202" s="103">
        <f t="shared" si="196"/>
        <v>0</v>
      </c>
      <c r="P202" s="113">
        <f>IFERROR(
IF(AND($E$2="Monthly",$A202&gt;12),0,
$O202*VLOOKUP($C202,'Employee information'!$B:$AI,COLUMNS('Employee information'!$B:$P),0)),
0)</f>
        <v>0</v>
      </c>
      <c r="R202" s="114">
        <f t="shared" si="182"/>
        <v>0</v>
      </c>
      <c r="T202" s="103"/>
      <c r="U202" s="103"/>
      <c r="V202" s="282" t="str">
        <f>IF($C202="","",
IF(AND($E$2="Monthly",$A202&gt;12),"",
$T202*VLOOKUP($C202,'Employee information'!$B:$P,COLUMNS('Employee information'!$B:$P),0)))</f>
        <v/>
      </c>
      <c r="W202" s="282" t="str">
        <f>IF($C202="","",
IF(AND($E$2="Monthly",$A202&gt;12),"",
$U202*VLOOKUP($C202,'Employee information'!$B:$P,COLUMNS('Employee information'!$B:$P),0)))</f>
        <v/>
      </c>
      <c r="X202" s="114">
        <f t="shared" si="183"/>
        <v>0</v>
      </c>
      <c r="Y202" s="114">
        <f t="shared" si="184"/>
        <v>0</v>
      </c>
      <c r="AA202" s="118">
        <f>IFERROR(
IF(OR('Basic payroll data'!$D$12="",'Basic payroll data'!$D$12="No"),0,
$T202*VLOOKUP($C202,'Employee information'!$B:$P,COLUMNS('Employee information'!$B:$P),0)*AL_loading_perc),
0)</f>
        <v>0</v>
      </c>
      <c r="AC202" s="118"/>
      <c r="AD202" s="118"/>
      <c r="AE202" s="283" t="str">
        <f t="shared" si="197"/>
        <v/>
      </c>
      <c r="AF202" s="283" t="str">
        <f t="shared" si="198"/>
        <v/>
      </c>
      <c r="AG202" s="118"/>
      <c r="AH202" s="118"/>
      <c r="AI202" s="283" t="str">
        <f t="shared" si="199"/>
        <v/>
      </c>
      <c r="AJ202" s="118"/>
      <c r="AK202" s="118"/>
      <c r="AM202" s="118">
        <f t="shared" si="200"/>
        <v>0</v>
      </c>
      <c r="AN202" s="118">
        <f t="shared" si="185"/>
        <v>0</v>
      </c>
      <c r="AO202" s="118" t="str">
        <f>IFERROR(
IF(VLOOKUP($C202,'Employee information'!$B:$M,COLUMNS('Employee information'!$B:$M),0)=1,
IF($E$2="Fortnightly",
ROUND(
ROUND((((TRUNC($AN202/2,0)+0.99))*VLOOKUP((TRUNC($AN202/2,0)+0.99),'Tax scales - NAT 1004'!$A$12:$C$18,2,1)-VLOOKUP((TRUNC($AN202/2,0)+0.99),'Tax scales - NAT 1004'!$A$12:$C$18,3,1)),0)
*2,
0),
IF(AND($E$2="Monthly",ROUND($AN202-TRUNC($AN202),2)=0.33),
ROUND(
ROUND(((TRUNC(($AN202+0.01)*3/13,0)+0.99)*VLOOKUP((TRUNC(($AN202+0.01)*3/13,0)+0.99),'Tax scales - NAT 1004'!$A$12:$C$18,2,1)-VLOOKUP((TRUNC(($AN202+0.01)*3/13,0)+0.99),'Tax scales - NAT 1004'!$A$12:$C$18,3,1)),0)
*13/3,
0),
IF($E$2="Monthly",
ROUND(
ROUND(((TRUNC($AN202*3/13,0)+0.99)*VLOOKUP((TRUNC($AN202*3/13,0)+0.99),'Tax scales - NAT 1004'!$A$12:$C$18,2,1)-VLOOKUP((TRUNC($AN202*3/13,0)+0.99),'Tax scales - NAT 1004'!$A$12:$C$18,3,1)),0)
*13/3,
0),
""))),
""),
"")</f>
        <v/>
      </c>
      <c r="AP202" s="118" t="str">
        <f>IFERROR(
IF(VLOOKUP($C202,'Employee information'!$B:$M,COLUMNS('Employee information'!$B:$M),0)=2,
IF($E$2="Fortnightly",
ROUND(
ROUND((((TRUNC($AN202/2,0)+0.99))*VLOOKUP((TRUNC($AN202/2,0)+0.99),'Tax scales - NAT 1004'!$A$25:$C$33,2,1)-VLOOKUP((TRUNC($AN202/2,0)+0.99),'Tax scales - NAT 1004'!$A$25:$C$33,3,1)),0)
*2,
0),
IF(AND($E$2="Monthly",ROUND($AN202-TRUNC($AN202),2)=0.33),
ROUND(
ROUND(((TRUNC(($AN202+0.01)*3/13,0)+0.99)*VLOOKUP((TRUNC(($AN202+0.01)*3/13,0)+0.99),'Tax scales - NAT 1004'!$A$25:$C$33,2,1)-VLOOKUP((TRUNC(($AN202+0.01)*3/13,0)+0.99),'Tax scales - NAT 1004'!$A$25:$C$33,3,1)),0)
*13/3,
0),
IF($E$2="Monthly",
ROUND(
ROUND(((TRUNC($AN202*3/13,0)+0.99)*VLOOKUP((TRUNC($AN202*3/13,0)+0.99),'Tax scales - NAT 1004'!$A$25:$C$33,2,1)-VLOOKUP((TRUNC($AN202*3/13,0)+0.99),'Tax scales - NAT 1004'!$A$25:$C$33,3,1)),0)
*13/3,
0),
""))),
""),
"")</f>
        <v/>
      </c>
      <c r="AQ202" s="118" t="str">
        <f>IFERROR(
IF(VLOOKUP($C202,'Employee information'!$B:$M,COLUMNS('Employee information'!$B:$M),0)=3,
IF($E$2="Fortnightly",
ROUND(
ROUND((((TRUNC($AN202/2,0)+0.99))*VLOOKUP((TRUNC($AN202/2,0)+0.99),'Tax scales - NAT 1004'!$A$39:$C$41,2,1)-VLOOKUP((TRUNC($AN202/2,0)+0.99),'Tax scales - NAT 1004'!$A$39:$C$41,3,1)),0)
*2,
0),
IF(AND($E$2="Monthly",ROUND($AN202-TRUNC($AN202),2)=0.33),
ROUND(
ROUND(((TRUNC(($AN202+0.01)*3/13,0)+0.99)*VLOOKUP((TRUNC(($AN202+0.01)*3/13,0)+0.99),'Tax scales - NAT 1004'!$A$39:$C$41,2,1)-VLOOKUP((TRUNC(($AN202+0.01)*3/13,0)+0.99),'Tax scales - NAT 1004'!$A$39:$C$41,3,1)),0)
*13/3,
0),
IF($E$2="Monthly",
ROUND(
ROUND(((TRUNC($AN202*3/13,0)+0.99)*VLOOKUP((TRUNC($AN202*3/13,0)+0.99),'Tax scales - NAT 1004'!$A$39:$C$41,2,1)-VLOOKUP((TRUNC($AN202*3/13,0)+0.99),'Tax scales - NAT 1004'!$A$39:$C$41,3,1)),0)
*13/3,
0),
""))),
""),
"")</f>
        <v/>
      </c>
      <c r="AR202" s="118" t="str">
        <f>IFERROR(
IF(AND(VLOOKUP($C202,'Employee information'!$B:$M,COLUMNS('Employee information'!$B:$M),0)=4,
VLOOKUP($C202,'Employee information'!$B:$J,COLUMNS('Employee information'!$B:$J),0)="Resident"),
TRUNC(TRUNC($AN202)*'Tax scales - NAT 1004'!$B$47),
IF(AND(VLOOKUP($C202,'Employee information'!$B:$M,COLUMNS('Employee information'!$B:$M),0)=4,
VLOOKUP($C202,'Employee information'!$B:$J,COLUMNS('Employee information'!$B:$J),0)="Foreign resident"),
TRUNC(TRUNC($AN202)*'Tax scales - NAT 1004'!$B$48),
"")),
"")</f>
        <v/>
      </c>
      <c r="AS202" s="118" t="str">
        <f>IFERROR(
IF(VLOOKUP($C202,'Employee information'!$B:$M,COLUMNS('Employee information'!$B:$M),0)=5,
IF($E$2="Fortnightly",
ROUND(
ROUND((((TRUNC($AN202/2,0)+0.99))*VLOOKUP((TRUNC($AN202/2,0)+0.99),'Tax scales - NAT 1004'!$A$53:$C$59,2,1)-VLOOKUP((TRUNC($AN202/2,0)+0.99),'Tax scales - NAT 1004'!$A$53:$C$59,3,1)),0)
*2,
0),
IF(AND($E$2="Monthly",ROUND($AN202-TRUNC($AN202),2)=0.33),
ROUND(
ROUND(((TRUNC(($AN202+0.01)*3/13,0)+0.99)*VLOOKUP((TRUNC(($AN202+0.01)*3/13,0)+0.99),'Tax scales - NAT 1004'!$A$53:$C$59,2,1)-VLOOKUP((TRUNC(($AN202+0.01)*3/13,0)+0.99),'Tax scales - NAT 1004'!$A$53:$C$59,3,1)),0)
*13/3,
0),
IF($E$2="Monthly",
ROUND(
ROUND(((TRUNC($AN202*3/13,0)+0.99)*VLOOKUP((TRUNC($AN202*3/13,0)+0.99),'Tax scales - NAT 1004'!$A$53:$C$59,2,1)-VLOOKUP((TRUNC($AN202*3/13,0)+0.99),'Tax scales - NAT 1004'!$A$53:$C$59,3,1)),0)
*13/3,
0),
""))),
""),
"")</f>
        <v/>
      </c>
      <c r="AT202" s="118" t="str">
        <f>IFERROR(
IF(VLOOKUP($C202,'Employee information'!$B:$M,COLUMNS('Employee information'!$B:$M),0)=6,
IF($E$2="Fortnightly",
ROUND(
ROUND((((TRUNC($AN202/2,0)+0.99))*VLOOKUP((TRUNC($AN202/2,0)+0.99),'Tax scales - NAT 1004'!$A$65:$C$73,2,1)-VLOOKUP((TRUNC($AN202/2,0)+0.99),'Tax scales - NAT 1004'!$A$65:$C$73,3,1)),0)
*2,
0),
IF(AND($E$2="Monthly",ROUND($AN202-TRUNC($AN202),2)=0.33),
ROUND(
ROUND(((TRUNC(($AN202+0.01)*3/13,0)+0.99)*VLOOKUP((TRUNC(($AN202+0.01)*3/13,0)+0.99),'Tax scales - NAT 1004'!$A$65:$C$73,2,1)-VLOOKUP((TRUNC(($AN202+0.01)*3/13,0)+0.99),'Tax scales - NAT 1004'!$A$65:$C$73,3,1)),0)
*13/3,
0),
IF($E$2="Monthly",
ROUND(
ROUND(((TRUNC($AN202*3/13,0)+0.99)*VLOOKUP((TRUNC($AN202*3/13,0)+0.99),'Tax scales - NAT 1004'!$A$65:$C$73,2,1)-VLOOKUP((TRUNC($AN202*3/13,0)+0.99),'Tax scales - NAT 1004'!$A$65:$C$73,3,1)),0)
*13/3,
0),
""))),
""),
"")</f>
        <v/>
      </c>
      <c r="AU202" s="118" t="str">
        <f>IFERROR(
IF(VLOOKUP($C202,'Employee information'!$B:$M,COLUMNS('Employee information'!$B:$M),0)=11,
IF($E$2="Fortnightly",
ROUND(
ROUND((((TRUNC($AN202/2,0)+0.99))*VLOOKUP((TRUNC($AN202/2,0)+0.99),'Tax scales - NAT 3539'!$A$14:$C$38,2,1)-VLOOKUP((TRUNC($AN202/2,0)+0.99),'Tax scales - NAT 3539'!$A$14:$C$38,3,1)),0)
*2,
0),
IF(AND($E$2="Monthly",ROUND($AN202-TRUNC($AN202),2)=0.33),
ROUND(
ROUND(((TRUNC(($AN202+0.01)*3/13,0)+0.99)*VLOOKUP((TRUNC(($AN202+0.01)*3/13,0)+0.99),'Tax scales - NAT 3539'!$A$14:$C$38,2,1)-VLOOKUP((TRUNC(($AN202+0.01)*3/13,0)+0.99),'Tax scales - NAT 3539'!$A$14:$C$38,3,1)),0)
*13/3,
0),
IF($E$2="Monthly",
ROUND(
ROUND(((TRUNC($AN202*3/13,0)+0.99)*VLOOKUP((TRUNC($AN202*3/13,0)+0.99),'Tax scales - NAT 3539'!$A$14:$C$38,2,1)-VLOOKUP((TRUNC($AN202*3/13,0)+0.99),'Tax scales - NAT 3539'!$A$14:$C$38,3,1)),0)
*13/3,
0),
""))),
""),
"")</f>
        <v/>
      </c>
      <c r="AV202" s="118" t="str">
        <f>IFERROR(
IF(VLOOKUP($C202,'Employee information'!$B:$M,COLUMNS('Employee information'!$B:$M),0)=22,
IF($E$2="Fortnightly",
ROUND(
ROUND((((TRUNC($AN202/2,0)+0.99))*VLOOKUP((TRUNC($AN202/2,0)+0.99),'Tax scales - NAT 3539'!$A$43:$C$69,2,1)-VLOOKUP((TRUNC($AN202/2,0)+0.99),'Tax scales - NAT 3539'!$A$43:$C$69,3,1)),0)
*2,
0),
IF(AND($E$2="Monthly",ROUND($AN202-TRUNC($AN202),2)=0.33),
ROUND(
ROUND(((TRUNC(($AN202+0.01)*3/13,0)+0.99)*VLOOKUP((TRUNC(($AN202+0.01)*3/13,0)+0.99),'Tax scales - NAT 3539'!$A$43:$C$69,2,1)-VLOOKUP((TRUNC(($AN202+0.01)*3/13,0)+0.99),'Tax scales - NAT 3539'!$A$43:$C$69,3,1)),0)
*13/3,
0),
IF($E$2="Monthly",
ROUND(
ROUND(((TRUNC($AN202*3/13,0)+0.99)*VLOOKUP((TRUNC($AN202*3/13,0)+0.99),'Tax scales - NAT 3539'!$A$43:$C$69,2,1)-VLOOKUP((TRUNC($AN202*3/13,0)+0.99),'Tax scales - NAT 3539'!$A$43:$C$69,3,1)),0)
*13/3,
0),
""))),
""),
"")</f>
        <v/>
      </c>
      <c r="AW202" s="118" t="str">
        <f>IFERROR(
IF(VLOOKUP($C202,'Employee information'!$B:$M,COLUMNS('Employee information'!$B:$M),0)=33,
IF($E$2="Fortnightly",
ROUND(
ROUND((((TRUNC($AN202/2,0)+0.99))*VLOOKUP((TRUNC($AN202/2,0)+0.99),'Tax scales - NAT 3539'!$A$74:$C$94,2,1)-VLOOKUP((TRUNC($AN202/2,0)+0.99),'Tax scales - NAT 3539'!$A$74:$C$94,3,1)),0)
*2,
0),
IF(AND($E$2="Monthly",ROUND($AN202-TRUNC($AN202),2)=0.33),
ROUND(
ROUND(((TRUNC(($AN202+0.01)*3/13,0)+0.99)*VLOOKUP((TRUNC(($AN202+0.01)*3/13,0)+0.99),'Tax scales - NAT 3539'!$A$74:$C$94,2,1)-VLOOKUP((TRUNC(($AN202+0.01)*3/13,0)+0.99),'Tax scales - NAT 3539'!$A$74:$C$94,3,1)),0)
*13/3,
0),
IF($E$2="Monthly",
ROUND(
ROUND(((TRUNC($AN202*3/13,0)+0.99)*VLOOKUP((TRUNC($AN202*3/13,0)+0.99),'Tax scales - NAT 3539'!$A$74:$C$94,2,1)-VLOOKUP((TRUNC($AN202*3/13,0)+0.99),'Tax scales - NAT 3539'!$A$74:$C$94,3,1)),0)
*13/3,
0),
""))),
""),
"")</f>
        <v/>
      </c>
      <c r="AX202" s="118" t="str">
        <f>IFERROR(
IF(VLOOKUP($C202,'Employee information'!$B:$M,COLUMNS('Employee information'!$B:$M),0)=55,
IF($E$2="Fortnightly",
ROUND(
ROUND((((TRUNC($AN202/2,0)+0.99))*VLOOKUP((TRUNC($AN202/2,0)+0.99),'Tax scales - NAT 3539'!$A$99:$C$123,2,1)-VLOOKUP((TRUNC($AN202/2,0)+0.99),'Tax scales - NAT 3539'!$A$99:$C$123,3,1)),0)
*2,
0),
IF(AND($E$2="Monthly",ROUND($AN202-TRUNC($AN202),2)=0.33),
ROUND(
ROUND(((TRUNC(($AN202+0.01)*3/13,0)+0.99)*VLOOKUP((TRUNC(($AN202+0.01)*3/13,0)+0.99),'Tax scales - NAT 3539'!$A$99:$C$123,2,1)-VLOOKUP((TRUNC(($AN202+0.01)*3/13,0)+0.99),'Tax scales - NAT 3539'!$A$99:$C$123,3,1)),0)
*13/3,
0),
IF($E$2="Monthly",
ROUND(
ROUND(((TRUNC($AN202*3/13,0)+0.99)*VLOOKUP((TRUNC($AN202*3/13,0)+0.99),'Tax scales - NAT 3539'!$A$99:$C$123,2,1)-VLOOKUP((TRUNC($AN202*3/13,0)+0.99),'Tax scales - NAT 3539'!$A$99:$C$123,3,1)),0)
*13/3,
0),
""))),
""),
"")</f>
        <v/>
      </c>
      <c r="AY202" s="118" t="str">
        <f>IFERROR(
IF(VLOOKUP($C202,'Employee information'!$B:$M,COLUMNS('Employee information'!$B:$M),0)=66,
IF($E$2="Fortnightly",
ROUND(
ROUND((((TRUNC($AN202/2,0)+0.99))*VLOOKUP((TRUNC($AN202/2,0)+0.99),'Tax scales - NAT 3539'!$A$127:$C$154,2,1)-VLOOKUP((TRUNC($AN202/2,0)+0.99),'Tax scales - NAT 3539'!$A$127:$C$154,3,1)),0)
*2,
0),
IF(AND($E$2="Monthly",ROUND($AN202-TRUNC($AN202),2)=0.33),
ROUND(
ROUND(((TRUNC(($AN202+0.01)*3/13,0)+0.99)*VLOOKUP((TRUNC(($AN202+0.01)*3/13,0)+0.99),'Tax scales - NAT 3539'!$A$127:$C$154,2,1)-VLOOKUP((TRUNC(($AN202+0.01)*3/13,0)+0.99),'Tax scales - NAT 3539'!$A$127:$C$154,3,1)),0)
*13/3,
0),
IF($E$2="Monthly",
ROUND(
ROUND(((TRUNC($AN202*3/13,0)+0.99)*VLOOKUP((TRUNC($AN202*3/13,0)+0.99),'Tax scales - NAT 3539'!$A$127:$C$154,2,1)-VLOOKUP((TRUNC($AN202*3/13,0)+0.99),'Tax scales - NAT 3539'!$A$127:$C$154,3,1)),0)
*13/3,
0),
""))),
""),
"")</f>
        <v/>
      </c>
      <c r="AZ202" s="118">
        <f>IFERROR(
HLOOKUP(VLOOKUP($C202,'Employee information'!$B:$M,COLUMNS('Employee information'!$B:$M),0),'PAYG worksheet'!$AO$184:$AY$203,COUNTA($C$185:$C202)+1,0),
0)</f>
        <v>0</v>
      </c>
      <c r="BA202" s="118"/>
      <c r="BB202" s="118">
        <f t="shared" si="201"/>
        <v>0</v>
      </c>
      <c r="BC202" s="119">
        <f>IFERROR(
IF(OR($AE202=1,$AE202=""),SUM($P202,$AA202,$AC202,$AK202)*VLOOKUP($C202,'Employee information'!$B:$Q,COLUMNS('Employee information'!$B:$H),0),
IF($AE202=0,SUM($P202,$AA202,$AK202)*VLOOKUP($C202,'Employee information'!$B:$Q,COLUMNS('Employee information'!$B:$H),0),
0)),
0)</f>
        <v>0</v>
      </c>
      <c r="BE202" s="114">
        <f t="shared" si="186"/>
        <v>0</v>
      </c>
      <c r="BF202" s="114">
        <f t="shared" si="187"/>
        <v>0</v>
      </c>
      <c r="BG202" s="114">
        <f t="shared" si="188"/>
        <v>0</v>
      </c>
      <c r="BH202" s="114">
        <f t="shared" si="189"/>
        <v>0</v>
      </c>
      <c r="BI202" s="114">
        <f t="shared" si="190"/>
        <v>0</v>
      </c>
      <c r="BJ202" s="114">
        <f t="shared" si="191"/>
        <v>0</v>
      </c>
      <c r="BK202" s="114">
        <f t="shared" si="192"/>
        <v>0</v>
      </c>
      <c r="BL202" s="114">
        <f t="shared" si="202"/>
        <v>0</v>
      </c>
      <c r="BM202" s="114">
        <f t="shared" si="193"/>
        <v>0</v>
      </c>
    </row>
    <row r="203" spans="1:65" x14ac:dyDescent="0.25">
      <c r="A203" s="228">
        <f t="shared" si="181"/>
        <v>7</v>
      </c>
      <c r="C203" s="278"/>
      <c r="E203" s="103">
        <f>IF($C203="",0,
IF(AND($E$2="Monthly",$A203&gt;12),0,
IF($E$2="Monthly",VLOOKUP($C203,'Employee information'!$B:$AM,COLUMNS('Employee information'!$B:S),0),
IF($E$2="Fortnightly",VLOOKUP($C203,'Employee information'!$B:$AM,COLUMNS('Employee information'!$B:R),0),
0))))</f>
        <v>0</v>
      </c>
      <c r="F203" s="106"/>
      <c r="G203" s="106"/>
      <c r="H203" s="106"/>
      <c r="I203" s="106"/>
      <c r="J203" s="103">
        <f t="shared" si="194"/>
        <v>0</v>
      </c>
      <c r="L203" s="113">
        <f>IF(AND($E$2="Monthly",$A203&gt;12),"",
IFERROR($J203*VLOOKUP($C203,'Employee information'!$B:$AI,COLUMNS('Employee information'!$B:$P),0),0))</f>
        <v>0</v>
      </c>
      <c r="M203" s="114">
        <f t="shared" si="195"/>
        <v>0</v>
      </c>
      <c r="O203" s="103">
        <f t="shared" si="196"/>
        <v>0</v>
      </c>
      <c r="P203" s="113">
        <f>IFERROR(
IF(AND($E$2="Monthly",$A203&gt;12),0,
$O203*VLOOKUP($C203,'Employee information'!$B:$AI,COLUMNS('Employee information'!$B:$P),0)),
0)</f>
        <v>0</v>
      </c>
      <c r="R203" s="114">
        <f t="shared" si="182"/>
        <v>0</v>
      </c>
      <c r="T203" s="103"/>
      <c r="U203" s="103"/>
      <c r="V203" s="282" t="str">
        <f>IF($C203="","",
IF(AND($E$2="Monthly",$A203&gt;12),"",
$T203*VLOOKUP($C203,'Employee information'!$B:$P,COLUMNS('Employee information'!$B:$P),0)))</f>
        <v/>
      </c>
      <c r="W203" s="282" t="str">
        <f>IF($C203="","",
IF(AND($E$2="Monthly",$A203&gt;12),"",
$U203*VLOOKUP($C203,'Employee information'!$B:$P,COLUMNS('Employee information'!$B:$P),0)))</f>
        <v/>
      </c>
      <c r="X203" s="114">
        <f t="shared" si="183"/>
        <v>0</v>
      </c>
      <c r="Y203" s="114">
        <f t="shared" si="184"/>
        <v>0</v>
      </c>
      <c r="AA203" s="118">
        <f>IFERROR(
IF(OR('Basic payroll data'!$D$12="",'Basic payroll data'!$D$12="No"),0,
$T203*VLOOKUP($C203,'Employee information'!$B:$P,COLUMNS('Employee information'!$B:$P),0)*AL_loading_perc),
0)</f>
        <v>0</v>
      </c>
      <c r="AC203" s="118"/>
      <c r="AD203" s="118"/>
      <c r="AE203" s="283" t="str">
        <f t="shared" si="197"/>
        <v/>
      </c>
      <c r="AF203" s="283" t="str">
        <f t="shared" si="198"/>
        <v/>
      </c>
      <c r="AG203" s="118"/>
      <c r="AH203" s="118"/>
      <c r="AI203" s="283" t="str">
        <f t="shared" si="199"/>
        <v/>
      </c>
      <c r="AJ203" s="118"/>
      <c r="AK203" s="118"/>
      <c r="AM203" s="118">
        <f t="shared" si="200"/>
        <v>0</v>
      </c>
      <c r="AN203" s="118">
        <f t="shared" si="185"/>
        <v>0</v>
      </c>
      <c r="AO203" s="118" t="str">
        <f>IFERROR(
IF(VLOOKUP($C203,'Employee information'!$B:$M,COLUMNS('Employee information'!$B:$M),0)=1,
IF($E$2="Fortnightly",
ROUND(
ROUND((((TRUNC($AN203/2,0)+0.99))*VLOOKUP((TRUNC($AN203/2,0)+0.99),'Tax scales - NAT 1004'!$A$12:$C$18,2,1)-VLOOKUP((TRUNC($AN203/2,0)+0.99),'Tax scales - NAT 1004'!$A$12:$C$18,3,1)),0)
*2,
0),
IF(AND($E$2="Monthly",ROUND($AN203-TRUNC($AN203),2)=0.33),
ROUND(
ROUND(((TRUNC(($AN203+0.01)*3/13,0)+0.99)*VLOOKUP((TRUNC(($AN203+0.01)*3/13,0)+0.99),'Tax scales - NAT 1004'!$A$12:$C$18,2,1)-VLOOKUP((TRUNC(($AN203+0.01)*3/13,0)+0.99),'Tax scales - NAT 1004'!$A$12:$C$18,3,1)),0)
*13/3,
0),
IF($E$2="Monthly",
ROUND(
ROUND(((TRUNC($AN203*3/13,0)+0.99)*VLOOKUP((TRUNC($AN203*3/13,0)+0.99),'Tax scales - NAT 1004'!$A$12:$C$18,2,1)-VLOOKUP((TRUNC($AN203*3/13,0)+0.99),'Tax scales - NAT 1004'!$A$12:$C$18,3,1)),0)
*13/3,
0),
""))),
""),
"")</f>
        <v/>
      </c>
      <c r="AP203" s="118" t="str">
        <f>IFERROR(
IF(VLOOKUP($C203,'Employee information'!$B:$M,COLUMNS('Employee information'!$B:$M),0)=2,
IF($E$2="Fortnightly",
ROUND(
ROUND((((TRUNC($AN203/2,0)+0.99))*VLOOKUP((TRUNC($AN203/2,0)+0.99),'Tax scales - NAT 1004'!$A$25:$C$33,2,1)-VLOOKUP((TRUNC($AN203/2,0)+0.99),'Tax scales - NAT 1004'!$A$25:$C$33,3,1)),0)
*2,
0),
IF(AND($E$2="Monthly",ROUND($AN203-TRUNC($AN203),2)=0.33),
ROUND(
ROUND(((TRUNC(($AN203+0.01)*3/13,0)+0.99)*VLOOKUP((TRUNC(($AN203+0.01)*3/13,0)+0.99),'Tax scales - NAT 1004'!$A$25:$C$33,2,1)-VLOOKUP((TRUNC(($AN203+0.01)*3/13,0)+0.99),'Tax scales - NAT 1004'!$A$25:$C$33,3,1)),0)
*13/3,
0),
IF($E$2="Monthly",
ROUND(
ROUND(((TRUNC($AN203*3/13,0)+0.99)*VLOOKUP((TRUNC($AN203*3/13,0)+0.99),'Tax scales - NAT 1004'!$A$25:$C$33,2,1)-VLOOKUP((TRUNC($AN203*3/13,0)+0.99),'Tax scales - NAT 1004'!$A$25:$C$33,3,1)),0)
*13/3,
0),
""))),
""),
"")</f>
        <v/>
      </c>
      <c r="AQ203" s="118" t="str">
        <f>IFERROR(
IF(VLOOKUP($C203,'Employee information'!$B:$M,COLUMNS('Employee information'!$B:$M),0)=3,
IF($E$2="Fortnightly",
ROUND(
ROUND((((TRUNC($AN203/2,0)+0.99))*VLOOKUP((TRUNC($AN203/2,0)+0.99),'Tax scales - NAT 1004'!$A$39:$C$41,2,1)-VLOOKUP((TRUNC($AN203/2,0)+0.99),'Tax scales - NAT 1004'!$A$39:$C$41,3,1)),0)
*2,
0),
IF(AND($E$2="Monthly",ROUND($AN203-TRUNC($AN203),2)=0.33),
ROUND(
ROUND(((TRUNC(($AN203+0.01)*3/13,0)+0.99)*VLOOKUP((TRUNC(($AN203+0.01)*3/13,0)+0.99),'Tax scales - NAT 1004'!$A$39:$C$41,2,1)-VLOOKUP((TRUNC(($AN203+0.01)*3/13,0)+0.99),'Tax scales - NAT 1004'!$A$39:$C$41,3,1)),0)
*13/3,
0),
IF($E$2="Monthly",
ROUND(
ROUND(((TRUNC($AN203*3/13,0)+0.99)*VLOOKUP((TRUNC($AN203*3/13,0)+0.99),'Tax scales - NAT 1004'!$A$39:$C$41,2,1)-VLOOKUP((TRUNC($AN203*3/13,0)+0.99),'Tax scales - NAT 1004'!$A$39:$C$41,3,1)),0)
*13/3,
0),
""))),
""),
"")</f>
        <v/>
      </c>
      <c r="AR203" s="118" t="str">
        <f>IFERROR(
IF(AND(VLOOKUP($C203,'Employee information'!$B:$M,COLUMNS('Employee information'!$B:$M),0)=4,
VLOOKUP($C203,'Employee information'!$B:$J,COLUMNS('Employee information'!$B:$J),0)="Resident"),
TRUNC(TRUNC($AN203)*'Tax scales - NAT 1004'!$B$47),
IF(AND(VLOOKUP($C203,'Employee information'!$B:$M,COLUMNS('Employee information'!$B:$M),0)=4,
VLOOKUP($C203,'Employee information'!$B:$J,COLUMNS('Employee information'!$B:$J),0)="Foreign resident"),
TRUNC(TRUNC($AN203)*'Tax scales - NAT 1004'!$B$48),
"")),
"")</f>
        <v/>
      </c>
      <c r="AS203" s="118" t="str">
        <f>IFERROR(
IF(VLOOKUP($C203,'Employee information'!$B:$M,COLUMNS('Employee information'!$B:$M),0)=5,
IF($E$2="Fortnightly",
ROUND(
ROUND((((TRUNC($AN203/2,0)+0.99))*VLOOKUP((TRUNC($AN203/2,0)+0.99),'Tax scales - NAT 1004'!$A$53:$C$59,2,1)-VLOOKUP((TRUNC($AN203/2,0)+0.99),'Tax scales - NAT 1004'!$A$53:$C$59,3,1)),0)
*2,
0),
IF(AND($E$2="Monthly",ROUND($AN203-TRUNC($AN203),2)=0.33),
ROUND(
ROUND(((TRUNC(($AN203+0.01)*3/13,0)+0.99)*VLOOKUP((TRUNC(($AN203+0.01)*3/13,0)+0.99),'Tax scales - NAT 1004'!$A$53:$C$59,2,1)-VLOOKUP((TRUNC(($AN203+0.01)*3/13,0)+0.99),'Tax scales - NAT 1004'!$A$53:$C$59,3,1)),0)
*13/3,
0),
IF($E$2="Monthly",
ROUND(
ROUND(((TRUNC($AN203*3/13,0)+0.99)*VLOOKUP((TRUNC($AN203*3/13,0)+0.99),'Tax scales - NAT 1004'!$A$53:$C$59,2,1)-VLOOKUP((TRUNC($AN203*3/13,0)+0.99),'Tax scales - NAT 1004'!$A$53:$C$59,3,1)),0)
*13/3,
0),
""))),
""),
"")</f>
        <v/>
      </c>
      <c r="AT203" s="118" t="str">
        <f>IFERROR(
IF(VLOOKUP($C203,'Employee information'!$B:$M,COLUMNS('Employee information'!$B:$M),0)=6,
IF($E$2="Fortnightly",
ROUND(
ROUND((((TRUNC($AN203/2,0)+0.99))*VLOOKUP((TRUNC($AN203/2,0)+0.99),'Tax scales - NAT 1004'!$A$65:$C$73,2,1)-VLOOKUP((TRUNC($AN203/2,0)+0.99),'Tax scales - NAT 1004'!$A$65:$C$73,3,1)),0)
*2,
0),
IF(AND($E$2="Monthly",ROUND($AN203-TRUNC($AN203),2)=0.33),
ROUND(
ROUND(((TRUNC(($AN203+0.01)*3/13,0)+0.99)*VLOOKUP((TRUNC(($AN203+0.01)*3/13,0)+0.99),'Tax scales - NAT 1004'!$A$65:$C$73,2,1)-VLOOKUP((TRUNC(($AN203+0.01)*3/13,0)+0.99),'Tax scales - NAT 1004'!$A$65:$C$73,3,1)),0)
*13/3,
0),
IF($E$2="Monthly",
ROUND(
ROUND(((TRUNC($AN203*3/13,0)+0.99)*VLOOKUP((TRUNC($AN203*3/13,0)+0.99),'Tax scales - NAT 1004'!$A$65:$C$73,2,1)-VLOOKUP((TRUNC($AN203*3/13,0)+0.99),'Tax scales - NAT 1004'!$A$65:$C$73,3,1)),0)
*13/3,
0),
""))),
""),
"")</f>
        <v/>
      </c>
      <c r="AU203" s="118" t="str">
        <f>IFERROR(
IF(VLOOKUP($C203,'Employee information'!$B:$M,COLUMNS('Employee information'!$B:$M),0)=11,
IF($E$2="Fortnightly",
ROUND(
ROUND((((TRUNC($AN203/2,0)+0.99))*VLOOKUP((TRUNC($AN203/2,0)+0.99),'Tax scales - NAT 3539'!$A$14:$C$38,2,1)-VLOOKUP((TRUNC($AN203/2,0)+0.99),'Tax scales - NAT 3539'!$A$14:$C$38,3,1)),0)
*2,
0),
IF(AND($E$2="Monthly",ROUND($AN203-TRUNC($AN203),2)=0.33),
ROUND(
ROUND(((TRUNC(($AN203+0.01)*3/13,0)+0.99)*VLOOKUP((TRUNC(($AN203+0.01)*3/13,0)+0.99),'Tax scales - NAT 3539'!$A$14:$C$38,2,1)-VLOOKUP((TRUNC(($AN203+0.01)*3/13,0)+0.99),'Tax scales - NAT 3539'!$A$14:$C$38,3,1)),0)
*13/3,
0),
IF($E$2="Monthly",
ROUND(
ROUND(((TRUNC($AN203*3/13,0)+0.99)*VLOOKUP((TRUNC($AN203*3/13,0)+0.99),'Tax scales - NAT 3539'!$A$14:$C$38,2,1)-VLOOKUP((TRUNC($AN203*3/13,0)+0.99),'Tax scales - NAT 3539'!$A$14:$C$38,3,1)),0)
*13/3,
0),
""))),
""),
"")</f>
        <v/>
      </c>
      <c r="AV203" s="118" t="str">
        <f>IFERROR(
IF(VLOOKUP($C203,'Employee information'!$B:$M,COLUMNS('Employee information'!$B:$M),0)=22,
IF($E$2="Fortnightly",
ROUND(
ROUND((((TRUNC($AN203/2,0)+0.99))*VLOOKUP((TRUNC($AN203/2,0)+0.99),'Tax scales - NAT 3539'!$A$43:$C$69,2,1)-VLOOKUP((TRUNC($AN203/2,0)+0.99),'Tax scales - NAT 3539'!$A$43:$C$69,3,1)),0)
*2,
0),
IF(AND($E$2="Monthly",ROUND($AN203-TRUNC($AN203),2)=0.33),
ROUND(
ROUND(((TRUNC(($AN203+0.01)*3/13,0)+0.99)*VLOOKUP((TRUNC(($AN203+0.01)*3/13,0)+0.99),'Tax scales - NAT 3539'!$A$43:$C$69,2,1)-VLOOKUP((TRUNC(($AN203+0.01)*3/13,0)+0.99),'Tax scales - NAT 3539'!$A$43:$C$69,3,1)),0)
*13/3,
0),
IF($E$2="Monthly",
ROUND(
ROUND(((TRUNC($AN203*3/13,0)+0.99)*VLOOKUP((TRUNC($AN203*3/13,0)+0.99),'Tax scales - NAT 3539'!$A$43:$C$69,2,1)-VLOOKUP((TRUNC($AN203*3/13,0)+0.99),'Tax scales - NAT 3539'!$A$43:$C$69,3,1)),0)
*13/3,
0),
""))),
""),
"")</f>
        <v/>
      </c>
      <c r="AW203" s="118" t="str">
        <f>IFERROR(
IF(VLOOKUP($C203,'Employee information'!$B:$M,COLUMNS('Employee information'!$B:$M),0)=33,
IF($E$2="Fortnightly",
ROUND(
ROUND((((TRUNC($AN203/2,0)+0.99))*VLOOKUP((TRUNC($AN203/2,0)+0.99),'Tax scales - NAT 3539'!$A$74:$C$94,2,1)-VLOOKUP((TRUNC($AN203/2,0)+0.99),'Tax scales - NAT 3539'!$A$74:$C$94,3,1)),0)
*2,
0),
IF(AND($E$2="Monthly",ROUND($AN203-TRUNC($AN203),2)=0.33),
ROUND(
ROUND(((TRUNC(($AN203+0.01)*3/13,0)+0.99)*VLOOKUP((TRUNC(($AN203+0.01)*3/13,0)+0.99),'Tax scales - NAT 3539'!$A$74:$C$94,2,1)-VLOOKUP((TRUNC(($AN203+0.01)*3/13,0)+0.99),'Tax scales - NAT 3539'!$A$74:$C$94,3,1)),0)
*13/3,
0),
IF($E$2="Monthly",
ROUND(
ROUND(((TRUNC($AN203*3/13,0)+0.99)*VLOOKUP((TRUNC($AN203*3/13,0)+0.99),'Tax scales - NAT 3539'!$A$74:$C$94,2,1)-VLOOKUP((TRUNC($AN203*3/13,0)+0.99),'Tax scales - NAT 3539'!$A$74:$C$94,3,1)),0)
*13/3,
0),
""))),
""),
"")</f>
        <v/>
      </c>
      <c r="AX203" s="118" t="str">
        <f>IFERROR(
IF(VLOOKUP($C203,'Employee information'!$B:$M,COLUMNS('Employee information'!$B:$M),0)=55,
IF($E$2="Fortnightly",
ROUND(
ROUND((((TRUNC($AN203/2,0)+0.99))*VLOOKUP((TRUNC($AN203/2,0)+0.99),'Tax scales - NAT 3539'!$A$99:$C$123,2,1)-VLOOKUP((TRUNC($AN203/2,0)+0.99),'Tax scales - NAT 3539'!$A$99:$C$123,3,1)),0)
*2,
0),
IF(AND($E$2="Monthly",ROUND($AN203-TRUNC($AN203),2)=0.33),
ROUND(
ROUND(((TRUNC(($AN203+0.01)*3/13,0)+0.99)*VLOOKUP((TRUNC(($AN203+0.01)*3/13,0)+0.99),'Tax scales - NAT 3539'!$A$99:$C$123,2,1)-VLOOKUP((TRUNC(($AN203+0.01)*3/13,0)+0.99),'Tax scales - NAT 3539'!$A$99:$C$123,3,1)),0)
*13/3,
0),
IF($E$2="Monthly",
ROUND(
ROUND(((TRUNC($AN203*3/13,0)+0.99)*VLOOKUP((TRUNC($AN203*3/13,0)+0.99),'Tax scales - NAT 3539'!$A$99:$C$123,2,1)-VLOOKUP((TRUNC($AN203*3/13,0)+0.99),'Tax scales - NAT 3539'!$A$99:$C$123,3,1)),0)
*13/3,
0),
""))),
""),
"")</f>
        <v/>
      </c>
      <c r="AY203" s="118" t="str">
        <f>IFERROR(
IF(VLOOKUP($C203,'Employee information'!$B:$M,COLUMNS('Employee information'!$B:$M),0)=66,
IF($E$2="Fortnightly",
ROUND(
ROUND((((TRUNC($AN203/2,0)+0.99))*VLOOKUP((TRUNC($AN203/2,0)+0.99),'Tax scales - NAT 3539'!$A$127:$C$154,2,1)-VLOOKUP((TRUNC($AN203/2,0)+0.99),'Tax scales - NAT 3539'!$A$127:$C$154,3,1)),0)
*2,
0),
IF(AND($E$2="Monthly",ROUND($AN203-TRUNC($AN203),2)=0.33),
ROUND(
ROUND(((TRUNC(($AN203+0.01)*3/13,0)+0.99)*VLOOKUP((TRUNC(($AN203+0.01)*3/13,0)+0.99),'Tax scales - NAT 3539'!$A$127:$C$154,2,1)-VLOOKUP((TRUNC(($AN203+0.01)*3/13,0)+0.99),'Tax scales - NAT 3539'!$A$127:$C$154,3,1)),0)
*13/3,
0),
IF($E$2="Monthly",
ROUND(
ROUND(((TRUNC($AN203*3/13,0)+0.99)*VLOOKUP((TRUNC($AN203*3/13,0)+0.99),'Tax scales - NAT 3539'!$A$127:$C$154,2,1)-VLOOKUP((TRUNC($AN203*3/13,0)+0.99),'Tax scales - NAT 3539'!$A$127:$C$154,3,1)),0)
*13/3,
0),
""))),
""),
"")</f>
        <v/>
      </c>
      <c r="AZ203" s="118">
        <f>IFERROR(
HLOOKUP(VLOOKUP($C203,'Employee information'!$B:$M,COLUMNS('Employee information'!$B:$M),0),'PAYG worksheet'!$AO$184:$AY$203,COUNTA($C$185:$C203)+1,0),
0)</f>
        <v>0</v>
      </c>
      <c r="BA203" s="118"/>
      <c r="BB203" s="118">
        <f t="shared" si="201"/>
        <v>0</v>
      </c>
      <c r="BC203" s="119">
        <f>IFERROR(
IF(OR($AE203=1,$AE203=""),SUM($P203,$AA203,$AC203,$AK203)*VLOOKUP($C203,'Employee information'!$B:$Q,COLUMNS('Employee information'!$B:$H),0),
IF($AE203=0,SUM($P203,$AA203,$AK203)*VLOOKUP($C203,'Employee information'!$B:$Q,COLUMNS('Employee information'!$B:$H),0),
0)),
0)</f>
        <v>0</v>
      </c>
      <c r="BE203" s="114">
        <f t="shared" si="186"/>
        <v>0</v>
      </c>
      <c r="BF203" s="114">
        <f t="shared" si="187"/>
        <v>0</v>
      </c>
      <c r="BG203" s="114">
        <f t="shared" si="188"/>
        <v>0</v>
      </c>
      <c r="BH203" s="114">
        <f t="shared" si="189"/>
        <v>0</v>
      </c>
      <c r="BI203" s="114">
        <f t="shared" si="190"/>
        <v>0</v>
      </c>
      <c r="BJ203" s="114">
        <f t="shared" si="191"/>
        <v>0</v>
      </c>
      <c r="BK203" s="114">
        <f t="shared" si="192"/>
        <v>0</v>
      </c>
      <c r="BL203" s="114">
        <f t="shared" si="202"/>
        <v>0</v>
      </c>
      <c r="BM203" s="114">
        <f t="shared" si="193"/>
        <v>0</v>
      </c>
    </row>
    <row r="204" spans="1:65" x14ac:dyDescent="0.25">
      <c r="C204" s="284" t="s">
        <v>39</v>
      </c>
      <c r="D204" s="223"/>
      <c r="E204" s="111">
        <f>SUM(E185:E203)</f>
        <v>345</v>
      </c>
      <c r="F204" s="112">
        <f t="shared" ref="F204:H204" si="203">SUM(F185:F203)</f>
        <v>0</v>
      </c>
      <c r="G204" s="112">
        <f t="shared" si="203"/>
        <v>0</v>
      </c>
      <c r="H204" s="112">
        <f t="shared" si="203"/>
        <v>0</v>
      </c>
      <c r="I204" s="112"/>
      <c r="J204" s="111">
        <f t="shared" ref="J204" si="204">SUM(J185:J203)</f>
        <v>345</v>
      </c>
      <c r="K204" s="223"/>
      <c r="L204" s="115">
        <f>SUM(L185:L203)</f>
        <v>19122.576396206536</v>
      </c>
      <c r="M204" s="115">
        <f>SUM(M185:M203)</f>
        <v>136373.41938883034</v>
      </c>
      <c r="N204" s="223"/>
      <c r="O204" s="116">
        <f>SUM(O185:O203)</f>
        <v>345</v>
      </c>
      <c r="P204" s="117">
        <f>SUM(P185:P203)</f>
        <v>19122.576396206536</v>
      </c>
      <c r="R204" s="117">
        <f>SUM(R185:R203)</f>
        <v>136373.41938883034</v>
      </c>
      <c r="S204" s="223"/>
      <c r="T204" s="116">
        <f>SUM(T185:T203)</f>
        <v>0</v>
      </c>
      <c r="U204" s="116">
        <f t="shared" ref="U204:Y204" si="205">SUM(U185:U203)</f>
        <v>0</v>
      </c>
      <c r="V204" s="285">
        <f t="shared" si="205"/>
        <v>0</v>
      </c>
      <c r="W204" s="285">
        <f t="shared" si="205"/>
        <v>0</v>
      </c>
      <c r="X204" s="285">
        <f t="shared" si="205"/>
        <v>1538.4615384615386</v>
      </c>
      <c r="Y204" s="285">
        <f t="shared" si="205"/>
        <v>801.28205128205127</v>
      </c>
      <c r="Z204" s="223"/>
      <c r="AA204" s="117">
        <f t="shared" ref="AA204" si="206">SUM(AA185:AA203)</f>
        <v>0</v>
      </c>
      <c r="AC204" s="117">
        <f t="shared" ref="AC204" si="207">SUM(AC185:AC203)</f>
        <v>0</v>
      </c>
      <c r="AD204" s="117"/>
      <c r="AE204" s="117"/>
      <c r="AF204" s="117"/>
      <c r="AG204" s="117">
        <f t="shared" ref="AG204" si="208">SUM(AG185:AG203)</f>
        <v>0</v>
      </c>
      <c r="AH204" s="117"/>
      <c r="AI204" s="117"/>
      <c r="AJ204" s="117">
        <f>SUM(AJ185:AJ203)</f>
        <v>0</v>
      </c>
      <c r="AK204" s="117">
        <f>SUM(AK185:AK203)</f>
        <v>0</v>
      </c>
      <c r="AM204" s="117">
        <f t="shared" ref="AM204:AN204" si="209">SUM(AM185:AM203)</f>
        <v>19122.576396206536</v>
      </c>
      <c r="AN204" s="117">
        <f t="shared" si="209"/>
        <v>19122.576396206536</v>
      </c>
      <c r="AO204" s="117"/>
      <c r="AP204" s="117"/>
      <c r="AQ204" s="117"/>
      <c r="AR204" s="117"/>
      <c r="AS204" s="117"/>
      <c r="AT204" s="117"/>
      <c r="AU204" s="117"/>
      <c r="AV204" s="117"/>
      <c r="AW204" s="117"/>
      <c r="AX204" s="117"/>
      <c r="AY204" s="117"/>
      <c r="AZ204" s="117">
        <f>SUM(AZ185:AZ203)</f>
        <v>7481</v>
      </c>
      <c r="BA204" s="117">
        <f>SUM(BA185:BA203)</f>
        <v>0</v>
      </c>
      <c r="BB204" s="117">
        <f>SUM(BB185:BB203)</f>
        <v>11641.576396206534</v>
      </c>
      <c r="BC204" s="117">
        <f t="shared" ref="BC204" si="210">SUM(BC185:BC203)</f>
        <v>1816.6447576396208</v>
      </c>
      <c r="BD204" s="136"/>
      <c r="BE204" s="117">
        <f t="shared" ref="BE204:BM204" si="211">SUM(BE185:BE203)</f>
        <v>136613.41938883034</v>
      </c>
      <c r="BF204" s="117">
        <f t="shared" si="211"/>
        <v>136473.41938883034</v>
      </c>
      <c r="BG204" s="117">
        <f t="shared" si="211"/>
        <v>0</v>
      </c>
      <c r="BH204" s="117">
        <f t="shared" si="211"/>
        <v>140</v>
      </c>
      <c r="BI204" s="117">
        <f t="shared" si="211"/>
        <v>53181</v>
      </c>
      <c r="BJ204" s="117">
        <f t="shared" si="211"/>
        <v>0</v>
      </c>
      <c r="BK204" s="117">
        <f t="shared" si="211"/>
        <v>0</v>
      </c>
      <c r="BL204" s="117">
        <f t="shared" si="211"/>
        <v>100</v>
      </c>
      <c r="BM204" s="117">
        <f t="shared" si="211"/>
        <v>12964.974841938883</v>
      </c>
    </row>
    <row r="206" spans="1:65" x14ac:dyDescent="0.25">
      <c r="B206" s="228">
        <v>8</v>
      </c>
      <c r="C206" s="230" t="s">
        <v>2</v>
      </c>
      <c r="E206" s="232">
        <v>44228</v>
      </c>
      <c r="F206" s="148" t="s">
        <v>91</v>
      </c>
      <c r="L206" s="286"/>
      <c r="T206" s="127"/>
      <c r="U206" s="127"/>
      <c r="V206" s="127"/>
      <c r="W206" s="127"/>
      <c r="X206" s="127"/>
      <c r="Y206" s="127"/>
    </row>
    <row r="207" spans="1:65" x14ac:dyDescent="0.25">
      <c r="C207" s="230" t="s">
        <v>3</v>
      </c>
      <c r="E207" s="232">
        <v>44255</v>
      </c>
      <c r="F207" s="148" t="s">
        <v>90</v>
      </c>
      <c r="G207" s="229"/>
      <c r="H207" s="229"/>
      <c r="I207" s="229"/>
      <c r="J207" s="229"/>
      <c r="L207" s="164"/>
      <c r="T207" s="127"/>
      <c r="U207" s="127"/>
      <c r="V207" s="127"/>
      <c r="W207" s="127"/>
      <c r="X207" s="127"/>
      <c r="Y207" s="127"/>
    </row>
    <row r="208" spans="1:65" x14ac:dyDescent="0.25">
      <c r="C208" s="233"/>
    </row>
    <row r="209" spans="1:65" ht="34.5" customHeight="1" x14ac:dyDescent="0.25">
      <c r="C209" s="234"/>
      <c r="D209" s="235"/>
      <c r="E209" s="441" t="s">
        <v>4</v>
      </c>
      <c r="F209" s="442"/>
      <c r="G209" s="442"/>
      <c r="H209" s="442"/>
      <c r="I209" s="442"/>
      <c r="J209" s="443"/>
      <c r="L209" s="444" t="s">
        <v>253</v>
      </c>
      <c r="M209" s="445"/>
      <c r="N209" s="235"/>
      <c r="O209" s="444" t="s">
        <v>148</v>
      </c>
      <c r="P209" s="445"/>
      <c r="R209" s="235"/>
      <c r="T209" s="446" t="s">
        <v>269</v>
      </c>
      <c r="U209" s="447"/>
      <c r="V209" s="447"/>
      <c r="W209" s="447"/>
      <c r="X209" s="447"/>
      <c r="Y209" s="447"/>
      <c r="Z209" s="447"/>
      <c r="AA209" s="447"/>
      <c r="AC209" s="438" t="s">
        <v>274</v>
      </c>
      <c r="AD209" s="438"/>
      <c r="AE209" s="438"/>
      <c r="AF209" s="438"/>
      <c r="AG209" s="438"/>
      <c r="AH209" s="438"/>
      <c r="AI209" s="438"/>
      <c r="AJ209" s="438"/>
      <c r="AK209" s="438"/>
      <c r="AM209" s="439" t="s">
        <v>270</v>
      </c>
      <c r="AN209" s="439"/>
      <c r="AO209" s="439"/>
      <c r="AP209" s="439"/>
      <c r="AQ209" s="439"/>
      <c r="AR209" s="439"/>
      <c r="AS209" s="439"/>
      <c r="AT209" s="439"/>
      <c r="AU209" s="439"/>
      <c r="AV209" s="439"/>
      <c r="AW209" s="439"/>
      <c r="AX209" s="439"/>
      <c r="AY209" s="439"/>
      <c r="AZ209" s="439"/>
      <c r="BA209" s="439"/>
      <c r="BB209" s="439"/>
      <c r="BC209" s="440"/>
      <c r="BE209" s="439" t="s">
        <v>246</v>
      </c>
      <c r="BF209" s="439"/>
      <c r="BG209" s="439"/>
      <c r="BH209" s="439"/>
      <c r="BI209" s="439"/>
      <c r="BJ209" s="439"/>
      <c r="BK209" s="439"/>
      <c r="BL209" s="439"/>
      <c r="BM209" s="439"/>
    </row>
    <row r="210" spans="1:65" x14ac:dyDescent="0.25">
      <c r="C210" s="236"/>
      <c r="E210" s="229"/>
      <c r="F210" s="229"/>
      <c r="G210" s="229"/>
      <c r="H210" s="229"/>
      <c r="I210" s="229"/>
      <c r="J210" s="229"/>
      <c r="L210" s="164"/>
      <c r="O210" s="229"/>
      <c r="P210" s="164"/>
      <c r="T210" s="127"/>
      <c r="U210" s="127"/>
      <c r="V210" s="127"/>
      <c r="W210" s="127"/>
      <c r="X210" s="127"/>
      <c r="Y210" s="127"/>
      <c r="AA210" s="229"/>
      <c r="AC210" s="229"/>
      <c r="AD210" s="229"/>
      <c r="AE210" s="229"/>
      <c r="AF210" s="229"/>
      <c r="AG210" s="229"/>
      <c r="AH210" s="229"/>
      <c r="AI210" s="229"/>
      <c r="AJ210" s="229"/>
      <c r="AK210" s="127"/>
      <c r="AM210" s="229"/>
      <c r="AN210" s="229"/>
      <c r="AO210" s="229"/>
      <c r="AP210" s="229"/>
      <c r="AQ210" s="229"/>
      <c r="AR210" s="229"/>
      <c r="AS210" s="229"/>
      <c r="AT210" s="229"/>
      <c r="AU210" s="229"/>
      <c r="AV210" s="229"/>
      <c r="AW210" s="229"/>
      <c r="AX210" s="229"/>
      <c r="AY210" s="229"/>
      <c r="AZ210" s="229"/>
      <c r="BA210" s="229"/>
      <c r="BB210" s="229"/>
      <c r="BC210" s="229"/>
    </row>
    <row r="211" spans="1:65" ht="60" x14ac:dyDescent="0.25">
      <c r="C211" s="238" t="s">
        <v>5</v>
      </c>
      <c r="D211" s="239"/>
      <c r="E211" s="240" t="s">
        <v>268</v>
      </c>
      <c r="F211" s="241" t="s">
        <v>271</v>
      </c>
      <c r="G211" s="242" t="s">
        <v>267</v>
      </c>
      <c r="H211" s="243" t="s">
        <v>266</v>
      </c>
      <c r="I211" s="242" t="s">
        <v>265</v>
      </c>
      <c r="J211" s="244" t="s">
        <v>6</v>
      </c>
      <c r="L211" s="245" t="s">
        <v>7</v>
      </c>
      <c r="M211" s="246" t="s">
        <v>254</v>
      </c>
      <c r="N211" s="247"/>
      <c r="O211" s="248" t="s">
        <v>272</v>
      </c>
      <c r="P211" s="249" t="s">
        <v>200</v>
      </c>
      <c r="R211" s="250" t="s">
        <v>151</v>
      </c>
      <c r="T211" s="251" t="s">
        <v>8</v>
      </c>
      <c r="U211" s="252" t="s">
        <v>9</v>
      </c>
      <c r="V211" s="252" t="s">
        <v>120</v>
      </c>
      <c r="W211" s="252" t="s">
        <v>121</v>
      </c>
      <c r="X211" s="253" t="s">
        <v>118</v>
      </c>
      <c r="Y211" s="254" t="s">
        <v>119</v>
      </c>
      <c r="AA211" s="255" t="s">
        <v>84</v>
      </c>
      <c r="AC211" s="256" t="s">
        <v>142</v>
      </c>
      <c r="AD211" s="256" t="s">
        <v>138</v>
      </c>
      <c r="AE211" s="257" t="s">
        <v>147</v>
      </c>
      <c r="AF211" s="257" t="s">
        <v>149</v>
      </c>
      <c r="AG211" s="256" t="s">
        <v>305</v>
      </c>
      <c r="AH211" s="256" t="s">
        <v>306</v>
      </c>
      <c r="AI211" s="257" t="s">
        <v>150</v>
      </c>
      <c r="AJ211" s="258" t="s">
        <v>250</v>
      </c>
      <c r="AK211" s="259" t="s">
        <v>373</v>
      </c>
      <c r="AM211" s="260" t="s">
        <v>256</v>
      </c>
      <c r="AN211" s="261" t="s">
        <v>372</v>
      </c>
      <c r="AO211" s="253" t="s">
        <v>170</v>
      </c>
      <c r="AP211" s="253" t="s">
        <v>171</v>
      </c>
      <c r="AQ211" s="253" t="s">
        <v>172</v>
      </c>
      <c r="AR211" s="253" t="s">
        <v>173</v>
      </c>
      <c r="AS211" s="253" t="s">
        <v>174</v>
      </c>
      <c r="AT211" s="253" t="s">
        <v>175</v>
      </c>
      <c r="AU211" s="262" t="s">
        <v>210</v>
      </c>
      <c r="AV211" s="262" t="s">
        <v>211</v>
      </c>
      <c r="AW211" s="262" t="s">
        <v>212</v>
      </c>
      <c r="AX211" s="262" t="s">
        <v>213</v>
      </c>
      <c r="AY211" s="263" t="s">
        <v>214</v>
      </c>
      <c r="AZ211" s="264" t="s">
        <v>111</v>
      </c>
      <c r="BA211" s="265" t="s">
        <v>199</v>
      </c>
      <c r="BB211" s="252" t="s">
        <v>223</v>
      </c>
      <c r="BC211" s="260" t="s">
        <v>112</v>
      </c>
      <c r="BE211" s="260" t="s">
        <v>257</v>
      </c>
      <c r="BF211" s="266" t="s">
        <v>255</v>
      </c>
      <c r="BG211" s="262" t="s">
        <v>247</v>
      </c>
      <c r="BH211" s="262" t="s">
        <v>248</v>
      </c>
      <c r="BI211" s="260" t="s">
        <v>249</v>
      </c>
      <c r="BJ211" s="253" t="s">
        <v>199</v>
      </c>
      <c r="BK211" s="262" t="s">
        <v>251</v>
      </c>
      <c r="BL211" s="259" t="s">
        <v>373</v>
      </c>
      <c r="BM211" s="260" t="s">
        <v>252</v>
      </c>
    </row>
    <row r="212" spans="1:65" x14ac:dyDescent="0.25">
      <c r="T212" s="120"/>
      <c r="U212" s="120"/>
      <c r="V212" s="120"/>
      <c r="W212" s="120"/>
      <c r="X212" s="120"/>
      <c r="Y212" s="120"/>
      <c r="AM212" s="267" t="s">
        <v>322</v>
      </c>
      <c r="AN212" s="237"/>
      <c r="AO212" s="237"/>
      <c r="AP212" s="237"/>
      <c r="AQ212" s="237"/>
      <c r="AR212" s="237"/>
      <c r="AS212" s="237"/>
      <c r="AT212" s="237"/>
      <c r="AU212" s="237"/>
      <c r="AV212" s="237"/>
      <c r="AW212" s="237"/>
      <c r="AX212" s="237"/>
      <c r="AY212" s="237"/>
      <c r="AZ212" s="436" t="s">
        <v>320</v>
      </c>
      <c r="BA212" s="437"/>
      <c r="BB212" s="237"/>
      <c r="BC212" s="267" t="s">
        <v>321</v>
      </c>
    </row>
    <row r="213" spans="1:65" x14ac:dyDescent="0.25">
      <c r="A213" s="228">
        <f t="shared" ref="A213:A232" si="212">IF($E$207="","",$B$206)</f>
        <v>8</v>
      </c>
      <c r="C213" s="268"/>
      <c r="D213" s="239"/>
      <c r="E213" s="269"/>
      <c r="F213" s="270"/>
      <c r="G213" s="271"/>
      <c r="H213" s="272"/>
      <c r="I213" s="271"/>
      <c r="J213" s="273"/>
      <c r="O213" s="274"/>
      <c r="P213" s="247"/>
      <c r="T213" s="271"/>
      <c r="U213" s="271"/>
      <c r="V213" s="275"/>
      <c r="W213" s="269"/>
      <c r="X213" s="269"/>
      <c r="Y213" s="269"/>
      <c r="AA213" s="271"/>
      <c r="AC213" s="271"/>
      <c r="AD213" s="271"/>
      <c r="AE213" s="271"/>
      <c r="AF213" s="271"/>
      <c r="AG213" s="271"/>
      <c r="AH213" s="271"/>
      <c r="AI213" s="271"/>
      <c r="AJ213" s="271"/>
      <c r="AK213" s="275"/>
      <c r="AM213" s="271"/>
      <c r="AN213" s="271"/>
      <c r="AO213" s="276">
        <v>1</v>
      </c>
      <c r="AP213" s="276">
        <v>2</v>
      </c>
      <c r="AQ213" s="276">
        <v>3</v>
      </c>
      <c r="AR213" s="277">
        <v>4</v>
      </c>
      <c r="AS213" s="276">
        <v>5</v>
      </c>
      <c r="AT213" s="276">
        <v>6</v>
      </c>
      <c r="AU213" s="276">
        <v>11</v>
      </c>
      <c r="AV213" s="276">
        <v>22</v>
      </c>
      <c r="AW213" s="276">
        <v>33</v>
      </c>
      <c r="AX213" s="276">
        <v>55</v>
      </c>
      <c r="AY213" s="276">
        <v>66</v>
      </c>
      <c r="AZ213" s="271"/>
      <c r="BA213" s="271"/>
      <c r="BB213" s="271"/>
      <c r="BC213" s="273"/>
    </row>
    <row r="214" spans="1:65" x14ac:dyDescent="0.25">
      <c r="A214" s="228">
        <f t="shared" si="212"/>
        <v>8</v>
      </c>
      <c r="C214" s="278" t="s">
        <v>12</v>
      </c>
      <c r="E214" s="103">
        <f>IF($C214="",0,
IF(AND($E$2="Monthly",$A214&gt;12),0,
IF($E$2="Monthly",VLOOKUP($C214,'Employee information'!$B:$AM,COLUMNS('Employee information'!$B:S),0),
IF($E$2="Fortnightly",VLOOKUP($C214,'Employee information'!$B:$AM,COLUMNS('Employee information'!$B:R),0),
0))))</f>
        <v>75</v>
      </c>
      <c r="F214" s="279"/>
      <c r="G214" s="106"/>
      <c r="H214" s="280"/>
      <c r="I214" s="106"/>
      <c r="J214" s="103">
        <f>IF($E$2="Monthly",
IF(AND($E$2="Monthly",$H214&lt;&gt;""),$H214,
IF(AND($E$2="Monthly",$E214=0),SUM($F214:$G214),
$E214)),
IF($E$2="Fortnightly",
IF(AND($E$2="Fortnightly",$H214&lt;&gt;""),$H214,
IF(AND($E$2="Fortnightly",$F214&lt;&gt;"",$E214&lt;&gt;0),$F214,
IF(AND($E$2="Fortnightly",$E214=0),SUM($F214:$G214),
$E214)))))</f>
        <v>75</v>
      </c>
      <c r="L214" s="113">
        <f>IF(AND($E$2="Monthly",$A214&gt;12),"",
IFERROR($J214*VLOOKUP($C214,'Employee information'!$B:$AI,COLUMNS('Employee information'!$B:$P),0),0))</f>
        <v>3697.576396206533</v>
      </c>
      <c r="M214" s="114">
        <f>IF(AND($E$2="Monthly",$A214&gt;12),"",
SUMIFS($L:$L,$C:$C,$C214,$A:$A,"&lt;="&amp;$A214)
)</f>
        <v>29580.61116965226</v>
      </c>
      <c r="O214" s="103">
        <f>IF($E$2="Monthly",
IF(AND($E$2="Monthly",$H214&lt;&gt;""),$H214,
IF(AND($E$2="Monthly",$E214=0),$F214,
$E214)),
IF($E$2="Fortnightly",
IF(AND($E$2="Fortnightly",$H214&lt;&gt;""),$H214,
IF(AND($E$2="Fortnightly",$F214&lt;&gt;"",$E214&lt;&gt;0),$F214,
IF(AND($E$2="Fortnightly",$E214=0),$F214,
$E214)))))</f>
        <v>75</v>
      </c>
      <c r="P214" s="113">
        <f>IFERROR(
IF(AND($E$2="Monthly",$A214&gt;12),0,
$O214*VLOOKUP($C214,'Employee information'!$B:$AI,COLUMNS('Employee information'!$B:$P),0)),
0)</f>
        <v>3697.576396206533</v>
      </c>
      <c r="R214" s="114">
        <f t="shared" ref="R214:R232" si="213">IF(AND($E$2="Monthly",$A214&gt;12),"",
SUMIFS($P:$P,$C:$C,$C214,$A:$A,"&lt;="&amp;$A214)
)</f>
        <v>29580.61116965226</v>
      </c>
      <c r="T214" s="281"/>
      <c r="U214" s="103"/>
      <c r="V214" s="282">
        <f>IF($C214="","",
IF(AND($E$2="Monthly",$A214&gt;12),"",
$T214*VLOOKUP($C214,'Employee information'!$B:$P,COLUMNS('Employee information'!$B:$P),0)))</f>
        <v>0</v>
      </c>
      <c r="W214" s="282">
        <f>IF($C214="","",
IF(AND($E$2="Monthly",$A214&gt;12),"",
$U214*VLOOKUP($C214,'Employee information'!$B:$P,COLUMNS('Employee information'!$B:$P),0)))</f>
        <v>0</v>
      </c>
      <c r="X214" s="114">
        <f t="shared" ref="X214:X232" si="214">IF(AND($E$2="Monthly",$A214&gt;12),"",
SUMIFS($V:$V,$C:$C,$C214,$A:$A,"&lt;="&amp;$A214)
)</f>
        <v>0</v>
      </c>
      <c r="Y214" s="114">
        <f t="shared" ref="Y214:Y232" si="215">IF(AND($E$2="Monthly",$A214&gt;12),"",
SUMIFS($W:$W,$C:$C,$C214,$A:$A,"&lt;="&amp;$A214)
)</f>
        <v>0</v>
      </c>
      <c r="AA214" s="118">
        <f>IFERROR(
IF(OR('Basic payroll data'!$D$12="",'Basic payroll data'!$D$12="No"),0,
$T214*VLOOKUP($C214,'Employee information'!$B:$P,COLUMNS('Employee information'!$B:$P),0)*AL_loading_perc),
0)</f>
        <v>0</v>
      </c>
      <c r="AC214" s="118"/>
      <c r="AD214" s="118"/>
      <c r="AE214" s="283" t="str">
        <f>IF(LEFT($AD214,6)="Is OTE",1,
IF(LEFT($AD214,10)="Is not OTE",0,
""))</f>
        <v/>
      </c>
      <c r="AF214" s="283" t="str">
        <f>IF(RIGHT($AD214,12)="tax withheld",1,
IF(RIGHT($AD214,16)="tax not withheld",0,
""))</f>
        <v/>
      </c>
      <c r="AG214" s="118"/>
      <c r="AH214" s="118"/>
      <c r="AI214" s="283" t="str">
        <f>IF($AH214="FBT",0,
IF($AH214="Not FBT",1,
""))</f>
        <v/>
      </c>
      <c r="AJ214" s="118"/>
      <c r="AK214" s="118"/>
      <c r="AM214" s="118">
        <f>SUM($L214,$AA214,$AC214,$AG214,$AK214)-$AJ214</f>
        <v>3697.576396206533</v>
      </c>
      <c r="AN214" s="118">
        <f t="shared" ref="AN214:AN232" si="216">IF(AND(OR($AF214=1,$AF214=""),OR($AI214=1,$AI214="")),SUM($L214,$AA214,$AC214,$AG214,$AK214)-$AJ214,
IF(AND(OR($AF214=1,$AF214=""),$AI214=0),SUM($L214,$AA214,$AC214,$AK214)-$AJ214,
IF(AND($AF214=0,OR($AI214=1,$AI214="")),SUM($L214,$AA214,$AG214,$AK214)-$AJ214,
IF(AND($AF214=0,$AI214=0),SUM($L214,$AA214,$AK214)-$AJ214,
""))))</f>
        <v>3697.576396206533</v>
      </c>
      <c r="AO214" s="118" t="str">
        <f>IFERROR(
IF(VLOOKUP($C214,'Employee information'!$B:$M,COLUMNS('Employee information'!$B:$M),0)=1,
IF($E$2="Fortnightly",
ROUND(
ROUND((((TRUNC($AN214/2,0)+0.99))*VLOOKUP((TRUNC($AN214/2,0)+0.99),'Tax scales - NAT 1004'!$A$12:$C$18,2,1)-VLOOKUP((TRUNC($AN214/2,0)+0.99),'Tax scales - NAT 1004'!$A$12:$C$18,3,1)),0)
*2,
0),
IF(AND($E$2="Monthly",ROUND($AN214-TRUNC($AN214),2)=0.33),
ROUND(
ROUND(((TRUNC(($AN214+0.01)*3/13,0)+0.99)*VLOOKUP((TRUNC(($AN214+0.01)*3/13,0)+0.99),'Tax scales - NAT 1004'!$A$12:$C$18,2,1)-VLOOKUP((TRUNC(($AN214+0.01)*3/13,0)+0.99),'Tax scales - NAT 1004'!$A$12:$C$18,3,1)),0)
*13/3,
0),
IF($E$2="Monthly",
ROUND(
ROUND(((TRUNC($AN214*3/13,0)+0.99)*VLOOKUP((TRUNC($AN214*3/13,0)+0.99),'Tax scales - NAT 1004'!$A$12:$C$18,2,1)-VLOOKUP((TRUNC($AN214*3/13,0)+0.99),'Tax scales - NAT 1004'!$A$12:$C$18,3,1)),0)
*13/3,
0),
""))),
""),
"")</f>
        <v/>
      </c>
      <c r="AP214" s="118" t="str">
        <f>IFERROR(
IF(VLOOKUP($C214,'Employee information'!$B:$M,COLUMNS('Employee information'!$B:$M),0)=2,
IF($E$2="Fortnightly",
ROUND(
ROUND((((TRUNC($AN214/2,0)+0.99))*VLOOKUP((TRUNC($AN214/2,0)+0.99),'Tax scales - NAT 1004'!$A$25:$C$33,2,1)-VLOOKUP((TRUNC($AN214/2,0)+0.99),'Tax scales - NAT 1004'!$A$25:$C$33,3,1)),0)
*2,
0),
IF(AND($E$2="Monthly",ROUND($AN214-TRUNC($AN214),2)=0.33),
ROUND(
ROUND(((TRUNC(($AN214+0.01)*3/13,0)+0.99)*VLOOKUP((TRUNC(($AN214+0.01)*3/13,0)+0.99),'Tax scales - NAT 1004'!$A$25:$C$33,2,1)-VLOOKUP((TRUNC(($AN214+0.01)*3/13,0)+0.99),'Tax scales - NAT 1004'!$A$25:$C$33,3,1)),0)
*13/3,
0),
IF($E$2="Monthly",
ROUND(
ROUND(((TRUNC($AN214*3/13,0)+0.99)*VLOOKUP((TRUNC($AN214*3/13,0)+0.99),'Tax scales - NAT 1004'!$A$25:$C$33,2,1)-VLOOKUP((TRUNC($AN214*3/13,0)+0.99),'Tax scales - NAT 1004'!$A$25:$C$33,3,1)),0)
*13/3,
0),
""))),
""),
"")</f>
        <v/>
      </c>
      <c r="AQ214" s="118" t="str">
        <f>IFERROR(
IF(VLOOKUP($C214,'Employee information'!$B:$M,COLUMNS('Employee information'!$B:$M),0)=3,
IF($E$2="Fortnightly",
ROUND(
ROUND((((TRUNC($AN214/2,0)+0.99))*VLOOKUP((TRUNC($AN214/2,0)+0.99),'Tax scales - NAT 1004'!$A$39:$C$41,2,1)-VLOOKUP((TRUNC($AN214/2,0)+0.99),'Tax scales - NAT 1004'!$A$39:$C$41,3,1)),0)
*2,
0),
IF(AND($E$2="Monthly",ROUND($AN214-TRUNC($AN214),2)=0.33),
ROUND(
ROUND(((TRUNC(($AN214+0.01)*3/13,0)+0.99)*VLOOKUP((TRUNC(($AN214+0.01)*3/13,0)+0.99),'Tax scales - NAT 1004'!$A$39:$C$41,2,1)-VLOOKUP((TRUNC(($AN214+0.01)*3/13,0)+0.99),'Tax scales - NAT 1004'!$A$39:$C$41,3,1)),0)
*13/3,
0),
IF($E$2="Monthly",
ROUND(
ROUND(((TRUNC($AN214*3/13,0)+0.99)*VLOOKUP((TRUNC($AN214*3/13,0)+0.99),'Tax scales - NAT 1004'!$A$39:$C$41,2,1)-VLOOKUP((TRUNC($AN214*3/13,0)+0.99),'Tax scales - NAT 1004'!$A$39:$C$41,3,1)),0)
*13/3,
0),
""))),
""),
"")</f>
        <v/>
      </c>
      <c r="AR214" s="118" t="str">
        <f>IFERROR(
IF(AND(VLOOKUP($C214,'Employee information'!$B:$M,COLUMNS('Employee information'!$B:$M),0)=4,
VLOOKUP($C214,'Employee information'!$B:$J,COLUMNS('Employee information'!$B:$J),0)="Resident"),
TRUNC(TRUNC($AN214)*'Tax scales - NAT 1004'!$B$47),
IF(AND(VLOOKUP($C214,'Employee information'!$B:$M,COLUMNS('Employee information'!$B:$M),0)=4,
VLOOKUP($C214,'Employee information'!$B:$J,COLUMNS('Employee information'!$B:$J),0)="Foreign resident"),
TRUNC(TRUNC($AN214)*'Tax scales - NAT 1004'!$B$48),
"")),
"")</f>
        <v/>
      </c>
      <c r="AS214" s="118" t="str">
        <f>IFERROR(
IF(VLOOKUP($C214,'Employee information'!$B:$M,COLUMNS('Employee information'!$B:$M),0)=5,
IF($E$2="Fortnightly",
ROUND(
ROUND((((TRUNC($AN214/2,0)+0.99))*VLOOKUP((TRUNC($AN214/2,0)+0.99),'Tax scales - NAT 1004'!$A$53:$C$59,2,1)-VLOOKUP((TRUNC($AN214/2,0)+0.99),'Tax scales - NAT 1004'!$A$53:$C$59,3,1)),0)
*2,
0),
IF(AND($E$2="Monthly",ROUND($AN214-TRUNC($AN214),2)=0.33),
ROUND(
ROUND(((TRUNC(($AN214+0.01)*3/13,0)+0.99)*VLOOKUP((TRUNC(($AN214+0.01)*3/13,0)+0.99),'Tax scales - NAT 1004'!$A$53:$C$59,2,1)-VLOOKUP((TRUNC(($AN214+0.01)*3/13,0)+0.99),'Tax scales - NAT 1004'!$A$53:$C$59,3,1)),0)
*13/3,
0),
IF($E$2="Monthly",
ROUND(
ROUND(((TRUNC($AN214*3/13,0)+0.99)*VLOOKUP((TRUNC($AN214*3/13,0)+0.99),'Tax scales - NAT 1004'!$A$53:$C$59,2,1)-VLOOKUP((TRUNC($AN214*3/13,0)+0.99),'Tax scales - NAT 1004'!$A$53:$C$59,3,1)),0)
*13/3,
0),
""))),
""),
"")</f>
        <v/>
      </c>
      <c r="AT214" s="118" t="str">
        <f>IFERROR(
IF(VLOOKUP($C214,'Employee information'!$B:$M,COLUMNS('Employee information'!$B:$M),0)=6,
IF($E$2="Fortnightly",
ROUND(
ROUND((((TRUNC($AN214/2,0)+0.99))*VLOOKUP((TRUNC($AN214/2,0)+0.99),'Tax scales - NAT 1004'!$A$65:$C$73,2,1)-VLOOKUP((TRUNC($AN214/2,0)+0.99),'Tax scales - NAT 1004'!$A$65:$C$73,3,1)),0)
*2,
0),
IF(AND($E$2="Monthly",ROUND($AN214-TRUNC($AN214),2)=0.33),
ROUND(
ROUND(((TRUNC(($AN214+0.01)*3/13,0)+0.99)*VLOOKUP((TRUNC(($AN214+0.01)*3/13,0)+0.99),'Tax scales - NAT 1004'!$A$65:$C$73,2,1)-VLOOKUP((TRUNC(($AN214+0.01)*3/13,0)+0.99),'Tax scales - NAT 1004'!$A$65:$C$73,3,1)),0)
*13/3,
0),
IF($E$2="Monthly",
ROUND(
ROUND(((TRUNC($AN214*3/13,0)+0.99)*VLOOKUP((TRUNC($AN214*3/13,0)+0.99),'Tax scales - NAT 1004'!$A$65:$C$73,2,1)-VLOOKUP((TRUNC($AN214*3/13,0)+0.99),'Tax scales - NAT 1004'!$A$65:$C$73,3,1)),0)
*13/3,
0),
""))),
""),
"")</f>
        <v/>
      </c>
      <c r="AU214" s="118">
        <f>IFERROR(
IF(VLOOKUP($C214,'Employee information'!$B:$M,COLUMNS('Employee information'!$B:$M),0)=11,
IF($E$2="Fortnightly",
ROUND(
ROUND((((TRUNC($AN214/2,0)+0.99))*VLOOKUP((TRUNC($AN214/2,0)+0.99),'Tax scales - NAT 3539'!$A$14:$C$38,2,1)-VLOOKUP((TRUNC($AN214/2,0)+0.99),'Tax scales - NAT 3539'!$A$14:$C$38,3,1)),0)
*2,
0),
IF(AND($E$2="Monthly",ROUND($AN214-TRUNC($AN214),2)=0.33),
ROUND(
ROUND(((TRUNC(($AN214+0.01)*3/13,0)+0.99)*VLOOKUP((TRUNC(($AN214+0.01)*3/13,0)+0.99),'Tax scales - NAT 3539'!$A$14:$C$38,2,1)-VLOOKUP((TRUNC(($AN214+0.01)*3/13,0)+0.99),'Tax scales - NAT 3539'!$A$14:$C$38,3,1)),0)
*13/3,
0),
IF($E$2="Monthly",
ROUND(
ROUND(((TRUNC($AN214*3/13,0)+0.99)*VLOOKUP((TRUNC($AN214*3/13,0)+0.99),'Tax scales - NAT 3539'!$A$14:$C$38,2,1)-VLOOKUP((TRUNC($AN214*3/13,0)+0.99),'Tax scales - NAT 3539'!$A$14:$C$38,3,1)),0)
*13/3,
0),
""))),
""),
"")</f>
        <v>1448</v>
      </c>
      <c r="AV214" s="118" t="str">
        <f>IFERROR(
IF(VLOOKUP($C214,'Employee information'!$B:$M,COLUMNS('Employee information'!$B:$M),0)=22,
IF($E$2="Fortnightly",
ROUND(
ROUND((((TRUNC($AN214/2,0)+0.99))*VLOOKUP((TRUNC($AN214/2,0)+0.99),'Tax scales - NAT 3539'!$A$43:$C$69,2,1)-VLOOKUP((TRUNC($AN214/2,0)+0.99),'Tax scales - NAT 3539'!$A$43:$C$69,3,1)),0)
*2,
0),
IF(AND($E$2="Monthly",ROUND($AN214-TRUNC($AN214),2)=0.33),
ROUND(
ROUND(((TRUNC(($AN214+0.01)*3/13,0)+0.99)*VLOOKUP((TRUNC(($AN214+0.01)*3/13,0)+0.99),'Tax scales - NAT 3539'!$A$43:$C$69,2,1)-VLOOKUP((TRUNC(($AN214+0.01)*3/13,0)+0.99),'Tax scales - NAT 3539'!$A$43:$C$69,3,1)),0)
*13/3,
0),
IF($E$2="Monthly",
ROUND(
ROUND(((TRUNC($AN214*3/13,0)+0.99)*VLOOKUP((TRUNC($AN214*3/13,0)+0.99),'Tax scales - NAT 3539'!$A$43:$C$69,2,1)-VLOOKUP((TRUNC($AN214*3/13,0)+0.99),'Tax scales - NAT 3539'!$A$43:$C$69,3,1)),0)
*13/3,
0),
""))),
""),
"")</f>
        <v/>
      </c>
      <c r="AW214" s="118" t="str">
        <f>IFERROR(
IF(VLOOKUP($C214,'Employee information'!$B:$M,COLUMNS('Employee information'!$B:$M),0)=33,
IF($E$2="Fortnightly",
ROUND(
ROUND((((TRUNC($AN214/2,0)+0.99))*VLOOKUP((TRUNC($AN214/2,0)+0.99),'Tax scales - NAT 3539'!$A$74:$C$94,2,1)-VLOOKUP((TRUNC($AN214/2,0)+0.99),'Tax scales - NAT 3539'!$A$74:$C$94,3,1)),0)
*2,
0),
IF(AND($E$2="Monthly",ROUND($AN214-TRUNC($AN214),2)=0.33),
ROUND(
ROUND(((TRUNC(($AN214+0.01)*3/13,0)+0.99)*VLOOKUP((TRUNC(($AN214+0.01)*3/13,0)+0.99),'Tax scales - NAT 3539'!$A$74:$C$94,2,1)-VLOOKUP((TRUNC(($AN214+0.01)*3/13,0)+0.99),'Tax scales - NAT 3539'!$A$74:$C$94,3,1)),0)
*13/3,
0),
IF($E$2="Monthly",
ROUND(
ROUND(((TRUNC($AN214*3/13,0)+0.99)*VLOOKUP((TRUNC($AN214*3/13,0)+0.99),'Tax scales - NAT 3539'!$A$74:$C$94,2,1)-VLOOKUP((TRUNC($AN214*3/13,0)+0.99),'Tax scales - NAT 3539'!$A$74:$C$94,3,1)),0)
*13/3,
0),
""))),
""),
"")</f>
        <v/>
      </c>
      <c r="AX214" s="118" t="str">
        <f>IFERROR(
IF(VLOOKUP($C214,'Employee information'!$B:$M,COLUMNS('Employee information'!$B:$M),0)=55,
IF($E$2="Fortnightly",
ROUND(
ROUND((((TRUNC($AN214/2,0)+0.99))*VLOOKUP((TRUNC($AN214/2,0)+0.99),'Tax scales - NAT 3539'!$A$99:$C$123,2,1)-VLOOKUP((TRUNC($AN214/2,0)+0.99),'Tax scales - NAT 3539'!$A$99:$C$123,3,1)),0)
*2,
0),
IF(AND($E$2="Monthly",ROUND($AN214-TRUNC($AN214),2)=0.33),
ROUND(
ROUND(((TRUNC(($AN214+0.01)*3/13,0)+0.99)*VLOOKUP((TRUNC(($AN214+0.01)*3/13,0)+0.99),'Tax scales - NAT 3539'!$A$99:$C$123,2,1)-VLOOKUP((TRUNC(($AN214+0.01)*3/13,0)+0.99),'Tax scales - NAT 3539'!$A$99:$C$123,3,1)),0)
*13/3,
0),
IF($E$2="Monthly",
ROUND(
ROUND(((TRUNC($AN214*3/13,0)+0.99)*VLOOKUP((TRUNC($AN214*3/13,0)+0.99),'Tax scales - NAT 3539'!$A$99:$C$123,2,1)-VLOOKUP((TRUNC($AN214*3/13,0)+0.99),'Tax scales - NAT 3539'!$A$99:$C$123,3,1)),0)
*13/3,
0),
""))),
""),
"")</f>
        <v/>
      </c>
      <c r="AY214" s="118" t="str">
        <f>IFERROR(
IF(VLOOKUP($C214,'Employee information'!$B:$M,COLUMNS('Employee information'!$B:$M),0)=66,
IF($E$2="Fortnightly",
ROUND(
ROUND((((TRUNC($AN214/2,0)+0.99))*VLOOKUP((TRUNC($AN214/2,0)+0.99),'Tax scales - NAT 3539'!$A$127:$C$154,2,1)-VLOOKUP((TRUNC($AN214/2,0)+0.99),'Tax scales - NAT 3539'!$A$127:$C$154,3,1)),0)
*2,
0),
IF(AND($E$2="Monthly",ROUND($AN214-TRUNC($AN214),2)=0.33),
ROUND(
ROUND(((TRUNC(($AN214+0.01)*3/13,0)+0.99)*VLOOKUP((TRUNC(($AN214+0.01)*3/13,0)+0.99),'Tax scales - NAT 3539'!$A$127:$C$154,2,1)-VLOOKUP((TRUNC(($AN214+0.01)*3/13,0)+0.99),'Tax scales - NAT 3539'!$A$127:$C$154,3,1)),0)
*13/3,
0),
IF($E$2="Monthly",
ROUND(
ROUND(((TRUNC($AN214*3/13,0)+0.99)*VLOOKUP((TRUNC($AN214*3/13,0)+0.99),'Tax scales - NAT 3539'!$A$127:$C$154,2,1)-VLOOKUP((TRUNC($AN214*3/13,0)+0.99),'Tax scales - NAT 3539'!$A$127:$C$154,3,1)),0)
*13/3,
0),
""))),
""),
"")</f>
        <v/>
      </c>
      <c r="AZ214" s="118">
        <f>IFERROR(
HLOOKUP(VLOOKUP($C214,'Employee information'!$B:$M,COLUMNS('Employee information'!$B:$M),0),'PAYG worksheet'!$AO$213:$AY$232,COUNTA($C$214:$C214)+1,0),
0)</f>
        <v>1448</v>
      </c>
      <c r="BA214" s="118"/>
      <c r="BB214" s="118">
        <f>IFERROR($AM214-$AZ214-$BA214,"")</f>
        <v>2249.576396206533</v>
      </c>
      <c r="BC214" s="119">
        <f>IFERROR(
IF(OR($AE214=1,$AE214=""),SUM($P214,$AA214,$AC214,$AK214)*VLOOKUP($C214,'Employee information'!$B:$Q,COLUMNS('Employee information'!$B:$H),0),
IF($AE214=0,SUM($P214,$AA214,$AK214)*VLOOKUP($C214,'Employee information'!$B:$Q,COLUMNS('Employee information'!$B:$H),0),
0)),
0)</f>
        <v>351.26975763962065</v>
      </c>
      <c r="BE214" s="114">
        <f t="shared" ref="BE214:BE232" si="217">IF(AND($E$2="Monthly",$A214&gt;12),"",
SUMIFS($AM:$AM,$C:$C,$C214,$A:$A,"&lt;="&amp;$A214)
)</f>
        <v>29580.61116965226</v>
      </c>
      <c r="BF214" s="114">
        <f t="shared" ref="BF214:BF232" si="218">IF(AND($E$2="Monthly",$A214&gt;12),"",
SUMIFS($AN:$AN,$C:$C,$C214,$A:$A,"&lt;="&amp;$A214)
)</f>
        <v>29580.61116965226</v>
      </c>
      <c r="BG214" s="114">
        <f t="shared" ref="BG214:BG232" si="219">IF(AND($E$2="Monthly",$A214&gt;12),"",
SUMIFS($AC:$AC,$C:$C,$C214,$A:$A,"&lt;="&amp;$A214)
)</f>
        <v>0</v>
      </c>
      <c r="BH214" s="114">
        <f t="shared" ref="BH214:BH232" si="220">IF(AND($E$2="Monthly",$A214&gt;12),"",
SUMIFS($AG:$AG,$C:$C,$C214,$A:$A,"&lt;="&amp;$A214)
)</f>
        <v>0</v>
      </c>
      <c r="BI214" s="114">
        <f t="shared" ref="BI214:BI232" si="221">IF(AND($E$2="Monthly",$A214&gt;12),"",
SUMIFS($AZ:$AZ,$C:$C,$C214,$A:$A,"&lt;="&amp;$A214)
)</f>
        <v>11584</v>
      </c>
      <c r="BJ214" s="114">
        <f t="shared" ref="BJ214:BJ232" si="222">IF(AND($E$2="Monthly",$A214&gt;12),"",
SUMIFS($BA:$BA,$C:$C,$C214,$A:$A,"&lt;="&amp;$A214)
)</f>
        <v>0</v>
      </c>
      <c r="BK214" s="114">
        <f t="shared" ref="BK214:BK232" si="223">IF(AND($E$2="Monthly",$A214&gt;12),"",
SUMIFS($AJ:$AJ,$C:$C,$C214,$A:$A,"&lt;="&amp;$A214)
)</f>
        <v>0</v>
      </c>
      <c r="BL214" s="114">
        <f>IF(AND($E$2="Monthly",$A214&gt;12),"",
SUMIFS($AK:$AK,$C:$C,$C214,$A:$A,"&lt;="&amp;$A214)
)</f>
        <v>0</v>
      </c>
      <c r="BM214" s="114">
        <f t="shared" ref="BM214:BM232" si="224">IF(AND($E$2="Monthly",$A214&gt;12),"",
SUMIFS($BC:$BC,$C:$C,$C214,$A:$A,"&lt;="&amp;$A214)
)</f>
        <v>2810.1580611169657</v>
      </c>
    </row>
    <row r="215" spans="1:65" x14ac:dyDescent="0.25">
      <c r="A215" s="228">
        <f t="shared" si="212"/>
        <v>8</v>
      </c>
      <c r="C215" s="278" t="s">
        <v>13</v>
      </c>
      <c r="E215" s="103">
        <f>IF($C215="",0,
IF(AND($E$2="Monthly",$A215&gt;12),0,
IF($E$2="Monthly",VLOOKUP($C215,'Employee information'!$B:$AM,COLUMNS('Employee information'!$B:S),0),
IF($E$2="Fortnightly",VLOOKUP($C215,'Employee information'!$B:$AM,COLUMNS('Employee information'!$B:R),0),
0))))</f>
        <v>0</v>
      </c>
      <c r="F215" s="106"/>
      <c r="G215" s="106"/>
      <c r="H215" s="106"/>
      <c r="I215" s="106"/>
      <c r="J215" s="103">
        <f t="shared" ref="J215:J232" si="225">IF($E$2="Monthly",
IF(AND($E$2="Monthly",$H215&lt;&gt;""),$H215,
IF(AND($E$2="Monthly",$E215=0),SUM($F215:$G215),
$E215)),
IF($E$2="Fortnightly",
IF(AND($E$2="Fortnightly",$H215&lt;&gt;""),$H215,
IF(AND($E$2="Fortnightly",$F215&lt;&gt;"",$E215&lt;&gt;0),$F215,
IF(AND($E$2="Fortnightly",$E215=0),SUM($F215:$G215),
$E215)))))</f>
        <v>0</v>
      </c>
      <c r="L215" s="113">
        <f>IF(AND($E$2="Monthly",$A215&gt;12),"",
IFERROR($J215*VLOOKUP($C215,'Employee information'!$B:$AI,COLUMNS('Employee information'!$B:$P),0),0))</f>
        <v>0</v>
      </c>
      <c r="M215" s="114">
        <f t="shared" ref="M215:M232" si="226">IF(AND($E$2="Monthly",$A215&gt;12),"",
SUMIFS($L:$L,$C:$C,$C215,$A:$A,"&lt;="&amp;$A215)
)</f>
        <v>1615.3846153846152</v>
      </c>
      <c r="O215" s="103">
        <f t="shared" ref="O215:O232" si="227">IF($E$2="Monthly",
IF(AND($E$2="Monthly",$H215&lt;&gt;""),$H215,
IF(AND($E$2="Monthly",$E215=0),$F215,
$E215)),
IF($E$2="Fortnightly",
IF(AND($E$2="Fortnightly",$H215&lt;&gt;""),$H215,
IF(AND($E$2="Fortnightly",$F215&lt;&gt;"",$E215&lt;&gt;0),$F215,
IF(AND($E$2="Fortnightly",$E215=0),$F215,
$E215)))))</f>
        <v>0</v>
      </c>
      <c r="P215" s="113">
        <f>IFERROR(
IF(AND($E$2="Monthly",$A215&gt;12),0,
$O215*VLOOKUP($C215,'Employee information'!$B:$AI,COLUMNS('Employee information'!$B:$P),0)),
0)</f>
        <v>0</v>
      </c>
      <c r="R215" s="114">
        <f t="shared" si="213"/>
        <v>1615.3846153846152</v>
      </c>
      <c r="T215" s="103"/>
      <c r="U215" s="103"/>
      <c r="V215" s="282">
        <f>IF($C215="","",
IF(AND($E$2="Monthly",$A215&gt;12),"",
$T215*VLOOKUP($C215,'Employee information'!$B:$P,COLUMNS('Employee information'!$B:$P),0)))</f>
        <v>0</v>
      </c>
      <c r="W215" s="282">
        <f>IF($C215="","",
IF(AND($E$2="Monthly",$A215&gt;12),"",
$U215*VLOOKUP($C215,'Employee information'!$B:$P,COLUMNS('Employee information'!$B:$P),0)))</f>
        <v>0</v>
      </c>
      <c r="X215" s="114">
        <f t="shared" si="214"/>
        <v>0</v>
      </c>
      <c r="Y215" s="114">
        <f t="shared" si="215"/>
        <v>288.46153846153845</v>
      </c>
      <c r="AA215" s="118">
        <f>IFERROR(
IF(OR('Basic payroll data'!$D$12="",'Basic payroll data'!$D$12="No"),0,
$T215*VLOOKUP($C215,'Employee information'!$B:$P,COLUMNS('Employee information'!$B:$P),0)*AL_loading_perc),
0)</f>
        <v>0</v>
      </c>
      <c r="AC215" s="118"/>
      <c r="AD215" s="118"/>
      <c r="AE215" s="283" t="str">
        <f t="shared" ref="AE215:AE232" si="228">IF(LEFT($AD215,6)="Is OTE",1,
IF(LEFT($AD215,10)="Is not OTE",0,
""))</f>
        <v/>
      </c>
      <c r="AF215" s="283" t="str">
        <f t="shared" ref="AF215:AF232" si="229">IF(RIGHT($AD215,12)="tax withheld",1,
IF(RIGHT($AD215,16)="tax not withheld",0,
""))</f>
        <v/>
      </c>
      <c r="AG215" s="118"/>
      <c r="AH215" s="118"/>
      <c r="AI215" s="283" t="str">
        <f t="shared" ref="AI215:AI232" si="230">IF($AH215="FBT",0,
IF($AH215="Not FBT",1,
""))</f>
        <v/>
      </c>
      <c r="AJ215" s="118"/>
      <c r="AK215" s="118"/>
      <c r="AM215" s="118">
        <f t="shared" ref="AM215:AM232" si="231">SUM($L215,$AA215,$AC215,$AG215,$AK215)-$AJ215</f>
        <v>0</v>
      </c>
      <c r="AN215" s="118">
        <f t="shared" si="216"/>
        <v>0</v>
      </c>
      <c r="AO215" s="118" t="str">
        <f>IFERROR(
IF(VLOOKUP($C215,'Employee information'!$B:$M,COLUMNS('Employee information'!$B:$M),0)=1,
IF($E$2="Fortnightly",
ROUND(
ROUND((((TRUNC($AN215/2,0)+0.99))*VLOOKUP((TRUNC($AN215/2,0)+0.99),'Tax scales - NAT 1004'!$A$12:$C$18,2,1)-VLOOKUP((TRUNC($AN215/2,0)+0.99),'Tax scales - NAT 1004'!$A$12:$C$18,3,1)),0)
*2,
0),
IF(AND($E$2="Monthly",ROUND($AN215-TRUNC($AN215),2)=0.33),
ROUND(
ROUND(((TRUNC(($AN215+0.01)*3/13,0)+0.99)*VLOOKUP((TRUNC(($AN215+0.01)*3/13,0)+0.99),'Tax scales - NAT 1004'!$A$12:$C$18,2,1)-VLOOKUP((TRUNC(($AN215+0.01)*3/13,0)+0.99),'Tax scales - NAT 1004'!$A$12:$C$18,3,1)),0)
*13/3,
0),
IF($E$2="Monthly",
ROUND(
ROUND(((TRUNC($AN215*3/13,0)+0.99)*VLOOKUP((TRUNC($AN215*3/13,0)+0.99),'Tax scales - NAT 1004'!$A$12:$C$18,2,1)-VLOOKUP((TRUNC($AN215*3/13,0)+0.99),'Tax scales - NAT 1004'!$A$12:$C$18,3,1)),0)
*13/3,
0),
""))),
""),
"")</f>
        <v/>
      </c>
      <c r="AP215" s="118" t="str">
        <f>IFERROR(
IF(VLOOKUP($C215,'Employee information'!$B:$M,COLUMNS('Employee information'!$B:$M),0)=2,
IF($E$2="Fortnightly",
ROUND(
ROUND((((TRUNC($AN215/2,0)+0.99))*VLOOKUP((TRUNC($AN215/2,0)+0.99),'Tax scales - NAT 1004'!$A$25:$C$33,2,1)-VLOOKUP((TRUNC($AN215/2,0)+0.99),'Tax scales - NAT 1004'!$A$25:$C$33,3,1)),0)
*2,
0),
IF(AND($E$2="Monthly",ROUND($AN215-TRUNC($AN215),2)=0.33),
ROUND(
ROUND(((TRUNC(($AN215+0.01)*3/13,0)+0.99)*VLOOKUP((TRUNC(($AN215+0.01)*3/13,0)+0.99),'Tax scales - NAT 1004'!$A$25:$C$33,2,1)-VLOOKUP((TRUNC(($AN215+0.01)*3/13,0)+0.99),'Tax scales - NAT 1004'!$A$25:$C$33,3,1)),0)
*13/3,
0),
IF($E$2="Monthly",
ROUND(
ROUND(((TRUNC($AN215*3/13,0)+0.99)*VLOOKUP((TRUNC($AN215*3/13,0)+0.99),'Tax scales - NAT 1004'!$A$25:$C$33,2,1)-VLOOKUP((TRUNC($AN215*3/13,0)+0.99),'Tax scales - NAT 1004'!$A$25:$C$33,3,1)),0)
*13/3,
0),
""))),
""),
"")</f>
        <v/>
      </c>
      <c r="AQ215" s="118" t="str">
        <f>IFERROR(
IF(VLOOKUP($C215,'Employee information'!$B:$M,COLUMNS('Employee information'!$B:$M),0)=3,
IF($E$2="Fortnightly",
ROUND(
ROUND((((TRUNC($AN215/2,0)+0.99))*VLOOKUP((TRUNC($AN215/2,0)+0.99),'Tax scales - NAT 1004'!$A$39:$C$41,2,1)-VLOOKUP((TRUNC($AN215/2,0)+0.99),'Tax scales - NAT 1004'!$A$39:$C$41,3,1)),0)
*2,
0),
IF(AND($E$2="Monthly",ROUND($AN215-TRUNC($AN215),2)=0.33),
ROUND(
ROUND(((TRUNC(($AN215+0.01)*3/13,0)+0.99)*VLOOKUP((TRUNC(($AN215+0.01)*3/13,0)+0.99),'Tax scales - NAT 1004'!$A$39:$C$41,2,1)-VLOOKUP((TRUNC(($AN215+0.01)*3/13,0)+0.99),'Tax scales - NAT 1004'!$A$39:$C$41,3,1)),0)
*13/3,
0),
IF($E$2="Monthly",
ROUND(
ROUND(((TRUNC($AN215*3/13,0)+0.99)*VLOOKUP((TRUNC($AN215*3/13,0)+0.99),'Tax scales - NAT 1004'!$A$39:$C$41,2,1)-VLOOKUP((TRUNC($AN215*3/13,0)+0.99),'Tax scales - NAT 1004'!$A$39:$C$41,3,1)),0)
*13/3,
0),
""))),
""),
"")</f>
        <v/>
      </c>
      <c r="AR215" s="118" t="str">
        <f>IFERROR(
IF(AND(VLOOKUP($C215,'Employee information'!$B:$M,COLUMNS('Employee information'!$B:$M),0)=4,
VLOOKUP($C215,'Employee information'!$B:$J,COLUMNS('Employee information'!$B:$J),0)="Resident"),
TRUNC(TRUNC($AN215)*'Tax scales - NAT 1004'!$B$47),
IF(AND(VLOOKUP($C215,'Employee information'!$B:$M,COLUMNS('Employee information'!$B:$M),0)=4,
VLOOKUP($C215,'Employee information'!$B:$J,COLUMNS('Employee information'!$B:$J),0)="Foreign resident"),
TRUNC(TRUNC($AN215)*'Tax scales - NAT 1004'!$B$48),
"")),
"")</f>
        <v/>
      </c>
      <c r="AS215" s="118" t="str">
        <f>IFERROR(
IF(VLOOKUP($C215,'Employee information'!$B:$M,COLUMNS('Employee information'!$B:$M),0)=5,
IF($E$2="Fortnightly",
ROUND(
ROUND((((TRUNC($AN215/2,0)+0.99))*VLOOKUP((TRUNC($AN215/2,0)+0.99),'Tax scales - NAT 1004'!$A$53:$C$59,2,1)-VLOOKUP((TRUNC($AN215/2,0)+0.99),'Tax scales - NAT 1004'!$A$53:$C$59,3,1)),0)
*2,
0),
IF(AND($E$2="Monthly",ROUND($AN215-TRUNC($AN215),2)=0.33),
ROUND(
ROUND(((TRUNC(($AN215+0.01)*3/13,0)+0.99)*VLOOKUP((TRUNC(($AN215+0.01)*3/13,0)+0.99),'Tax scales - NAT 1004'!$A$53:$C$59,2,1)-VLOOKUP((TRUNC(($AN215+0.01)*3/13,0)+0.99),'Tax scales - NAT 1004'!$A$53:$C$59,3,1)),0)
*13/3,
0),
IF($E$2="Monthly",
ROUND(
ROUND(((TRUNC($AN215*3/13,0)+0.99)*VLOOKUP((TRUNC($AN215*3/13,0)+0.99),'Tax scales - NAT 1004'!$A$53:$C$59,2,1)-VLOOKUP((TRUNC($AN215*3/13,0)+0.99),'Tax scales - NAT 1004'!$A$53:$C$59,3,1)),0)
*13/3,
0),
""))),
""),
"")</f>
        <v/>
      </c>
      <c r="AT215" s="118" t="str">
        <f>IFERROR(
IF(VLOOKUP($C215,'Employee information'!$B:$M,COLUMNS('Employee information'!$B:$M),0)=6,
IF($E$2="Fortnightly",
ROUND(
ROUND((((TRUNC($AN215/2,0)+0.99))*VLOOKUP((TRUNC($AN215/2,0)+0.99),'Tax scales - NAT 1004'!$A$65:$C$73,2,1)-VLOOKUP((TRUNC($AN215/2,0)+0.99),'Tax scales - NAT 1004'!$A$65:$C$73,3,1)),0)
*2,
0),
IF(AND($E$2="Monthly",ROUND($AN215-TRUNC($AN215),2)=0.33),
ROUND(
ROUND(((TRUNC(($AN215+0.01)*3/13,0)+0.99)*VLOOKUP((TRUNC(($AN215+0.01)*3/13,0)+0.99),'Tax scales - NAT 1004'!$A$65:$C$73,2,1)-VLOOKUP((TRUNC(($AN215+0.01)*3/13,0)+0.99),'Tax scales - NAT 1004'!$A$65:$C$73,3,1)),0)
*13/3,
0),
IF($E$2="Monthly",
ROUND(
ROUND(((TRUNC($AN215*3/13,0)+0.99)*VLOOKUP((TRUNC($AN215*3/13,0)+0.99),'Tax scales - NAT 1004'!$A$65:$C$73,2,1)-VLOOKUP((TRUNC($AN215*3/13,0)+0.99),'Tax scales - NAT 1004'!$A$65:$C$73,3,1)),0)
*13/3,
0),
""))),
""),
"")</f>
        <v/>
      </c>
      <c r="AU215" s="118">
        <f>IFERROR(
IF(VLOOKUP($C215,'Employee information'!$B:$M,COLUMNS('Employee information'!$B:$M),0)=11,
IF($E$2="Fortnightly",
ROUND(
ROUND((((TRUNC($AN215/2,0)+0.99))*VLOOKUP((TRUNC($AN215/2,0)+0.99),'Tax scales - NAT 3539'!$A$14:$C$38,2,1)-VLOOKUP((TRUNC($AN215/2,0)+0.99),'Tax scales - NAT 3539'!$A$14:$C$38,3,1)),0)
*2,
0),
IF(AND($E$2="Monthly",ROUND($AN215-TRUNC($AN215),2)=0.33),
ROUND(
ROUND(((TRUNC(($AN215+0.01)*3/13,0)+0.99)*VLOOKUP((TRUNC(($AN215+0.01)*3/13,0)+0.99),'Tax scales - NAT 3539'!$A$14:$C$38,2,1)-VLOOKUP((TRUNC(($AN215+0.01)*3/13,0)+0.99),'Tax scales - NAT 3539'!$A$14:$C$38,3,1)),0)
*13/3,
0),
IF($E$2="Monthly",
ROUND(
ROUND(((TRUNC($AN215*3/13,0)+0.99)*VLOOKUP((TRUNC($AN215*3/13,0)+0.99),'Tax scales - NAT 3539'!$A$14:$C$38,2,1)-VLOOKUP((TRUNC($AN215*3/13,0)+0.99),'Tax scales - NAT 3539'!$A$14:$C$38,3,1)),0)
*13/3,
0),
""))),
""),
"")</f>
        <v>0</v>
      </c>
      <c r="AV215" s="118" t="str">
        <f>IFERROR(
IF(VLOOKUP($C215,'Employee information'!$B:$M,COLUMNS('Employee information'!$B:$M),0)=22,
IF($E$2="Fortnightly",
ROUND(
ROUND((((TRUNC($AN215/2,0)+0.99))*VLOOKUP((TRUNC($AN215/2,0)+0.99),'Tax scales - NAT 3539'!$A$43:$C$69,2,1)-VLOOKUP((TRUNC($AN215/2,0)+0.99),'Tax scales - NAT 3539'!$A$43:$C$69,3,1)),0)
*2,
0),
IF(AND($E$2="Monthly",ROUND($AN215-TRUNC($AN215),2)=0.33),
ROUND(
ROUND(((TRUNC(($AN215+0.01)*3/13,0)+0.99)*VLOOKUP((TRUNC(($AN215+0.01)*3/13,0)+0.99),'Tax scales - NAT 3539'!$A$43:$C$69,2,1)-VLOOKUP((TRUNC(($AN215+0.01)*3/13,0)+0.99),'Tax scales - NAT 3539'!$A$43:$C$69,3,1)),0)
*13/3,
0),
IF($E$2="Monthly",
ROUND(
ROUND(((TRUNC($AN215*3/13,0)+0.99)*VLOOKUP((TRUNC($AN215*3/13,0)+0.99),'Tax scales - NAT 3539'!$A$43:$C$69,2,1)-VLOOKUP((TRUNC($AN215*3/13,0)+0.99),'Tax scales - NAT 3539'!$A$43:$C$69,3,1)),0)
*13/3,
0),
""))),
""),
"")</f>
        <v/>
      </c>
      <c r="AW215" s="118" t="str">
        <f>IFERROR(
IF(VLOOKUP($C215,'Employee information'!$B:$M,COLUMNS('Employee information'!$B:$M),0)=33,
IF($E$2="Fortnightly",
ROUND(
ROUND((((TRUNC($AN215/2,0)+0.99))*VLOOKUP((TRUNC($AN215/2,0)+0.99),'Tax scales - NAT 3539'!$A$74:$C$94,2,1)-VLOOKUP((TRUNC($AN215/2,0)+0.99),'Tax scales - NAT 3539'!$A$74:$C$94,3,1)),0)
*2,
0),
IF(AND($E$2="Monthly",ROUND($AN215-TRUNC($AN215),2)=0.33),
ROUND(
ROUND(((TRUNC(($AN215+0.01)*3/13,0)+0.99)*VLOOKUP((TRUNC(($AN215+0.01)*3/13,0)+0.99),'Tax scales - NAT 3539'!$A$74:$C$94,2,1)-VLOOKUP((TRUNC(($AN215+0.01)*3/13,0)+0.99),'Tax scales - NAT 3539'!$A$74:$C$94,3,1)),0)
*13/3,
0),
IF($E$2="Monthly",
ROUND(
ROUND(((TRUNC($AN215*3/13,0)+0.99)*VLOOKUP((TRUNC($AN215*3/13,0)+0.99),'Tax scales - NAT 3539'!$A$74:$C$94,2,1)-VLOOKUP((TRUNC($AN215*3/13,0)+0.99),'Tax scales - NAT 3539'!$A$74:$C$94,3,1)),0)
*13/3,
0),
""))),
""),
"")</f>
        <v/>
      </c>
      <c r="AX215" s="118" t="str">
        <f>IFERROR(
IF(VLOOKUP($C215,'Employee information'!$B:$M,COLUMNS('Employee information'!$B:$M),0)=55,
IF($E$2="Fortnightly",
ROUND(
ROUND((((TRUNC($AN215/2,0)+0.99))*VLOOKUP((TRUNC($AN215/2,0)+0.99),'Tax scales - NAT 3539'!$A$99:$C$123,2,1)-VLOOKUP((TRUNC($AN215/2,0)+0.99),'Tax scales - NAT 3539'!$A$99:$C$123,3,1)),0)
*2,
0),
IF(AND($E$2="Monthly",ROUND($AN215-TRUNC($AN215),2)=0.33),
ROUND(
ROUND(((TRUNC(($AN215+0.01)*3/13,0)+0.99)*VLOOKUP((TRUNC(($AN215+0.01)*3/13,0)+0.99),'Tax scales - NAT 3539'!$A$99:$C$123,2,1)-VLOOKUP((TRUNC(($AN215+0.01)*3/13,0)+0.99),'Tax scales - NAT 3539'!$A$99:$C$123,3,1)),0)
*13/3,
0),
IF($E$2="Monthly",
ROUND(
ROUND(((TRUNC($AN215*3/13,0)+0.99)*VLOOKUP((TRUNC($AN215*3/13,0)+0.99),'Tax scales - NAT 3539'!$A$99:$C$123,2,1)-VLOOKUP((TRUNC($AN215*3/13,0)+0.99),'Tax scales - NAT 3539'!$A$99:$C$123,3,1)),0)
*13/3,
0),
""))),
""),
"")</f>
        <v/>
      </c>
      <c r="AY215" s="118" t="str">
        <f>IFERROR(
IF(VLOOKUP($C215,'Employee information'!$B:$M,COLUMNS('Employee information'!$B:$M),0)=66,
IF($E$2="Fortnightly",
ROUND(
ROUND((((TRUNC($AN215/2,0)+0.99))*VLOOKUP((TRUNC($AN215/2,0)+0.99),'Tax scales - NAT 3539'!$A$127:$C$154,2,1)-VLOOKUP((TRUNC($AN215/2,0)+0.99),'Tax scales - NAT 3539'!$A$127:$C$154,3,1)),0)
*2,
0),
IF(AND($E$2="Monthly",ROUND($AN215-TRUNC($AN215),2)=0.33),
ROUND(
ROUND(((TRUNC(($AN215+0.01)*3/13,0)+0.99)*VLOOKUP((TRUNC(($AN215+0.01)*3/13,0)+0.99),'Tax scales - NAT 3539'!$A$127:$C$154,2,1)-VLOOKUP((TRUNC(($AN215+0.01)*3/13,0)+0.99),'Tax scales - NAT 3539'!$A$127:$C$154,3,1)),0)
*13/3,
0),
IF($E$2="Monthly",
ROUND(
ROUND(((TRUNC($AN215*3/13,0)+0.99)*VLOOKUP((TRUNC($AN215*3/13,0)+0.99),'Tax scales - NAT 3539'!$A$127:$C$154,2,1)-VLOOKUP((TRUNC($AN215*3/13,0)+0.99),'Tax scales - NAT 3539'!$A$127:$C$154,3,1)),0)
*13/3,
0),
""))),
""),
"")</f>
        <v/>
      </c>
      <c r="AZ215" s="118">
        <f>IFERROR(
HLOOKUP(VLOOKUP($C215,'Employee information'!$B:$M,COLUMNS('Employee information'!$B:$M),0),'PAYG worksheet'!$AO$213:$AY$232,COUNTA($C$214:$C215)+1,0),
0)</f>
        <v>0</v>
      </c>
      <c r="BA215" s="118"/>
      <c r="BB215" s="118">
        <f t="shared" ref="BB215:BB232" si="232">IFERROR($AM215-$AZ215-$BA215,"")</f>
        <v>0</v>
      </c>
      <c r="BC215" s="119">
        <f>IFERROR(
IF(OR($AE215=1,$AE215=""),SUM($P215,$AA215,$AC215,$AK215)*VLOOKUP($C215,'Employee information'!$B:$Q,COLUMNS('Employee information'!$B:$H),0),
IF($AE215=0,SUM($P215,$AA215,$AK215)*VLOOKUP($C215,'Employee information'!$B:$Q,COLUMNS('Employee information'!$B:$H),0),
0)),
0)</f>
        <v>0</v>
      </c>
      <c r="BE215" s="114">
        <f t="shared" si="217"/>
        <v>1615.3846153846152</v>
      </c>
      <c r="BF215" s="114">
        <f t="shared" si="218"/>
        <v>1615.3846153846152</v>
      </c>
      <c r="BG215" s="114">
        <f t="shared" si="219"/>
        <v>0</v>
      </c>
      <c r="BH215" s="114">
        <f t="shared" si="220"/>
        <v>0</v>
      </c>
      <c r="BI215" s="114">
        <f t="shared" si="221"/>
        <v>474</v>
      </c>
      <c r="BJ215" s="114">
        <f t="shared" si="222"/>
        <v>0</v>
      </c>
      <c r="BK215" s="114">
        <f t="shared" si="223"/>
        <v>0</v>
      </c>
      <c r="BL215" s="114">
        <f t="shared" ref="BL215:BL232" si="233">IF(AND($E$2="Monthly",$A215&gt;12),"",
SUMIFS($AK:$AK,$C:$C,$C215,$A:$A,"&lt;="&amp;$A215)
)</f>
        <v>0</v>
      </c>
      <c r="BM215" s="114">
        <f t="shared" si="224"/>
        <v>153.46153846153845</v>
      </c>
    </row>
    <row r="216" spans="1:65" x14ac:dyDescent="0.25">
      <c r="A216" s="228">
        <f t="shared" si="212"/>
        <v>8</v>
      </c>
      <c r="C216" s="278" t="s">
        <v>14</v>
      </c>
      <c r="E216" s="103">
        <f>IF($C216="",0,
IF(AND($E$2="Monthly",$A216&gt;12),0,
IF($E$2="Monthly",VLOOKUP($C216,'Employee information'!$B:$AM,COLUMNS('Employee information'!$B:S),0),
IF($E$2="Fortnightly",VLOOKUP($C216,'Employee information'!$B:$AM,COLUMNS('Employee information'!$B:R),0),
0))))</f>
        <v>0</v>
      </c>
      <c r="F216" s="106"/>
      <c r="G216" s="106"/>
      <c r="H216" s="106"/>
      <c r="I216" s="106"/>
      <c r="J216" s="103">
        <f t="shared" si="225"/>
        <v>0</v>
      </c>
      <c r="L216" s="113">
        <f>IF(AND($E$2="Monthly",$A216&gt;12),"",
IFERROR($J216*VLOOKUP($C216,'Employee information'!$B:$AI,COLUMNS('Employee information'!$B:$P),0),0))</f>
        <v>0</v>
      </c>
      <c r="M216" s="114">
        <f t="shared" si="226"/>
        <v>900</v>
      </c>
      <c r="O216" s="103">
        <f t="shared" si="227"/>
        <v>0</v>
      </c>
      <c r="P216" s="113">
        <f>IFERROR(
IF(AND($E$2="Monthly",$A216&gt;12),0,
$O216*VLOOKUP($C216,'Employee information'!$B:$AI,COLUMNS('Employee information'!$B:$P),0)),
0)</f>
        <v>0</v>
      </c>
      <c r="R216" s="114">
        <f t="shared" si="213"/>
        <v>900</v>
      </c>
      <c r="T216" s="103"/>
      <c r="U216" s="103"/>
      <c r="V216" s="282">
        <f>IF($C216="","",
IF(AND($E$2="Monthly",$A216&gt;12),"",
$T216*VLOOKUP($C216,'Employee information'!$B:$P,COLUMNS('Employee information'!$B:$P),0)))</f>
        <v>0</v>
      </c>
      <c r="W216" s="282">
        <f>IF($C216="","",
IF(AND($E$2="Monthly",$A216&gt;12),"",
$U216*VLOOKUP($C216,'Employee information'!$B:$P,COLUMNS('Employee information'!$B:$P),0)))</f>
        <v>0</v>
      </c>
      <c r="X216" s="114">
        <f t="shared" si="214"/>
        <v>0</v>
      </c>
      <c r="Y216" s="114">
        <f t="shared" si="215"/>
        <v>0</v>
      </c>
      <c r="AA216" s="118">
        <f>IFERROR(
IF(OR('Basic payroll data'!$D$12="",'Basic payroll data'!$D$12="No"),0,
$T216*VLOOKUP($C216,'Employee information'!$B:$P,COLUMNS('Employee information'!$B:$P),0)*AL_loading_perc),
0)</f>
        <v>0</v>
      </c>
      <c r="AC216" s="118"/>
      <c r="AD216" s="118"/>
      <c r="AE216" s="283" t="str">
        <f t="shared" si="228"/>
        <v/>
      </c>
      <c r="AF216" s="283" t="str">
        <f t="shared" si="229"/>
        <v/>
      </c>
      <c r="AG216" s="118"/>
      <c r="AH216" s="118"/>
      <c r="AI216" s="283" t="str">
        <f t="shared" si="230"/>
        <v/>
      </c>
      <c r="AJ216" s="118"/>
      <c r="AK216" s="118"/>
      <c r="AM216" s="118">
        <f t="shared" si="231"/>
        <v>0</v>
      </c>
      <c r="AN216" s="118">
        <f t="shared" si="216"/>
        <v>0</v>
      </c>
      <c r="AO216" s="118" t="str">
        <f>IFERROR(
IF(VLOOKUP($C216,'Employee information'!$B:$M,COLUMNS('Employee information'!$B:$M),0)=1,
IF($E$2="Fortnightly",
ROUND(
ROUND((((TRUNC($AN216/2,0)+0.99))*VLOOKUP((TRUNC($AN216/2,0)+0.99),'Tax scales - NAT 1004'!$A$12:$C$18,2,1)-VLOOKUP((TRUNC($AN216/2,0)+0.99),'Tax scales - NAT 1004'!$A$12:$C$18,3,1)),0)
*2,
0),
IF(AND($E$2="Monthly",ROUND($AN216-TRUNC($AN216),2)=0.33),
ROUND(
ROUND(((TRUNC(($AN216+0.01)*3/13,0)+0.99)*VLOOKUP((TRUNC(($AN216+0.01)*3/13,0)+0.99),'Tax scales - NAT 1004'!$A$12:$C$18,2,1)-VLOOKUP((TRUNC(($AN216+0.01)*3/13,0)+0.99),'Tax scales - NAT 1004'!$A$12:$C$18,3,1)),0)
*13/3,
0),
IF($E$2="Monthly",
ROUND(
ROUND(((TRUNC($AN216*3/13,0)+0.99)*VLOOKUP((TRUNC($AN216*3/13,0)+0.99),'Tax scales - NAT 1004'!$A$12:$C$18,2,1)-VLOOKUP((TRUNC($AN216*3/13,0)+0.99),'Tax scales - NAT 1004'!$A$12:$C$18,3,1)),0)
*13/3,
0),
""))),
""),
"")</f>
        <v/>
      </c>
      <c r="AP216" s="118" t="str">
        <f>IFERROR(
IF(VLOOKUP($C216,'Employee information'!$B:$M,COLUMNS('Employee information'!$B:$M),0)=2,
IF($E$2="Fortnightly",
ROUND(
ROUND((((TRUNC($AN216/2,0)+0.99))*VLOOKUP((TRUNC($AN216/2,0)+0.99),'Tax scales - NAT 1004'!$A$25:$C$33,2,1)-VLOOKUP((TRUNC($AN216/2,0)+0.99),'Tax scales - NAT 1004'!$A$25:$C$33,3,1)),0)
*2,
0),
IF(AND($E$2="Monthly",ROUND($AN216-TRUNC($AN216),2)=0.33),
ROUND(
ROUND(((TRUNC(($AN216+0.01)*3/13,0)+0.99)*VLOOKUP((TRUNC(($AN216+0.01)*3/13,0)+0.99),'Tax scales - NAT 1004'!$A$25:$C$33,2,1)-VLOOKUP((TRUNC(($AN216+0.01)*3/13,0)+0.99),'Tax scales - NAT 1004'!$A$25:$C$33,3,1)),0)
*13/3,
0),
IF($E$2="Monthly",
ROUND(
ROUND(((TRUNC($AN216*3/13,0)+0.99)*VLOOKUP((TRUNC($AN216*3/13,0)+0.99),'Tax scales - NAT 1004'!$A$25:$C$33,2,1)-VLOOKUP((TRUNC($AN216*3/13,0)+0.99),'Tax scales - NAT 1004'!$A$25:$C$33,3,1)),0)
*13/3,
0),
""))),
""),
"")</f>
        <v/>
      </c>
      <c r="AQ216" s="118" t="str">
        <f>IFERROR(
IF(VLOOKUP($C216,'Employee information'!$B:$M,COLUMNS('Employee information'!$B:$M),0)=3,
IF($E$2="Fortnightly",
ROUND(
ROUND((((TRUNC($AN216/2,0)+0.99))*VLOOKUP((TRUNC($AN216/2,0)+0.99),'Tax scales - NAT 1004'!$A$39:$C$41,2,1)-VLOOKUP((TRUNC($AN216/2,0)+0.99),'Tax scales - NAT 1004'!$A$39:$C$41,3,1)),0)
*2,
0),
IF(AND($E$2="Monthly",ROUND($AN216-TRUNC($AN216),2)=0.33),
ROUND(
ROUND(((TRUNC(($AN216+0.01)*3/13,0)+0.99)*VLOOKUP((TRUNC(($AN216+0.01)*3/13,0)+0.99),'Tax scales - NAT 1004'!$A$39:$C$41,2,1)-VLOOKUP((TRUNC(($AN216+0.01)*3/13,0)+0.99),'Tax scales - NAT 1004'!$A$39:$C$41,3,1)),0)
*13/3,
0),
IF($E$2="Monthly",
ROUND(
ROUND(((TRUNC($AN216*3/13,0)+0.99)*VLOOKUP((TRUNC($AN216*3/13,0)+0.99),'Tax scales - NAT 1004'!$A$39:$C$41,2,1)-VLOOKUP((TRUNC($AN216*3/13,0)+0.99),'Tax scales - NAT 1004'!$A$39:$C$41,3,1)),0)
*13/3,
0),
""))),
""),
"")</f>
        <v/>
      </c>
      <c r="AR216" s="118" t="str">
        <f>IFERROR(
IF(AND(VLOOKUP($C216,'Employee information'!$B:$M,COLUMNS('Employee information'!$B:$M),0)=4,
VLOOKUP($C216,'Employee information'!$B:$J,COLUMNS('Employee information'!$B:$J),0)="Resident"),
TRUNC(TRUNC($AN216)*'Tax scales - NAT 1004'!$B$47),
IF(AND(VLOOKUP($C216,'Employee information'!$B:$M,COLUMNS('Employee information'!$B:$M),0)=4,
VLOOKUP($C216,'Employee information'!$B:$J,COLUMNS('Employee information'!$B:$J),0)="Foreign resident"),
TRUNC(TRUNC($AN216)*'Tax scales - NAT 1004'!$B$48),
"")),
"")</f>
        <v/>
      </c>
      <c r="AS216" s="118" t="str">
        <f>IFERROR(
IF(VLOOKUP($C216,'Employee information'!$B:$M,COLUMNS('Employee information'!$B:$M),0)=5,
IF($E$2="Fortnightly",
ROUND(
ROUND((((TRUNC($AN216/2,0)+0.99))*VLOOKUP((TRUNC($AN216/2,0)+0.99),'Tax scales - NAT 1004'!$A$53:$C$59,2,1)-VLOOKUP((TRUNC($AN216/2,0)+0.99),'Tax scales - NAT 1004'!$A$53:$C$59,3,1)),0)
*2,
0),
IF(AND($E$2="Monthly",ROUND($AN216-TRUNC($AN216),2)=0.33),
ROUND(
ROUND(((TRUNC(($AN216+0.01)*3/13,0)+0.99)*VLOOKUP((TRUNC(($AN216+0.01)*3/13,0)+0.99),'Tax scales - NAT 1004'!$A$53:$C$59,2,1)-VLOOKUP((TRUNC(($AN216+0.01)*3/13,0)+0.99),'Tax scales - NAT 1004'!$A$53:$C$59,3,1)),0)
*13/3,
0),
IF($E$2="Monthly",
ROUND(
ROUND(((TRUNC($AN216*3/13,0)+0.99)*VLOOKUP((TRUNC($AN216*3/13,0)+0.99),'Tax scales - NAT 1004'!$A$53:$C$59,2,1)-VLOOKUP((TRUNC($AN216*3/13,0)+0.99),'Tax scales - NAT 1004'!$A$53:$C$59,3,1)),0)
*13/3,
0),
""))),
""),
"")</f>
        <v/>
      </c>
      <c r="AT216" s="118" t="str">
        <f>IFERROR(
IF(VLOOKUP($C216,'Employee information'!$B:$M,COLUMNS('Employee information'!$B:$M),0)=6,
IF($E$2="Fortnightly",
ROUND(
ROUND((((TRUNC($AN216/2,0)+0.99))*VLOOKUP((TRUNC($AN216/2,0)+0.99),'Tax scales - NAT 1004'!$A$65:$C$73,2,1)-VLOOKUP((TRUNC($AN216/2,0)+0.99),'Tax scales - NAT 1004'!$A$65:$C$73,3,1)),0)
*2,
0),
IF(AND($E$2="Monthly",ROUND($AN216-TRUNC($AN216),2)=0.33),
ROUND(
ROUND(((TRUNC(($AN216+0.01)*3/13,0)+0.99)*VLOOKUP((TRUNC(($AN216+0.01)*3/13,0)+0.99),'Tax scales - NAT 1004'!$A$65:$C$73,2,1)-VLOOKUP((TRUNC(($AN216+0.01)*3/13,0)+0.99),'Tax scales - NAT 1004'!$A$65:$C$73,3,1)),0)
*13/3,
0),
IF($E$2="Monthly",
ROUND(
ROUND(((TRUNC($AN216*3/13,0)+0.99)*VLOOKUP((TRUNC($AN216*3/13,0)+0.99),'Tax scales - NAT 1004'!$A$65:$C$73,2,1)-VLOOKUP((TRUNC($AN216*3/13,0)+0.99),'Tax scales - NAT 1004'!$A$65:$C$73,3,1)),0)
*13/3,
0),
""))),
""),
"")</f>
        <v/>
      </c>
      <c r="AU216" s="118" t="str">
        <f>IFERROR(
IF(VLOOKUP($C216,'Employee information'!$B:$M,COLUMNS('Employee information'!$B:$M),0)=11,
IF($E$2="Fortnightly",
ROUND(
ROUND((((TRUNC($AN216/2,0)+0.99))*VLOOKUP((TRUNC($AN216/2,0)+0.99),'Tax scales - NAT 3539'!$A$14:$C$38,2,1)-VLOOKUP((TRUNC($AN216/2,0)+0.99),'Tax scales - NAT 3539'!$A$14:$C$38,3,1)),0)
*2,
0),
IF(AND($E$2="Monthly",ROUND($AN216-TRUNC($AN216),2)=0.33),
ROUND(
ROUND(((TRUNC(($AN216+0.01)*3/13,0)+0.99)*VLOOKUP((TRUNC(($AN216+0.01)*3/13,0)+0.99),'Tax scales - NAT 3539'!$A$14:$C$38,2,1)-VLOOKUP((TRUNC(($AN216+0.01)*3/13,0)+0.99),'Tax scales - NAT 3539'!$A$14:$C$38,3,1)),0)
*13/3,
0),
IF($E$2="Monthly",
ROUND(
ROUND(((TRUNC($AN216*3/13,0)+0.99)*VLOOKUP((TRUNC($AN216*3/13,0)+0.99),'Tax scales - NAT 3539'!$A$14:$C$38,2,1)-VLOOKUP((TRUNC($AN216*3/13,0)+0.99),'Tax scales - NAT 3539'!$A$14:$C$38,3,1)),0)
*13/3,
0),
""))),
""),
"")</f>
        <v/>
      </c>
      <c r="AV216" s="118" t="str">
        <f>IFERROR(
IF(VLOOKUP($C216,'Employee information'!$B:$M,COLUMNS('Employee information'!$B:$M),0)=22,
IF($E$2="Fortnightly",
ROUND(
ROUND((((TRUNC($AN216/2,0)+0.99))*VLOOKUP((TRUNC($AN216/2,0)+0.99),'Tax scales - NAT 3539'!$A$43:$C$69,2,1)-VLOOKUP((TRUNC($AN216/2,0)+0.99),'Tax scales - NAT 3539'!$A$43:$C$69,3,1)),0)
*2,
0),
IF(AND($E$2="Monthly",ROUND($AN216-TRUNC($AN216),2)=0.33),
ROUND(
ROUND(((TRUNC(($AN216+0.01)*3/13,0)+0.99)*VLOOKUP((TRUNC(($AN216+0.01)*3/13,0)+0.99),'Tax scales - NAT 3539'!$A$43:$C$69,2,1)-VLOOKUP((TRUNC(($AN216+0.01)*3/13,0)+0.99),'Tax scales - NAT 3539'!$A$43:$C$69,3,1)),0)
*13/3,
0),
IF($E$2="Monthly",
ROUND(
ROUND(((TRUNC($AN216*3/13,0)+0.99)*VLOOKUP((TRUNC($AN216*3/13,0)+0.99),'Tax scales - NAT 3539'!$A$43:$C$69,2,1)-VLOOKUP((TRUNC($AN216*3/13,0)+0.99),'Tax scales - NAT 3539'!$A$43:$C$69,3,1)),0)
*13/3,
0),
""))),
""),
"")</f>
        <v/>
      </c>
      <c r="AW216" s="118">
        <f>IFERROR(
IF(VLOOKUP($C216,'Employee information'!$B:$M,COLUMNS('Employee information'!$B:$M),0)=33,
IF($E$2="Fortnightly",
ROUND(
ROUND((((TRUNC($AN216/2,0)+0.99))*VLOOKUP((TRUNC($AN216/2,0)+0.99),'Tax scales - NAT 3539'!$A$74:$C$94,2,1)-VLOOKUP((TRUNC($AN216/2,0)+0.99),'Tax scales - NAT 3539'!$A$74:$C$94,3,1)),0)
*2,
0),
IF(AND($E$2="Monthly",ROUND($AN216-TRUNC($AN216),2)=0.33),
ROUND(
ROUND(((TRUNC(($AN216+0.01)*3/13,0)+0.99)*VLOOKUP((TRUNC(($AN216+0.01)*3/13,0)+0.99),'Tax scales - NAT 3539'!$A$74:$C$94,2,1)-VLOOKUP((TRUNC(($AN216+0.01)*3/13,0)+0.99),'Tax scales - NAT 3539'!$A$74:$C$94,3,1)),0)
*13/3,
0),
IF($E$2="Monthly",
ROUND(
ROUND(((TRUNC($AN216*3/13,0)+0.99)*VLOOKUP((TRUNC($AN216*3/13,0)+0.99),'Tax scales - NAT 3539'!$A$74:$C$94,2,1)-VLOOKUP((TRUNC($AN216*3/13,0)+0.99),'Tax scales - NAT 3539'!$A$74:$C$94,3,1)),0)
*13/3,
0),
""))),
""),
"")</f>
        <v>0</v>
      </c>
      <c r="AX216" s="118" t="str">
        <f>IFERROR(
IF(VLOOKUP($C216,'Employee information'!$B:$M,COLUMNS('Employee information'!$B:$M),0)=55,
IF($E$2="Fortnightly",
ROUND(
ROUND((((TRUNC($AN216/2,0)+0.99))*VLOOKUP((TRUNC($AN216/2,0)+0.99),'Tax scales - NAT 3539'!$A$99:$C$123,2,1)-VLOOKUP((TRUNC($AN216/2,0)+0.99),'Tax scales - NAT 3539'!$A$99:$C$123,3,1)),0)
*2,
0),
IF(AND($E$2="Monthly",ROUND($AN216-TRUNC($AN216),2)=0.33),
ROUND(
ROUND(((TRUNC(($AN216+0.01)*3/13,0)+0.99)*VLOOKUP((TRUNC(($AN216+0.01)*3/13,0)+0.99),'Tax scales - NAT 3539'!$A$99:$C$123,2,1)-VLOOKUP((TRUNC(($AN216+0.01)*3/13,0)+0.99),'Tax scales - NAT 3539'!$A$99:$C$123,3,1)),0)
*13/3,
0),
IF($E$2="Monthly",
ROUND(
ROUND(((TRUNC($AN216*3/13,0)+0.99)*VLOOKUP((TRUNC($AN216*3/13,0)+0.99),'Tax scales - NAT 3539'!$A$99:$C$123,2,1)-VLOOKUP((TRUNC($AN216*3/13,0)+0.99),'Tax scales - NAT 3539'!$A$99:$C$123,3,1)),0)
*13/3,
0),
""))),
""),
"")</f>
        <v/>
      </c>
      <c r="AY216" s="118" t="str">
        <f>IFERROR(
IF(VLOOKUP($C216,'Employee information'!$B:$M,COLUMNS('Employee information'!$B:$M),0)=66,
IF($E$2="Fortnightly",
ROUND(
ROUND((((TRUNC($AN216/2,0)+0.99))*VLOOKUP((TRUNC($AN216/2,0)+0.99),'Tax scales - NAT 3539'!$A$127:$C$154,2,1)-VLOOKUP((TRUNC($AN216/2,0)+0.99),'Tax scales - NAT 3539'!$A$127:$C$154,3,1)),0)
*2,
0),
IF(AND($E$2="Monthly",ROUND($AN216-TRUNC($AN216),2)=0.33),
ROUND(
ROUND(((TRUNC(($AN216+0.01)*3/13,0)+0.99)*VLOOKUP((TRUNC(($AN216+0.01)*3/13,0)+0.99),'Tax scales - NAT 3539'!$A$127:$C$154,2,1)-VLOOKUP((TRUNC(($AN216+0.01)*3/13,0)+0.99),'Tax scales - NAT 3539'!$A$127:$C$154,3,1)),0)
*13/3,
0),
IF($E$2="Monthly",
ROUND(
ROUND(((TRUNC($AN216*3/13,0)+0.99)*VLOOKUP((TRUNC($AN216*3/13,0)+0.99),'Tax scales - NAT 3539'!$A$127:$C$154,2,1)-VLOOKUP((TRUNC($AN216*3/13,0)+0.99),'Tax scales - NAT 3539'!$A$127:$C$154,3,1)),0)
*13/3,
0),
""))),
""),
"")</f>
        <v/>
      </c>
      <c r="AZ216" s="118">
        <f>IFERROR(
HLOOKUP(VLOOKUP($C216,'Employee information'!$B:$M,COLUMNS('Employee information'!$B:$M),0),'PAYG worksheet'!$AO$213:$AY$232,COUNTA($C$214:$C216)+1,0),
0)</f>
        <v>0</v>
      </c>
      <c r="BA216" s="118"/>
      <c r="BB216" s="118">
        <f t="shared" si="232"/>
        <v>0</v>
      </c>
      <c r="BC216" s="119">
        <f>IFERROR(
IF(OR($AE216=1,$AE216=""),SUM($P216,$AA216,$AC216,$AK216)*VLOOKUP($C216,'Employee information'!$B:$Q,COLUMNS('Employee information'!$B:$H),0),
IF($AE216=0,SUM($P216,$AA216,$AK216)*VLOOKUP($C216,'Employee information'!$B:$Q,COLUMNS('Employee information'!$B:$H),0),
0)),
0)</f>
        <v>0</v>
      </c>
      <c r="BE216" s="114">
        <f t="shared" si="217"/>
        <v>900</v>
      </c>
      <c r="BF216" s="114">
        <f t="shared" si="218"/>
        <v>900</v>
      </c>
      <c r="BG216" s="114">
        <f t="shared" si="219"/>
        <v>0</v>
      </c>
      <c r="BH216" s="114">
        <f t="shared" si="220"/>
        <v>0</v>
      </c>
      <c r="BI216" s="114">
        <f t="shared" si="221"/>
        <v>292</v>
      </c>
      <c r="BJ216" s="114">
        <f t="shared" si="222"/>
        <v>0</v>
      </c>
      <c r="BK216" s="114">
        <f t="shared" si="223"/>
        <v>0</v>
      </c>
      <c r="BL216" s="114">
        <f t="shared" si="233"/>
        <v>0</v>
      </c>
      <c r="BM216" s="114">
        <f t="shared" si="224"/>
        <v>85.5</v>
      </c>
    </row>
    <row r="217" spans="1:65" x14ac:dyDescent="0.25">
      <c r="A217" s="228">
        <f t="shared" si="212"/>
        <v>8</v>
      </c>
      <c r="C217" s="278" t="s">
        <v>15</v>
      </c>
      <c r="E217" s="103">
        <f>IF($C217="",0,
IF(AND($E$2="Monthly",$A217&gt;12),0,
IF($E$2="Monthly",VLOOKUP($C217,'Employee information'!$B:$AM,COLUMNS('Employee information'!$B:S),0),
IF($E$2="Fortnightly",VLOOKUP($C217,'Employee information'!$B:$AM,COLUMNS('Employee information'!$B:R),0),
0))))</f>
        <v>75</v>
      </c>
      <c r="F217" s="106"/>
      <c r="G217" s="106"/>
      <c r="H217" s="106"/>
      <c r="I217" s="106"/>
      <c r="J217" s="103">
        <f t="shared" si="225"/>
        <v>75</v>
      </c>
      <c r="L217" s="113">
        <f>IF(AND($E$2="Monthly",$A217&gt;12),"",
IFERROR($J217*VLOOKUP($C217,'Employee information'!$B:$AI,COLUMNS('Employee information'!$B:$P),0),0))</f>
        <v>7692.3076923076924</v>
      </c>
      <c r="M217" s="114">
        <f t="shared" si="226"/>
        <v>61538.461538461546</v>
      </c>
      <c r="O217" s="103">
        <f t="shared" si="227"/>
        <v>75</v>
      </c>
      <c r="P217" s="113">
        <f>IFERROR(
IF(AND($E$2="Monthly",$A217&gt;12),0,
$O217*VLOOKUP($C217,'Employee information'!$B:$AI,COLUMNS('Employee information'!$B:$P),0)),
0)</f>
        <v>7692.3076923076924</v>
      </c>
      <c r="R217" s="114">
        <f t="shared" si="213"/>
        <v>61538.461538461546</v>
      </c>
      <c r="T217" s="103"/>
      <c r="U217" s="103"/>
      <c r="V217" s="282">
        <f>IF($C217="","",
IF(AND($E$2="Monthly",$A217&gt;12),"",
$T217*VLOOKUP($C217,'Employee information'!$B:$P,COLUMNS('Employee information'!$B:$P),0)))</f>
        <v>0</v>
      </c>
      <c r="W217" s="282">
        <f>IF($C217="","",
IF(AND($E$2="Monthly",$A217&gt;12),"",
$U217*VLOOKUP($C217,'Employee information'!$B:$P,COLUMNS('Employee information'!$B:$P),0)))</f>
        <v>0</v>
      </c>
      <c r="X217" s="114">
        <f t="shared" si="214"/>
        <v>1538.4615384615386</v>
      </c>
      <c r="Y217" s="114">
        <f t="shared" si="215"/>
        <v>512.82051282051282</v>
      </c>
      <c r="AA217" s="118">
        <f>IFERROR(
IF(OR('Basic payroll data'!$D$12="",'Basic payroll data'!$D$12="No"),0,
$T217*VLOOKUP($C217,'Employee information'!$B:$P,COLUMNS('Employee information'!$B:$P),0)*AL_loading_perc),
0)</f>
        <v>0</v>
      </c>
      <c r="AC217" s="118"/>
      <c r="AD217" s="118"/>
      <c r="AE217" s="283" t="str">
        <f t="shared" si="228"/>
        <v/>
      </c>
      <c r="AF217" s="283" t="str">
        <f t="shared" si="229"/>
        <v/>
      </c>
      <c r="AG217" s="118"/>
      <c r="AH217" s="118"/>
      <c r="AI217" s="283" t="str">
        <f t="shared" si="230"/>
        <v/>
      </c>
      <c r="AJ217" s="118"/>
      <c r="AK217" s="118"/>
      <c r="AM217" s="118">
        <f t="shared" si="231"/>
        <v>7692.3076923076924</v>
      </c>
      <c r="AN217" s="118">
        <f t="shared" si="216"/>
        <v>7692.3076923076924</v>
      </c>
      <c r="AO217" s="118" t="str">
        <f>IFERROR(
IF(VLOOKUP($C217,'Employee information'!$B:$M,COLUMNS('Employee information'!$B:$M),0)=1,
IF($E$2="Fortnightly",
ROUND(
ROUND((((TRUNC($AN217/2,0)+0.99))*VLOOKUP((TRUNC($AN217/2,0)+0.99),'Tax scales - NAT 1004'!$A$12:$C$18,2,1)-VLOOKUP((TRUNC($AN217/2,0)+0.99),'Tax scales - NAT 1004'!$A$12:$C$18,3,1)),0)
*2,
0),
IF(AND($E$2="Monthly",ROUND($AN217-TRUNC($AN217),2)=0.33),
ROUND(
ROUND(((TRUNC(($AN217+0.01)*3/13,0)+0.99)*VLOOKUP((TRUNC(($AN217+0.01)*3/13,0)+0.99),'Tax scales - NAT 1004'!$A$12:$C$18,2,1)-VLOOKUP((TRUNC(($AN217+0.01)*3/13,0)+0.99),'Tax scales - NAT 1004'!$A$12:$C$18,3,1)),0)
*13/3,
0),
IF($E$2="Monthly",
ROUND(
ROUND(((TRUNC($AN217*3/13,0)+0.99)*VLOOKUP((TRUNC($AN217*3/13,0)+0.99),'Tax scales - NAT 1004'!$A$12:$C$18,2,1)-VLOOKUP((TRUNC($AN217*3/13,0)+0.99),'Tax scales - NAT 1004'!$A$12:$C$18,3,1)),0)
*13/3,
0),
""))),
""),
"")</f>
        <v/>
      </c>
      <c r="AP217" s="118" t="str">
        <f>IFERROR(
IF(VLOOKUP($C217,'Employee information'!$B:$M,COLUMNS('Employee information'!$B:$M),0)=2,
IF($E$2="Fortnightly",
ROUND(
ROUND((((TRUNC($AN217/2,0)+0.99))*VLOOKUP((TRUNC($AN217/2,0)+0.99),'Tax scales - NAT 1004'!$A$25:$C$33,2,1)-VLOOKUP((TRUNC($AN217/2,0)+0.99),'Tax scales - NAT 1004'!$A$25:$C$33,3,1)),0)
*2,
0),
IF(AND($E$2="Monthly",ROUND($AN217-TRUNC($AN217),2)=0.33),
ROUND(
ROUND(((TRUNC(($AN217+0.01)*3/13,0)+0.99)*VLOOKUP((TRUNC(($AN217+0.01)*3/13,0)+0.99),'Tax scales - NAT 1004'!$A$25:$C$33,2,1)-VLOOKUP((TRUNC(($AN217+0.01)*3/13,0)+0.99),'Tax scales - NAT 1004'!$A$25:$C$33,3,1)),0)
*13/3,
0),
IF($E$2="Monthly",
ROUND(
ROUND(((TRUNC($AN217*3/13,0)+0.99)*VLOOKUP((TRUNC($AN217*3/13,0)+0.99),'Tax scales - NAT 1004'!$A$25:$C$33,2,1)-VLOOKUP((TRUNC($AN217*3/13,0)+0.99),'Tax scales - NAT 1004'!$A$25:$C$33,3,1)),0)
*13/3,
0),
""))),
""),
"")</f>
        <v/>
      </c>
      <c r="AQ217" s="118" t="str">
        <f>IFERROR(
IF(VLOOKUP($C217,'Employee information'!$B:$M,COLUMNS('Employee information'!$B:$M),0)=3,
IF($E$2="Fortnightly",
ROUND(
ROUND((((TRUNC($AN217/2,0)+0.99))*VLOOKUP((TRUNC($AN217/2,0)+0.99),'Tax scales - NAT 1004'!$A$39:$C$41,2,1)-VLOOKUP((TRUNC($AN217/2,0)+0.99),'Tax scales - NAT 1004'!$A$39:$C$41,3,1)),0)
*2,
0),
IF(AND($E$2="Monthly",ROUND($AN217-TRUNC($AN217),2)=0.33),
ROUND(
ROUND(((TRUNC(($AN217+0.01)*3/13,0)+0.99)*VLOOKUP((TRUNC(($AN217+0.01)*3/13,0)+0.99),'Tax scales - NAT 1004'!$A$39:$C$41,2,1)-VLOOKUP((TRUNC(($AN217+0.01)*3/13,0)+0.99),'Tax scales - NAT 1004'!$A$39:$C$41,3,1)),0)
*13/3,
0),
IF($E$2="Monthly",
ROUND(
ROUND(((TRUNC($AN217*3/13,0)+0.99)*VLOOKUP((TRUNC($AN217*3/13,0)+0.99),'Tax scales - NAT 1004'!$A$39:$C$41,2,1)-VLOOKUP((TRUNC($AN217*3/13,0)+0.99),'Tax scales - NAT 1004'!$A$39:$C$41,3,1)),0)
*13/3,
0),
""))),
""),
"")</f>
        <v/>
      </c>
      <c r="AR217" s="118" t="str">
        <f>IFERROR(
IF(AND(VLOOKUP($C217,'Employee information'!$B:$M,COLUMNS('Employee information'!$B:$M),0)=4,
VLOOKUP($C217,'Employee information'!$B:$J,COLUMNS('Employee information'!$B:$J),0)="Resident"),
TRUNC(TRUNC($AN217)*'Tax scales - NAT 1004'!$B$47),
IF(AND(VLOOKUP($C217,'Employee information'!$B:$M,COLUMNS('Employee information'!$B:$M),0)=4,
VLOOKUP($C217,'Employee information'!$B:$J,COLUMNS('Employee information'!$B:$J),0)="Foreign resident"),
TRUNC(TRUNC($AN217)*'Tax scales - NAT 1004'!$B$48),
"")),
"")</f>
        <v/>
      </c>
      <c r="AS217" s="118" t="str">
        <f>IFERROR(
IF(VLOOKUP($C217,'Employee information'!$B:$M,COLUMNS('Employee information'!$B:$M),0)=5,
IF($E$2="Fortnightly",
ROUND(
ROUND((((TRUNC($AN217/2,0)+0.99))*VLOOKUP((TRUNC($AN217/2,0)+0.99),'Tax scales - NAT 1004'!$A$53:$C$59,2,1)-VLOOKUP((TRUNC($AN217/2,0)+0.99),'Tax scales - NAT 1004'!$A$53:$C$59,3,1)),0)
*2,
0),
IF(AND($E$2="Monthly",ROUND($AN217-TRUNC($AN217),2)=0.33),
ROUND(
ROUND(((TRUNC(($AN217+0.01)*3/13,0)+0.99)*VLOOKUP((TRUNC(($AN217+0.01)*3/13,0)+0.99),'Tax scales - NAT 1004'!$A$53:$C$59,2,1)-VLOOKUP((TRUNC(($AN217+0.01)*3/13,0)+0.99),'Tax scales - NAT 1004'!$A$53:$C$59,3,1)),0)
*13/3,
0),
IF($E$2="Monthly",
ROUND(
ROUND(((TRUNC($AN217*3/13,0)+0.99)*VLOOKUP((TRUNC($AN217*3/13,0)+0.99),'Tax scales - NAT 1004'!$A$53:$C$59,2,1)-VLOOKUP((TRUNC($AN217*3/13,0)+0.99),'Tax scales - NAT 1004'!$A$53:$C$59,3,1)),0)
*13/3,
0),
""))),
""),
"")</f>
        <v/>
      </c>
      <c r="AT217" s="118" t="str">
        <f>IFERROR(
IF(VLOOKUP($C217,'Employee information'!$B:$M,COLUMNS('Employee information'!$B:$M),0)=6,
IF($E$2="Fortnightly",
ROUND(
ROUND((((TRUNC($AN217/2,0)+0.99))*VLOOKUP((TRUNC($AN217/2,0)+0.99),'Tax scales - NAT 1004'!$A$65:$C$73,2,1)-VLOOKUP((TRUNC($AN217/2,0)+0.99),'Tax scales - NAT 1004'!$A$65:$C$73,3,1)),0)
*2,
0),
IF(AND($E$2="Monthly",ROUND($AN217-TRUNC($AN217),2)=0.33),
ROUND(
ROUND(((TRUNC(($AN217+0.01)*3/13,0)+0.99)*VLOOKUP((TRUNC(($AN217+0.01)*3/13,0)+0.99),'Tax scales - NAT 1004'!$A$65:$C$73,2,1)-VLOOKUP((TRUNC(($AN217+0.01)*3/13,0)+0.99),'Tax scales - NAT 1004'!$A$65:$C$73,3,1)),0)
*13/3,
0),
IF($E$2="Monthly",
ROUND(
ROUND(((TRUNC($AN217*3/13,0)+0.99)*VLOOKUP((TRUNC($AN217*3/13,0)+0.99),'Tax scales - NAT 1004'!$A$65:$C$73,2,1)-VLOOKUP((TRUNC($AN217*3/13,0)+0.99),'Tax scales - NAT 1004'!$A$65:$C$73,3,1)),0)
*13/3,
0),
""))),
""),
"")</f>
        <v/>
      </c>
      <c r="AU217" s="118" t="str">
        <f>IFERROR(
IF(VLOOKUP($C217,'Employee information'!$B:$M,COLUMNS('Employee information'!$B:$M),0)=11,
IF($E$2="Fortnightly",
ROUND(
ROUND((((TRUNC($AN217/2,0)+0.99))*VLOOKUP((TRUNC($AN217/2,0)+0.99),'Tax scales - NAT 3539'!$A$14:$C$38,2,1)-VLOOKUP((TRUNC($AN217/2,0)+0.99),'Tax scales - NAT 3539'!$A$14:$C$38,3,1)),0)
*2,
0),
IF(AND($E$2="Monthly",ROUND($AN217-TRUNC($AN217),2)=0.33),
ROUND(
ROUND(((TRUNC(($AN217+0.01)*3/13,0)+0.99)*VLOOKUP((TRUNC(($AN217+0.01)*3/13,0)+0.99),'Tax scales - NAT 3539'!$A$14:$C$38,2,1)-VLOOKUP((TRUNC(($AN217+0.01)*3/13,0)+0.99),'Tax scales - NAT 3539'!$A$14:$C$38,3,1)),0)
*13/3,
0),
IF($E$2="Monthly",
ROUND(
ROUND(((TRUNC($AN217*3/13,0)+0.99)*VLOOKUP((TRUNC($AN217*3/13,0)+0.99),'Tax scales - NAT 3539'!$A$14:$C$38,2,1)-VLOOKUP((TRUNC($AN217*3/13,0)+0.99),'Tax scales - NAT 3539'!$A$14:$C$38,3,1)),0)
*13/3,
0),
""))),
""),
"")</f>
        <v/>
      </c>
      <c r="AV217" s="118" t="str">
        <f>IFERROR(
IF(VLOOKUP($C217,'Employee information'!$B:$M,COLUMNS('Employee information'!$B:$M),0)=22,
IF($E$2="Fortnightly",
ROUND(
ROUND((((TRUNC($AN217/2,0)+0.99))*VLOOKUP((TRUNC($AN217/2,0)+0.99),'Tax scales - NAT 3539'!$A$43:$C$69,2,1)-VLOOKUP((TRUNC($AN217/2,0)+0.99),'Tax scales - NAT 3539'!$A$43:$C$69,3,1)),0)
*2,
0),
IF(AND($E$2="Monthly",ROUND($AN217-TRUNC($AN217),2)=0.33),
ROUND(
ROUND(((TRUNC(($AN217+0.01)*3/13,0)+0.99)*VLOOKUP((TRUNC(($AN217+0.01)*3/13,0)+0.99),'Tax scales - NAT 3539'!$A$43:$C$69,2,1)-VLOOKUP((TRUNC(($AN217+0.01)*3/13,0)+0.99),'Tax scales - NAT 3539'!$A$43:$C$69,3,1)),0)
*13/3,
0),
IF($E$2="Monthly",
ROUND(
ROUND(((TRUNC($AN217*3/13,0)+0.99)*VLOOKUP((TRUNC($AN217*3/13,0)+0.99),'Tax scales - NAT 3539'!$A$43:$C$69,2,1)-VLOOKUP((TRUNC($AN217*3/13,0)+0.99),'Tax scales - NAT 3539'!$A$43:$C$69,3,1)),0)
*13/3,
0),
""))),
""),
"")</f>
        <v/>
      </c>
      <c r="AW217" s="118" t="str">
        <f>IFERROR(
IF(VLOOKUP($C217,'Employee information'!$B:$M,COLUMNS('Employee information'!$B:$M),0)=33,
IF($E$2="Fortnightly",
ROUND(
ROUND((((TRUNC($AN217/2,0)+0.99))*VLOOKUP((TRUNC($AN217/2,0)+0.99),'Tax scales - NAT 3539'!$A$74:$C$94,2,1)-VLOOKUP((TRUNC($AN217/2,0)+0.99),'Tax scales - NAT 3539'!$A$74:$C$94,3,1)),0)
*2,
0),
IF(AND($E$2="Monthly",ROUND($AN217-TRUNC($AN217),2)=0.33),
ROUND(
ROUND(((TRUNC(($AN217+0.01)*3/13,0)+0.99)*VLOOKUP((TRUNC(($AN217+0.01)*3/13,0)+0.99),'Tax scales - NAT 3539'!$A$74:$C$94,2,1)-VLOOKUP((TRUNC(($AN217+0.01)*3/13,0)+0.99),'Tax scales - NAT 3539'!$A$74:$C$94,3,1)),0)
*13/3,
0),
IF($E$2="Monthly",
ROUND(
ROUND(((TRUNC($AN217*3/13,0)+0.99)*VLOOKUP((TRUNC($AN217*3/13,0)+0.99),'Tax scales - NAT 3539'!$A$74:$C$94,2,1)-VLOOKUP((TRUNC($AN217*3/13,0)+0.99),'Tax scales - NAT 3539'!$A$74:$C$94,3,1)),0)
*13/3,
0),
""))),
""),
"")</f>
        <v/>
      </c>
      <c r="AX217" s="118">
        <f>IFERROR(
IF(VLOOKUP($C217,'Employee information'!$B:$M,COLUMNS('Employee information'!$B:$M),0)=55,
IF($E$2="Fortnightly",
ROUND(
ROUND((((TRUNC($AN217/2,0)+0.99))*VLOOKUP((TRUNC($AN217/2,0)+0.99),'Tax scales - NAT 3539'!$A$99:$C$123,2,1)-VLOOKUP((TRUNC($AN217/2,0)+0.99),'Tax scales - NAT 3539'!$A$99:$C$123,3,1)),0)
*2,
0),
IF(AND($E$2="Monthly",ROUND($AN217-TRUNC($AN217),2)=0.33),
ROUND(
ROUND(((TRUNC(($AN217+0.01)*3/13,0)+0.99)*VLOOKUP((TRUNC(($AN217+0.01)*3/13,0)+0.99),'Tax scales - NAT 3539'!$A$99:$C$123,2,1)-VLOOKUP((TRUNC(($AN217+0.01)*3/13,0)+0.99),'Tax scales - NAT 3539'!$A$99:$C$123,3,1)),0)
*13/3,
0),
IF($E$2="Monthly",
ROUND(
ROUND(((TRUNC($AN217*3/13,0)+0.99)*VLOOKUP((TRUNC($AN217*3/13,0)+0.99),'Tax scales - NAT 3539'!$A$99:$C$123,2,1)-VLOOKUP((TRUNC($AN217*3/13,0)+0.99),'Tax scales - NAT 3539'!$A$99:$C$123,3,1)),0)
*13/3,
0),
""))),
""),
"")</f>
        <v>3104</v>
      </c>
      <c r="AY217" s="118" t="str">
        <f>IFERROR(
IF(VLOOKUP($C217,'Employee information'!$B:$M,COLUMNS('Employee information'!$B:$M),0)=66,
IF($E$2="Fortnightly",
ROUND(
ROUND((((TRUNC($AN217/2,0)+0.99))*VLOOKUP((TRUNC($AN217/2,0)+0.99),'Tax scales - NAT 3539'!$A$127:$C$154,2,1)-VLOOKUP((TRUNC($AN217/2,0)+0.99),'Tax scales - NAT 3539'!$A$127:$C$154,3,1)),0)
*2,
0),
IF(AND($E$2="Monthly",ROUND($AN217-TRUNC($AN217),2)=0.33),
ROUND(
ROUND(((TRUNC(($AN217+0.01)*3/13,0)+0.99)*VLOOKUP((TRUNC(($AN217+0.01)*3/13,0)+0.99),'Tax scales - NAT 3539'!$A$127:$C$154,2,1)-VLOOKUP((TRUNC(($AN217+0.01)*3/13,0)+0.99),'Tax scales - NAT 3539'!$A$127:$C$154,3,1)),0)
*13/3,
0),
IF($E$2="Monthly",
ROUND(
ROUND(((TRUNC($AN217*3/13,0)+0.99)*VLOOKUP((TRUNC($AN217*3/13,0)+0.99),'Tax scales - NAT 3539'!$A$127:$C$154,2,1)-VLOOKUP((TRUNC($AN217*3/13,0)+0.99),'Tax scales - NAT 3539'!$A$127:$C$154,3,1)),0)
*13/3,
0),
""))),
""),
"")</f>
        <v/>
      </c>
      <c r="AZ217" s="118">
        <f>IFERROR(
HLOOKUP(VLOOKUP($C217,'Employee information'!$B:$M,COLUMNS('Employee information'!$B:$M),0),'PAYG worksheet'!$AO$213:$AY$232,COUNTA($C$214:$C217)+1,0),
0)</f>
        <v>3104</v>
      </c>
      <c r="BA217" s="118"/>
      <c r="BB217" s="118">
        <f t="shared" si="232"/>
        <v>4588.3076923076924</v>
      </c>
      <c r="BC217" s="119">
        <f>IFERROR(
IF(OR($AE217=1,$AE217=""),SUM($P217,$AA217,$AC217,$AK217)*VLOOKUP($C217,'Employee information'!$B:$Q,COLUMNS('Employee information'!$B:$H),0),
IF($AE217=0,SUM($P217,$AA217,$AK217)*VLOOKUP($C217,'Employee information'!$B:$Q,COLUMNS('Employee information'!$B:$H),0),
0)),
0)</f>
        <v>730.76923076923083</v>
      </c>
      <c r="BE217" s="114">
        <f t="shared" si="217"/>
        <v>61678.461538461546</v>
      </c>
      <c r="BF217" s="114">
        <f t="shared" si="218"/>
        <v>61538.461538461546</v>
      </c>
      <c r="BG217" s="114">
        <f t="shared" si="219"/>
        <v>0</v>
      </c>
      <c r="BH217" s="114">
        <f t="shared" si="220"/>
        <v>140</v>
      </c>
      <c r="BI217" s="114">
        <f t="shared" si="221"/>
        <v>24832</v>
      </c>
      <c r="BJ217" s="114">
        <f t="shared" si="222"/>
        <v>0</v>
      </c>
      <c r="BK217" s="114">
        <f t="shared" si="223"/>
        <v>0</v>
      </c>
      <c r="BL217" s="114">
        <f t="shared" si="233"/>
        <v>0</v>
      </c>
      <c r="BM217" s="114">
        <f t="shared" si="224"/>
        <v>5846.1538461538457</v>
      </c>
    </row>
    <row r="218" spans="1:65" x14ac:dyDescent="0.25">
      <c r="A218" s="228">
        <f t="shared" si="212"/>
        <v>8</v>
      </c>
      <c r="C218" s="278" t="s">
        <v>16</v>
      </c>
      <c r="E218" s="103">
        <f>IF($C218="",0,
IF(AND($E$2="Monthly",$A218&gt;12),0,
IF($E$2="Monthly",VLOOKUP($C218,'Employee information'!$B:$AM,COLUMNS('Employee information'!$B:S),0),
IF($E$2="Fortnightly",VLOOKUP($C218,'Employee information'!$B:$AM,COLUMNS('Employee information'!$B:R),0),
0))))</f>
        <v>75</v>
      </c>
      <c r="F218" s="106"/>
      <c r="G218" s="106"/>
      <c r="H218" s="106"/>
      <c r="I218" s="106"/>
      <c r="J218" s="103">
        <f t="shared" si="225"/>
        <v>75</v>
      </c>
      <c r="L218" s="113">
        <f>IF(AND($E$2="Monthly",$A218&gt;12),"",
IFERROR($J218*VLOOKUP($C218,'Employee information'!$B:$AI,COLUMNS('Employee information'!$B:$P),0),0))</f>
        <v>4125</v>
      </c>
      <c r="M218" s="114">
        <f t="shared" si="226"/>
        <v>33000</v>
      </c>
      <c r="O218" s="103">
        <f t="shared" si="227"/>
        <v>75</v>
      </c>
      <c r="P218" s="113">
        <f>IFERROR(
IF(AND($E$2="Monthly",$A218&gt;12),0,
$O218*VLOOKUP($C218,'Employee information'!$B:$AI,COLUMNS('Employee information'!$B:$P),0)),
0)</f>
        <v>4125</v>
      </c>
      <c r="R218" s="114">
        <f t="shared" si="213"/>
        <v>33000</v>
      </c>
      <c r="T218" s="103"/>
      <c r="U218" s="103"/>
      <c r="V218" s="282">
        <f>IF($C218="","",
IF(AND($E$2="Monthly",$A218&gt;12),"",
$T218*VLOOKUP($C218,'Employee information'!$B:$P,COLUMNS('Employee information'!$B:$P),0)))</f>
        <v>0</v>
      </c>
      <c r="W218" s="282">
        <f>IF($C218="","",
IF(AND($E$2="Monthly",$A218&gt;12),"",
$U218*VLOOKUP($C218,'Employee information'!$B:$P,COLUMNS('Employee information'!$B:$P),0)))</f>
        <v>0</v>
      </c>
      <c r="X218" s="114">
        <f t="shared" si="214"/>
        <v>0</v>
      </c>
      <c r="Y218" s="114">
        <f t="shared" si="215"/>
        <v>0</v>
      </c>
      <c r="AA218" s="118">
        <f>IFERROR(
IF(OR('Basic payroll data'!$D$12="",'Basic payroll data'!$D$12="No"),0,
$T218*VLOOKUP($C218,'Employee information'!$B:$P,COLUMNS('Employee information'!$B:$P),0)*AL_loading_perc),
0)</f>
        <v>0</v>
      </c>
      <c r="AC218" s="118"/>
      <c r="AD218" s="118"/>
      <c r="AE218" s="283" t="str">
        <f t="shared" si="228"/>
        <v/>
      </c>
      <c r="AF218" s="283" t="str">
        <f t="shared" si="229"/>
        <v/>
      </c>
      <c r="AG218" s="118"/>
      <c r="AH218" s="118"/>
      <c r="AI218" s="283" t="str">
        <f t="shared" si="230"/>
        <v/>
      </c>
      <c r="AJ218" s="118"/>
      <c r="AK218" s="118"/>
      <c r="AM218" s="118">
        <f t="shared" si="231"/>
        <v>4125</v>
      </c>
      <c r="AN218" s="118">
        <f t="shared" si="216"/>
        <v>4125</v>
      </c>
      <c r="AO218" s="118" t="str">
        <f>IFERROR(
IF(VLOOKUP($C218,'Employee information'!$B:$M,COLUMNS('Employee information'!$B:$M),0)=1,
IF($E$2="Fortnightly",
ROUND(
ROUND((((TRUNC($AN218/2,0)+0.99))*VLOOKUP((TRUNC($AN218/2,0)+0.99),'Tax scales - NAT 1004'!$A$12:$C$18,2,1)-VLOOKUP((TRUNC($AN218/2,0)+0.99),'Tax scales - NAT 1004'!$A$12:$C$18,3,1)),0)
*2,
0),
IF(AND($E$2="Monthly",ROUND($AN218-TRUNC($AN218),2)=0.33),
ROUND(
ROUND(((TRUNC(($AN218+0.01)*3/13,0)+0.99)*VLOOKUP((TRUNC(($AN218+0.01)*3/13,0)+0.99),'Tax scales - NAT 1004'!$A$12:$C$18,2,1)-VLOOKUP((TRUNC(($AN218+0.01)*3/13,0)+0.99),'Tax scales - NAT 1004'!$A$12:$C$18,3,1)),0)
*13/3,
0),
IF($E$2="Monthly",
ROUND(
ROUND(((TRUNC($AN218*3/13,0)+0.99)*VLOOKUP((TRUNC($AN218*3/13,0)+0.99),'Tax scales - NAT 1004'!$A$12:$C$18,2,1)-VLOOKUP((TRUNC($AN218*3/13,0)+0.99),'Tax scales - NAT 1004'!$A$12:$C$18,3,1)),0)
*13/3,
0),
""))),
""),
"")</f>
        <v/>
      </c>
      <c r="AP218" s="118" t="str">
        <f>IFERROR(
IF(VLOOKUP($C218,'Employee information'!$B:$M,COLUMNS('Employee information'!$B:$M),0)=2,
IF($E$2="Fortnightly",
ROUND(
ROUND((((TRUNC($AN218/2,0)+0.99))*VLOOKUP((TRUNC($AN218/2,0)+0.99),'Tax scales - NAT 1004'!$A$25:$C$33,2,1)-VLOOKUP((TRUNC($AN218/2,0)+0.99),'Tax scales - NAT 1004'!$A$25:$C$33,3,1)),0)
*2,
0),
IF(AND($E$2="Monthly",ROUND($AN218-TRUNC($AN218),2)=0.33),
ROUND(
ROUND(((TRUNC(($AN218+0.01)*3/13,0)+0.99)*VLOOKUP((TRUNC(($AN218+0.01)*3/13,0)+0.99),'Tax scales - NAT 1004'!$A$25:$C$33,2,1)-VLOOKUP((TRUNC(($AN218+0.01)*3/13,0)+0.99),'Tax scales - NAT 1004'!$A$25:$C$33,3,1)),0)
*13/3,
0),
IF($E$2="Monthly",
ROUND(
ROUND(((TRUNC($AN218*3/13,0)+0.99)*VLOOKUP((TRUNC($AN218*3/13,0)+0.99),'Tax scales - NAT 1004'!$A$25:$C$33,2,1)-VLOOKUP((TRUNC($AN218*3/13,0)+0.99),'Tax scales - NAT 1004'!$A$25:$C$33,3,1)),0)
*13/3,
0),
""))),
""),
"")</f>
        <v/>
      </c>
      <c r="AQ218" s="118" t="str">
        <f>IFERROR(
IF(VLOOKUP($C218,'Employee information'!$B:$M,COLUMNS('Employee information'!$B:$M),0)=3,
IF($E$2="Fortnightly",
ROUND(
ROUND((((TRUNC($AN218/2,0)+0.99))*VLOOKUP((TRUNC($AN218/2,0)+0.99),'Tax scales - NAT 1004'!$A$39:$C$41,2,1)-VLOOKUP((TRUNC($AN218/2,0)+0.99),'Tax scales - NAT 1004'!$A$39:$C$41,3,1)),0)
*2,
0),
IF(AND($E$2="Monthly",ROUND($AN218-TRUNC($AN218),2)=0.33),
ROUND(
ROUND(((TRUNC(($AN218+0.01)*3/13,0)+0.99)*VLOOKUP((TRUNC(($AN218+0.01)*3/13,0)+0.99),'Tax scales - NAT 1004'!$A$39:$C$41,2,1)-VLOOKUP((TRUNC(($AN218+0.01)*3/13,0)+0.99),'Tax scales - NAT 1004'!$A$39:$C$41,3,1)),0)
*13/3,
0),
IF($E$2="Monthly",
ROUND(
ROUND(((TRUNC($AN218*3/13,0)+0.99)*VLOOKUP((TRUNC($AN218*3/13,0)+0.99),'Tax scales - NAT 1004'!$A$39:$C$41,2,1)-VLOOKUP((TRUNC($AN218*3/13,0)+0.99),'Tax scales - NAT 1004'!$A$39:$C$41,3,1)),0)
*13/3,
0),
""))),
""),
"")</f>
        <v/>
      </c>
      <c r="AR218" s="118" t="str">
        <f>IFERROR(
IF(AND(VLOOKUP($C218,'Employee information'!$B:$M,COLUMNS('Employee information'!$B:$M),0)=4,
VLOOKUP($C218,'Employee information'!$B:$J,COLUMNS('Employee information'!$B:$J),0)="Resident"),
TRUNC(TRUNC($AN218)*'Tax scales - NAT 1004'!$B$47),
IF(AND(VLOOKUP($C218,'Employee information'!$B:$M,COLUMNS('Employee information'!$B:$M),0)=4,
VLOOKUP($C218,'Employee information'!$B:$J,COLUMNS('Employee information'!$B:$J),0)="Foreign resident"),
TRUNC(TRUNC($AN218)*'Tax scales - NAT 1004'!$B$48),
"")),
"")</f>
        <v/>
      </c>
      <c r="AS218" s="118" t="str">
        <f>IFERROR(
IF(VLOOKUP($C218,'Employee information'!$B:$M,COLUMNS('Employee information'!$B:$M),0)=5,
IF($E$2="Fortnightly",
ROUND(
ROUND((((TRUNC($AN218/2,0)+0.99))*VLOOKUP((TRUNC($AN218/2,0)+0.99),'Tax scales - NAT 1004'!$A$53:$C$59,2,1)-VLOOKUP((TRUNC($AN218/2,0)+0.99),'Tax scales - NAT 1004'!$A$53:$C$59,3,1)),0)
*2,
0),
IF(AND($E$2="Monthly",ROUND($AN218-TRUNC($AN218),2)=0.33),
ROUND(
ROUND(((TRUNC(($AN218+0.01)*3/13,0)+0.99)*VLOOKUP((TRUNC(($AN218+0.01)*3/13,0)+0.99),'Tax scales - NAT 1004'!$A$53:$C$59,2,1)-VLOOKUP((TRUNC(($AN218+0.01)*3/13,0)+0.99),'Tax scales - NAT 1004'!$A$53:$C$59,3,1)),0)
*13/3,
0),
IF($E$2="Monthly",
ROUND(
ROUND(((TRUNC($AN218*3/13,0)+0.99)*VLOOKUP((TRUNC($AN218*3/13,0)+0.99),'Tax scales - NAT 1004'!$A$53:$C$59,2,1)-VLOOKUP((TRUNC($AN218*3/13,0)+0.99),'Tax scales - NAT 1004'!$A$53:$C$59,3,1)),0)
*13/3,
0),
""))),
""),
"")</f>
        <v/>
      </c>
      <c r="AT218" s="118" t="str">
        <f>IFERROR(
IF(VLOOKUP($C218,'Employee information'!$B:$M,COLUMNS('Employee information'!$B:$M),0)=6,
IF($E$2="Fortnightly",
ROUND(
ROUND((((TRUNC($AN218/2,0)+0.99))*VLOOKUP((TRUNC($AN218/2,0)+0.99),'Tax scales - NAT 1004'!$A$65:$C$73,2,1)-VLOOKUP((TRUNC($AN218/2,0)+0.99),'Tax scales - NAT 1004'!$A$65:$C$73,3,1)),0)
*2,
0),
IF(AND($E$2="Monthly",ROUND($AN218-TRUNC($AN218),2)=0.33),
ROUND(
ROUND(((TRUNC(($AN218+0.01)*3/13,0)+0.99)*VLOOKUP((TRUNC(($AN218+0.01)*3/13,0)+0.99),'Tax scales - NAT 1004'!$A$65:$C$73,2,1)-VLOOKUP((TRUNC(($AN218+0.01)*3/13,0)+0.99),'Tax scales - NAT 1004'!$A$65:$C$73,3,1)),0)
*13/3,
0),
IF($E$2="Monthly",
ROUND(
ROUND(((TRUNC($AN218*3/13,0)+0.99)*VLOOKUP((TRUNC($AN218*3/13,0)+0.99),'Tax scales - NAT 1004'!$A$65:$C$73,2,1)-VLOOKUP((TRUNC($AN218*3/13,0)+0.99),'Tax scales - NAT 1004'!$A$65:$C$73,3,1)),0)
*13/3,
0),
""))),
""),
"")</f>
        <v/>
      </c>
      <c r="AU218" s="118">
        <f>IFERROR(
IF(VLOOKUP($C218,'Employee information'!$B:$M,COLUMNS('Employee information'!$B:$M),0)=11,
IF($E$2="Fortnightly",
ROUND(
ROUND((((TRUNC($AN218/2,0)+0.99))*VLOOKUP((TRUNC($AN218/2,0)+0.99),'Tax scales - NAT 3539'!$A$14:$C$38,2,1)-VLOOKUP((TRUNC($AN218/2,0)+0.99),'Tax scales - NAT 3539'!$A$14:$C$38,3,1)),0)
*2,
0),
IF(AND($E$2="Monthly",ROUND($AN218-TRUNC($AN218),2)=0.33),
ROUND(
ROUND(((TRUNC(($AN218+0.01)*3/13,0)+0.99)*VLOOKUP((TRUNC(($AN218+0.01)*3/13,0)+0.99),'Tax scales - NAT 3539'!$A$14:$C$38,2,1)-VLOOKUP((TRUNC(($AN218+0.01)*3/13,0)+0.99),'Tax scales - NAT 3539'!$A$14:$C$38,3,1)),0)
*13/3,
0),
IF($E$2="Monthly",
ROUND(
ROUND(((TRUNC($AN218*3/13,0)+0.99)*VLOOKUP((TRUNC($AN218*3/13,0)+0.99),'Tax scales - NAT 3539'!$A$14:$C$38,2,1)-VLOOKUP((TRUNC($AN218*3/13,0)+0.99),'Tax scales - NAT 3539'!$A$14:$C$38,3,1)),0)
*13/3,
0),
""))),
""),
"")</f>
        <v>1680</v>
      </c>
      <c r="AV218" s="118" t="str">
        <f>IFERROR(
IF(VLOOKUP($C218,'Employee information'!$B:$M,COLUMNS('Employee information'!$B:$M),0)=22,
IF($E$2="Fortnightly",
ROUND(
ROUND((((TRUNC($AN218/2,0)+0.99))*VLOOKUP((TRUNC($AN218/2,0)+0.99),'Tax scales - NAT 3539'!$A$43:$C$69,2,1)-VLOOKUP((TRUNC($AN218/2,0)+0.99),'Tax scales - NAT 3539'!$A$43:$C$69,3,1)),0)
*2,
0),
IF(AND($E$2="Monthly",ROUND($AN218-TRUNC($AN218),2)=0.33),
ROUND(
ROUND(((TRUNC(($AN218+0.01)*3/13,0)+0.99)*VLOOKUP((TRUNC(($AN218+0.01)*3/13,0)+0.99),'Tax scales - NAT 3539'!$A$43:$C$69,2,1)-VLOOKUP((TRUNC(($AN218+0.01)*3/13,0)+0.99),'Tax scales - NAT 3539'!$A$43:$C$69,3,1)),0)
*13/3,
0),
IF($E$2="Monthly",
ROUND(
ROUND(((TRUNC($AN218*3/13,0)+0.99)*VLOOKUP((TRUNC($AN218*3/13,0)+0.99),'Tax scales - NAT 3539'!$A$43:$C$69,2,1)-VLOOKUP((TRUNC($AN218*3/13,0)+0.99),'Tax scales - NAT 3539'!$A$43:$C$69,3,1)),0)
*13/3,
0),
""))),
""),
"")</f>
        <v/>
      </c>
      <c r="AW218" s="118" t="str">
        <f>IFERROR(
IF(VLOOKUP($C218,'Employee information'!$B:$M,COLUMNS('Employee information'!$B:$M),0)=33,
IF($E$2="Fortnightly",
ROUND(
ROUND((((TRUNC($AN218/2,0)+0.99))*VLOOKUP((TRUNC($AN218/2,0)+0.99),'Tax scales - NAT 3539'!$A$74:$C$94,2,1)-VLOOKUP((TRUNC($AN218/2,0)+0.99),'Tax scales - NAT 3539'!$A$74:$C$94,3,1)),0)
*2,
0),
IF(AND($E$2="Monthly",ROUND($AN218-TRUNC($AN218),2)=0.33),
ROUND(
ROUND(((TRUNC(($AN218+0.01)*3/13,0)+0.99)*VLOOKUP((TRUNC(($AN218+0.01)*3/13,0)+0.99),'Tax scales - NAT 3539'!$A$74:$C$94,2,1)-VLOOKUP((TRUNC(($AN218+0.01)*3/13,0)+0.99),'Tax scales - NAT 3539'!$A$74:$C$94,3,1)),0)
*13/3,
0),
IF($E$2="Monthly",
ROUND(
ROUND(((TRUNC($AN218*3/13,0)+0.99)*VLOOKUP((TRUNC($AN218*3/13,0)+0.99),'Tax scales - NAT 3539'!$A$74:$C$94,2,1)-VLOOKUP((TRUNC($AN218*3/13,0)+0.99),'Tax scales - NAT 3539'!$A$74:$C$94,3,1)),0)
*13/3,
0),
""))),
""),
"")</f>
        <v/>
      </c>
      <c r="AX218" s="118" t="str">
        <f>IFERROR(
IF(VLOOKUP($C218,'Employee information'!$B:$M,COLUMNS('Employee information'!$B:$M),0)=55,
IF($E$2="Fortnightly",
ROUND(
ROUND((((TRUNC($AN218/2,0)+0.99))*VLOOKUP((TRUNC($AN218/2,0)+0.99),'Tax scales - NAT 3539'!$A$99:$C$123,2,1)-VLOOKUP((TRUNC($AN218/2,0)+0.99),'Tax scales - NAT 3539'!$A$99:$C$123,3,1)),0)
*2,
0),
IF(AND($E$2="Monthly",ROUND($AN218-TRUNC($AN218),2)=0.33),
ROUND(
ROUND(((TRUNC(($AN218+0.01)*3/13,0)+0.99)*VLOOKUP((TRUNC(($AN218+0.01)*3/13,0)+0.99),'Tax scales - NAT 3539'!$A$99:$C$123,2,1)-VLOOKUP((TRUNC(($AN218+0.01)*3/13,0)+0.99),'Tax scales - NAT 3539'!$A$99:$C$123,3,1)),0)
*13/3,
0),
IF($E$2="Monthly",
ROUND(
ROUND(((TRUNC($AN218*3/13,0)+0.99)*VLOOKUP((TRUNC($AN218*3/13,0)+0.99),'Tax scales - NAT 3539'!$A$99:$C$123,2,1)-VLOOKUP((TRUNC($AN218*3/13,0)+0.99),'Tax scales - NAT 3539'!$A$99:$C$123,3,1)),0)
*13/3,
0),
""))),
""),
"")</f>
        <v/>
      </c>
      <c r="AY218" s="118" t="str">
        <f>IFERROR(
IF(VLOOKUP($C218,'Employee information'!$B:$M,COLUMNS('Employee information'!$B:$M),0)=66,
IF($E$2="Fortnightly",
ROUND(
ROUND((((TRUNC($AN218/2,0)+0.99))*VLOOKUP((TRUNC($AN218/2,0)+0.99),'Tax scales - NAT 3539'!$A$127:$C$154,2,1)-VLOOKUP((TRUNC($AN218/2,0)+0.99),'Tax scales - NAT 3539'!$A$127:$C$154,3,1)),0)
*2,
0),
IF(AND($E$2="Monthly",ROUND($AN218-TRUNC($AN218),2)=0.33),
ROUND(
ROUND(((TRUNC(($AN218+0.01)*3/13,0)+0.99)*VLOOKUP((TRUNC(($AN218+0.01)*3/13,0)+0.99),'Tax scales - NAT 3539'!$A$127:$C$154,2,1)-VLOOKUP((TRUNC(($AN218+0.01)*3/13,0)+0.99),'Tax scales - NAT 3539'!$A$127:$C$154,3,1)),0)
*13/3,
0),
IF($E$2="Monthly",
ROUND(
ROUND(((TRUNC($AN218*3/13,0)+0.99)*VLOOKUP((TRUNC($AN218*3/13,0)+0.99),'Tax scales - NAT 3539'!$A$127:$C$154,2,1)-VLOOKUP((TRUNC($AN218*3/13,0)+0.99),'Tax scales - NAT 3539'!$A$127:$C$154,3,1)),0)
*13/3,
0),
""))),
""),
"")</f>
        <v/>
      </c>
      <c r="AZ218" s="118">
        <f>IFERROR(
HLOOKUP(VLOOKUP($C218,'Employee information'!$B:$M,COLUMNS('Employee information'!$B:$M),0),'PAYG worksheet'!$AO$213:$AY$232,COUNTA($C$214:$C218)+1,0),
0)</f>
        <v>1680</v>
      </c>
      <c r="BA218" s="118"/>
      <c r="BB218" s="118">
        <f t="shared" si="232"/>
        <v>2445</v>
      </c>
      <c r="BC218" s="119">
        <f>IFERROR(
IF(OR($AE218=1,$AE218=""),SUM($P218,$AA218,$AC218,$AK218)*VLOOKUP($C218,'Employee information'!$B:$Q,COLUMNS('Employee information'!$B:$H),0),
IF($AE218=0,SUM($P218,$AA218,$AK218)*VLOOKUP($C218,'Employee information'!$B:$Q,COLUMNS('Employee information'!$B:$H),0),
0)),
0)</f>
        <v>391.875</v>
      </c>
      <c r="BE218" s="114">
        <f t="shared" si="217"/>
        <v>33100</v>
      </c>
      <c r="BF218" s="114">
        <f t="shared" si="218"/>
        <v>33100</v>
      </c>
      <c r="BG218" s="114">
        <f t="shared" si="219"/>
        <v>0</v>
      </c>
      <c r="BH218" s="114">
        <f t="shared" si="220"/>
        <v>0</v>
      </c>
      <c r="BI218" s="114">
        <f t="shared" si="221"/>
        <v>13488</v>
      </c>
      <c r="BJ218" s="114">
        <f t="shared" si="222"/>
        <v>0</v>
      </c>
      <c r="BK218" s="114">
        <f t="shared" si="223"/>
        <v>0</v>
      </c>
      <c r="BL218" s="114">
        <f t="shared" si="233"/>
        <v>100</v>
      </c>
      <c r="BM218" s="114">
        <f t="shared" si="224"/>
        <v>3144.5</v>
      </c>
    </row>
    <row r="219" spans="1:65" x14ac:dyDescent="0.25">
      <c r="A219" s="228">
        <f t="shared" si="212"/>
        <v>8</v>
      </c>
      <c r="C219" s="278" t="s">
        <v>17</v>
      </c>
      <c r="E219" s="103">
        <f>IF($C219="",0,
IF(AND($E$2="Monthly",$A219&gt;12),0,
IF($E$2="Monthly",VLOOKUP($C219,'Employee information'!$B:$AM,COLUMNS('Employee information'!$B:S),0),
IF($E$2="Fortnightly",VLOOKUP($C219,'Employee information'!$B:$AM,COLUMNS('Employee information'!$B:R),0),
0))))</f>
        <v>75</v>
      </c>
      <c r="F219" s="106"/>
      <c r="G219" s="106"/>
      <c r="H219" s="106"/>
      <c r="I219" s="106"/>
      <c r="J219" s="103">
        <f t="shared" si="225"/>
        <v>75</v>
      </c>
      <c r="L219" s="113">
        <f>IF(AND($E$2="Monthly",$A219&gt;12),"",
IFERROR($J219*VLOOKUP($C219,'Employee information'!$B:$AI,COLUMNS('Employee information'!$B:$P),0),0))</f>
        <v>2500</v>
      </c>
      <c r="M219" s="114">
        <f t="shared" si="226"/>
        <v>20000</v>
      </c>
      <c r="O219" s="103">
        <f t="shared" si="227"/>
        <v>75</v>
      </c>
      <c r="P219" s="113">
        <f>IFERROR(
IF(AND($E$2="Monthly",$A219&gt;12),0,
$O219*VLOOKUP($C219,'Employee information'!$B:$AI,COLUMNS('Employee information'!$B:$P),0)),
0)</f>
        <v>2500</v>
      </c>
      <c r="R219" s="114">
        <f t="shared" si="213"/>
        <v>20000</v>
      </c>
      <c r="T219" s="103"/>
      <c r="U219" s="103"/>
      <c r="V219" s="282">
        <f>IF($C219="","",
IF(AND($E$2="Monthly",$A219&gt;12),"",
$T219*VLOOKUP($C219,'Employee information'!$B:$P,COLUMNS('Employee information'!$B:$P),0)))</f>
        <v>0</v>
      </c>
      <c r="W219" s="282">
        <f>IF($C219="","",
IF(AND($E$2="Monthly",$A219&gt;12),"",
$U219*VLOOKUP($C219,'Employee information'!$B:$P,COLUMNS('Employee information'!$B:$P),0)))</f>
        <v>0</v>
      </c>
      <c r="X219" s="114">
        <f t="shared" si="214"/>
        <v>0</v>
      </c>
      <c r="Y219" s="114">
        <f t="shared" si="215"/>
        <v>0</v>
      </c>
      <c r="AA219" s="118">
        <f>IFERROR(
IF(OR('Basic payroll data'!$D$12="",'Basic payroll data'!$D$12="No"),0,
$T219*VLOOKUP($C219,'Employee information'!$B:$P,COLUMNS('Employee information'!$B:$P),0)*AL_loading_perc),
0)</f>
        <v>0</v>
      </c>
      <c r="AC219" s="118"/>
      <c r="AD219" s="118"/>
      <c r="AE219" s="283" t="str">
        <f t="shared" si="228"/>
        <v/>
      </c>
      <c r="AF219" s="283" t="str">
        <f t="shared" si="229"/>
        <v/>
      </c>
      <c r="AG219" s="118"/>
      <c r="AH219" s="118"/>
      <c r="AI219" s="283" t="str">
        <f t="shared" si="230"/>
        <v/>
      </c>
      <c r="AJ219" s="118"/>
      <c r="AK219" s="118"/>
      <c r="AM219" s="118">
        <f t="shared" si="231"/>
        <v>2500</v>
      </c>
      <c r="AN219" s="118">
        <f t="shared" si="216"/>
        <v>2500</v>
      </c>
      <c r="AO219" s="118" t="str">
        <f>IFERROR(
IF(VLOOKUP($C219,'Employee information'!$B:$M,COLUMNS('Employee information'!$B:$M),0)=1,
IF($E$2="Fortnightly",
ROUND(
ROUND((((TRUNC($AN219/2,0)+0.99))*VLOOKUP((TRUNC($AN219/2,0)+0.99),'Tax scales - NAT 1004'!$A$12:$C$18,2,1)-VLOOKUP((TRUNC($AN219/2,0)+0.99),'Tax scales - NAT 1004'!$A$12:$C$18,3,1)),0)
*2,
0),
IF(AND($E$2="Monthly",ROUND($AN219-TRUNC($AN219),2)=0.33),
ROUND(
ROUND(((TRUNC(($AN219+0.01)*3/13,0)+0.99)*VLOOKUP((TRUNC(($AN219+0.01)*3/13,0)+0.99),'Tax scales - NAT 1004'!$A$12:$C$18,2,1)-VLOOKUP((TRUNC(($AN219+0.01)*3/13,0)+0.99),'Tax scales - NAT 1004'!$A$12:$C$18,3,1)),0)
*13/3,
0),
IF($E$2="Monthly",
ROUND(
ROUND(((TRUNC($AN219*3/13,0)+0.99)*VLOOKUP((TRUNC($AN219*3/13,0)+0.99),'Tax scales - NAT 1004'!$A$12:$C$18,2,1)-VLOOKUP((TRUNC($AN219*3/13,0)+0.99),'Tax scales - NAT 1004'!$A$12:$C$18,3,1)),0)
*13/3,
0),
""))),
""),
"")</f>
        <v/>
      </c>
      <c r="AP219" s="118" t="str">
        <f>IFERROR(
IF(VLOOKUP($C219,'Employee information'!$B:$M,COLUMNS('Employee information'!$B:$M),0)=2,
IF($E$2="Fortnightly",
ROUND(
ROUND((((TRUNC($AN219/2,0)+0.99))*VLOOKUP((TRUNC($AN219/2,0)+0.99),'Tax scales - NAT 1004'!$A$25:$C$33,2,1)-VLOOKUP((TRUNC($AN219/2,0)+0.99),'Tax scales - NAT 1004'!$A$25:$C$33,3,1)),0)
*2,
0),
IF(AND($E$2="Monthly",ROUND($AN219-TRUNC($AN219),2)=0.33),
ROUND(
ROUND(((TRUNC(($AN219+0.01)*3/13,0)+0.99)*VLOOKUP((TRUNC(($AN219+0.01)*3/13,0)+0.99),'Tax scales - NAT 1004'!$A$25:$C$33,2,1)-VLOOKUP((TRUNC(($AN219+0.01)*3/13,0)+0.99),'Tax scales - NAT 1004'!$A$25:$C$33,3,1)),0)
*13/3,
0),
IF($E$2="Monthly",
ROUND(
ROUND(((TRUNC($AN219*3/13,0)+0.99)*VLOOKUP((TRUNC($AN219*3/13,0)+0.99),'Tax scales - NAT 1004'!$A$25:$C$33,2,1)-VLOOKUP((TRUNC($AN219*3/13,0)+0.99),'Tax scales - NAT 1004'!$A$25:$C$33,3,1)),0)
*13/3,
0),
""))),
""),
"")</f>
        <v/>
      </c>
      <c r="AQ219" s="118" t="str">
        <f>IFERROR(
IF(VLOOKUP($C219,'Employee information'!$B:$M,COLUMNS('Employee information'!$B:$M),0)=3,
IF($E$2="Fortnightly",
ROUND(
ROUND((((TRUNC($AN219/2,0)+0.99))*VLOOKUP((TRUNC($AN219/2,0)+0.99),'Tax scales - NAT 1004'!$A$39:$C$41,2,1)-VLOOKUP((TRUNC($AN219/2,0)+0.99),'Tax scales - NAT 1004'!$A$39:$C$41,3,1)),0)
*2,
0),
IF(AND($E$2="Monthly",ROUND($AN219-TRUNC($AN219),2)=0.33),
ROUND(
ROUND(((TRUNC(($AN219+0.01)*3/13,0)+0.99)*VLOOKUP((TRUNC(($AN219+0.01)*3/13,0)+0.99),'Tax scales - NAT 1004'!$A$39:$C$41,2,1)-VLOOKUP((TRUNC(($AN219+0.01)*3/13,0)+0.99),'Tax scales - NAT 1004'!$A$39:$C$41,3,1)),0)
*13/3,
0),
IF($E$2="Monthly",
ROUND(
ROUND(((TRUNC($AN219*3/13,0)+0.99)*VLOOKUP((TRUNC($AN219*3/13,0)+0.99),'Tax scales - NAT 1004'!$A$39:$C$41,2,1)-VLOOKUP((TRUNC($AN219*3/13,0)+0.99),'Tax scales - NAT 1004'!$A$39:$C$41,3,1)),0)
*13/3,
0),
""))),
""),
"")</f>
        <v/>
      </c>
      <c r="AR219" s="118">
        <f>IFERROR(
IF(AND(VLOOKUP($C219,'Employee information'!$B:$M,COLUMNS('Employee information'!$B:$M),0)=4,
VLOOKUP($C219,'Employee information'!$B:$J,COLUMNS('Employee information'!$B:$J),0)="Resident"),
TRUNC(TRUNC($AN219)*'Tax scales - NAT 1004'!$B$47),
IF(AND(VLOOKUP($C219,'Employee information'!$B:$M,COLUMNS('Employee information'!$B:$M),0)=4,
VLOOKUP($C219,'Employee information'!$B:$J,COLUMNS('Employee information'!$B:$J),0)="Foreign resident"),
TRUNC(TRUNC($AN219)*'Tax scales - NAT 1004'!$B$48),
"")),
"")</f>
        <v>1175</v>
      </c>
      <c r="AS219" s="118" t="str">
        <f>IFERROR(
IF(VLOOKUP($C219,'Employee information'!$B:$M,COLUMNS('Employee information'!$B:$M),0)=5,
IF($E$2="Fortnightly",
ROUND(
ROUND((((TRUNC($AN219/2,0)+0.99))*VLOOKUP((TRUNC($AN219/2,0)+0.99),'Tax scales - NAT 1004'!$A$53:$C$59,2,1)-VLOOKUP((TRUNC($AN219/2,0)+0.99),'Tax scales - NAT 1004'!$A$53:$C$59,3,1)),0)
*2,
0),
IF(AND($E$2="Monthly",ROUND($AN219-TRUNC($AN219),2)=0.33),
ROUND(
ROUND(((TRUNC(($AN219+0.01)*3/13,0)+0.99)*VLOOKUP((TRUNC(($AN219+0.01)*3/13,0)+0.99),'Tax scales - NAT 1004'!$A$53:$C$59,2,1)-VLOOKUP((TRUNC(($AN219+0.01)*3/13,0)+0.99),'Tax scales - NAT 1004'!$A$53:$C$59,3,1)),0)
*13/3,
0),
IF($E$2="Monthly",
ROUND(
ROUND(((TRUNC($AN219*3/13,0)+0.99)*VLOOKUP((TRUNC($AN219*3/13,0)+0.99),'Tax scales - NAT 1004'!$A$53:$C$59,2,1)-VLOOKUP((TRUNC($AN219*3/13,0)+0.99),'Tax scales - NAT 1004'!$A$53:$C$59,3,1)),0)
*13/3,
0),
""))),
""),
"")</f>
        <v/>
      </c>
      <c r="AT219" s="118" t="str">
        <f>IFERROR(
IF(VLOOKUP($C219,'Employee information'!$B:$M,COLUMNS('Employee information'!$B:$M),0)=6,
IF($E$2="Fortnightly",
ROUND(
ROUND((((TRUNC($AN219/2,0)+0.99))*VLOOKUP((TRUNC($AN219/2,0)+0.99),'Tax scales - NAT 1004'!$A$65:$C$73,2,1)-VLOOKUP((TRUNC($AN219/2,0)+0.99),'Tax scales - NAT 1004'!$A$65:$C$73,3,1)),0)
*2,
0),
IF(AND($E$2="Monthly",ROUND($AN219-TRUNC($AN219),2)=0.33),
ROUND(
ROUND(((TRUNC(($AN219+0.01)*3/13,0)+0.99)*VLOOKUP((TRUNC(($AN219+0.01)*3/13,0)+0.99),'Tax scales - NAT 1004'!$A$65:$C$73,2,1)-VLOOKUP((TRUNC(($AN219+0.01)*3/13,0)+0.99),'Tax scales - NAT 1004'!$A$65:$C$73,3,1)),0)
*13/3,
0),
IF($E$2="Monthly",
ROUND(
ROUND(((TRUNC($AN219*3/13,0)+0.99)*VLOOKUP((TRUNC($AN219*3/13,0)+0.99),'Tax scales - NAT 1004'!$A$65:$C$73,2,1)-VLOOKUP((TRUNC($AN219*3/13,0)+0.99),'Tax scales - NAT 1004'!$A$65:$C$73,3,1)),0)
*13/3,
0),
""))),
""),
"")</f>
        <v/>
      </c>
      <c r="AU219" s="118" t="str">
        <f>IFERROR(
IF(VLOOKUP($C219,'Employee information'!$B:$M,COLUMNS('Employee information'!$B:$M),0)=11,
IF($E$2="Fortnightly",
ROUND(
ROUND((((TRUNC($AN219/2,0)+0.99))*VLOOKUP((TRUNC($AN219/2,0)+0.99),'Tax scales - NAT 3539'!$A$14:$C$38,2,1)-VLOOKUP((TRUNC($AN219/2,0)+0.99),'Tax scales - NAT 3539'!$A$14:$C$38,3,1)),0)
*2,
0),
IF(AND($E$2="Monthly",ROUND($AN219-TRUNC($AN219),2)=0.33),
ROUND(
ROUND(((TRUNC(($AN219+0.01)*3/13,0)+0.99)*VLOOKUP((TRUNC(($AN219+0.01)*3/13,0)+0.99),'Tax scales - NAT 3539'!$A$14:$C$38,2,1)-VLOOKUP((TRUNC(($AN219+0.01)*3/13,0)+0.99),'Tax scales - NAT 3539'!$A$14:$C$38,3,1)),0)
*13/3,
0),
IF($E$2="Monthly",
ROUND(
ROUND(((TRUNC($AN219*3/13,0)+0.99)*VLOOKUP((TRUNC($AN219*3/13,0)+0.99),'Tax scales - NAT 3539'!$A$14:$C$38,2,1)-VLOOKUP((TRUNC($AN219*3/13,0)+0.99),'Tax scales - NAT 3539'!$A$14:$C$38,3,1)),0)
*13/3,
0),
""))),
""),
"")</f>
        <v/>
      </c>
      <c r="AV219" s="118" t="str">
        <f>IFERROR(
IF(VLOOKUP($C219,'Employee information'!$B:$M,COLUMNS('Employee information'!$B:$M),0)=22,
IF($E$2="Fortnightly",
ROUND(
ROUND((((TRUNC($AN219/2,0)+0.99))*VLOOKUP((TRUNC($AN219/2,0)+0.99),'Tax scales - NAT 3539'!$A$43:$C$69,2,1)-VLOOKUP((TRUNC($AN219/2,0)+0.99),'Tax scales - NAT 3539'!$A$43:$C$69,3,1)),0)
*2,
0),
IF(AND($E$2="Monthly",ROUND($AN219-TRUNC($AN219),2)=0.33),
ROUND(
ROUND(((TRUNC(($AN219+0.01)*3/13,0)+0.99)*VLOOKUP((TRUNC(($AN219+0.01)*3/13,0)+0.99),'Tax scales - NAT 3539'!$A$43:$C$69,2,1)-VLOOKUP((TRUNC(($AN219+0.01)*3/13,0)+0.99),'Tax scales - NAT 3539'!$A$43:$C$69,3,1)),0)
*13/3,
0),
IF($E$2="Monthly",
ROUND(
ROUND(((TRUNC($AN219*3/13,0)+0.99)*VLOOKUP((TRUNC($AN219*3/13,0)+0.99),'Tax scales - NAT 3539'!$A$43:$C$69,2,1)-VLOOKUP((TRUNC($AN219*3/13,0)+0.99),'Tax scales - NAT 3539'!$A$43:$C$69,3,1)),0)
*13/3,
0),
""))),
""),
"")</f>
        <v/>
      </c>
      <c r="AW219" s="118" t="str">
        <f>IFERROR(
IF(VLOOKUP($C219,'Employee information'!$B:$M,COLUMNS('Employee information'!$B:$M),0)=33,
IF($E$2="Fortnightly",
ROUND(
ROUND((((TRUNC($AN219/2,0)+0.99))*VLOOKUP((TRUNC($AN219/2,0)+0.99),'Tax scales - NAT 3539'!$A$74:$C$94,2,1)-VLOOKUP((TRUNC($AN219/2,0)+0.99),'Tax scales - NAT 3539'!$A$74:$C$94,3,1)),0)
*2,
0),
IF(AND($E$2="Monthly",ROUND($AN219-TRUNC($AN219),2)=0.33),
ROUND(
ROUND(((TRUNC(($AN219+0.01)*3/13,0)+0.99)*VLOOKUP((TRUNC(($AN219+0.01)*3/13,0)+0.99),'Tax scales - NAT 3539'!$A$74:$C$94,2,1)-VLOOKUP((TRUNC(($AN219+0.01)*3/13,0)+0.99),'Tax scales - NAT 3539'!$A$74:$C$94,3,1)),0)
*13/3,
0),
IF($E$2="Monthly",
ROUND(
ROUND(((TRUNC($AN219*3/13,0)+0.99)*VLOOKUP((TRUNC($AN219*3/13,0)+0.99),'Tax scales - NAT 3539'!$A$74:$C$94,2,1)-VLOOKUP((TRUNC($AN219*3/13,0)+0.99),'Tax scales - NAT 3539'!$A$74:$C$94,3,1)),0)
*13/3,
0),
""))),
""),
"")</f>
        <v/>
      </c>
      <c r="AX219" s="118" t="str">
        <f>IFERROR(
IF(VLOOKUP($C219,'Employee information'!$B:$M,COLUMNS('Employee information'!$B:$M),0)=55,
IF($E$2="Fortnightly",
ROUND(
ROUND((((TRUNC($AN219/2,0)+0.99))*VLOOKUP((TRUNC($AN219/2,0)+0.99),'Tax scales - NAT 3539'!$A$99:$C$123,2,1)-VLOOKUP((TRUNC($AN219/2,0)+0.99),'Tax scales - NAT 3539'!$A$99:$C$123,3,1)),0)
*2,
0),
IF(AND($E$2="Monthly",ROUND($AN219-TRUNC($AN219),2)=0.33),
ROUND(
ROUND(((TRUNC(($AN219+0.01)*3/13,0)+0.99)*VLOOKUP((TRUNC(($AN219+0.01)*3/13,0)+0.99),'Tax scales - NAT 3539'!$A$99:$C$123,2,1)-VLOOKUP((TRUNC(($AN219+0.01)*3/13,0)+0.99),'Tax scales - NAT 3539'!$A$99:$C$123,3,1)),0)
*13/3,
0),
IF($E$2="Monthly",
ROUND(
ROUND(((TRUNC($AN219*3/13,0)+0.99)*VLOOKUP((TRUNC($AN219*3/13,0)+0.99),'Tax scales - NAT 3539'!$A$99:$C$123,2,1)-VLOOKUP((TRUNC($AN219*3/13,0)+0.99),'Tax scales - NAT 3539'!$A$99:$C$123,3,1)),0)
*13/3,
0),
""))),
""),
"")</f>
        <v/>
      </c>
      <c r="AY219" s="118" t="str">
        <f>IFERROR(
IF(VLOOKUP($C219,'Employee information'!$B:$M,COLUMNS('Employee information'!$B:$M),0)=66,
IF($E$2="Fortnightly",
ROUND(
ROUND((((TRUNC($AN219/2,0)+0.99))*VLOOKUP((TRUNC($AN219/2,0)+0.99),'Tax scales - NAT 3539'!$A$127:$C$154,2,1)-VLOOKUP((TRUNC($AN219/2,0)+0.99),'Tax scales - NAT 3539'!$A$127:$C$154,3,1)),0)
*2,
0),
IF(AND($E$2="Monthly",ROUND($AN219-TRUNC($AN219),2)=0.33),
ROUND(
ROUND(((TRUNC(($AN219+0.01)*3/13,0)+0.99)*VLOOKUP((TRUNC(($AN219+0.01)*3/13,0)+0.99),'Tax scales - NAT 3539'!$A$127:$C$154,2,1)-VLOOKUP((TRUNC(($AN219+0.01)*3/13,0)+0.99),'Tax scales - NAT 3539'!$A$127:$C$154,3,1)),0)
*13/3,
0),
IF($E$2="Monthly",
ROUND(
ROUND(((TRUNC($AN219*3/13,0)+0.99)*VLOOKUP((TRUNC($AN219*3/13,0)+0.99),'Tax scales - NAT 3539'!$A$127:$C$154,2,1)-VLOOKUP((TRUNC($AN219*3/13,0)+0.99),'Tax scales - NAT 3539'!$A$127:$C$154,3,1)),0)
*13/3,
0),
""))),
""),
"")</f>
        <v/>
      </c>
      <c r="AZ219" s="118">
        <f>IFERROR(
HLOOKUP(VLOOKUP($C219,'Employee information'!$B:$M,COLUMNS('Employee information'!$B:$M),0),'PAYG worksheet'!$AO$213:$AY$232,COUNTA($C$214:$C219)+1,0),
0)</f>
        <v>1175</v>
      </c>
      <c r="BA219" s="118"/>
      <c r="BB219" s="118">
        <f t="shared" si="232"/>
        <v>1325</v>
      </c>
      <c r="BC219" s="119">
        <f>IFERROR(
IF(OR($AE219=1,$AE219=""),SUM($P219,$AA219,$AC219,$AK219)*VLOOKUP($C219,'Employee information'!$B:$Q,COLUMNS('Employee information'!$B:$H),0),
IF($AE219=0,SUM($P219,$AA219,$AK219)*VLOOKUP($C219,'Employee information'!$B:$Q,COLUMNS('Employee information'!$B:$H),0),
0)),
0)</f>
        <v>237.5</v>
      </c>
      <c r="BE219" s="114">
        <f t="shared" si="217"/>
        <v>20000</v>
      </c>
      <c r="BF219" s="114">
        <f t="shared" si="218"/>
        <v>20000</v>
      </c>
      <c r="BG219" s="114">
        <f t="shared" si="219"/>
        <v>0</v>
      </c>
      <c r="BH219" s="114">
        <f t="shared" si="220"/>
        <v>0</v>
      </c>
      <c r="BI219" s="114">
        <f t="shared" si="221"/>
        <v>9400</v>
      </c>
      <c r="BJ219" s="114">
        <f t="shared" si="222"/>
        <v>0</v>
      </c>
      <c r="BK219" s="114">
        <f t="shared" si="223"/>
        <v>0</v>
      </c>
      <c r="BL219" s="114">
        <f t="shared" si="233"/>
        <v>0</v>
      </c>
      <c r="BM219" s="114">
        <f t="shared" si="224"/>
        <v>1900</v>
      </c>
    </row>
    <row r="220" spans="1:65" x14ac:dyDescent="0.25">
      <c r="A220" s="228">
        <f t="shared" si="212"/>
        <v>8</v>
      </c>
      <c r="C220" s="278" t="s">
        <v>95</v>
      </c>
      <c r="E220" s="103">
        <f>IF($C220="",0,
IF(AND($E$2="Monthly",$A220&gt;12),0,
IF($E$2="Monthly",VLOOKUP($C220,'Employee information'!$B:$AM,COLUMNS('Employee information'!$B:S),0),
IF($E$2="Fortnightly",VLOOKUP($C220,'Employee information'!$B:$AM,COLUMNS('Employee information'!$B:R),0),
0))))</f>
        <v>45</v>
      </c>
      <c r="F220" s="106"/>
      <c r="G220" s="106"/>
      <c r="H220" s="106"/>
      <c r="I220" s="106"/>
      <c r="J220" s="103">
        <f t="shared" si="225"/>
        <v>45</v>
      </c>
      <c r="L220" s="113">
        <f>IF(AND($E$2="Monthly",$A220&gt;12),"",
IFERROR($J220*VLOOKUP($C220,'Employee information'!$B:$AI,COLUMNS('Employee information'!$B:$P),0),0))</f>
        <v>1107.6923076923078</v>
      </c>
      <c r="M220" s="114">
        <f t="shared" si="226"/>
        <v>8861.5384615384628</v>
      </c>
      <c r="O220" s="103">
        <f t="shared" si="227"/>
        <v>45</v>
      </c>
      <c r="P220" s="113">
        <f>IFERROR(
IF(AND($E$2="Monthly",$A220&gt;12),0,
$O220*VLOOKUP($C220,'Employee information'!$B:$AI,COLUMNS('Employee information'!$B:$P),0)),
0)</f>
        <v>1107.6923076923078</v>
      </c>
      <c r="R220" s="114">
        <f t="shared" si="213"/>
        <v>8861.5384615384628</v>
      </c>
      <c r="T220" s="103"/>
      <c r="U220" s="103"/>
      <c r="V220" s="282">
        <f>IF($C220="","",
IF(AND($E$2="Monthly",$A220&gt;12),"",
$T220*VLOOKUP($C220,'Employee information'!$B:$P,COLUMNS('Employee information'!$B:$P),0)))</f>
        <v>0</v>
      </c>
      <c r="W220" s="282">
        <f>IF($C220="","",
IF(AND($E$2="Monthly",$A220&gt;12),"",
$U220*VLOOKUP($C220,'Employee information'!$B:$P,COLUMNS('Employee information'!$B:$P),0)))</f>
        <v>0</v>
      </c>
      <c r="X220" s="114">
        <f t="shared" si="214"/>
        <v>0</v>
      </c>
      <c r="Y220" s="114">
        <f t="shared" si="215"/>
        <v>0</v>
      </c>
      <c r="AA220" s="118">
        <f>IFERROR(
IF(OR('Basic payroll data'!$D$12="",'Basic payroll data'!$D$12="No"),0,
$T220*VLOOKUP($C220,'Employee information'!$B:$P,COLUMNS('Employee information'!$B:$P),0)*AL_loading_perc),
0)</f>
        <v>0</v>
      </c>
      <c r="AC220" s="118"/>
      <c r="AD220" s="118"/>
      <c r="AE220" s="283" t="str">
        <f t="shared" si="228"/>
        <v/>
      </c>
      <c r="AF220" s="283" t="str">
        <f t="shared" si="229"/>
        <v/>
      </c>
      <c r="AG220" s="118"/>
      <c r="AH220" s="118"/>
      <c r="AI220" s="283" t="str">
        <f t="shared" si="230"/>
        <v/>
      </c>
      <c r="AJ220" s="118"/>
      <c r="AK220" s="118"/>
      <c r="AM220" s="118">
        <f t="shared" si="231"/>
        <v>1107.6923076923078</v>
      </c>
      <c r="AN220" s="118">
        <f t="shared" si="216"/>
        <v>1107.6923076923078</v>
      </c>
      <c r="AO220" s="118" t="str">
        <f>IFERROR(
IF(VLOOKUP($C220,'Employee information'!$B:$M,COLUMNS('Employee information'!$B:$M),0)=1,
IF($E$2="Fortnightly",
ROUND(
ROUND((((TRUNC($AN220/2,0)+0.99))*VLOOKUP((TRUNC($AN220/2,0)+0.99),'Tax scales - NAT 1004'!$A$12:$C$18,2,1)-VLOOKUP((TRUNC($AN220/2,0)+0.99),'Tax scales - NAT 1004'!$A$12:$C$18,3,1)),0)
*2,
0),
IF(AND($E$2="Monthly",ROUND($AN220-TRUNC($AN220),2)=0.33),
ROUND(
ROUND(((TRUNC(($AN220+0.01)*3/13,0)+0.99)*VLOOKUP((TRUNC(($AN220+0.01)*3/13,0)+0.99),'Tax scales - NAT 1004'!$A$12:$C$18,2,1)-VLOOKUP((TRUNC(($AN220+0.01)*3/13,0)+0.99),'Tax scales - NAT 1004'!$A$12:$C$18,3,1)),0)
*13/3,
0),
IF($E$2="Monthly",
ROUND(
ROUND(((TRUNC($AN220*3/13,0)+0.99)*VLOOKUP((TRUNC($AN220*3/13,0)+0.99),'Tax scales - NAT 1004'!$A$12:$C$18,2,1)-VLOOKUP((TRUNC($AN220*3/13,0)+0.99),'Tax scales - NAT 1004'!$A$12:$C$18,3,1)),0)
*13/3,
0),
""))),
""),
"")</f>
        <v/>
      </c>
      <c r="AP220" s="118" t="str">
        <f>IFERROR(
IF(VLOOKUP($C220,'Employee information'!$B:$M,COLUMNS('Employee information'!$B:$M),0)=2,
IF($E$2="Fortnightly",
ROUND(
ROUND((((TRUNC($AN220/2,0)+0.99))*VLOOKUP((TRUNC($AN220/2,0)+0.99),'Tax scales - NAT 1004'!$A$25:$C$33,2,1)-VLOOKUP((TRUNC($AN220/2,0)+0.99),'Tax scales - NAT 1004'!$A$25:$C$33,3,1)),0)
*2,
0),
IF(AND($E$2="Monthly",ROUND($AN220-TRUNC($AN220),2)=0.33),
ROUND(
ROUND(((TRUNC(($AN220+0.01)*3/13,0)+0.99)*VLOOKUP((TRUNC(($AN220+0.01)*3/13,0)+0.99),'Tax scales - NAT 1004'!$A$25:$C$33,2,1)-VLOOKUP((TRUNC(($AN220+0.01)*3/13,0)+0.99),'Tax scales - NAT 1004'!$A$25:$C$33,3,1)),0)
*13/3,
0),
IF($E$2="Monthly",
ROUND(
ROUND(((TRUNC($AN220*3/13,0)+0.99)*VLOOKUP((TRUNC($AN220*3/13,0)+0.99),'Tax scales - NAT 1004'!$A$25:$C$33,2,1)-VLOOKUP((TRUNC($AN220*3/13,0)+0.99),'Tax scales - NAT 1004'!$A$25:$C$33,3,1)),0)
*13/3,
0),
""))),
""),
"")</f>
        <v/>
      </c>
      <c r="AQ220" s="118" t="str">
        <f>IFERROR(
IF(VLOOKUP($C220,'Employee information'!$B:$M,COLUMNS('Employee information'!$B:$M),0)=3,
IF($E$2="Fortnightly",
ROUND(
ROUND((((TRUNC($AN220/2,0)+0.99))*VLOOKUP((TRUNC($AN220/2,0)+0.99),'Tax scales - NAT 1004'!$A$39:$C$41,2,1)-VLOOKUP((TRUNC($AN220/2,0)+0.99),'Tax scales - NAT 1004'!$A$39:$C$41,3,1)),0)
*2,
0),
IF(AND($E$2="Monthly",ROUND($AN220-TRUNC($AN220),2)=0.33),
ROUND(
ROUND(((TRUNC(($AN220+0.01)*3/13,0)+0.99)*VLOOKUP((TRUNC(($AN220+0.01)*3/13,0)+0.99),'Tax scales - NAT 1004'!$A$39:$C$41,2,1)-VLOOKUP((TRUNC(($AN220+0.01)*3/13,0)+0.99),'Tax scales - NAT 1004'!$A$39:$C$41,3,1)),0)
*13/3,
0),
IF($E$2="Monthly",
ROUND(
ROUND(((TRUNC($AN220*3/13,0)+0.99)*VLOOKUP((TRUNC($AN220*3/13,0)+0.99),'Tax scales - NAT 1004'!$A$39:$C$41,2,1)-VLOOKUP((TRUNC($AN220*3/13,0)+0.99),'Tax scales - NAT 1004'!$A$39:$C$41,3,1)),0)
*13/3,
0),
""))),
""),
"")</f>
        <v/>
      </c>
      <c r="AR220" s="118" t="str">
        <f>IFERROR(
IF(AND(VLOOKUP($C220,'Employee information'!$B:$M,COLUMNS('Employee information'!$B:$M),0)=4,
VLOOKUP($C220,'Employee information'!$B:$J,COLUMNS('Employee information'!$B:$J),0)="Resident"),
TRUNC(TRUNC($AN220)*'Tax scales - NAT 1004'!$B$47),
IF(AND(VLOOKUP($C220,'Employee information'!$B:$M,COLUMNS('Employee information'!$B:$M),0)=4,
VLOOKUP($C220,'Employee information'!$B:$J,COLUMNS('Employee information'!$B:$J),0)="Foreign resident"),
TRUNC(TRUNC($AN220)*'Tax scales - NAT 1004'!$B$48),
"")),
"")</f>
        <v/>
      </c>
      <c r="AS220" s="118" t="str">
        <f>IFERROR(
IF(VLOOKUP($C220,'Employee information'!$B:$M,COLUMNS('Employee information'!$B:$M),0)=5,
IF($E$2="Fortnightly",
ROUND(
ROUND((((TRUNC($AN220/2,0)+0.99))*VLOOKUP((TRUNC($AN220/2,0)+0.99),'Tax scales - NAT 1004'!$A$53:$C$59,2,1)-VLOOKUP((TRUNC($AN220/2,0)+0.99),'Tax scales - NAT 1004'!$A$53:$C$59,3,1)),0)
*2,
0),
IF(AND($E$2="Monthly",ROUND($AN220-TRUNC($AN220),2)=0.33),
ROUND(
ROUND(((TRUNC(($AN220+0.01)*3/13,0)+0.99)*VLOOKUP((TRUNC(($AN220+0.01)*3/13,0)+0.99),'Tax scales - NAT 1004'!$A$53:$C$59,2,1)-VLOOKUP((TRUNC(($AN220+0.01)*3/13,0)+0.99),'Tax scales - NAT 1004'!$A$53:$C$59,3,1)),0)
*13/3,
0),
IF($E$2="Monthly",
ROUND(
ROUND(((TRUNC($AN220*3/13,0)+0.99)*VLOOKUP((TRUNC($AN220*3/13,0)+0.99),'Tax scales - NAT 1004'!$A$53:$C$59,2,1)-VLOOKUP((TRUNC($AN220*3/13,0)+0.99),'Tax scales - NAT 1004'!$A$53:$C$59,3,1)),0)
*13/3,
0),
""))),
""),
"")</f>
        <v/>
      </c>
      <c r="AT220" s="118" t="str">
        <f>IFERROR(
IF(VLOOKUP($C220,'Employee information'!$B:$M,COLUMNS('Employee information'!$B:$M),0)=6,
IF($E$2="Fortnightly",
ROUND(
ROUND((((TRUNC($AN220/2,0)+0.99))*VLOOKUP((TRUNC($AN220/2,0)+0.99),'Tax scales - NAT 1004'!$A$65:$C$73,2,1)-VLOOKUP((TRUNC($AN220/2,0)+0.99),'Tax scales - NAT 1004'!$A$65:$C$73,3,1)),0)
*2,
0),
IF(AND($E$2="Monthly",ROUND($AN220-TRUNC($AN220),2)=0.33),
ROUND(
ROUND(((TRUNC(($AN220+0.01)*3/13,0)+0.99)*VLOOKUP((TRUNC(($AN220+0.01)*3/13,0)+0.99),'Tax scales - NAT 1004'!$A$65:$C$73,2,1)-VLOOKUP((TRUNC(($AN220+0.01)*3/13,0)+0.99),'Tax scales - NAT 1004'!$A$65:$C$73,3,1)),0)
*13/3,
0),
IF($E$2="Monthly",
ROUND(
ROUND(((TRUNC($AN220*3/13,0)+0.99)*VLOOKUP((TRUNC($AN220*3/13,0)+0.99),'Tax scales - NAT 1004'!$A$65:$C$73,2,1)-VLOOKUP((TRUNC($AN220*3/13,0)+0.99),'Tax scales - NAT 1004'!$A$65:$C$73,3,1)),0)
*13/3,
0),
""))),
""),
"")</f>
        <v/>
      </c>
      <c r="AU220" s="118" t="str">
        <f>IFERROR(
IF(VLOOKUP($C220,'Employee information'!$B:$M,COLUMNS('Employee information'!$B:$M),0)=11,
IF($E$2="Fortnightly",
ROUND(
ROUND((((TRUNC($AN220/2,0)+0.99))*VLOOKUP((TRUNC($AN220/2,0)+0.99),'Tax scales - NAT 3539'!$A$14:$C$38,2,1)-VLOOKUP((TRUNC($AN220/2,0)+0.99),'Tax scales - NAT 3539'!$A$14:$C$38,3,1)),0)
*2,
0),
IF(AND($E$2="Monthly",ROUND($AN220-TRUNC($AN220),2)=0.33),
ROUND(
ROUND(((TRUNC(($AN220+0.01)*3/13,0)+0.99)*VLOOKUP((TRUNC(($AN220+0.01)*3/13,0)+0.99),'Tax scales - NAT 3539'!$A$14:$C$38,2,1)-VLOOKUP((TRUNC(($AN220+0.01)*3/13,0)+0.99),'Tax scales - NAT 3539'!$A$14:$C$38,3,1)),0)
*13/3,
0),
IF($E$2="Monthly",
ROUND(
ROUND(((TRUNC($AN220*3/13,0)+0.99)*VLOOKUP((TRUNC($AN220*3/13,0)+0.99),'Tax scales - NAT 3539'!$A$14:$C$38,2,1)-VLOOKUP((TRUNC($AN220*3/13,0)+0.99),'Tax scales - NAT 3539'!$A$14:$C$38,3,1)),0)
*13/3,
0),
""))),
""),
"")</f>
        <v/>
      </c>
      <c r="AV220" s="118" t="str">
        <f>IFERROR(
IF(VLOOKUP($C220,'Employee information'!$B:$M,COLUMNS('Employee information'!$B:$M),0)=22,
IF($E$2="Fortnightly",
ROUND(
ROUND((((TRUNC($AN220/2,0)+0.99))*VLOOKUP((TRUNC($AN220/2,0)+0.99),'Tax scales - NAT 3539'!$A$43:$C$69,2,1)-VLOOKUP((TRUNC($AN220/2,0)+0.99),'Tax scales - NAT 3539'!$A$43:$C$69,3,1)),0)
*2,
0),
IF(AND($E$2="Monthly",ROUND($AN220-TRUNC($AN220),2)=0.33),
ROUND(
ROUND(((TRUNC(($AN220+0.01)*3/13,0)+0.99)*VLOOKUP((TRUNC(($AN220+0.01)*3/13,0)+0.99),'Tax scales - NAT 3539'!$A$43:$C$69,2,1)-VLOOKUP((TRUNC(($AN220+0.01)*3/13,0)+0.99),'Tax scales - NAT 3539'!$A$43:$C$69,3,1)),0)
*13/3,
0),
IF($E$2="Monthly",
ROUND(
ROUND(((TRUNC($AN220*3/13,0)+0.99)*VLOOKUP((TRUNC($AN220*3/13,0)+0.99),'Tax scales - NAT 3539'!$A$43:$C$69,2,1)-VLOOKUP((TRUNC($AN220*3/13,0)+0.99),'Tax scales - NAT 3539'!$A$43:$C$69,3,1)),0)
*13/3,
0),
""))),
""),
"")</f>
        <v/>
      </c>
      <c r="AW220" s="118" t="str">
        <f>IFERROR(
IF(VLOOKUP($C220,'Employee information'!$B:$M,COLUMNS('Employee information'!$B:$M),0)=33,
IF($E$2="Fortnightly",
ROUND(
ROUND((((TRUNC($AN220/2,0)+0.99))*VLOOKUP((TRUNC($AN220/2,0)+0.99),'Tax scales - NAT 3539'!$A$74:$C$94,2,1)-VLOOKUP((TRUNC($AN220/2,0)+0.99),'Tax scales - NAT 3539'!$A$74:$C$94,3,1)),0)
*2,
0),
IF(AND($E$2="Monthly",ROUND($AN220-TRUNC($AN220),2)=0.33),
ROUND(
ROUND(((TRUNC(($AN220+0.01)*3/13,0)+0.99)*VLOOKUP((TRUNC(($AN220+0.01)*3/13,0)+0.99),'Tax scales - NAT 3539'!$A$74:$C$94,2,1)-VLOOKUP((TRUNC(($AN220+0.01)*3/13,0)+0.99),'Tax scales - NAT 3539'!$A$74:$C$94,3,1)),0)
*13/3,
0),
IF($E$2="Monthly",
ROUND(
ROUND(((TRUNC($AN220*3/13,0)+0.99)*VLOOKUP((TRUNC($AN220*3/13,0)+0.99),'Tax scales - NAT 3539'!$A$74:$C$94,2,1)-VLOOKUP((TRUNC($AN220*3/13,0)+0.99),'Tax scales - NAT 3539'!$A$74:$C$94,3,1)),0)
*13/3,
0),
""))),
""),
"")</f>
        <v/>
      </c>
      <c r="AX220" s="118" t="str">
        <f>IFERROR(
IF(VLOOKUP($C220,'Employee information'!$B:$M,COLUMNS('Employee information'!$B:$M),0)=55,
IF($E$2="Fortnightly",
ROUND(
ROUND((((TRUNC($AN220/2,0)+0.99))*VLOOKUP((TRUNC($AN220/2,0)+0.99),'Tax scales - NAT 3539'!$A$99:$C$123,2,1)-VLOOKUP((TRUNC($AN220/2,0)+0.99),'Tax scales - NAT 3539'!$A$99:$C$123,3,1)),0)
*2,
0),
IF(AND($E$2="Monthly",ROUND($AN220-TRUNC($AN220),2)=0.33),
ROUND(
ROUND(((TRUNC(($AN220+0.01)*3/13,0)+0.99)*VLOOKUP((TRUNC(($AN220+0.01)*3/13,0)+0.99),'Tax scales - NAT 3539'!$A$99:$C$123,2,1)-VLOOKUP((TRUNC(($AN220+0.01)*3/13,0)+0.99),'Tax scales - NAT 3539'!$A$99:$C$123,3,1)),0)
*13/3,
0),
IF($E$2="Monthly",
ROUND(
ROUND(((TRUNC($AN220*3/13,0)+0.99)*VLOOKUP((TRUNC($AN220*3/13,0)+0.99),'Tax scales - NAT 3539'!$A$99:$C$123,2,1)-VLOOKUP((TRUNC($AN220*3/13,0)+0.99),'Tax scales - NAT 3539'!$A$99:$C$123,3,1)),0)
*13/3,
0),
""))),
""),
"")</f>
        <v/>
      </c>
      <c r="AY220" s="118">
        <f>IFERROR(
IF(VLOOKUP($C220,'Employee information'!$B:$M,COLUMNS('Employee information'!$B:$M),0)=66,
IF($E$2="Fortnightly",
ROUND(
ROUND((((TRUNC($AN220/2,0)+0.99))*VLOOKUP((TRUNC($AN220/2,0)+0.99),'Tax scales - NAT 3539'!$A$127:$C$154,2,1)-VLOOKUP((TRUNC($AN220/2,0)+0.99),'Tax scales - NAT 3539'!$A$127:$C$154,3,1)),0)
*2,
0),
IF(AND($E$2="Monthly",ROUND($AN220-TRUNC($AN220),2)=0.33),
ROUND(
ROUND(((TRUNC(($AN220+0.01)*3/13,0)+0.99)*VLOOKUP((TRUNC(($AN220+0.01)*3/13,0)+0.99),'Tax scales - NAT 3539'!$A$127:$C$154,2,1)-VLOOKUP((TRUNC(($AN220+0.01)*3/13,0)+0.99),'Tax scales - NAT 3539'!$A$127:$C$154,3,1)),0)
*13/3,
0),
IF($E$2="Monthly",
ROUND(
ROUND(((TRUNC($AN220*3/13,0)+0.99)*VLOOKUP((TRUNC($AN220*3/13,0)+0.99),'Tax scales - NAT 3539'!$A$127:$C$154,2,1)-VLOOKUP((TRUNC($AN220*3/13,0)+0.99),'Tax scales - NAT 3539'!$A$127:$C$154,3,1)),0)
*13/3,
0),
""))),
""),
"")</f>
        <v>74</v>
      </c>
      <c r="AZ220" s="118">
        <f>IFERROR(
HLOOKUP(VLOOKUP($C220,'Employee information'!$B:$M,COLUMNS('Employee information'!$B:$M),0),'PAYG worksheet'!$AO$213:$AY$232,COUNTA($C$214:$C220)+1,0),
0)</f>
        <v>74</v>
      </c>
      <c r="BA220" s="118"/>
      <c r="BB220" s="118">
        <f t="shared" si="232"/>
        <v>1033.6923076923078</v>
      </c>
      <c r="BC220" s="119">
        <f>IFERROR(
IF(OR($AE220=1,$AE220=""),SUM($P220,$AA220,$AC220,$AK220)*VLOOKUP($C220,'Employee information'!$B:$Q,COLUMNS('Employee information'!$B:$H),0),
IF($AE220=0,SUM($P220,$AA220,$AK220)*VLOOKUP($C220,'Employee information'!$B:$Q,COLUMNS('Employee information'!$B:$H),0),
0)),
0)</f>
        <v>105.23076923076924</v>
      </c>
      <c r="BE220" s="114">
        <f t="shared" si="217"/>
        <v>8861.5384615384628</v>
      </c>
      <c r="BF220" s="114">
        <f t="shared" si="218"/>
        <v>8861.5384615384628</v>
      </c>
      <c r="BG220" s="114">
        <f t="shared" si="219"/>
        <v>0</v>
      </c>
      <c r="BH220" s="114">
        <f t="shared" si="220"/>
        <v>0</v>
      </c>
      <c r="BI220" s="114">
        <f t="shared" si="221"/>
        <v>592</v>
      </c>
      <c r="BJ220" s="114">
        <f t="shared" si="222"/>
        <v>0</v>
      </c>
      <c r="BK220" s="114">
        <f t="shared" si="223"/>
        <v>0</v>
      </c>
      <c r="BL220" s="114">
        <f t="shared" si="233"/>
        <v>0</v>
      </c>
      <c r="BM220" s="114">
        <f t="shared" si="224"/>
        <v>841.84615384615404</v>
      </c>
    </row>
    <row r="221" spans="1:65" x14ac:dyDescent="0.25">
      <c r="A221" s="228">
        <f t="shared" si="212"/>
        <v>8</v>
      </c>
      <c r="C221" s="278"/>
      <c r="E221" s="103">
        <f>IF($C221="",0,
IF(AND($E$2="Monthly",$A221&gt;12),0,
IF($E$2="Monthly",VLOOKUP($C221,'Employee information'!$B:$AM,COLUMNS('Employee information'!$B:S),0),
IF($E$2="Fortnightly",VLOOKUP($C221,'Employee information'!$B:$AM,COLUMNS('Employee information'!$B:R),0),
0))))</f>
        <v>0</v>
      </c>
      <c r="F221" s="106"/>
      <c r="G221" s="106"/>
      <c r="H221" s="106"/>
      <c r="I221" s="106"/>
      <c r="J221" s="103">
        <f>IF($E$2="Monthly",
IF(AND($E$2="Monthly",$H221&lt;&gt;""),$H221,
IF(AND($E$2="Monthly",$E221=0),SUM($F221:$G221),
$E221)),
IF($E$2="Fortnightly",
IF(AND($E$2="Fortnightly",$H221&lt;&gt;""),$H221,
IF(AND($E$2="Fortnightly",$F221&lt;&gt;"",$E221&lt;&gt;0),$F221,
IF(AND($E$2="Fortnightly",$E221=0),SUM($F221:$G221),
$E221)))))</f>
        <v>0</v>
      </c>
      <c r="L221" s="113">
        <f>IF(AND($E$2="Monthly",$A221&gt;12),"",
IFERROR($J221*VLOOKUP($C221,'Employee information'!$B:$AI,COLUMNS('Employee information'!$B:$P),0),0))</f>
        <v>0</v>
      </c>
      <c r="M221" s="114">
        <f t="shared" si="226"/>
        <v>0</v>
      </c>
      <c r="O221" s="103">
        <f t="shared" si="227"/>
        <v>0</v>
      </c>
      <c r="P221" s="113">
        <f>IFERROR(
IF(AND($E$2="Monthly",$A221&gt;12),0,
$O221*VLOOKUP($C221,'Employee information'!$B:$AI,COLUMNS('Employee information'!$B:$P),0)),
0)</f>
        <v>0</v>
      </c>
      <c r="R221" s="114">
        <f t="shared" si="213"/>
        <v>0</v>
      </c>
      <c r="T221" s="103"/>
      <c r="U221" s="103"/>
      <c r="V221" s="282" t="str">
        <f>IF($C221="","",
IF(AND($E$2="Monthly",$A221&gt;12),"",
$T221*VLOOKUP($C221,'Employee information'!$B:$P,COLUMNS('Employee information'!$B:$P),0)))</f>
        <v/>
      </c>
      <c r="W221" s="282" t="str">
        <f>IF($C221="","",
IF(AND($E$2="Monthly",$A221&gt;12),"",
$U221*VLOOKUP($C221,'Employee information'!$B:$P,COLUMNS('Employee information'!$B:$P),0)))</f>
        <v/>
      </c>
      <c r="X221" s="114">
        <f t="shared" si="214"/>
        <v>0</v>
      </c>
      <c r="Y221" s="114">
        <f t="shared" si="215"/>
        <v>0</v>
      </c>
      <c r="AA221" s="118">
        <f>IFERROR(
IF(OR('Basic payroll data'!$D$12="",'Basic payroll data'!$D$12="No"),0,
$T221*VLOOKUP($C221,'Employee information'!$B:$P,COLUMNS('Employee information'!$B:$P),0)*AL_loading_perc),
0)</f>
        <v>0</v>
      </c>
      <c r="AC221" s="118"/>
      <c r="AD221" s="118"/>
      <c r="AE221" s="283" t="str">
        <f t="shared" si="228"/>
        <v/>
      </c>
      <c r="AF221" s="283" t="str">
        <f t="shared" si="229"/>
        <v/>
      </c>
      <c r="AG221" s="118"/>
      <c r="AH221" s="118"/>
      <c r="AI221" s="283" t="str">
        <f t="shared" si="230"/>
        <v/>
      </c>
      <c r="AJ221" s="118"/>
      <c r="AK221" s="118"/>
      <c r="AM221" s="118">
        <f t="shared" si="231"/>
        <v>0</v>
      </c>
      <c r="AN221" s="118">
        <f t="shared" si="216"/>
        <v>0</v>
      </c>
      <c r="AO221" s="118" t="str">
        <f>IFERROR(
IF(VLOOKUP($C221,'Employee information'!$B:$M,COLUMNS('Employee information'!$B:$M),0)=1,
IF($E$2="Fortnightly",
ROUND(
ROUND((((TRUNC($AN221/2,0)+0.99))*VLOOKUP((TRUNC($AN221/2,0)+0.99),'Tax scales - NAT 1004'!$A$12:$C$18,2,1)-VLOOKUP((TRUNC($AN221/2,0)+0.99),'Tax scales - NAT 1004'!$A$12:$C$18,3,1)),0)
*2,
0),
IF(AND($E$2="Monthly",ROUND($AN221-TRUNC($AN221),2)=0.33),
ROUND(
ROUND(((TRUNC(($AN221+0.01)*3/13,0)+0.99)*VLOOKUP((TRUNC(($AN221+0.01)*3/13,0)+0.99),'Tax scales - NAT 1004'!$A$12:$C$18,2,1)-VLOOKUP((TRUNC(($AN221+0.01)*3/13,0)+0.99),'Tax scales - NAT 1004'!$A$12:$C$18,3,1)),0)
*13/3,
0),
IF($E$2="Monthly",
ROUND(
ROUND(((TRUNC($AN221*3/13,0)+0.99)*VLOOKUP((TRUNC($AN221*3/13,0)+0.99),'Tax scales - NAT 1004'!$A$12:$C$18,2,1)-VLOOKUP((TRUNC($AN221*3/13,0)+0.99),'Tax scales - NAT 1004'!$A$12:$C$18,3,1)),0)
*13/3,
0),
""))),
""),
"")</f>
        <v/>
      </c>
      <c r="AP221" s="118" t="str">
        <f>IFERROR(
IF(VLOOKUP($C221,'Employee information'!$B:$M,COLUMNS('Employee information'!$B:$M),0)=2,
IF($E$2="Fortnightly",
ROUND(
ROUND((((TRUNC($AN221/2,0)+0.99))*VLOOKUP((TRUNC($AN221/2,0)+0.99),'Tax scales - NAT 1004'!$A$25:$C$33,2,1)-VLOOKUP((TRUNC($AN221/2,0)+0.99),'Tax scales - NAT 1004'!$A$25:$C$33,3,1)),0)
*2,
0),
IF(AND($E$2="Monthly",ROUND($AN221-TRUNC($AN221),2)=0.33),
ROUND(
ROUND(((TRUNC(($AN221+0.01)*3/13,0)+0.99)*VLOOKUP((TRUNC(($AN221+0.01)*3/13,0)+0.99),'Tax scales - NAT 1004'!$A$25:$C$33,2,1)-VLOOKUP((TRUNC(($AN221+0.01)*3/13,0)+0.99),'Tax scales - NAT 1004'!$A$25:$C$33,3,1)),0)
*13/3,
0),
IF($E$2="Monthly",
ROUND(
ROUND(((TRUNC($AN221*3/13,0)+0.99)*VLOOKUP((TRUNC($AN221*3/13,0)+0.99),'Tax scales - NAT 1004'!$A$25:$C$33,2,1)-VLOOKUP((TRUNC($AN221*3/13,0)+0.99),'Tax scales - NAT 1004'!$A$25:$C$33,3,1)),0)
*13/3,
0),
""))),
""),
"")</f>
        <v/>
      </c>
      <c r="AQ221" s="118" t="str">
        <f>IFERROR(
IF(VLOOKUP($C221,'Employee information'!$B:$M,COLUMNS('Employee information'!$B:$M),0)=3,
IF($E$2="Fortnightly",
ROUND(
ROUND((((TRUNC($AN221/2,0)+0.99))*VLOOKUP((TRUNC($AN221/2,0)+0.99),'Tax scales - NAT 1004'!$A$39:$C$41,2,1)-VLOOKUP((TRUNC($AN221/2,0)+0.99),'Tax scales - NAT 1004'!$A$39:$C$41,3,1)),0)
*2,
0),
IF(AND($E$2="Monthly",ROUND($AN221-TRUNC($AN221),2)=0.33),
ROUND(
ROUND(((TRUNC(($AN221+0.01)*3/13,0)+0.99)*VLOOKUP((TRUNC(($AN221+0.01)*3/13,0)+0.99),'Tax scales - NAT 1004'!$A$39:$C$41,2,1)-VLOOKUP((TRUNC(($AN221+0.01)*3/13,0)+0.99),'Tax scales - NAT 1004'!$A$39:$C$41,3,1)),0)
*13/3,
0),
IF($E$2="Monthly",
ROUND(
ROUND(((TRUNC($AN221*3/13,0)+0.99)*VLOOKUP((TRUNC($AN221*3/13,0)+0.99),'Tax scales - NAT 1004'!$A$39:$C$41,2,1)-VLOOKUP((TRUNC($AN221*3/13,0)+0.99),'Tax scales - NAT 1004'!$A$39:$C$41,3,1)),0)
*13/3,
0),
""))),
""),
"")</f>
        <v/>
      </c>
      <c r="AR221" s="118" t="str">
        <f>IFERROR(
IF(AND(VLOOKUP($C221,'Employee information'!$B:$M,COLUMNS('Employee information'!$B:$M),0)=4,
VLOOKUP($C221,'Employee information'!$B:$J,COLUMNS('Employee information'!$B:$J),0)="Resident"),
TRUNC(TRUNC($AN221)*'Tax scales - NAT 1004'!$B$47),
IF(AND(VLOOKUP($C221,'Employee information'!$B:$M,COLUMNS('Employee information'!$B:$M),0)=4,
VLOOKUP($C221,'Employee information'!$B:$J,COLUMNS('Employee information'!$B:$J),0)="Foreign resident"),
TRUNC(TRUNC($AN221)*'Tax scales - NAT 1004'!$B$48),
"")),
"")</f>
        <v/>
      </c>
      <c r="AS221" s="118" t="str">
        <f>IFERROR(
IF(VLOOKUP($C221,'Employee information'!$B:$M,COLUMNS('Employee information'!$B:$M),0)=5,
IF($E$2="Fortnightly",
ROUND(
ROUND((((TRUNC($AN221/2,0)+0.99))*VLOOKUP((TRUNC($AN221/2,0)+0.99),'Tax scales - NAT 1004'!$A$53:$C$59,2,1)-VLOOKUP((TRUNC($AN221/2,0)+0.99),'Tax scales - NAT 1004'!$A$53:$C$59,3,1)),0)
*2,
0),
IF(AND($E$2="Monthly",ROUND($AN221-TRUNC($AN221),2)=0.33),
ROUND(
ROUND(((TRUNC(($AN221+0.01)*3/13,0)+0.99)*VLOOKUP((TRUNC(($AN221+0.01)*3/13,0)+0.99),'Tax scales - NAT 1004'!$A$53:$C$59,2,1)-VLOOKUP((TRUNC(($AN221+0.01)*3/13,0)+0.99),'Tax scales - NAT 1004'!$A$53:$C$59,3,1)),0)
*13/3,
0),
IF($E$2="Monthly",
ROUND(
ROUND(((TRUNC($AN221*3/13,0)+0.99)*VLOOKUP((TRUNC($AN221*3/13,0)+0.99),'Tax scales - NAT 1004'!$A$53:$C$59,2,1)-VLOOKUP((TRUNC($AN221*3/13,0)+0.99),'Tax scales - NAT 1004'!$A$53:$C$59,3,1)),0)
*13/3,
0),
""))),
""),
"")</f>
        <v/>
      </c>
      <c r="AT221" s="118" t="str">
        <f>IFERROR(
IF(VLOOKUP($C221,'Employee information'!$B:$M,COLUMNS('Employee information'!$B:$M),0)=6,
IF($E$2="Fortnightly",
ROUND(
ROUND((((TRUNC($AN221/2,0)+0.99))*VLOOKUP((TRUNC($AN221/2,0)+0.99),'Tax scales - NAT 1004'!$A$65:$C$73,2,1)-VLOOKUP((TRUNC($AN221/2,0)+0.99),'Tax scales - NAT 1004'!$A$65:$C$73,3,1)),0)
*2,
0),
IF(AND($E$2="Monthly",ROUND($AN221-TRUNC($AN221),2)=0.33),
ROUND(
ROUND(((TRUNC(($AN221+0.01)*3/13,0)+0.99)*VLOOKUP((TRUNC(($AN221+0.01)*3/13,0)+0.99),'Tax scales - NAT 1004'!$A$65:$C$73,2,1)-VLOOKUP((TRUNC(($AN221+0.01)*3/13,0)+0.99),'Tax scales - NAT 1004'!$A$65:$C$73,3,1)),0)
*13/3,
0),
IF($E$2="Monthly",
ROUND(
ROUND(((TRUNC($AN221*3/13,0)+0.99)*VLOOKUP((TRUNC($AN221*3/13,0)+0.99),'Tax scales - NAT 1004'!$A$65:$C$73,2,1)-VLOOKUP((TRUNC($AN221*3/13,0)+0.99),'Tax scales - NAT 1004'!$A$65:$C$73,3,1)),0)
*13/3,
0),
""))),
""),
"")</f>
        <v/>
      </c>
      <c r="AU221" s="118" t="str">
        <f>IFERROR(
IF(VLOOKUP($C221,'Employee information'!$B:$M,COLUMNS('Employee information'!$B:$M),0)=11,
IF($E$2="Fortnightly",
ROUND(
ROUND((((TRUNC($AN221/2,0)+0.99))*VLOOKUP((TRUNC($AN221/2,0)+0.99),'Tax scales - NAT 3539'!$A$14:$C$38,2,1)-VLOOKUP((TRUNC($AN221/2,0)+0.99),'Tax scales - NAT 3539'!$A$14:$C$38,3,1)),0)
*2,
0),
IF(AND($E$2="Monthly",ROUND($AN221-TRUNC($AN221),2)=0.33),
ROUND(
ROUND(((TRUNC(($AN221+0.01)*3/13,0)+0.99)*VLOOKUP((TRUNC(($AN221+0.01)*3/13,0)+0.99),'Tax scales - NAT 3539'!$A$14:$C$38,2,1)-VLOOKUP((TRUNC(($AN221+0.01)*3/13,0)+0.99),'Tax scales - NAT 3539'!$A$14:$C$38,3,1)),0)
*13/3,
0),
IF($E$2="Monthly",
ROUND(
ROUND(((TRUNC($AN221*3/13,0)+0.99)*VLOOKUP((TRUNC($AN221*3/13,0)+0.99),'Tax scales - NAT 3539'!$A$14:$C$38,2,1)-VLOOKUP((TRUNC($AN221*3/13,0)+0.99),'Tax scales - NAT 3539'!$A$14:$C$38,3,1)),0)
*13/3,
0),
""))),
""),
"")</f>
        <v/>
      </c>
      <c r="AV221" s="118" t="str">
        <f>IFERROR(
IF(VLOOKUP($C221,'Employee information'!$B:$M,COLUMNS('Employee information'!$B:$M),0)=22,
IF($E$2="Fortnightly",
ROUND(
ROUND((((TRUNC($AN221/2,0)+0.99))*VLOOKUP((TRUNC($AN221/2,0)+0.99),'Tax scales - NAT 3539'!$A$43:$C$69,2,1)-VLOOKUP((TRUNC($AN221/2,0)+0.99),'Tax scales - NAT 3539'!$A$43:$C$69,3,1)),0)
*2,
0),
IF(AND($E$2="Monthly",ROUND($AN221-TRUNC($AN221),2)=0.33),
ROUND(
ROUND(((TRUNC(($AN221+0.01)*3/13,0)+0.99)*VLOOKUP((TRUNC(($AN221+0.01)*3/13,0)+0.99),'Tax scales - NAT 3539'!$A$43:$C$69,2,1)-VLOOKUP((TRUNC(($AN221+0.01)*3/13,0)+0.99),'Tax scales - NAT 3539'!$A$43:$C$69,3,1)),0)
*13/3,
0),
IF($E$2="Monthly",
ROUND(
ROUND(((TRUNC($AN221*3/13,0)+0.99)*VLOOKUP((TRUNC($AN221*3/13,0)+0.99),'Tax scales - NAT 3539'!$A$43:$C$69,2,1)-VLOOKUP((TRUNC($AN221*3/13,0)+0.99),'Tax scales - NAT 3539'!$A$43:$C$69,3,1)),0)
*13/3,
0),
""))),
""),
"")</f>
        <v/>
      </c>
      <c r="AW221" s="118" t="str">
        <f>IFERROR(
IF(VLOOKUP($C221,'Employee information'!$B:$M,COLUMNS('Employee information'!$B:$M),0)=33,
IF($E$2="Fortnightly",
ROUND(
ROUND((((TRUNC($AN221/2,0)+0.99))*VLOOKUP((TRUNC($AN221/2,0)+0.99),'Tax scales - NAT 3539'!$A$74:$C$94,2,1)-VLOOKUP((TRUNC($AN221/2,0)+0.99),'Tax scales - NAT 3539'!$A$74:$C$94,3,1)),0)
*2,
0),
IF(AND($E$2="Monthly",ROUND($AN221-TRUNC($AN221),2)=0.33),
ROUND(
ROUND(((TRUNC(($AN221+0.01)*3/13,0)+0.99)*VLOOKUP((TRUNC(($AN221+0.01)*3/13,0)+0.99),'Tax scales - NAT 3539'!$A$74:$C$94,2,1)-VLOOKUP((TRUNC(($AN221+0.01)*3/13,0)+0.99),'Tax scales - NAT 3539'!$A$74:$C$94,3,1)),0)
*13/3,
0),
IF($E$2="Monthly",
ROUND(
ROUND(((TRUNC($AN221*3/13,0)+0.99)*VLOOKUP((TRUNC($AN221*3/13,0)+0.99),'Tax scales - NAT 3539'!$A$74:$C$94,2,1)-VLOOKUP((TRUNC($AN221*3/13,0)+0.99),'Tax scales - NAT 3539'!$A$74:$C$94,3,1)),0)
*13/3,
0),
""))),
""),
"")</f>
        <v/>
      </c>
      <c r="AX221" s="118" t="str">
        <f>IFERROR(
IF(VLOOKUP($C221,'Employee information'!$B:$M,COLUMNS('Employee information'!$B:$M),0)=55,
IF($E$2="Fortnightly",
ROUND(
ROUND((((TRUNC($AN221/2,0)+0.99))*VLOOKUP((TRUNC($AN221/2,0)+0.99),'Tax scales - NAT 3539'!$A$99:$C$123,2,1)-VLOOKUP((TRUNC($AN221/2,0)+0.99),'Tax scales - NAT 3539'!$A$99:$C$123,3,1)),0)
*2,
0),
IF(AND($E$2="Monthly",ROUND($AN221-TRUNC($AN221),2)=0.33),
ROUND(
ROUND(((TRUNC(($AN221+0.01)*3/13,0)+0.99)*VLOOKUP((TRUNC(($AN221+0.01)*3/13,0)+0.99),'Tax scales - NAT 3539'!$A$99:$C$123,2,1)-VLOOKUP((TRUNC(($AN221+0.01)*3/13,0)+0.99),'Tax scales - NAT 3539'!$A$99:$C$123,3,1)),0)
*13/3,
0),
IF($E$2="Monthly",
ROUND(
ROUND(((TRUNC($AN221*3/13,0)+0.99)*VLOOKUP((TRUNC($AN221*3/13,0)+0.99),'Tax scales - NAT 3539'!$A$99:$C$123,2,1)-VLOOKUP((TRUNC($AN221*3/13,0)+0.99),'Tax scales - NAT 3539'!$A$99:$C$123,3,1)),0)
*13/3,
0),
""))),
""),
"")</f>
        <v/>
      </c>
      <c r="AY221" s="118" t="str">
        <f>IFERROR(
IF(VLOOKUP($C221,'Employee information'!$B:$M,COLUMNS('Employee information'!$B:$M),0)=66,
IF($E$2="Fortnightly",
ROUND(
ROUND((((TRUNC($AN221/2,0)+0.99))*VLOOKUP((TRUNC($AN221/2,0)+0.99),'Tax scales - NAT 3539'!$A$127:$C$154,2,1)-VLOOKUP((TRUNC($AN221/2,0)+0.99),'Tax scales - NAT 3539'!$A$127:$C$154,3,1)),0)
*2,
0),
IF(AND($E$2="Monthly",ROUND($AN221-TRUNC($AN221),2)=0.33),
ROUND(
ROUND(((TRUNC(($AN221+0.01)*3/13,0)+0.99)*VLOOKUP((TRUNC(($AN221+0.01)*3/13,0)+0.99),'Tax scales - NAT 3539'!$A$127:$C$154,2,1)-VLOOKUP((TRUNC(($AN221+0.01)*3/13,0)+0.99),'Tax scales - NAT 3539'!$A$127:$C$154,3,1)),0)
*13/3,
0),
IF($E$2="Monthly",
ROUND(
ROUND(((TRUNC($AN221*3/13,0)+0.99)*VLOOKUP((TRUNC($AN221*3/13,0)+0.99),'Tax scales - NAT 3539'!$A$127:$C$154,2,1)-VLOOKUP((TRUNC($AN221*3/13,0)+0.99),'Tax scales - NAT 3539'!$A$127:$C$154,3,1)),0)
*13/3,
0),
""))),
""),
"")</f>
        <v/>
      </c>
      <c r="AZ221" s="118">
        <f>IFERROR(
HLOOKUP(VLOOKUP($C221,'Employee information'!$B:$M,COLUMNS('Employee information'!$B:$M),0),'PAYG worksheet'!$AO$213:$AY$232,COUNTA($C$214:$C221)+1,0),
0)</f>
        <v>0</v>
      </c>
      <c r="BA221" s="118"/>
      <c r="BB221" s="118">
        <f t="shared" si="232"/>
        <v>0</v>
      </c>
      <c r="BC221" s="119">
        <f>IFERROR(
IF(OR($AE221=1,$AE221=""),SUM($P221,$AA221,$AC221,$AK221)*VLOOKUP($C221,'Employee information'!$B:$Q,COLUMNS('Employee information'!$B:$H),0),
IF($AE221=0,SUM($P221,$AA221,$AK221)*VLOOKUP($C221,'Employee information'!$B:$Q,COLUMNS('Employee information'!$B:$H),0),
0)),
0)</f>
        <v>0</v>
      </c>
      <c r="BE221" s="114">
        <f t="shared" si="217"/>
        <v>0</v>
      </c>
      <c r="BF221" s="114">
        <f t="shared" si="218"/>
        <v>0</v>
      </c>
      <c r="BG221" s="114">
        <f t="shared" si="219"/>
        <v>0</v>
      </c>
      <c r="BH221" s="114">
        <f t="shared" si="220"/>
        <v>0</v>
      </c>
      <c r="BI221" s="114">
        <f t="shared" si="221"/>
        <v>0</v>
      </c>
      <c r="BJ221" s="114">
        <f t="shared" si="222"/>
        <v>0</v>
      </c>
      <c r="BK221" s="114">
        <f t="shared" si="223"/>
        <v>0</v>
      </c>
      <c r="BL221" s="114">
        <f t="shared" si="233"/>
        <v>0</v>
      </c>
      <c r="BM221" s="114">
        <f t="shared" si="224"/>
        <v>0</v>
      </c>
    </row>
    <row r="222" spans="1:65" x14ac:dyDescent="0.25">
      <c r="A222" s="228">
        <f t="shared" si="212"/>
        <v>8</v>
      </c>
      <c r="C222" s="278"/>
      <c r="E222" s="103">
        <f>IF($C222="",0,
IF(AND($E$2="Monthly",$A222&gt;12),0,
IF($E$2="Monthly",VLOOKUP($C222,'Employee information'!$B:$AM,COLUMNS('Employee information'!$B:S),0),
IF($E$2="Fortnightly",VLOOKUP($C222,'Employee information'!$B:$AM,COLUMNS('Employee information'!$B:R),0),
0))))</f>
        <v>0</v>
      </c>
      <c r="F222" s="106"/>
      <c r="G222" s="106"/>
      <c r="H222" s="106"/>
      <c r="I222" s="106"/>
      <c r="J222" s="103">
        <f t="shared" si="225"/>
        <v>0</v>
      </c>
      <c r="L222" s="113">
        <f>IF(AND($E$2="Monthly",$A222&gt;12),"",
IFERROR($J222*VLOOKUP($C222,'Employee information'!$B:$AI,COLUMNS('Employee information'!$B:$P),0),0))</f>
        <v>0</v>
      </c>
      <c r="M222" s="114">
        <f t="shared" si="226"/>
        <v>0</v>
      </c>
      <c r="O222" s="103">
        <f t="shared" si="227"/>
        <v>0</v>
      </c>
      <c r="P222" s="113">
        <f>IFERROR(
IF(AND($E$2="Monthly",$A222&gt;12),0,
$O222*VLOOKUP($C222,'Employee information'!$B:$AI,COLUMNS('Employee information'!$B:$P),0)),
0)</f>
        <v>0</v>
      </c>
      <c r="R222" s="114">
        <f t="shared" si="213"/>
        <v>0</v>
      </c>
      <c r="T222" s="103"/>
      <c r="U222" s="103"/>
      <c r="V222" s="282" t="str">
        <f>IF($C222="","",
IF(AND($E$2="Monthly",$A222&gt;12),"",
$T222*VLOOKUP($C222,'Employee information'!$B:$P,COLUMNS('Employee information'!$B:$P),0)))</f>
        <v/>
      </c>
      <c r="W222" s="282" t="str">
        <f>IF($C222="","",
IF(AND($E$2="Monthly",$A222&gt;12),"",
$U222*VLOOKUP($C222,'Employee information'!$B:$P,COLUMNS('Employee information'!$B:$P),0)))</f>
        <v/>
      </c>
      <c r="X222" s="114">
        <f t="shared" si="214"/>
        <v>0</v>
      </c>
      <c r="Y222" s="114">
        <f t="shared" si="215"/>
        <v>0</v>
      </c>
      <c r="AA222" s="118">
        <f>IFERROR(
IF(OR('Basic payroll data'!$D$12="",'Basic payroll data'!$D$12="No"),0,
$T222*VLOOKUP($C222,'Employee information'!$B:$P,COLUMNS('Employee information'!$B:$P),0)*AL_loading_perc),
0)</f>
        <v>0</v>
      </c>
      <c r="AC222" s="118"/>
      <c r="AD222" s="118"/>
      <c r="AE222" s="283" t="str">
        <f t="shared" si="228"/>
        <v/>
      </c>
      <c r="AF222" s="283" t="str">
        <f t="shared" si="229"/>
        <v/>
      </c>
      <c r="AG222" s="118"/>
      <c r="AH222" s="118"/>
      <c r="AI222" s="283" t="str">
        <f t="shared" si="230"/>
        <v/>
      </c>
      <c r="AJ222" s="118"/>
      <c r="AK222" s="118"/>
      <c r="AM222" s="118">
        <f t="shared" si="231"/>
        <v>0</v>
      </c>
      <c r="AN222" s="118">
        <f t="shared" si="216"/>
        <v>0</v>
      </c>
      <c r="AO222" s="118" t="str">
        <f>IFERROR(
IF(VLOOKUP($C222,'Employee information'!$B:$M,COLUMNS('Employee information'!$B:$M),0)=1,
IF($E$2="Fortnightly",
ROUND(
ROUND((((TRUNC($AN222/2,0)+0.99))*VLOOKUP((TRUNC($AN222/2,0)+0.99),'Tax scales - NAT 1004'!$A$12:$C$18,2,1)-VLOOKUP((TRUNC($AN222/2,0)+0.99),'Tax scales - NAT 1004'!$A$12:$C$18,3,1)),0)
*2,
0),
IF(AND($E$2="Monthly",ROUND($AN222-TRUNC($AN222),2)=0.33),
ROUND(
ROUND(((TRUNC(($AN222+0.01)*3/13,0)+0.99)*VLOOKUP((TRUNC(($AN222+0.01)*3/13,0)+0.99),'Tax scales - NAT 1004'!$A$12:$C$18,2,1)-VLOOKUP((TRUNC(($AN222+0.01)*3/13,0)+0.99),'Tax scales - NAT 1004'!$A$12:$C$18,3,1)),0)
*13/3,
0),
IF($E$2="Monthly",
ROUND(
ROUND(((TRUNC($AN222*3/13,0)+0.99)*VLOOKUP((TRUNC($AN222*3/13,0)+0.99),'Tax scales - NAT 1004'!$A$12:$C$18,2,1)-VLOOKUP((TRUNC($AN222*3/13,0)+0.99),'Tax scales - NAT 1004'!$A$12:$C$18,3,1)),0)
*13/3,
0),
""))),
""),
"")</f>
        <v/>
      </c>
      <c r="AP222" s="118" t="str">
        <f>IFERROR(
IF(VLOOKUP($C222,'Employee information'!$B:$M,COLUMNS('Employee information'!$B:$M),0)=2,
IF($E$2="Fortnightly",
ROUND(
ROUND((((TRUNC($AN222/2,0)+0.99))*VLOOKUP((TRUNC($AN222/2,0)+0.99),'Tax scales - NAT 1004'!$A$25:$C$33,2,1)-VLOOKUP((TRUNC($AN222/2,0)+0.99),'Tax scales - NAT 1004'!$A$25:$C$33,3,1)),0)
*2,
0),
IF(AND($E$2="Monthly",ROUND($AN222-TRUNC($AN222),2)=0.33),
ROUND(
ROUND(((TRUNC(($AN222+0.01)*3/13,0)+0.99)*VLOOKUP((TRUNC(($AN222+0.01)*3/13,0)+0.99),'Tax scales - NAT 1004'!$A$25:$C$33,2,1)-VLOOKUP((TRUNC(($AN222+0.01)*3/13,0)+0.99),'Tax scales - NAT 1004'!$A$25:$C$33,3,1)),0)
*13/3,
0),
IF($E$2="Monthly",
ROUND(
ROUND(((TRUNC($AN222*3/13,0)+0.99)*VLOOKUP((TRUNC($AN222*3/13,0)+0.99),'Tax scales - NAT 1004'!$A$25:$C$33,2,1)-VLOOKUP((TRUNC($AN222*3/13,0)+0.99),'Tax scales - NAT 1004'!$A$25:$C$33,3,1)),0)
*13/3,
0),
""))),
""),
"")</f>
        <v/>
      </c>
      <c r="AQ222" s="118" t="str">
        <f>IFERROR(
IF(VLOOKUP($C222,'Employee information'!$B:$M,COLUMNS('Employee information'!$B:$M),0)=3,
IF($E$2="Fortnightly",
ROUND(
ROUND((((TRUNC($AN222/2,0)+0.99))*VLOOKUP((TRUNC($AN222/2,0)+0.99),'Tax scales - NAT 1004'!$A$39:$C$41,2,1)-VLOOKUP((TRUNC($AN222/2,0)+0.99),'Tax scales - NAT 1004'!$A$39:$C$41,3,1)),0)
*2,
0),
IF(AND($E$2="Monthly",ROUND($AN222-TRUNC($AN222),2)=0.33),
ROUND(
ROUND(((TRUNC(($AN222+0.01)*3/13,0)+0.99)*VLOOKUP((TRUNC(($AN222+0.01)*3/13,0)+0.99),'Tax scales - NAT 1004'!$A$39:$C$41,2,1)-VLOOKUP((TRUNC(($AN222+0.01)*3/13,0)+0.99),'Tax scales - NAT 1004'!$A$39:$C$41,3,1)),0)
*13/3,
0),
IF($E$2="Monthly",
ROUND(
ROUND(((TRUNC($AN222*3/13,0)+0.99)*VLOOKUP((TRUNC($AN222*3/13,0)+0.99),'Tax scales - NAT 1004'!$A$39:$C$41,2,1)-VLOOKUP((TRUNC($AN222*3/13,0)+0.99),'Tax scales - NAT 1004'!$A$39:$C$41,3,1)),0)
*13/3,
0),
""))),
""),
"")</f>
        <v/>
      </c>
      <c r="AR222" s="118" t="str">
        <f>IFERROR(
IF(AND(VLOOKUP($C222,'Employee information'!$B:$M,COLUMNS('Employee information'!$B:$M),0)=4,
VLOOKUP($C222,'Employee information'!$B:$J,COLUMNS('Employee information'!$B:$J),0)="Resident"),
TRUNC(TRUNC($AN222)*'Tax scales - NAT 1004'!$B$47),
IF(AND(VLOOKUP($C222,'Employee information'!$B:$M,COLUMNS('Employee information'!$B:$M),0)=4,
VLOOKUP($C222,'Employee information'!$B:$J,COLUMNS('Employee information'!$B:$J),0)="Foreign resident"),
TRUNC(TRUNC($AN222)*'Tax scales - NAT 1004'!$B$48),
"")),
"")</f>
        <v/>
      </c>
      <c r="AS222" s="118" t="str">
        <f>IFERROR(
IF(VLOOKUP($C222,'Employee information'!$B:$M,COLUMNS('Employee information'!$B:$M),0)=5,
IF($E$2="Fortnightly",
ROUND(
ROUND((((TRUNC($AN222/2,0)+0.99))*VLOOKUP((TRUNC($AN222/2,0)+0.99),'Tax scales - NAT 1004'!$A$53:$C$59,2,1)-VLOOKUP((TRUNC($AN222/2,0)+0.99),'Tax scales - NAT 1004'!$A$53:$C$59,3,1)),0)
*2,
0),
IF(AND($E$2="Monthly",ROUND($AN222-TRUNC($AN222),2)=0.33),
ROUND(
ROUND(((TRUNC(($AN222+0.01)*3/13,0)+0.99)*VLOOKUP((TRUNC(($AN222+0.01)*3/13,0)+0.99),'Tax scales - NAT 1004'!$A$53:$C$59,2,1)-VLOOKUP((TRUNC(($AN222+0.01)*3/13,0)+0.99),'Tax scales - NAT 1004'!$A$53:$C$59,3,1)),0)
*13/3,
0),
IF($E$2="Monthly",
ROUND(
ROUND(((TRUNC($AN222*3/13,0)+0.99)*VLOOKUP((TRUNC($AN222*3/13,0)+0.99),'Tax scales - NAT 1004'!$A$53:$C$59,2,1)-VLOOKUP((TRUNC($AN222*3/13,0)+0.99),'Tax scales - NAT 1004'!$A$53:$C$59,3,1)),0)
*13/3,
0),
""))),
""),
"")</f>
        <v/>
      </c>
      <c r="AT222" s="118" t="str">
        <f>IFERROR(
IF(VLOOKUP($C222,'Employee information'!$B:$M,COLUMNS('Employee information'!$B:$M),0)=6,
IF($E$2="Fortnightly",
ROUND(
ROUND((((TRUNC($AN222/2,0)+0.99))*VLOOKUP((TRUNC($AN222/2,0)+0.99),'Tax scales - NAT 1004'!$A$65:$C$73,2,1)-VLOOKUP((TRUNC($AN222/2,0)+0.99),'Tax scales - NAT 1004'!$A$65:$C$73,3,1)),0)
*2,
0),
IF(AND($E$2="Monthly",ROUND($AN222-TRUNC($AN222),2)=0.33),
ROUND(
ROUND(((TRUNC(($AN222+0.01)*3/13,0)+0.99)*VLOOKUP((TRUNC(($AN222+0.01)*3/13,0)+0.99),'Tax scales - NAT 1004'!$A$65:$C$73,2,1)-VLOOKUP((TRUNC(($AN222+0.01)*3/13,0)+0.99),'Tax scales - NAT 1004'!$A$65:$C$73,3,1)),0)
*13/3,
0),
IF($E$2="Monthly",
ROUND(
ROUND(((TRUNC($AN222*3/13,0)+0.99)*VLOOKUP((TRUNC($AN222*3/13,0)+0.99),'Tax scales - NAT 1004'!$A$65:$C$73,2,1)-VLOOKUP((TRUNC($AN222*3/13,0)+0.99),'Tax scales - NAT 1004'!$A$65:$C$73,3,1)),0)
*13/3,
0),
""))),
""),
"")</f>
        <v/>
      </c>
      <c r="AU222" s="118" t="str">
        <f>IFERROR(
IF(VLOOKUP($C222,'Employee information'!$B:$M,COLUMNS('Employee information'!$B:$M),0)=11,
IF($E$2="Fortnightly",
ROUND(
ROUND((((TRUNC($AN222/2,0)+0.99))*VLOOKUP((TRUNC($AN222/2,0)+0.99),'Tax scales - NAT 3539'!$A$14:$C$38,2,1)-VLOOKUP((TRUNC($AN222/2,0)+0.99),'Tax scales - NAT 3539'!$A$14:$C$38,3,1)),0)
*2,
0),
IF(AND($E$2="Monthly",ROUND($AN222-TRUNC($AN222),2)=0.33),
ROUND(
ROUND(((TRUNC(($AN222+0.01)*3/13,0)+0.99)*VLOOKUP((TRUNC(($AN222+0.01)*3/13,0)+0.99),'Tax scales - NAT 3539'!$A$14:$C$38,2,1)-VLOOKUP((TRUNC(($AN222+0.01)*3/13,0)+0.99),'Tax scales - NAT 3539'!$A$14:$C$38,3,1)),0)
*13/3,
0),
IF($E$2="Monthly",
ROUND(
ROUND(((TRUNC($AN222*3/13,0)+0.99)*VLOOKUP((TRUNC($AN222*3/13,0)+0.99),'Tax scales - NAT 3539'!$A$14:$C$38,2,1)-VLOOKUP((TRUNC($AN222*3/13,0)+0.99),'Tax scales - NAT 3539'!$A$14:$C$38,3,1)),0)
*13/3,
0),
""))),
""),
"")</f>
        <v/>
      </c>
      <c r="AV222" s="118" t="str">
        <f>IFERROR(
IF(VLOOKUP($C222,'Employee information'!$B:$M,COLUMNS('Employee information'!$B:$M),0)=22,
IF($E$2="Fortnightly",
ROUND(
ROUND((((TRUNC($AN222/2,0)+0.99))*VLOOKUP((TRUNC($AN222/2,0)+0.99),'Tax scales - NAT 3539'!$A$43:$C$69,2,1)-VLOOKUP((TRUNC($AN222/2,0)+0.99),'Tax scales - NAT 3539'!$A$43:$C$69,3,1)),0)
*2,
0),
IF(AND($E$2="Monthly",ROUND($AN222-TRUNC($AN222),2)=0.33),
ROUND(
ROUND(((TRUNC(($AN222+0.01)*3/13,0)+0.99)*VLOOKUP((TRUNC(($AN222+0.01)*3/13,0)+0.99),'Tax scales - NAT 3539'!$A$43:$C$69,2,1)-VLOOKUP((TRUNC(($AN222+0.01)*3/13,0)+0.99),'Tax scales - NAT 3539'!$A$43:$C$69,3,1)),0)
*13/3,
0),
IF($E$2="Monthly",
ROUND(
ROUND(((TRUNC($AN222*3/13,0)+0.99)*VLOOKUP((TRUNC($AN222*3/13,0)+0.99),'Tax scales - NAT 3539'!$A$43:$C$69,2,1)-VLOOKUP((TRUNC($AN222*3/13,0)+0.99),'Tax scales - NAT 3539'!$A$43:$C$69,3,1)),0)
*13/3,
0),
""))),
""),
"")</f>
        <v/>
      </c>
      <c r="AW222" s="118" t="str">
        <f>IFERROR(
IF(VLOOKUP($C222,'Employee information'!$B:$M,COLUMNS('Employee information'!$B:$M),0)=33,
IF($E$2="Fortnightly",
ROUND(
ROUND((((TRUNC($AN222/2,0)+0.99))*VLOOKUP((TRUNC($AN222/2,0)+0.99),'Tax scales - NAT 3539'!$A$74:$C$94,2,1)-VLOOKUP((TRUNC($AN222/2,0)+0.99),'Tax scales - NAT 3539'!$A$74:$C$94,3,1)),0)
*2,
0),
IF(AND($E$2="Monthly",ROUND($AN222-TRUNC($AN222),2)=0.33),
ROUND(
ROUND(((TRUNC(($AN222+0.01)*3/13,0)+0.99)*VLOOKUP((TRUNC(($AN222+0.01)*3/13,0)+0.99),'Tax scales - NAT 3539'!$A$74:$C$94,2,1)-VLOOKUP((TRUNC(($AN222+0.01)*3/13,0)+0.99),'Tax scales - NAT 3539'!$A$74:$C$94,3,1)),0)
*13/3,
0),
IF($E$2="Monthly",
ROUND(
ROUND(((TRUNC($AN222*3/13,0)+0.99)*VLOOKUP((TRUNC($AN222*3/13,0)+0.99),'Tax scales - NAT 3539'!$A$74:$C$94,2,1)-VLOOKUP((TRUNC($AN222*3/13,0)+0.99),'Tax scales - NAT 3539'!$A$74:$C$94,3,1)),0)
*13/3,
0),
""))),
""),
"")</f>
        <v/>
      </c>
      <c r="AX222" s="118" t="str">
        <f>IFERROR(
IF(VLOOKUP($C222,'Employee information'!$B:$M,COLUMNS('Employee information'!$B:$M),0)=55,
IF($E$2="Fortnightly",
ROUND(
ROUND((((TRUNC($AN222/2,0)+0.99))*VLOOKUP((TRUNC($AN222/2,0)+0.99),'Tax scales - NAT 3539'!$A$99:$C$123,2,1)-VLOOKUP((TRUNC($AN222/2,0)+0.99),'Tax scales - NAT 3539'!$A$99:$C$123,3,1)),0)
*2,
0),
IF(AND($E$2="Monthly",ROUND($AN222-TRUNC($AN222),2)=0.33),
ROUND(
ROUND(((TRUNC(($AN222+0.01)*3/13,0)+0.99)*VLOOKUP((TRUNC(($AN222+0.01)*3/13,0)+0.99),'Tax scales - NAT 3539'!$A$99:$C$123,2,1)-VLOOKUP((TRUNC(($AN222+0.01)*3/13,0)+0.99),'Tax scales - NAT 3539'!$A$99:$C$123,3,1)),0)
*13/3,
0),
IF($E$2="Monthly",
ROUND(
ROUND(((TRUNC($AN222*3/13,0)+0.99)*VLOOKUP((TRUNC($AN222*3/13,0)+0.99),'Tax scales - NAT 3539'!$A$99:$C$123,2,1)-VLOOKUP((TRUNC($AN222*3/13,0)+0.99),'Tax scales - NAT 3539'!$A$99:$C$123,3,1)),0)
*13/3,
0),
""))),
""),
"")</f>
        <v/>
      </c>
      <c r="AY222" s="118" t="str">
        <f>IFERROR(
IF(VLOOKUP($C222,'Employee information'!$B:$M,COLUMNS('Employee information'!$B:$M),0)=66,
IF($E$2="Fortnightly",
ROUND(
ROUND((((TRUNC($AN222/2,0)+0.99))*VLOOKUP((TRUNC($AN222/2,0)+0.99),'Tax scales - NAT 3539'!$A$127:$C$154,2,1)-VLOOKUP((TRUNC($AN222/2,0)+0.99),'Tax scales - NAT 3539'!$A$127:$C$154,3,1)),0)
*2,
0),
IF(AND($E$2="Monthly",ROUND($AN222-TRUNC($AN222),2)=0.33),
ROUND(
ROUND(((TRUNC(($AN222+0.01)*3/13,0)+0.99)*VLOOKUP((TRUNC(($AN222+0.01)*3/13,0)+0.99),'Tax scales - NAT 3539'!$A$127:$C$154,2,1)-VLOOKUP((TRUNC(($AN222+0.01)*3/13,0)+0.99),'Tax scales - NAT 3539'!$A$127:$C$154,3,1)),0)
*13/3,
0),
IF($E$2="Monthly",
ROUND(
ROUND(((TRUNC($AN222*3/13,0)+0.99)*VLOOKUP((TRUNC($AN222*3/13,0)+0.99),'Tax scales - NAT 3539'!$A$127:$C$154,2,1)-VLOOKUP((TRUNC($AN222*3/13,0)+0.99),'Tax scales - NAT 3539'!$A$127:$C$154,3,1)),0)
*13/3,
0),
""))),
""),
"")</f>
        <v/>
      </c>
      <c r="AZ222" s="118">
        <f>IFERROR(
HLOOKUP(VLOOKUP($C222,'Employee information'!$B:$M,COLUMNS('Employee information'!$B:$M),0),'PAYG worksheet'!$AO$213:$AY$232,COUNTA($C$214:$C222)+1,0),
0)</f>
        <v>0</v>
      </c>
      <c r="BA222" s="118"/>
      <c r="BB222" s="118">
        <f t="shared" si="232"/>
        <v>0</v>
      </c>
      <c r="BC222" s="119">
        <f>IFERROR(
IF(OR($AE222=1,$AE222=""),SUM($P222,$AA222,$AC222,$AK222)*VLOOKUP($C222,'Employee information'!$B:$Q,COLUMNS('Employee information'!$B:$H),0),
IF($AE222=0,SUM($P222,$AA222,$AK222)*VLOOKUP($C222,'Employee information'!$B:$Q,COLUMNS('Employee information'!$B:$H),0),
0)),
0)</f>
        <v>0</v>
      </c>
      <c r="BE222" s="114">
        <f t="shared" si="217"/>
        <v>0</v>
      </c>
      <c r="BF222" s="114">
        <f t="shared" si="218"/>
        <v>0</v>
      </c>
      <c r="BG222" s="114">
        <f t="shared" si="219"/>
        <v>0</v>
      </c>
      <c r="BH222" s="114">
        <f t="shared" si="220"/>
        <v>0</v>
      </c>
      <c r="BI222" s="114">
        <f t="shared" si="221"/>
        <v>0</v>
      </c>
      <c r="BJ222" s="114">
        <f t="shared" si="222"/>
        <v>0</v>
      </c>
      <c r="BK222" s="114">
        <f t="shared" si="223"/>
        <v>0</v>
      </c>
      <c r="BL222" s="114">
        <f t="shared" si="233"/>
        <v>0</v>
      </c>
      <c r="BM222" s="114">
        <f t="shared" si="224"/>
        <v>0</v>
      </c>
    </row>
    <row r="223" spans="1:65" x14ac:dyDescent="0.25">
      <c r="A223" s="228">
        <f t="shared" si="212"/>
        <v>8</v>
      </c>
      <c r="C223" s="278"/>
      <c r="E223" s="103">
        <f>IF($C223="",0,
IF(AND($E$2="Monthly",$A223&gt;12),0,
IF($E$2="Monthly",VLOOKUP($C223,'Employee information'!$B:$AM,COLUMNS('Employee information'!$B:S),0),
IF($E$2="Fortnightly",VLOOKUP($C223,'Employee information'!$B:$AM,COLUMNS('Employee information'!$B:R),0),
0))))</f>
        <v>0</v>
      </c>
      <c r="F223" s="106"/>
      <c r="G223" s="106"/>
      <c r="H223" s="106"/>
      <c r="I223" s="106"/>
      <c r="J223" s="103">
        <f t="shared" si="225"/>
        <v>0</v>
      </c>
      <c r="L223" s="113">
        <f>IF(AND($E$2="Monthly",$A223&gt;12),"",
IFERROR($J223*VLOOKUP($C223,'Employee information'!$B:$AI,COLUMNS('Employee information'!$B:$P),0),0))</f>
        <v>0</v>
      </c>
      <c r="M223" s="114">
        <f t="shared" si="226"/>
        <v>0</v>
      </c>
      <c r="O223" s="103">
        <f>IF($E$2="Monthly",
IF(AND($E$2="Monthly",$H223&lt;&gt;""),$H223,
IF(AND($E$2="Monthly",$E223=0),$F223,
$E223)),
IF($E$2="Fortnightly",
IF(AND($E$2="Fortnightly",$H223&lt;&gt;""),$H223,
IF(AND($E$2="Fortnightly",$F223&lt;&gt;"",$E223&lt;&gt;0),$F223,
IF(AND($E$2="Fortnightly",$E223=0),$F223,
$E223)))))</f>
        <v>0</v>
      </c>
      <c r="P223" s="113">
        <f>IFERROR(
IF(AND($E$2="Monthly",$A223&gt;12),0,
$O223*VLOOKUP($C223,'Employee information'!$B:$AI,COLUMNS('Employee information'!$B:$P),0)),
0)</f>
        <v>0</v>
      </c>
      <c r="R223" s="114">
        <f t="shared" si="213"/>
        <v>0</v>
      </c>
      <c r="T223" s="103"/>
      <c r="U223" s="103"/>
      <c r="V223" s="282" t="str">
        <f>IF($C223="","",
IF(AND($E$2="Monthly",$A223&gt;12),"",
$T223*VLOOKUP($C223,'Employee information'!$B:$P,COLUMNS('Employee information'!$B:$P),0)))</f>
        <v/>
      </c>
      <c r="W223" s="282" t="str">
        <f>IF($C223="","",
IF(AND($E$2="Monthly",$A223&gt;12),"",
$U223*VLOOKUP($C223,'Employee information'!$B:$P,COLUMNS('Employee information'!$B:$P),0)))</f>
        <v/>
      </c>
      <c r="X223" s="114">
        <f t="shared" si="214"/>
        <v>0</v>
      </c>
      <c r="Y223" s="114">
        <f t="shared" si="215"/>
        <v>0</v>
      </c>
      <c r="AA223" s="118">
        <f>IFERROR(
IF(OR('Basic payroll data'!$D$12="",'Basic payroll data'!$D$12="No"),0,
$T223*VLOOKUP($C223,'Employee information'!$B:$P,COLUMNS('Employee information'!$B:$P),0)*AL_loading_perc),
0)</f>
        <v>0</v>
      </c>
      <c r="AC223" s="118"/>
      <c r="AD223" s="118"/>
      <c r="AE223" s="283" t="str">
        <f t="shared" si="228"/>
        <v/>
      </c>
      <c r="AF223" s="283" t="str">
        <f t="shared" si="229"/>
        <v/>
      </c>
      <c r="AG223" s="118"/>
      <c r="AH223" s="118"/>
      <c r="AI223" s="283" t="str">
        <f t="shared" si="230"/>
        <v/>
      </c>
      <c r="AJ223" s="118"/>
      <c r="AK223" s="118"/>
      <c r="AM223" s="118">
        <f t="shared" si="231"/>
        <v>0</v>
      </c>
      <c r="AN223" s="118">
        <f t="shared" si="216"/>
        <v>0</v>
      </c>
      <c r="AO223" s="118" t="str">
        <f>IFERROR(
IF(VLOOKUP($C223,'Employee information'!$B:$M,COLUMNS('Employee information'!$B:$M),0)=1,
IF($E$2="Fortnightly",
ROUND(
ROUND((((TRUNC($AN223/2,0)+0.99))*VLOOKUP((TRUNC($AN223/2,0)+0.99),'Tax scales - NAT 1004'!$A$12:$C$18,2,1)-VLOOKUP((TRUNC($AN223/2,0)+0.99),'Tax scales - NAT 1004'!$A$12:$C$18,3,1)),0)
*2,
0),
IF(AND($E$2="Monthly",ROUND($AN223-TRUNC($AN223),2)=0.33),
ROUND(
ROUND(((TRUNC(($AN223+0.01)*3/13,0)+0.99)*VLOOKUP((TRUNC(($AN223+0.01)*3/13,0)+0.99),'Tax scales - NAT 1004'!$A$12:$C$18,2,1)-VLOOKUP((TRUNC(($AN223+0.01)*3/13,0)+0.99),'Tax scales - NAT 1004'!$A$12:$C$18,3,1)),0)
*13/3,
0),
IF($E$2="Monthly",
ROUND(
ROUND(((TRUNC($AN223*3/13,0)+0.99)*VLOOKUP((TRUNC($AN223*3/13,0)+0.99),'Tax scales - NAT 1004'!$A$12:$C$18,2,1)-VLOOKUP((TRUNC($AN223*3/13,0)+0.99),'Tax scales - NAT 1004'!$A$12:$C$18,3,1)),0)
*13/3,
0),
""))),
""),
"")</f>
        <v/>
      </c>
      <c r="AP223" s="118" t="str">
        <f>IFERROR(
IF(VLOOKUP($C223,'Employee information'!$B:$M,COLUMNS('Employee information'!$B:$M),0)=2,
IF($E$2="Fortnightly",
ROUND(
ROUND((((TRUNC($AN223/2,0)+0.99))*VLOOKUP((TRUNC($AN223/2,0)+0.99),'Tax scales - NAT 1004'!$A$25:$C$33,2,1)-VLOOKUP((TRUNC($AN223/2,0)+0.99),'Tax scales - NAT 1004'!$A$25:$C$33,3,1)),0)
*2,
0),
IF(AND($E$2="Monthly",ROUND($AN223-TRUNC($AN223),2)=0.33),
ROUND(
ROUND(((TRUNC(($AN223+0.01)*3/13,0)+0.99)*VLOOKUP((TRUNC(($AN223+0.01)*3/13,0)+0.99),'Tax scales - NAT 1004'!$A$25:$C$33,2,1)-VLOOKUP((TRUNC(($AN223+0.01)*3/13,0)+0.99),'Tax scales - NAT 1004'!$A$25:$C$33,3,1)),0)
*13/3,
0),
IF($E$2="Monthly",
ROUND(
ROUND(((TRUNC($AN223*3/13,0)+0.99)*VLOOKUP((TRUNC($AN223*3/13,0)+0.99),'Tax scales - NAT 1004'!$A$25:$C$33,2,1)-VLOOKUP((TRUNC($AN223*3/13,0)+0.99),'Tax scales - NAT 1004'!$A$25:$C$33,3,1)),0)
*13/3,
0),
""))),
""),
"")</f>
        <v/>
      </c>
      <c r="AQ223" s="118" t="str">
        <f>IFERROR(
IF(VLOOKUP($C223,'Employee information'!$B:$M,COLUMNS('Employee information'!$B:$M),0)=3,
IF($E$2="Fortnightly",
ROUND(
ROUND((((TRUNC($AN223/2,0)+0.99))*VLOOKUP((TRUNC($AN223/2,0)+0.99),'Tax scales - NAT 1004'!$A$39:$C$41,2,1)-VLOOKUP((TRUNC($AN223/2,0)+0.99),'Tax scales - NAT 1004'!$A$39:$C$41,3,1)),0)
*2,
0),
IF(AND($E$2="Monthly",ROUND($AN223-TRUNC($AN223),2)=0.33),
ROUND(
ROUND(((TRUNC(($AN223+0.01)*3/13,0)+0.99)*VLOOKUP((TRUNC(($AN223+0.01)*3/13,0)+0.99),'Tax scales - NAT 1004'!$A$39:$C$41,2,1)-VLOOKUP((TRUNC(($AN223+0.01)*3/13,0)+0.99),'Tax scales - NAT 1004'!$A$39:$C$41,3,1)),0)
*13/3,
0),
IF($E$2="Monthly",
ROUND(
ROUND(((TRUNC($AN223*3/13,0)+0.99)*VLOOKUP((TRUNC($AN223*3/13,0)+0.99),'Tax scales - NAT 1004'!$A$39:$C$41,2,1)-VLOOKUP((TRUNC($AN223*3/13,0)+0.99),'Tax scales - NAT 1004'!$A$39:$C$41,3,1)),0)
*13/3,
0),
""))),
""),
"")</f>
        <v/>
      </c>
      <c r="AR223" s="118" t="str">
        <f>IFERROR(
IF(AND(VLOOKUP($C223,'Employee information'!$B:$M,COLUMNS('Employee information'!$B:$M),0)=4,
VLOOKUP($C223,'Employee information'!$B:$J,COLUMNS('Employee information'!$B:$J),0)="Resident"),
TRUNC(TRUNC($AN223)*'Tax scales - NAT 1004'!$B$47),
IF(AND(VLOOKUP($C223,'Employee information'!$B:$M,COLUMNS('Employee information'!$B:$M),0)=4,
VLOOKUP($C223,'Employee information'!$B:$J,COLUMNS('Employee information'!$B:$J),0)="Foreign resident"),
TRUNC(TRUNC($AN223)*'Tax scales - NAT 1004'!$B$48),
"")),
"")</f>
        <v/>
      </c>
      <c r="AS223" s="118" t="str">
        <f>IFERROR(
IF(VLOOKUP($C223,'Employee information'!$B:$M,COLUMNS('Employee information'!$B:$M),0)=5,
IF($E$2="Fortnightly",
ROUND(
ROUND((((TRUNC($AN223/2,0)+0.99))*VLOOKUP((TRUNC($AN223/2,0)+0.99),'Tax scales - NAT 1004'!$A$53:$C$59,2,1)-VLOOKUP((TRUNC($AN223/2,0)+0.99),'Tax scales - NAT 1004'!$A$53:$C$59,3,1)),0)
*2,
0),
IF(AND($E$2="Monthly",ROUND($AN223-TRUNC($AN223),2)=0.33),
ROUND(
ROUND(((TRUNC(($AN223+0.01)*3/13,0)+0.99)*VLOOKUP((TRUNC(($AN223+0.01)*3/13,0)+0.99),'Tax scales - NAT 1004'!$A$53:$C$59,2,1)-VLOOKUP((TRUNC(($AN223+0.01)*3/13,0)+0.99),'Tax scales - NAT 1004'!$A$53:$C$59,3,1)),0)
*13/3,
0),
IF($E$2="Monthly",
ROUND(
ROUND(((TRUNC($AN223*3/13,0)+0.99)*VLOOKUP((TRUNC($AN223*3/13,0)+0.99),'Tax scales - NAT 1004'!$A$53:$C$59,2,1)-VLOOKUP((TRUNC($AN223*3/13,0)+0.99),'Tax scales - NAT 1004'!$A$53:$C$59,3,1)),0)
*13/3,
0),
""))),
""),
"")</f>
        <v/>
      </c>
      <c r="AT223" s="118" t="str">
        <f>IFERROR(
IF(VLOOKUP($C223,'Employee information'!$B:$M,COLUMNS('Employee information'!$B:$M),0)=6,
IF($E$2="Fortnightly",
ROUND(
ROUND((((TRUNC($AN223/2,0)+0.99))*VLOOKUP((TRUNC($AN223/2,0)+0.99),'Tax scales - NAT 1004'!$A$65:$C$73,2,1)-VLOOKUP((TRUNC($AN223/2,0)+0.99),'Tax scales - NAT 1004'!$A$65:$C$73,3,1)),0)
*2,
0),
IF(AND($E$2="Monthly",ROUND($AN223-TRUNC($AN223),2)=0.33),
ROUND(
ROUND(((TRUNC(($AN223+0.01)*3/13,0)+0.99)*VLOOKUP((TRUNC(($AN223+0.01)*3/13,0)+0.99),'Tax scales - NAT 1004'!$A$65:$C$73,2,1)-VLOOKUP((TRUNC(($AN223+0.01)*3/13,0)+0.99),'Tax scales - NAT 1004'!$A$65:$C$73,3,1)),0)
*13/3,
0),
IF($E$2="Monthly",
ROUND(
ROUND(((TRUNC($AN223*3/13,0)+0.99)*VLOOKUP((TRUNC($AN223*3/13,0)+0.99),'Tax scales - NAT 1004'!$A$65:$C$73,2,1)-VLOOKUP((TRUNC($AN223*3/13,0)+0.99),'Tax scales - NAT 1004'!$A$65:$C$73,3,1)),0)
*13/3,
0),
""))),
""),
"")</f>
        <v/>
      </c>
      <c r="AU223" s="118" t="str">
        <f>IFERROR(
IF(VLOOKUP($C223,'Employee information'!$B:$M,COLUMNS('Employee information'!$B:$M),0)=11,
IF($E$2="Fortnightly",
ROUND(
ROUND((((TRUNC($AN223/2,0)+0.99))*VLOOKUP((TRUNC($AN223/2,0)+0.99),'Tax scales - NAT 3539'!$A$14:$C$38,2,1)-VLOOKUP((TRUNC($AN223/2,0)+0.99),'Tax scales - NAT 3539'!$A$14:$C$38,3,1)),0)
*2,
0),
IF(AND($E$2="Monthly",ROUND($AN223-TRUNC($AN223),2)=0.33),
ROUND(
ROUND(((TRUNC(($AN223+0.01)*3/13,0)+0.99)*VLOOKUP((TRUNC(($AN223+0.01)*3/13,0)+0.99),'Tax scales - NAT 3539'!$A$14:$C$38,2,1)-VLOOKUP((TRUNC(($AN223+0.01)*3/13,0)+0.99),'Tax scales - NAT 3539'!$A$14:$C$38,3,1)),0)
*13/3,
0),
IF($E$2="Monthly",
ROUND(
ROUND(((TRUNC($AN223*3/13,0)+0.99)*VLOOKUP((TRUNC($AN223*3/13,0)+0.99),'Tax scales - NAT 3539'!$A$14:$C$38,2,1)-VLOOKUP((TRUNC($AN223*3/13,0)+0.99),'Tax scales - NAT 3539'!$A$14:$C$38,3,1)),0)
*13/3,
0),
""))),
""),
"")</f>
        <v/>
      </c>
      <c r="AV223" s="118" t="str">
        <f>IFERROR(
IF(VLOOKUP($C223,'Employee information'!$B:$M,COLUMNS('Employee information'!$B:$M),0)=22,
IF($E$2="Fortnightly",
ROUND(
ROUND((((TRUNC($AN223/2,0)+0.99))*VLOOKUP((TRUNC($AN223/2,0)+0.99),'Tax scales - NAT 3539'!$A$43:$C$69,2,1)-VLOOKUP((TRUNC($AN223/2,0)+0.99),'Tax scales - NAT 3539'!$A$43:$C$69,3,1)),0)
*2,
0),
IF(AND($E$2="Monthly",ROUND($AN223-TRUNC($AN223),2)=0.33),
ROUND(
ROUND(((TRUNC(($AN223+0.01)*3/13,0)+0.99)*VLOOKUP((TRUNC(($AN223+0.01)*3/13,0)+0.99),'Tax scales - NAT 3539'!$A$43:$C$69,2,1)-VLOOKUP((TRUNC(($AN223+0.01)*3/13,0)+0.99),'Tax scales - NAT 3539'!$A$43:$C$69,3,1)),0)
*13/3,
0),
IF($E$2="Monthly",
ROUND(
ROUND(((TRUNC($AN223*3/13,0)+0.99)*VLOOKUP((TRUNC($AN223*3/13,0)+0.99),'Tax scales - NAT 3539'!$A$43:$C$69,2,1)-VLOOKUP((TRUNC($AN223*3/13,0)+0.99),'Tax scales - NAT 3539'!$A$43:$C$69,3,1)),0)
*13/3,
0),
""))),
""),
"")</f>
        <v/>
      </c>
      <c r="AW223" s="118" t="str">
        <f>IFERROR(
IF(VLOOKUP($C223,'Employee information'!$B:$M,COLUMNS('Employee information'!$B:$M),0)=33,
IF($E$2="Fortnightly",
ROUND(
ROUND((((TRUNC($AN223/2,0)+0.99))*VLOOKUP((TRUNC($AN223/2,0)+0.99),'Tax scales - NAT 3539'!$A$74:$C$94,2,1)-VLOOKUP((TRUNC($AN223/2,0)+0.99),'Tax scales - NAT 3539'!$A$74:$C$94,3,1)),0)
*2,
0),
IF(AND($E$2="Monthly",ROUND($AN223-TRUNC($AN223),2)=0.33),
ROUND(
ROUND(((TRUNC(($AN223+0.01)*3/13,0)+0.99)*VLOOKUP((TRUNC(($AN223+0.01)*3/13,0)+0.99),'Tax scales - NAT 3539'!$A$74:$C$94,2,1)-VLOOKUP((TRUNC(($AN223+0.01)*3/13,0)+0.99),'Tax scales - NAT 3539'!$A$74:$C$94,3,1)),0)
*13/3,
0),
IF($E$2="Monthly",
ROUND(
ROUND(((TRUNC($AN223*3/13,0)+0.99)*VLOOKUP((TRUNC($AN223*3/13,0)+0.99),'Tax scales - NAT 3539'!$A$74:$C$94,2,1)-VLOOKUP((TRUNC($AN223*3/13,0)+0.99),'Tax scales - NAT 3539'!$A$74:$C$94,3,1)),0)
*13/3,
0),
""))),
""),
"")</f>
        <v/>
      </c>
      <c r="AX223" s="118" t="str">
        <f>IFERROR(
IF(VLOOKUP($C223,'Employee information'!$B:$M,COLUMNS('Employee information'!$B:$M),0)=55,
IF($E$2="Fortnightly",
ROUND(
ROUND((((TRUNC($AN223/2,0)+0.99))*VLOOKUP((TRUNC($AN223/2,0)+0.99),'Tax scales - NAT 3539'!$A$99:$C$123,2,1)-VLOOKUP((TRUNC($AN223/2,0)+0.99),'Tax scales - NAT 3539'!$A$99:$C$123,3,1)),0)
*2,
0),
IF(AND($E$2="Monthly",ROUND($AN223-TRUNC($AN223),2)=0.33),
ROUND(
ROUND(((TRUNC(($AN223+0.01)*3/13,0)+0.99)*VLOOKUP((TRUNC(($AN223+0.01)*3/13,0)+0.99),'Tax scales - NAT 3539'!$A$99:$C$123,2,1)-VLOOKUP((TRUNC(($AN223+0.01)*3/13,0)+0.99),'Tax scales - NAT 3539'!$A$99:$C$123,3,1)),0)
*13/3,
0),
IF($E$2="Monthly",
ROUND(
ROUND(((TRUNC($AN223*3/13,0)+0.99)*VLOOKUP((TRUNC($AN223*3/13,0)+0.99),'Tax scales - NAT 3539'!$A$99:$C$123,2,1)-VLOOKUP((TRUNC($AN223*3/13,0)+0.99),'Tax scales - NAT 3539'!$A$99:$C$123,3,1)),0)
*13/3,
0),
""))),
""),
"")</f>
        <v/>
      </c>
      <c r="AY223" s="118" t="str">
        <f>IFERROR(
IF(VLOOKUP($C223,'Employee information'!$B:$M,COLUMNS('Employee information'!$B:$M),0)=66,
IF($E$2="Fortnightly",
ROUND(
ROUND((((TRUNC($AN223/2,0)+0.99))*VLOOKUP((TRUNC($AN223/2,0)+0.99),'Tax scales - NAT 3539'!$A$127:$C$154,2,1)-VLOOKUP((TRUNC($AN223/2,0)+0.99),'Tax scales - NAT 3539'!$A$127:$C$154,3,1)),0)
*2,
0),
IF(AND($E$2="Monthly",ROUND($AN223-TRUNC($AN223),2)=0.33),
ROUND(
ROUND(((TRUNC(($AN223+0.01)*3/13,0)+0.99)*VLOOKUP((TRUNC(($AN223+0.01)*3/13,0)+0.99),'Tax scales - NAT 3539'!$A$127:$C$154,2,1)-VLOOKUP((TRUNC(($AN223+0.01)*3/13,0)+0.99),'Tax scales - NAT 3539'!$A$127:$C$154,3,1)),0)
*13/3,
0),
IF($E$2="Monthly",
ROUND(
ROUND(((TRUNC($AN223*3/13,0)+0.99)*VLOOKUP((TRUNC($AN223*3/13,0)+0.99),'Tax scales - NAT 3539'!$A$127:$C$154,2,1)-VLOOKUP((TRUNC($AN223*3/13,0)+0.99),'Tax scales - NAT 3539'!$A$127:$C$154,3,1)),0)
*13/3,
0),
""))),
""),
"")</f>
        <v/>
      </c>
      <c r="AZ223" s="118">
        <f>IFERROR(
HLOOKUP(VLOOKUP($C223,'Employee information'!$B:$M,COLUMNS('Employee information'!$B:$M),0),'PAYG worksheet'!$AO$213:$AY$232,COUNTA($C$214:$C223)+1,0),
0)</f>
        <v>0</v>
      </c>
      <c r="BA223" s="118"/>
      <c r="BB223" s="118">
        <f t="shared" si="232"/>
        <v>0</v>
      </c>
      <c r="BC223" s="119">
        <f>IFERROR(
IF(OR($AE223=1,$AE223=""),SUM($P223,$AA223,$AC223,$AK223)*VLOOKUP($C223,'Employee information'!$B:$Q,COLUMNS('Employee information'!$B:$H),0),
IF($AE223=0,SUM($P223,$AA223,$AK223)*VLOOKUP($C223,'Employee information'!$B:$Q,COLUMNS('Employee information'!$B:$H),0),
0)),
0)</f>
        <v>0</v>
      </c>
      <c r="BE223" s="114">
        <f t="shared" si="217"/>
        <v>0</v>
      </c>
      <c r="BF223" s="114">
        <f t="shared" si="218"/>
        <v>0</v>
      </c>
      <c r="BG223" s="114">
        <f t="shared" si="219"/>
        <v>0</v>
      </c>
      <c r="BH223" s="114">
        <f t="shared" si="220"/>
        <v>0</v>
      </c>
      <c r="BI223" s="114">
        <f t="shared" si="221"/>
        <v>0</v>
      </c>
      <c r="BJ223" s="114">
        <f t="shared" si="222"/>
        <v>0</v>
      </c>
      <c r="BK223" s="114">
        <f t="shared" si="223"/>
        <v>0</v>
      </c>
      <c r="BL223" s="114">
        <f t="shared" si="233"/>
        <v>0</v>
      </c>
      <c r="BM223" s="114">
        <f t="shared" si="224"/>
        <v>0</v>
      </c>
    </row>
    <row r="224" spans="1:65" x14ac:dyDescent="0.25">
      <c r="A224" s="228">
        <f t="shared" si="212"/>
        <v>8</v>
      </c>
      <c r="C224" s="278"/>
      <c r="E224" s="103">
        <f>IF($C224="",0,
IF(AND($E$2="Monthly",$A224&gt;12),0,
IF($E$2="Monthly",VLOOKUP($C224,'Employee information'!$B:$AM,COLUMNS('Employee information'!$B:S),0),
IF($E$2="Fortnightly",VLOOKUP($C224,'Employee information'!$B:$AM,COLUMNS('Employee information'!$B:R),0),
0))))</f>
        <v>0</v>
      </c>
      <c r="F224" s="106"/>
      <c r="G224" s="106"/>
      <c r="H224" s="106"/>
      <c r="I224" s="106"/>
      <c r="J224" s="103">
        <f t="shared" si="225"/>
        <v>0</v>
      </c>
      <c r="L224" s="113">
        <f>IF(AND($E$2="Monthly",$A224&gt;12),"",
IFERROR($J224*VLOOKUP($C224,'Employee information'!$B:$AI,COLUMNS('Employee information'!$B:$P),0),0))</f>
        <v>0</v>
      </c>
      <c r="M224" s="114">
        <f t="shared" si="226"/>
        <v>0</v>
      </c>
      <c r="O224" s="103">
        <f t="shared" si="227"/>
        <v>0</v>
      </c>
      <c r="P224" s="113">
        <f>IFERROR(
IF(AND($E$2="Monthly",$A224&gt;12),0,
$O224*VLOOKUP($C224,'Employee information'!$B:$AI,COLUMNS('Employee information'!$B:$P),0)),
0)</f>
        <v>0</v>
      </c>
      <c r="R224" s="114">
        <f t="shared" si="213"/>
        <v>0</v>
      </c>
      <c r="T224" s="103"/>
      <c r="U224" s="103"/>
      <c r="V224" s="282" t="str">
        <f>IF($C224="","",
IF(AND($E$2="Monthly",$A224&gt;12),"",
$T224*VLOOKUP($C224,'Employee information'!$B:$P,COLUMNS('Employee information'!$B:$P),0)))</f>
        <v/>
      </c>
      <c r="W224" s="282" t="str">
        <f>IF($C224="","",
IF(AND($E$2="Monthly",$A224&gt;12),"",
$U224*VLOOKUP($C224,'Employee information'!$B:$P,COLUMNS('Employee information'!$B:$P),0)))</f>
        <v/>
      </c>
      <c r="X224" s="114">
        <f t="shared" si="214"/>
        <v>0</v>
      </c>
      <c r="Y224" s="114">
        <f t="shared" si="215"/>
        <v>0</v>
      </c>
      <c r="AA224" s="118">
        <f>IFERROR(
IF(OR('Basic payroll data'!$D$12="",'Basic payroll data'!$D$12="No"),0,
$T224*VLOOKUP($C224,'Employee information'!$B:$P,COLUMNS('Employee information'!$B:$P),0)*AL_loading_perc),
0)</f>
        <v>0</v>
      </c>
      <c r="AC224" s="118"/>
      <c r="AD224" s="118"/>
      <c r="AE224" s="283" t="str">
        <f t="shared" si="228"/>
        <v/>
      </c>
      <c r="AF224" s="283" t="str">
        <f t="shared" si="229"/>
        <v/>
      </c>
      <c r="AG224" s="118"/>
      <c r="AH224" s="118"/>
      <c r="AI224" s="283" t="str">
        <f t="shared" si="230"/>
        <v/>
      </c>
      <c r="AJ224" s="118"/>
      <c r="AK224" s="118"/>
      <c r="AM224" s="118">
        <f t="shared" si="231"/>
        <v>0</v>
      </c>
      <c r="AN224" s="118">
        <f t="shared" si="216"/>
        <v>0</v>
      </c>
      <c r="AO224" s="118" t="str">
        <f>IFERROR(
IF(VLOOKUP($C224,'Employee information'!$B:$M,COLUMNS('Employee information'!$B:$M),0)=1,
IF($E$2="Fortnightly",
ROUND(
ROUND((((TRUNC($AN224/2,0)+0.99))*VLOOKUP((TRUNC($AN224/2,0)+0.99),'Tax scales - NAT 1004'!$A$12:$C$18,2,1)-VLOOKUP((TRUNC($AN224/2,0)+0.99),'Tax scales - NAT 1004'!$A$12:$C$18,3,1)),0)
*2,
0),
IF(AND($E$2="Monthly",ROUND($AN224-TRUNC($AN224),2)=0.33),
ROUND(
ROUND(((TRUNC(($AN224+0.01)*3/13,0)+0.99)*VLOOKUP((TRUNC(($AN224+0.01)*3/13,0)+0.99),'Tax scales - NAT 1004'!$A$12:$C$18,2,1)-VLOOKUP((TRUNC(($AN224+0.01)*3/13,0)+0.99),'Tax scales - NAT 1004'!$A$12:$C$18,3,1)),0)
*13/3,
0),
IF($E$2="Monthly",
ROUND(
ROUND(((TRUNC($AN224*3/13,0)+0.99)*VLOOKUP((TRUNC($AN224*3/13,0)+0.99),'Tax scales - NAT 1004'!$A$12:$C$18,2,1)-VLOOKUP((TRUNC($AN224*3/13,0)+0.99),'Tax scales - NAT 1004'!$A$12:$C$18,3,1)),0)
*13/3,
0),
""))),
""),
"")</f>
        <v/>
      </c>
      <c r="AP224" s="118" t="str">
        <f>IFERROR(
IF(VLOOKUP($C224,'Employee information'!$B:$M,COLUMNS('Employee information'!$B:$M),0)=2,
IF($E$2="Fortnightly",
ROUND(
ROUND((((TRUNC($AN224/2,0)+0.99))*VLOOKUP((TRUNC($AN224/2,0)+0.99),'Tax scales - NAT 1004'!$A$25:$C$33,2,1)-VLOOKUP((TRUNC($AN224/2,0)+0.99),'Tax scales - NAT 1004'!$A$25:$C$33,3,1)),0)
*2,
0),
IF(AND($E$2="Monthly",ROUND($AN224-TRUNC($AN224),2)=0.33),
ROUND(
ROUND(((TRUNC(($AN224+0.01)*3/13,0)+0.99)*VLOOKUP((TRUNC(($AN224+0.01)*3/13,0)+0.99),'Tax scales - NAT 1004'!$A$25:$C$33,2,1)-VLOOKUP((TRUNC(($AN224+0.01)*3/13,0)+0.99),'Tax scales - NAT 1004'!$A$25:$C$33,3,1)),0)
*13/3,
0),
IF($E$2="Monthly",
ROUND(
ROUND(((TRUNC($AN224*3/13,0)+0.99)*VLOOKUP((TRUNC($AN224*3/13,0)+0.99),'Tax scales - NAT 1004'!$A$25:$C$33,2,1)-VLOOKUP((TRUNC($AN224*3/13,0)+0.99),'Tax scales - NAT 1004'!$A$25:$C$33,3,1)),0)
*13/3,
0),
""))),
""),
"")</f>
        <v/>
      </c>
      <c r="AQ224" s="118" t="str">
        <f>IFERROR(
IF(VLOOKUP($C224,'Employee information'!$B:$M,COLUMNS('Employee information'!$B:$M),0)=3,
IF($E$2="Fortnightly",
ROUND(
ROUND((((TRUNC($AN224/2,0)+0.99))*VLOOKUP((TRUNC($AN224/2,0)+0.99),'Tax scales - NAT 1004'!$A$39:$C$41,2,1)-VLOOKUP((TRUNC($AN224/2,0)+0.99),'Tax scales - NAT 1004'!$A$39:$C$41,3,1)),0)
*2,
0),
IF(AND($E$2="Monthly",ROUND($AN224-TRUNC($AN224),2)=0.33),
ROUND(
ROUND(((TRUNC(($AN224+0.01)*3/13,0)+0.99)*VLOOKUP((TRUNC(($AN224+0.01)*3/13,0)+0.99),'Tax scales - NAT 1004'!$A$39:$C$41,2,1)-VLOOKUP((TRUNC(($AN224+0.01)*3/13,0)+0.99),'Tax scales - NAT 1004'!$A$39:$C$41,3,1)),0)
*13/3,
0),
IF($E$2="Monthly",
ROUND(
ROUND(((TRUNC($AN224*3/13,0)+0.99)*VLOOKUP((TRUNC($AN224*3/13,0)+0.99),'Tax scales - NAT 1004'!$A$39:$C$41,2,1)-VLOOKUP((TRUNC($AN224*3/13,0)+0.99),'Tax scales - NAT 1004'!$A$39:$C$41,3,1)),0)
*13/3,
0),
""))),
""),
"")</f>
        <v/>
      </c>
      <c r="AR224" s="118" t="str">
        <f>IFERROR(
IF(AND(VLOOKUP($C224,'Employee information'!$B:$M,COLUMNS('Employee information'!$B:$M),0)=4,
VLOOKUP($C224,'Employee information'!$B:$J,COLUMNS('Employee information'!$B:$J),0)="Resident"),
TRUNC(TRUNC($AN224)*'Tax scales - NAT 1004'!$B$47),
IF(AND(VLOOKUP($C224,'Employee information'!$B:$M,COLUMNS('Employee information'!$B:$M),0)=4,
VLOOKUP($C224,'Employee information'!$B:$J,COLUMNS('Employee information'!$B:$J),0)="Foreign resident"),
TRUNC(TRUNC($AN224)*'Tax scales - NAT 1004'!$B$48),
"")),
"")</f>
        <v/>
      </c>
      <c r="AS224" s="118" t="str">
        <f>IFERROR(
IF(VLOOKUP($C224,'Employee information'!$B:$M,COLUMNS('Employee information'!$B:$M),0)=5,
IF($E$2="Fortnightly",
ROUND(
ROUND((((TRUNC($AN224/2,0)+0.99))*VLOOKUP((TRUNC($AN224/2,0)+0.99),'Tax scales - NAT 1004'!$A$53:$C$59,2,1)-VLOOKUP((TRUNC($AN224/2,0)+0.99),'Tax scales - NAT 1004'!$A$53:$C$59,3,1)),0)
*2,
0),
IF(AND($E$2="Monthly",ROUND($AN224-TRUNC($AN224),2)=0.33),
ROUND(
ROUND(((TRUNC(($AN224+0.01)*3/13,0)+0.99)*VLOOKUP((TRUNC(($AN224+0.01)*3/13,0)+0.99),'Tax scales - NAT 1004'!$A$53:$C$59,2,1)-VLOOKUP((TRUNC(($AN224+0.01)*3/13,0)+0.99),'Tax scales - NAT 1004'!$A$53:$C$59,3,1)),0)
*13/3,
0),
IF($E$2="Monthly",
ROUND(
ROUND(((TRUNC($AN224*3/13,0)+0.99)*VLOOKUP((TRUNC($AN224*3/13,0)+0.99),'Tax scales - NAT 1004'!$A$53:$C$59,2,1)-VLOOKUP((TRUNC($AN224*3/13,0)+0.99),'Tax scales - NAT 1004'!$A$53:$C$59,3,1)),0)
*13/3,
0),
""))),
""),
"")</f>
        <v/>
      </c>
      <c r="AT224" s="118" t="str">
        <f>IFERROR(
IF(VLOOKUP($C224,'Employee information'!$B:$M,COLUMNS('Employee information'!$B:$M),0)=6,
IF($E$2="Fortnightly",
ROUND(
ROUND((((TRUNC($AN224/2,0)+0.99))*VLOOKUP((TRUNC($AN224/2,0)+0.99),'Tax scales - NAT 1004'!$A$65:$C$73,2,1)-VLOOKUP((TRUNC($AN224/2,0)+0.99),'Tax scales - NAT 1004'!$A$65:$C$73,3,1)),0)
*2,
0),
IF(AND($E$2="Monthly",ROUND($AN224-TRUNC($AN224),2)=0.33),
ROUND(
ROUND(((TRUNC(($AN224+0.01)*3/13,0)+0.99)*VLOOKUP((TRUNC(($AN224+0.01)*3/13,0)+0.99),'Tax scales - NAT 1004'!$A$65:$C$73,2,1)-VLOOKUP((TRUNC(($AN224+0.01)*3/13,0)+0.99),'Tax scales - NAT 1004'!$A$65:$C$73,3,1)),0)
*13/3,
0),
IF($E$2="Monthly",
ROUND(
ROUND(((TRUNC($AN224*3/13,0)+0.99)*VLOOKUP((TRUNC($AN224*3/13,0)+0.99),'Tax scales - NAT 1004'!$A$65:$C$73,2,1)-VLOOKUP((TRUNC($AN224*3/13,0)+0.99),'Tax scales - NAT 1004'!$A$65:$C$73,3,1)),0)
*13/3,
0),
""))),
""),
"")</f>
        <v/>
      </c>
      <c r="AU224" s="118" t="str">
        <f>IFERROR(
IF(VLOOKUP($C224,'Employee information'!$B:$M,COLUMNS('Employee information'!$B:$M),0)=11,
IF($E$2="Fortnightly",
ROUND(
ROUND((((TRUNC($AN224/2,0)+0.99))*VLOOKUP((TRUNC($AN224/2,0)+0.99),'Tax scales - NAT 3539'!$A$14:$C$38,2,1)-VLOOKUP((TRUNC($AN224/2,0)+0.99),'Tax scales - NAT 3539'!$A$14:$C$38,3,1)),0)
*2,
0),
IF(AND($E$2="Monthly",ROUND($AN224-TRUNC($AN224),2)=0.33),
ROUND(
ROUND(((TRUNC(($AN224+0.01)*3/13,0)+0.99)*VLOOKUP((TRUNC(($AN224+0.01)*3/13,0)+0.99),'Tax scales - NAT 3539'!$A$14:$C$38,2,1)-VLOOKUP((TRUNC(($AN224+0.01)*3/13,0)+0.99),'Tax scales - NAT 3539'!$A$14:$C$38,3,1)),0)
*13/3,
0),
IF($E$2="Monthly",
ROUND(
ROUND(((TRUNC($AN224*3/13,0)+0.99)*VLOOKUP((TRUNC($AN224*3/13,0)+0.99),'Tax scales - NAT 3539'!$A$14:$C$38,2,1)-VLOOKUP((TRUNC($AN224*3/13,0)+0.99),'Tax scales - NAT 3539'!$A$14:$C$38,3,1)),0)
*13/3,
0),
""))),
""),
"")</f>
        <v/>
      </c>
      <c r="AV224" s="118" t="str">
        <f>IFERROR(
IF(VLOOKUP($C224,'Employee information'!$B:$M,COLUMNS('Employee information'!$B:$M),0)=22,
IF($E$2="Fortnightly",
ROUND(
ROUND((((TRUNC($AN224/2,0)+0.99))*VLOOKUP((TRUNC($AN224/2,0)+0.99),'Tax scales - NAT 3539'!$A$43:$C$69,2,1)-VLOOKUP((TRUNC($AN224/2,0)+0.99),'Tax scales - NAT 3539'!$A$43:$C$69,3,1)),0)
*2,
0),
IF(AND($E$2="Monthly",ROUND($AN224-TRUNC($AN224),2)=0.33),
ROUND(
ROUND(((TRUNC(($AN224+0.01)*3/13,0)+0.99)*VLOOKUP((TRUNC(($AN224+0.01)*3/13,0)+0.99),'Tax scales - NAT 3539'!$A$43:$C$69,2,1)-VLOOKUP((TRUNC(($AN224+0.01)*3/13,0)+0.99),'Tax scales - NAT 3539'!$A$43:$C$69,3,1)),0)
*13/3,
0),
IF($E$2="Monthly",
ROUND(
ROUND(((TRUNC($AN224*3/13,0)+0.99)*VLOOKUP((TRUNC($AN224*3/13,0)+0.99),'Tax scales - NAT 3539'!$A$43:$C$69,2,1)-VLOOKUP((TRUNC($AN224*3/13,0)+0.99),'Tax scales - NAT 3539'!$A$43:$C$69,3,1)),0)
*13/3,
0),
""))),
""),
"")</f>
        <v/>
      </c>
      <c r="AW224" s="118" t="str">
        <f>IFERROR(
IF(VLOOKUP($C224,'Employee information'!$B:$M,COLUMNS('Employee information'!$B:$M),0)=33,
IF($E$2="Fortnightly",
ROUND(
ROUND((((TRUNC($AN224/2,0)+0.99))*VLOOKUP((TRUNC($AN224/2,0)+0.99),'Tax scales - NAT 3539'!$A$74:$C$94,2,1)-VLOOKUP((TRUNC($AN224/2,0)+0.99),'Tax scales - NAT 3539'!$A$74:$C$94,3,1)),0)
*2,
0),
IF(AND($E$2="Monthly",ROUND($AN224-TRUNC($AN224),2)=0.33),
ROUND(
ROUND(((TRUNC(($AN224+0.01)*3/13,0)+0.99)*VLOOKUP((TRUNC(($AN224+0.01)*3/13,0)+0.99),'Tax scales - NAT 3539'!$A$74:$C$94,2,1)-VLOOKUP((TRUNC(($AN224+0.01)*3/13,0)+0.99),'Tax scales - NAT 3539'!$A$74:$C$94,3,1)),0)
*13/3,
0),
IF($E$2="Monthly",
ROUND(
ROUND(((TRUNC($AN224*3/13,0)+0.99)*VLOOKUP((TRUNC($AN224*3/13,0)+0.99),'Tax scales - NAT 3539'!$A$74:$C$94,2,1)-VLOOKUP((TRUNC($AN224*3/13,0)+0.99),'Tax scales - NAT 3539'!$A$74:$C$94,3,1)),0)
*13/3,
0),
""))),
""),
"")</f>
        <v/>
      </c>
      <c r="AX224" s="118" t="str">
        <f>IFERROR(
IF(VLOOKUP($C224,'Employee information'!$B:$M,COLUMNS('Employee information'!$B:$M),0)=55,
IF($E$2="Fortnightly",
ROUND(
ROUND((((TRUNC($AN224/2,0)+0.99))*VLOOKUP((TRUNC($AN224/2,0)+0.99),'Tax scales - NAT 3539'!$A$99:$C$123,2,1)-VLOOKUP((TRUNC($AN224/2,0)+0.99),'Tax scales - NAT 3539'!$A$99:$C$123,3,1)),0)
*2,
0),
IF(AND($E$2="Monthly",ROUND($AN224-TRUNC($AN224),2)=0.33),
ROUND(
ROUND(((TRUNC(($AN224+0.01)*3/13,0)+0.99)*VLOOKUP((TRUNC(($AN224+0.01)*3/13,0)+0.99),'Tax scales - NAT 3539'!$A$99:$C$123,2,1)-VLOOKUP((TRUNC(($AN224+0.01)*3/13,0)+0.99),'Tax scales - NAT 3539'!$A$99:$C$123,3,1)),0)
*13/3,
0),
IF($E$2="Monthly",
ROUND(
ROUND(((TRUNC($AN224*3/13,0)+0.99)*VLOOKUP((TRUNC($AN224*3/13,0)+0.99),'Tax scales - NAT 3539'!$A$99:$C$123,2,1)-VLOOKUP((TRUNC($AN224*3/13,0)+0.99),'Tax scales - NAT 3539'!$A$99:$C$123,3,1)),0)
*13/3,
0),
""))),
""),
"")</f>
        <v/>
      </c>
      <c r="AY224" s="118" t="str">
        <f>IFERROR(
IF(VLOOKUP($C224,'Employee information'!$B:$M,COLUMNS('Employee information'!$B:$M),0)=66,
IF($E$2="Fortnightly",
ROUND(
ROUND((((TRUNC($AN224/2,0)+0.99))*VLOOKUP((TRUNC($AN224/2,0)+0.99),'Tax scales - NAT 3539'!$A$127:$C$154,2,1)-VLOOKUP((TRUNC($AN224/2,0)+0.99),'Tax scales - NAT 3539'!$A$127:$C$154,3,1)),0)
*2,
0),
IF(AND($E$2="Monthly",ROUND($AN224-TRUNC($AN224),2)=0.33),
ROUND(
ROUND(((TRUNC(($AN224+0.01)*3/13,0)+0.99)*VLOOKUP((TRUNC(($AN224+0.01)*3/13,0)+0.99),'Tax scales - NAT 3539'!$A$127:$C$154,2,1)-VLOOKUP((TRUNC(($AN224+0.01)*3/13,0)+0.99),'Tax scales - NAT 3539'!$A$127:$C$154,3,1)),0)
*13/3,
0),
IF($E$2="Monthly",
ROUND(
ROUND(((TRUNC($AN224*3/13,0)+0.99)*VLOOKUP((TRUNC($AN224*3/13,0)+0.99),'Tax scales - NAT 3539'!$A$127:$C$154,2,1)-VLOOKUP((TRUNC($AN224*3/13,0)+0.99),'Tax scales - NAT 3539'!$A$127:$C$154,3,1)),0)
*13/3,
0),
""))),
""),
"")</f>
        <v/>
      </c>
      <c r="AZ224" s="118">
        <f>IFERROR(
HLOOKUP(VLOOKUP($C224,'Employee information'!$B:$M,COLUMNS('Employee information'!$B:$M),0),'PAYG worksheet'!$AO$213:$AY$232,COUNTA($C$214:$C224)+1,0),
0)</f>
        <v>0</v>
      </c>
      <c r="BA224" s="118"/>
      <c r="BB224" s="118">
        <f t="shared" si="232"/>
        <v>0</v>
      </c>
      <c r="BC224" s="119">
        <f>IFERROR(
IF(OR($AE224=1,$AE224=""),SUM($P224,$AA224,$AC224,$AK224)*VLOOKUP($C224,'Employee information'!$B:$Q,COLUMNS('Employee information'!$B:$H),0),
IF($AE224=0,SUM($P224,$AA224,$AK224)*VLOOKUP($C224,'Employee information'!$B:$Q,COLUMNS('Employee information'!$B:$H),0),
0)),
0)</f>
        <v>0</v>
      </c>
      <c r="BE224" s="114">
        <f t="shared" si="217"/>
        <v>0</v>
      </c>
      <c r="BF224" s="114">
        <f t="shared" si="218"/>
        <v>0</v>
      </c>
      <c r="BG224" s="114">
        <f t="shared" si="219"/>
        <v>0</v>
      </c>
      <c r="BH224" s="114">
        <f t="shared" si="220"/>
        <v>0</v>
      </c>
      <c r="BI224" s="114">
        <f t="shared" si="221"/>
        <v>0</v>
      </c>
      <c r="BJ224" s="114">
        <f t="shared" si="222"/>
        <v>0</v>
      </c>
      <c r="BK224" s="114">
        <f t="shared" si="223"/>
        <v>0</v>
      </c>
      <c r="BL224" s="114">
        <f t="shared" si="233"/>
        <v>0</v>
      </c>
      <c r="BM224" s="114">
        <f t="shared" si="224"/>
        <v>0</v>
      </c>
    </row>
    <row r="225" spans="1:65" x14ac:dyDescent="0.25">
      <c r="A225" s="228">
        <f t="shared" si="212"/>
        <v>8</v>
      </c>
      <c r="C225" s="278"/>
      <c r="E225" s="103">
        <f>IF($C225="",0,
IF(AND($E$2="Monthly",$A225&gt;12),0,
IF($E$2="Monthly",VLOOKUP($C225,'Employee information'!$B:$AM,COLUMNS('Employee information'!$B:S),0),
IF($E$2="Fortnightly",VLOOKUP($C225,'Employee information'!$B:$AM,COLUMNS('Employee information'!$B:R),0),
0))))</f>
        <v>0</v>
      </c>
      <c r="F225" s="106"/>
      <c r="G225" s="106"/>
      <c r="H225" s="106"/>
      <c r="I225" s="106"/>
      <c r="J225" s="103">
        <f t="shared" si="225"/>
        <v>0</v>
      </c>
      <c r="L225" s="113">
        <f>IF(AND($E$2="Monthly",$A225&gt;12),"",
IFERROR($J225*VLOOKUP($C225,'Employee information'!$B:$AI,COLUMNS('Employee information'!$B:$P),0),0))</f>
        <v>0</v>
      </c>
      <c r="M225" s="114">
        <f t="shared" si="226"/>
        <v>0</v>
      </c>
      <c r="O225" s="103">
        <f t="shared" si="227"/>
        <v>0</v>
      </c>
      <c r="P225" s="113">
        <f>IFERROR(
IF(AND($E$2="Monthly",$A225&gt;12),0,
$O225*VLOOKUP($C225,'Employee information'!$B:$AI,COLUMNS('Employee information'!$B:$P),0)),
0)</f>
        <v>0</v>
      </c>
      <c r="R225" s="114">
        <f t="shared" si="213"/>
        <v>0</v>
      </c>
      <c r="T225" s="103"/>
      <c r="U225" s="103"/>
      <c r="V225" s="282" t="str">
        <f>IF($C225="","",
IF(AND($E$2="Monthly",$A225&gt;12),"",
$T225*VLOOKUP($C225,'Employee information'!$B:$P,COLUMNS('Employee information'!$B:$P),0)))</f>
        <v/>
      </c>
      <c r="W225" s="282" t="str">
        <f>IF($C225="","",
IF(AND($E$2="Monthly",$A225&gt;12),"",
$U225*VLOOKUP($C225,'Employee information'!$B:$P,COLUMNS('Employee information'!$B:$P),0)))</f>
        <v/>
      </c>
      <c r="X225" s="114">
        <f t="shared" si="214"/>
        <v>0</v>
      </c>
      <c r="Y225" s="114">
        <f t="shared" si="215"/>
        <v>0</v>
      </c>
      <c r="AA225" s="118">
        <f>IFERROR(
IF(OR('Basic payroll data'!$D$12="",'Basic payroll data'!$D$12="No"),0,
$T225*VLOOKUP($C225,'Employee information'!$B:$P,COLUMNS('Employee information'!$B:$P),0)*AL_loading_perc),
0)</f>
        <v>0</v>
      </c>
      <c r="AC225" s="118"/>
      <c r="AD225" s="118"/>
      <c r="AE225" s="283" t="str">
        <f t="shared" si="228"/>
        <v/>
      </c>
      <c r="AF225" s="283" t="str">
        <f t="shared" si="229"/>
        <v/>
      </c>
      <c r="AG225" s="118"/>
      <c r="AH225" s="118"/>
      <c r="AI225" s="283" t="str">
        <f t="shared" si="230"/>
        <v/>
      </c>
      <c r="AJ225" s="118"/>
      <c r="AK225" s="118"/>
      <c r="AM225" s="118">
        <f t="shared" si="231"/>
        <v>0</v>
      </c>
      <c r="AN225" s="118">
        <f t="shared" si="216"/>
        <v>0</v>
      </c>
      <c r="AO225" s="118" t="str">
        <f>IFERROR(
IF(VLOOKUP($C225,'Employee information'!$B:$M,COLUMNS('Employee information'!$B:$M),0)=1,
IF($E$2="Fortnightly",
ROUND(
ROUND((((TRUNC($AN225/2,0)+0.99))*VLOOKUP((TRUNC($AN225/2,0)+0.99),'Tax scales - NAT 1004'!$A$12:$C$18,2,1)-VLOOKUP((TRUNC($AN225/2,0)+0.99),'Tax scales - NAT 1004'!$A$12:$C$18,3,1)),0)
*2,
0),
IF(AND($E$2="Monthly",ROUND($AN225-TRUNC($AN225),2)=0.33),
ROUND(
ROUND(((TRUNC(($AN225+0.01)*3/13,0)+0.99)*VLOOKUP((TRUNC(($AN225+0.01)*3/13,0)+0.99),'Tax scales - NAT 1004'!$A$12:$C$18,2,1)-VLOOKUP((TRUNC(($AN225+0.01)*3/13,0)+0.99),'Tax scales - NAT 1004'!$A$12:$C$18,3,1)),0)
*13/3,
0),
IF($E$2="Monthly",
ROUND(
ROUND(((TRUNC($AN225*3/13,0)+0.99)*VLOOKUP((TRUNC($AN225*3/13,0)+0.99),'Tax scales - NAT 1004'!$A$12:$C$18,2,1)-VLOOKUP((TRUNC($AN225*3/13,0)+0.99),'Tax scales - NAT 1004'!$A$12:$C$18,3,1)),0)
*13/3,
0),
""))),
""),
"")</f>
        <v/>
      </c>
      <c r="AP225" s="118" t="str">
        <f>IFERROR(
IF(VLOOKUP($C225,'Employee information'!$B:$M,COLUMNS('Employee information'!$B:$M),0)=2,
IF($E$2="Fortnightly",
ROUND(
ROUND((((TRUNC($AN225/2,0)+0.99))*VLOOKUP((TRUNC($AN225/2,0)+0.99),'Tax scales - NAT 1004'!$A$25:$C$33,2,1)-VLOOKUP((TRUNC($AN225/2,0)+0.99),'Tax scales - NAT 1004'!$A$25:$C$33,3,1)),0)
*2,
0),
IF(AND($E$2="Monthly",ROUND($AN225-TRUNC($AN225),2)=0.33),
ROUND(
ROUND(((TRUNC(($AN225+0.01)*3/13,0)+0.99)*VLOOKUP((TRUNC(($AN225+0.01)*3/13,0)+0.99),'Tax scales - NAT 1004'!$A$25:$C$33,2,1)-VLOOKUP((TRUNC(($AN225+0.01)*3/13,0)+0.99),'Tax scales - NAT 1004'!$A$25:$C$33,3,1)),0)
*13/3,
0),
IF($E$2="Monthly",
ROUND(
ROUND(((TRUNC($AN225*3/13,0)+0.99)*VLOOKUP((TRUNC($AN225*3/13,0)+0.99),'Tax scales - NAT 1004'!$A$25:$C$33,2,1)-VLOOKUP((TRUNC($AN225*3/13,0)+0.99),'Tax scales - NAT 1004'!$A$25:$C$33,3,1)),0)
*13/3,
0),
""))),
""),
"")</f>
        <v/>
      </c>
      <c r="AQ225" s="118" t="str">
        <f>IFERROR(
IF(VLOOKUP($C225,'Employee information'!$B:$M,COLUMNS('Employee information'!$B:$M),0)=3,
IF($E$2="Fortnightly",
ROUND(
ROUND((((TRUNC($AN225/2,0)+0.99))*VLOOKUP((TRUNC($AN225/2,0)+0.99),'Tax scales - NAT 1004'!$A$39:$C$41,2,1)-VLOOKUP((TRUNC($AN225/2,0)+0.99),'Tax scales - NAT 1004'!$A$39:$C$41,3,1)),0)
*2,
0),
IF(AND($E$2="Monthly",ROUND($AN225-TRUNC($AN225),2)=0.33),
ROUND(
ROUND(((TRUNC(($AN225+0.01)*3/13,0)+0.99)*VLOOKUP((TRUNC(($AN225+0.01)*3/13,0)+0.99),'Tax scales - NAT 1004'!$A$39:$C$41,2,1)-VLOOKUP((TRUNC(($AN225+0.01)*3/13,0)+0.99),'Tax scales - NAT 1004'!$A$39:$C$41,3,1)),0)
*13/3,
0),
IF($E$2="Monthly",
ROUND(
ROUND(((TRUNC($AN225*3/13,0)+0.99)*VLOOKUP((TRUNC($AN225*3/13,0)+0.99),'Tax scales - NAT 1004'!$A$39:$C$41,2,1)-VLOOKUP((TRUNC($AN225*3/13,0)+0.99),'Tax scales - NAT 1004'!$A$39:$C$41,3,1)),0)
*13/3,
0),
""))),
""),
"")</f>
        <v/>
      </c>
      <c r="AR225" s="118" t="str">
        <f>IFERROR(
IF(AND(VLOOKUP($C225,'Employee information'!$B:$M,COLUMNS('Employee information'!$B:$M),0)=4,
VLOOKUP($C225,'Employee information'!$B:$J,COLUMNS('Employee information'!$B:$J),0)="Resident"),
TRUNC(TRUNC($AN225)*'Tax scales - NAT 1004'!$B$47),
IF(AND(VLOOKUP($C225,'Employee information'!$B:$M,COLUMNS('Employee information'!$B:$M),0)=4,
VLOOKUP($C225,'Employee information'!$B:$J,COLUMNS('Employee information'!$B:$J),0)="Foreign resident"),
TRUNC(TRUNC($AN225)*'Tax scales - NAT 1004'!$B$48),
"")),
"")</f>
        <v/>
      </c>
      <c r="AS225" s="118" t="str">
        <f>IFERROR(
IF(VLOOKUP($C225,'Employee information'!$B:$M,COLUMNS('Employee information'!$B:$M),0)=5,
IF($E$2="Fortnightly",
ROUND(
ROUND((((TRUNC($AN225/2,0)+0.99))*VLOOKUP((TRUNC($AN225/2,0)+0.99),'Tax scales - NAT 1004'!$A$53:$C$59,2,1)-VLOOKUP((TRUNC($AN225/2,0)+0.99),'Tax scales - NAT 1004'!$A$53:$C$59,3,1)),0)
*2,
0),
IF(AND($E$2="Monthly",ROUND($AN225-TRUNC($AN225),2)=0.33),
ROUND(
ROUND(((TRUNC(($AN225+0.01)*3/13,0)+0.99)*VLOOKUP((TRUNC(($AN225+0.01)*3/13,0)+0.99),'Tax scales - NAT 1004'!$A$53:$C$59,2,1)-VLOOKUP((TRUNC(($AN225+0.01)*3/13,0)+0.99),'Tax scales - NAT 1004'!$A$53:$C$59,3,1)),0)
*13/3,
0),
IF($E$2="Monthly",
ROUND(
ROUND(((TRUNC($AN225*3/13,0)+0.99)*VLOOKUP((TRUNC($AN225*3/13,0)+0.99),'Tax scales - NAT 1004'!$A$53:$C$59,2,1)-VLOOKUP((TRUNC($AN225*3/13,0)+0.99),'Tax scales - NAT 1004'!$A$53:$C$59,3,1)),0)
*13/3,
0),
""))),
""),
"")</f>
        <v/>
      </c>
      <c r="AT225" s="118" t="str">
        <f>IFERROR(
IF(VLOOKUP($C225,'Employee information'!$B:$M,COLUMNS('Employee information'!$B:$M),0)=6,
IF($E$2="Fortnightly",
ROUND(
ROUND((((TRUNC($AN225/2,0)+0.99))*VLOOKUP((TRUNC($AN225/2,0)+0.99),'Tax scales - NAT 1004'!$A$65:$C$73,2,1)-VLOOKUP((TRUNC($AN225/2,0)+0.99),'Tax scales - NAT 1004'!$A$65:$C$73,3,1)),0)
*2,
0),
IF(AND($E$2="Monthly",ROUND($AN225-TRUNC($AN225),2)=0.33),
ROUND(
ROUND(((TRUNC(($AN225+0.01)*3/13,0)+0.99)*VLOOKUP((TRUNC(($AN225+0.01)*3/13,0)+0.99),'Tax scales - NAT 1004'!$A$65:$C$73,2,1)-VLOOKUP((TRUNC(($AN225+0.01)*3/13,0)+0.99),'Tax scales - NAT 1004'!$A$65:$C$73,3,1)),0)
*13/3,
0),
IF($E$2="Monthly",
ROUND(
ROUND(((TRUNC($AN225*3/13,0)+0.99)*VLOOKUP((TRUNC($AN225*3/13,0)+0.99),'Tax scales - NAT 1004'!$A$65:$C$73,2,1)-VLOOKUP((TRUNC($AN225*3/13,0)+0.99),'Tax scales - NAT 1004'!$A$65:$C$73,3,1)),0)
*13/3,
0),
""))),
""),
"")</f>
        <v/>
      </c>
      <c r="AU225" s="118" t="str">
        <f>IFERROR(
IF(VLOOKUP($C225,'Employee information'!$B:$M,COLUMNS('Employee information'!$B:$M),0)=11,
IF($E$2="Fortnightly",
ROUND(
ROUND((((TRUNC($AN225/2,0)+0.99))*VLOOKUP((TRUNC($AN225/2,0)+0.99),'Tax scales - NAT 3539'!$A$14:$C$38,2,1)-VLOOKUP((TRUNC($AN225/2,0)+0.99),'Tax scales - NAT 3539'!$A$14:$C$38,3,1)),0)
*2,
0),
IF(AND($E$2="Monthly",ROUND($AN225-TRUNC($AN225),2)=0.33),
ROUND(
ROUND(((TRUNC(($AN225+0.01)*3/13,0)+0.99)*VLOOKUP((TRUNC(($AN225+0.01)*3/13,0)+0.99),'Tax scales - NAT 3539'!$A$14:$C$38,2,1)-VLOOKUP((TRUNC(($AN225+0.01)*3/13,0)+0.99),'Tax scales - NAT 3539'!$A$14:$C$38,3,1)),0)
*13/3,
0),
IF($E$2="Monthly",
ROUND(
ROUND(((TRUNC($AN225*3/13,0)+0.99)*VLOOKUP((TRUNC($AN225*3/13,0)+0.99),'Tax scales - NAT 3539'!$A$14:$C$38,2,1)-VLOOKUP((TRUNC($AN225*3/13,0)+0.99),'Tax scales - NAT 3539'!$A$14:$C$38,3,1)),0)
*13/3,
0),
""))),
""),
"")</f>
        <v/>
      </c>
      <c r="AV225" s="118" t="str">
        <f>IFERROR(
IF(VLOOKUP($C225,'Employee information'!$B:$M,COLUMNS('Employee information'!$B:$M),0)=22,
IF($E$2="Fortnightly",
ROUND(
ROUND((((TRUNC($AN225/2,0)+0.99))*VLOOKUP((TRUNC($AN225/2,0)+0.99),'Tax scales - NAT 3539'!$A$43:$C$69,2,1)-VLOOKUP((TRUNC($AN225/2,0)+0.99),'Tax scales - NAT 3539'!$A$43:$C$69,3,1)),0)
*2,
0),
IF(AND($E$2="Monthly",ROUND($AN225-TRUNC($AN225),2)=0.33),
ROUND(
ROUND(((TRUNC(($AN225+0.01)*3/13,0)+0.99)*VLOOKUP((TRUNC(($AN225+0.01)*3/13,0)+0.99),'Tax scales - NAT 3539'!$A$43:$C$69,2,1)-VLOOKUP((TRUNC(($AN225+0.01)*3/13,0)+0.99),'Tax scales - NAT 3539'!$A$43:$C$69,3,1)),0)
*13/3,
0),
IF($E$2="Monthly",
ROUND(
ROUND(((TRUNC($AN225*3/13,0)+0.99)*VLOOKUP((TRUNC($AN225*3/13,0)+0.99),'Tax scales - NAT 3539'!$A$43:$C$69,2,1)-VLOOKUP((TRUNC($AN225*3/13,0)+0.99),'Tax scales - NAT 3539'!$A$43:$C$69,3,1)),0)
*13/3,
0),
""))),
""),
"")</f>
        <v/>
      </c>
      <c r="AW225" s="118" t="str">
        <f>IFERROR(
IF(VLOOKUP($C225,'Employee information'!$B:$M,COLUMNS('Employee information'!$B:$M),0)=33,
IF($E$2="Fortnightly",
ROUND(
ROUND((((TRUNC($AN225/2,0)+0.99))*VLOOKUP((TRUNC($AN225/2,0)+0.99),'Tax scales - NAT 3539'!$A$74:$C$94,2,1)-VLOOKUP((TRUNC($AN225/2,0)+0.99),'Tax scales - NAT 3539'!$A$74:$C$94,3,1)),0)
*2,
0),
IF(AND($E$2="Monthly",ROUND($AN225-TRUNC($AN225),2)=0.33),
ROUND(
ROUND(((TRUNC(($AN225+0.01)*3/13,0)+0.99)*VLOOKUP((TRUNC(($AN225+0.01)*3/13,0)+0.99),'Tax scales - NAT 3539'!$A$74:$C$94,2,1)-VLOOKUP((TRUNC(($AN225+0.01)*3/13,0)+0.99),'Tax scales - NAT 3539'!$A$74:$C$94,3,1)),0)
*13/3,
0),
IF($E$2="Monthly",
ROUND(
ROUND(((TRUNC($AN225*3/13,0)+0.99)*VLOOKUP((TRUNC($AN225*3/13,0)+0.99),'Tax scales - NAT 3539'!$A$74:$C$94,2,1)-VLOOKUP((TRUNC($AN225*3/13,0)+0.99),'Tax scales - NAT 3539'!$A$74:$C$94,3,1)),0)
*13/3,
0),
""))),
""),
"")</f>
        <v/>
      </c>
      <c r="AX225" s="118" t="str">
        <f>IFERROR(
IF(VLOOKUP($C225,'Employee information'!$B:$M,COLUMNS('Employee information'!$B:$M),0)=55,
IF($E$2="Fortnightly",
ROUND(
ROUND((((TRUNC($AN225/2,0)+0.99))*VLOOKUP((TRUNC($AN225/2,0)+0.99),'Tax scales - NAT 3539'!$A$99:$C$123,2,1)-VLOOKUP((TRUNC($AN225/2,0)+0.99),'Tax scales - NAT 3539'!$A$99:$C$123,3,1)),0)
*2,
0),
IF(AND($E$2="Monthly",ROUND($AN225-TRUNC($AN225),2)=0.33),
ROUND(
ROUND(((TRUNC(($AN225+0.01)*3/13,0)+0.99)*VLOOKUP((TRUNC(($AN225+0.01)*3/13,0)+0.99),'Tax scales - NAT 3539'!$A$99:$C$123,2,1)-VLOOKUP((TRUNC(($AN225+0.01)*3/13,0)+0.99),'Tax scales - NAT 3539'!$A$99:$C$123,3,1)),0)
*13/3,
0),
IF($E$2="Monthly",
ROUND(
ROUND(((TRUNC($AN225*3/13,0)+0.99)*VLOOKUP((TRUNC($AN225*3/13,0)+0.99),'Tax scales - NAT 3539'!$A$99:$C$123,2,1)-VLOOKUP((TRUNC($AN225*3/13,0)+0.99),'Tax scales - NAT 3539'!$A$99:$C$123,3,1)),0)
*13/3,
0),
""))),
""),
"")</f>
        <v/>
      </c>
      <c r="AY225" s="118" t="str">
        <f>IFERROR(
IF(VLOOKUP($C225,'Employee information'!$B:$M,COLUMNS('Employee information'!$B:$M),0)=66,
IF($E$2="Fortnightly",
ROUND(
ROUND((((TRUNC($AN225/2,0)+0.99))*VLOOKUP((TRUNC($AN225/2,0)+0.99),'Tax scales - NAT 3539'!$A$127:$C$154,2,1)-VLOOKUP((TRUNC($AN225/2,0)+0.99),'Tax scales - NAT 3539'!$A$127:$C$154,3,1)),0)
*2,
0),
IF(AND($E$2="Monthly",ROUND($AN225-TRUNC($AN225),2)=0.33),
ROUND(
ROUND(((TRUNC(($AN225+0.01)*3/13,0)+0.99)*VLOOKUP((TRUNC(($AN225+0.01)*3/13,0)+0.99),'Tax scales - NAT 3539'!$A$127:$C$154,2,1)-VLOOKUP((TRUNC(($AN225+0.01)*3/13,0)+0.99),'Tax scales - NAT 3539'!$A$127:$C$154,3,1)),0)
*13/3,
0),
IF($E$2="Monthly",
ROUND(
ROUND(((TRUNC($AN225*3/13,0)+0.99)*VLOOKUP((TRUNC($AN225*3/13,0)+0.99),'Tax scales - NAT 3539'!$A$127:$C$154,2,1)-VLOOKUP((TRUNC($AN225*3/13,0)+0.99),'Tax scales - NAT 3539'!$A$127:$C$154,3,1)),0)
*13/3,
0),
""))),
""),
"")</f>
        <v/>
      </c>
      <c r="AZ225" s="118">
        <f>IFERROR(
HLOOKUP(VLOOKUP($C225,'Employee information'!$B:$M,COLUMNS('Employee information'!$B:$M),0),'PAYG worksheet'!$AO$213:$AY$232,COUNTA($C$214:$C225)+1,0),
0)</f>
        <v>0</v>
      </c>
      <c r="BA225" s="118"/>
      <c r="BB225" s="118">
        <f t="shared" si="232"/>
        <v>0</v>
      </c>
      <c r="BC225" s="119">
        <f>IFERROR(
IF(OR($AE225=1,$AE225=""),SUM($P225,$AA225,$AC225,$AK225)*VLOOKUP($C225,'Employee information'!$B:$Q,COLUMNS('Employee information'!$B:$H),0),
IF($AE225=0,SUM($P225,$AA225,$AK225)*VLOOKUP($C225,'Employee information'!$B:$Q,COLUMNS('Employee information'!$B:$H),0),
0)),
0)</f>
        <v>0</v>
      </c>
      <c r="BE225" s="114">
        <f t="shared" si="217"/>
        <v>0</v>
      </c>
      <c r="BF225" s="114">
        <f t="shared" si="218"/>
        <v>0</v>
      </c>
      <c r="BG225" s="114">
        <f t="shared" si="219"/>
        <v>0</v>
      </c>
      <c r="BH225" s="114">
        <f t="shared" si="220"/>
        <v>0</v>
      </c>
      <c r="BI225" s="114">
        <f t="shared" si="221"/>
        <v>0</v>
      </c>
      <c r="BJ225" s="114">
        <f t="shared" si="222"/>
        <v>0</v>
      </c>
      <c r="BK225" s="114">
        <f t="shared" si="223"/>
        <v>0</v>
      </c>
      <c r="BL225" s="114">
        <f t="shared" si="233"/>
        <v>0</v>
      </c>
      <c r="BM225" s="114">
        <f t="shared" si="224"/>
        <v>0</v>
      </c>
    </row>
    <row r="226" spans="1:65" x14ac:dyDescent="0.25">
      <c r="A226" s="228">
        <f t="shared" si="212"/>
        <v>8</v>
      </c>
      <c r="C226" s="278"/>
      <c r="E226" s="103">
        <f>IF($C226="",0,
IF(AND($E$2="Monthly",$A226&gt;12),0,
IF($E$2="Monthly",VLOOKUP($C226,'Employee information'!$B:$AM,COLUMNS('Employee information'!$B:S),0),
IF($E$2="Fortnightly",VLOOKUP($C226,'Employee information'!$B:$AM,COLUMNS('Employee information'!$B:R),0),
0))))</f>
        <v>0</v>
      </c>
      <c r="F226" s="106"/>
      <c r="G226" s="106"/>
      <c r="H226" s="106"/>
      <c r="I226" s="106"/>
      <c r="J226" s="103">
        <f t="shared" si="225"/>
        <v>0</v>
      </c>
      <c r="L226" s="113">
        <f>IF(AND($E$2="Monthly",$A226&gt;12),"",
IFERROR($J226*VLOOKUP($C226,'Employee information'!$B:$AI,COLUMNS('Employee information'!$B:$P),0),0))</f>
        <v>0</v>
      </c>
      <c r="M226" s="114">
        <f t="shared" si="226"/>
        <v>0</v>
      </c>
      <c r="O226" s="103">
        <f t="shared" si="227"/>
        <v>0</v>
      </c>
      <c r="P226" s="113">
        <f>IFERROR(
IF(AND($E$2="Monthly",$A226&gt;12),0,
$O226*VLOOKUP($C226,'Employee information'!$B:$AI,COLUMNS('Employee information'!$B:$P),0)),
0)</f>
        <v>0</v>
      </c>
      <c r="R226" s="114">
        <f t="shared" si="213"/>
        <v>0</v>
      </c>
      <c r="T226" s="103"/>
      <c r="U226" s="103"/>
      <c r="V226" s="282" t="str">
        <f>IF($C226="","",
IF(AND($E$2="Monthly",$A226&gt;12),"",
$T226*VLOOKUP($C226,'Employee information'!$B:$P,COLUMNS('Employee information'!$B:$P),0)))</f>
        <v/>
      </c>
      <c r="W226" s="282" t="str">
        <f>IF($C226="","",
IF(AND($E$2="Monthly",$A226&gt;12),"",
$U226*VLOOKUP($C226,'Employee information'!$B:$P,COLUMNS('Employee information'!$B:$P),0)))</f>
        <v/>
      </c>
      <c r="X226" s="114">
        <f t="shared" si="214"/>
        <v>0</v>
      </c>
      <c r="Y226" s="114">
        <f t="shared" si="215"/>
        <v>0</v>
      </c>
      <c r="AA226" s="118">
        <f>IFERROR(
IF(OR('Basic payroll data'!$D$12="",'Basic payroll data'!$D$12="No"),0,
$T226*VLOOKUP($C226,'Employee information'!$B:$P,COLUMNS('Employee information'!$B:$P),0)*AL_loading_perc),
0)</f>
        <v>0</v>
      </c>
      <c r="AC226" s="118"/>
      <c r="AD226" s="118"/>
      <c r="AE226" s="283" t="str">
        <f t="shared" si="228"/>
        <v/>
      </c>
      <c r="AF226" s="283" t="str">
        <f t="shared" si="229"/>
        <v/>
      </c>
      <c r="AG226" s="118"/>
      <c r="AH226" s="118"/>
      <c r="AI226" s="283" t="str">
        <f t="shared" si="230"/>
        <v/>
      </c>
      <c r="AJ226" s="118"/>
      <c r="AK226" s="118"/>
      <c r="AM226" s="118">
        <f t="shared" si="231"/>
        <v>0</v>
      </c>
      <c r="AN226" s="118">
        <f t="shared" si="216"/>
        <v>0</v>
      </c>
      <c r="AO226" s="118" t="str">
        <f>IFERROR(
IF(VLOOKUP($C226,'Employee information'!$B:$M,COLUMNS('Employee information'!$B:$M),0)=1,
IF($E$2="Fortnightly",
ROUND(
ROUND((((TRUNC($AN226/2,0)+0.99))*VLOOKUP((TRUNC($AN226/2,0)+0.99),'Tax scales - NAT 1004'!$A$12:$C$18,2,1)-VLOOKUP((TRUNC($AN226/2,0)+0.99),'Tax scales - NAT 1004'!$A$12:$C$18,3,1)),0)
*2,
0),
IF(AND($E$2="Monthly",ROUND($AN226-TRUNC($AN226),2)=0.33),
ROUND(
ROUND(((TRUNC(($AN226+0.01)*3/13,0)+0.99)*VLOOKUP((TRUNC(($AN226+0.01)*3/13,0)+0.99),'Tax scales - NAT 1004'!$A$12:$C$18,2,1)-VLOOKUP((TRUNC(($AN226+0.01)*3/13,0)+0.99),'Tax scales - NAT 1004'!$A$12:$C$18,3,1)),0)
*13/3,
0),
IF($E$2="Monthly",
ROUND(
ROUND(((TRUNC($AN226*3/13,0)+0.99)*VLOOKUP((TRUNC($AN226*3/13,0)+0.99),'Tax scales - NAT 1004'!$A$12:$C$18,2,1)-VLOOKUP((TRUNC($AN226*3/13,0)+0.99),'Tax scales - NAT 1004'!$A$12:$C$18,3,1)),0)
*13/3,
0),
""))),
""),
"")</f>
        <v/>
      </c>
      <c r="AP226" s="118" t="str">
        <f>IFERROR(
IF(VLOOKUP($C226,'Employee information'!$B:$M,COLUMNS('Employee information'!$B:$M),0)=2,
IF($E$2="Fortnightly",
ROUND(
ROUND((((TRUNC($AN226/2,0)+0.99))*VLOOKUP((TRUNC($AN226/2,0)+0.99),'Tax scales - NAT 1004'!$A$25:$C$33,2,1)-VLOOKUP((TRUNC($AN226/2,0)+0.99),'Tax scales - NAT 1004'!$A$25:$C$33,3,1)),0)
*2,
0),
IF(AND($E$2="Monthly",ROUND($AN226-TRUNC($AN226),2)=0.33),
ROUND(
ROUND(((TRUNC(($AN226+0.01)*3/13,0)+0.99)*VLOOKUP((TRUNC(($AN226+0.01)*3/13,0)+0.99),'Tax scales - NAT 1004'!$A$25:$C$33,2,1)-VLOOKUP((TRUNC(($AN226+0.01)*3/13,0)+0.99),'Tax scales - NAT 1004'!$A$25:$C$33,3,1)),0)
*13/3,
0),
IF($E$2="Monthly",
ROUND(
ROUND(((TRUNC($AN226*3/13,0)+0.99)*VLOOKUP((TRUNC($AN226*3/13,0)+0.99),'Tax scales - NAT 1004'!$A$25:$C$33,2,1)-VLOOKUP((TRUNC($AN226*3/13,0)+0.99),'Tax scales - NAT 1004'!$A$25:$C$33,3,1)),0)
*13/3,
0),
""))),
""),
"")</f>
        <v/>
      </c>
      <c r="AQ226" s="118" t="str">
        <f>IFERROR(
IF(VLOOKUP($C226,'Employee information'!$B:$M,COLUMNS('Employee information'!$B:$M),0)=3,
IF($E$2="Fortnightly",
ROUND(
ROUND((((TRUNC($AN226/2,0)+0.99))*VLOOKUP((TRUNC($AN226/2,0)+0.99),'Tax scales - NAT 1004'!$A$39:$C$41,2,1)-VLOOKUP((TRUNC($AN226/2,0)+0.99),'Tax scales - NAT 1004'!$A$39:$C$41,3,1)),0)
*2,
0),
IF(AND($E$2="Monthly",ROUND($AN226-TRUNC($AN226),2)=0.33),
ROUND(
ROUND(((TRUNC(($AN226+0.01)*3/13,0)+0.99)*VLOOKUP((TRUNC(($AN226+0.01)*3/13,0)+0.99),'Tax scales - NAT 1004'!$A$39:$C$41,2,1)-VLOOKUP((TRUNC(($AN226+0.01)*3/13,0)+0.99),'Tax scales - NAT 1004'!$A$39:$C$41,3,1)),0)
*13/3,
0),
IF($E$2="Monthly",
ROUND(
ROUND(((TRUNC($AN226*3/13,0)+0.99)*VLOOKUP((TRUNC($AN226*3/13,0)+0.99),'Tax scales - NAT 1004'!$A$39:$C$41,2,1)-VLOOKUP((TRUNC($AN226*3/13,0)+0.99),'Tax scales - NAT 1004'!$A$39:$C$41,3,1)),0)
*13/3,
0),
""))),
""),
"")</f>
        <v/>
      </c>
      <c r="AR226" s="118" t="str">
        <f>IFERROR(
IF(AND(VLOOKUP($C226,'Employee information'!$B:$M,COLUMNS('Employee information'!$B:$M),0)=4,
VLOOKUP($C226,'Employee information'!$B:$J,COLUMNS('Employee information'!$B:$J),0)="Resident"),
TRUNC(TRUNC($AN226)*'Tax scales - NAT 1004'!$B$47),
IF(AND(VLOOKUP($C226,'Employee information'!$B:$M,COLUMNS('Employee information'!$B:$M),0)=4,
VLOOKUP($C226,'Employee information'!$B:$J,COLUMNS('Employee information'!$B:$J),0)="Foreign resident"),
TRUNC(TRUNC($AN226)*'Tax scales - NAT 1004'!$B$48),
"")),
"")</f>
        <v/>
      </c>
      <c r="AS226" s="118" t="str">
        <f>IFERROR(
IF(VLOOKUP($C226,'Employee information'!$B:$M,COLUMNS('Employee information'!$B:$M),0)=5,
IF($E$2="Fortnightly",
ROUND(
ROUND((((TRUNC($AN226/2,0)+0.99))*VLOOKUP((TRUNC($AN226/2,0)+0.99),'Tax scales - NAT 1004'!$A$53:$C$59,2,1)-VLOOKUP((TRUNC($AN226/2,0)+0.99),'Tax scales - NAT 1004'!$A$53:$C$59,3,1)),0)
*2,
0),
IF(AND($E$2="Monthly",ROUND($AN226-TRUNC($AN226),2)=0.33),
ROUND(
ROUND(((TRUNC(($AN226+0.01)*3/13,0)+0.99)*VLOOKUP((TRUNC(($AN226+0.01)*3/13,0)+0.99),'Tax scales - NAT 1004'!$A$53:$C$59,2,1)-VLOOKUP((TRUNC(($AN226+0.01)*3/13,0)+0.99),'Tax scales - NAT 1004'!$A$53:$C$59,3,1)),0)
*13/3,
0),
IF($E$2="Monthly",
ROUND(
ROUND(((TRUNC($AN226*3/13,0)+0.99)*VLOOKUP((TRUNC($AN226*3/13,0)+0.99),'Tax scales - NAT 1004'!$A$53:$C$59,2,1)-VLOOKUP((TRUNC($AN226*3/13,0)+0.99),'Tax scales - NAT 1004'!$A$53:$C$59,3,1)),0)
*13/3,
0),
""))),
""),
"")</f>
        <v/>
      </c>
      <c r="AT226" s="118" t="str">
        <f>IFERROR(
IF(VLOOKUP($C226,'Employee information'!$B:$M,COLUMNS('Employee information'!$B:$M),0)=6,
IF($E$2="Fortnightly",
ROUND(
ROUND((((TRUNC($AN226/2,0)+0.99))*VLOOKUP((TRUNC($AN226/2,0)+0.99),'Tax scales - NAT 1004'!$A$65:$C$73,2,1)-VLOOKUP((TRUNC($AN226/2,0)+0.99),'Tax scales - NAT 1004'!$A$65:$C$73,3,1)),0)
*2,
0),
IF(AND($E$2="Monthly",ROUND($AN226-TRUNC($AN226),2)=0.33),
ROUND(
ROUND(((TRUNC(($AN226+0.01)*3/13,0)+0.99)*VLOOKUP((TRUNC(($AN226+0.01)*3/13,0)+0.99),'Tax scales - NAT 1004'!$A$65:$C$73,2,1)-VLOOKUP((TRUNC(($AN226+0.01)*3/13,0)+0.99),'Tax scales - NAT 1004'!$A$65:$C$73,3,1)),0)
*13/3,
0),
IF($E$2="Monthly",
ROUND(
ROUND(((TRUNC($AN226*3/13,0)+0.99)*VLOOKUP((TRUNC($AN226*3/13,0)+0.99),'Tax scales - NAT 1004'!$A$65:$C$73,2,1)-VLOOKUP((TRUNC($AN226*3/13,0)+0.99),'Tax scales - NAT 1004'!$A$65:$C$73,3,1)),0)
*13/3,
0),
""))),
""),
"")</f>
        <v/>
      </c>
      <c r="AU226" s="118" t="str">
        <f>IFERROR(
IF(VLOOKUP($C226,'Employee information'!$B:$M,COLUMNS('Employee information'!$B:$M),0)=11,
IF($E$2="Fortnightly",
ROUND(
ROUND((((TRUNC($AN226/2,0)+0.99))*VLOOKUP((TRUNC($AN226/2,0)+0.99),'Tax scales - NAT 3539'!$A$14:$C$38,2,1)-VLOOKUP((TRUNC($AN226/2,0)+0.99),'Tax scales - NAT 3539'!$A$14:$C$38,3,1)),0)
*2,
0),
IF(AND($E$2="Monthly",ROUND($AN226-TRUNC($AN226),2)=0.33),
ROUND(
ROUND(((TRUNC(($AN226+0.01)*3/13,0)+0.99)*VLOOKUP((TRUNC(($AN226+0.01)*3/13,0)+0.99),'Tax scales - NAT 3539'!$A$14:$C$38,2,1)-VLOOKUP((TRUNC(($AN226+0.01)*3/13,0)+0.99),'Tax scales - NAT 3539'!$A$14:$C$38,3,1)),0)
*13/3,
0),
IF($E$2="Monthly",
ROUND(
ROUND(((TRUNC($AN226*3/13,0)+0.99)*VLOOKUP((TRUNC($AN226*3/13,0)+0.99),'Tax scales - NAT 3539'!$A$14:$C$38,2,1)-VLOOKUP((TRUNC($AN226*3/13,0)+0.99),'Tax scales - NAT 3539'!$A$14:$C$38,3,1)),0)
*13/3,
0),
""))),
""),
"")</f>
        <v/>
      </c>
      <c r="AV226" s="118" t="str">
        <f>IFERROR(
IF(VLOOKUP($C226,'Employee information'!$B:$M,COLUMNS('Employee information'!$B:$M),0)=22,
IF($E$2="Fortnightly",
ROUND(
ROUND((((TRUNC($AN226/2,0)+0.99))*VLOOKUP((TRUNC($AN226/2,0)+0.99),'Tax scales - NAT 3539'!$A$43:$C$69,2,1)-VLOOKUP((TRUNC($AN226/2,0)+0.99),'Tax scales - NAT 3539'!$A$43:$C$69,3,1)),0)
*2,
0),
IF(AND($E$2="Monthly",ROUND($AN226-TRUNC($AN226),2)=0.33),
ROUND(
ROUND(((TRUNC(($AN226+0.01)*3/13,0)+0.99)*VLOOKUP((TRUNC(($AN226+0.01)*3/13,0)+0.99),'Tax scales - NAT 3539'!$A$43:$C$69,2,1)-VLOOKUP((TRUNC(($AN226+0.01)*3/13,0)+0.99),'Tax scales - NAT 3539'!$A$43:$C$69,3,1)),0)
*13/3,
0),
IF($E$2="Monthly",
ROUND(
ROUND(((TRUNC($AN226*3/13,0)+0.99)*VLOOKUP((TRUNC($AN226*3/13,0)+0.99),'Tax scales - NAT 3539'!$A$43:$C$69,2,1)-VLOOKUP((TRUNC($AN226*3/13,0)+0.99),'Tax scales - NAT 3539'!$A$43:$C$69,3,1)),0)
*13/3,
0),
""))),
""),
"")</f>
        <v/>
      </c>
      <c r="AW226" s="118" t="str">
        <f>IFERROR(
IF(VLOOKUP($C226,'Employee information'!$B:$M,COLUMNS('Employee information'!$B:$M),0)=33,
IF($E$2="Fortnightly",
ROUND(
ROUND((((TRUNC($AN226/2,0)+0.99))*VLOOKUP((TRUNC($AN226/2,0)+0.99),'Tax scales - NAT 3539'!$A$74:$C$94,2,1)-VLOOKUP((TRUNC($AN226/2,0)+0.99),'Tax scales - NAT 3539'!$A$74:$C$94,3,1)),0)
*2,
0),
IF(AND($E$2="Monthly",ROUND($AN226-TRUNC($AN226),2)=0.33),
ROUND(
ROUND(((TRUNC(($AN226+0.01)*3/13,0)+0.99)*VLOOKUP((TRUNC(($AN226+0.01)*3/13,0)+0.99),'Tax scales - NAT 3539'!$A$74:$C$94,2,1)-VLOOKUP((TRUNC(($AN226+0.01)*3/13,0)+0.99),'Tax scales - NAT 3539'!$A$74:$C$94,3,1)),0)
*13/3,
0),
IF($E$2="Monthly",
ROUND(
ROUND(((TRUNC($AN226*3/13,0)+0.99)*VLOOKUP((TRUNC($AN226*3/13,0)+0.99),'Tax scales - NAT 3539'!$A$74:$C$94,2,1)-VLOOKUP((TRUNC($AN226*3/13,0)+0.99),'Tax scales - NAT 3539'!$A$74:$C$94,3,1)),0)
*13/3,
0),
""))),
""),
"")</f>
        <v/>
      </c>
      <c r="AX226" s="118" t="str">
        <f>IFERROR(
IF(VLOOKUP($C226,'Employee information'!$B:$M,COLUMNS('Employee information'!$B:$M),0)=55,
IF($E$2="Fortnightly",
ROUND(
ROUND((((TRUNC($AN226/2,0)+0.99))*VLOOKUP((TRUNC($AN226/2,0)+0.99),'Tax scales - NAT 3539'!$A$99:$C$123,2,1)-VLOOKUP((TRUNC($AN226/2,0)+0.99),'Tax scales - NAT 3539'!$A$99:$C$123,3,1)),0)
*2,
0),
IF(AND($E$2="Monthly",ROUND($AN226-TRUNC($AN226),2)=0.33),
ROUND(
ROUND(((TRUNC(($AN226+0.01)*3/13,0)+0.99)*VLOOKUP((TRUNC(($AN226+0.01)*3/13,0)+0.99),'Tax scales - NAT 3539'!$A$99:$C$123,2,1)-VLOOKUP((TRUNC(($AN226+0.01)*3/13,0)+0.99),'Tax scales - NAT 3539'!$A$99:$C$123,3,1)),0)
*13/3,
0),
IF($E$2="Monthly",
ROUND(
ROUND(((TRUNC($AN226*3/13,0)+0.99)*VLOOKUP((TRUNC($AN226*3/13,0)+0.99),'Tax scales - NAT 3539'!$A$99:$C$123,2,1)-VLOOKUP((TRUNC($AN226*3/13,0)+0.99),'Tax scales - NAT 3539'!$A$99:$C$123,3,1)),0)
*13/3,
0),
""))),
""),
"")</f>
        <v/>
      </c>
      <c r="AY226" s="118" t="str">
        <f>IFERROR(
IF(VLOOKUP($C226,'Employee information'!$B:$M,COLUMNS('Employee information'!$B:$M),0)=66,
IF($E$2="Fortnightly",
ROUND(
ROUND((((TRUNC($AN226/2,0)+0.99))*VLOOKUP((TRUNC($AN226/2,0)+0.99),'Tax scales - NAT 3539'!$A$127:$C$154,2,1)-VLOOKUP((TRUNC($AN226/2,0)+0.99),'Tax scales - NAT 3539'!$A$127:$C$154,3,1)),0)
*2,
0),
IF(AND($E$2="Monthly",ROUND($AN226-TRUNC($AN226),2)=0.33),
ROUND(
ROUND(((TRUNC(($AN226+0.01)*3/13,0)+0.99)*VLOOKUP((TRUNC(($AN226+0.01)*3/13,0)+0.99),'Tax scales - NAT 3539'!$A$127:$C$154,2,1)-VLOOKUP((TRUNC(($AN226+0.01)*3/13,0)+0.99),'Tax scales - NAT 3539'!$A$127:$C$154,3,1)),0)
*13/3,
0),
IF($E$2="Monthly",
ROUND(
ROUND(((TRUNC($AN226*3/13,0)+0.99)*VLOOKUP((TRUNC($AN226*3/13,0)+0.99),'Tax scales - NAT 3539'!$A$127:$C$154,2,1)-VLOOKUP((TRUNC($AN226*3/13,0)+0.99),'Tax scales - NAT 3539'!$A$127:$C$154,3,1)),0)
*13/3,
0),
""))),
""),
"")</f>
        <v/>
      </c>
      <c r="AZ226" s="118">
        <f>IFERROR(
HLOOKUP(VLOOKUP($C226,'Employee information'!$B:$M,COLUMNS('Employee information'!$B:$M),0),'PAYG worksheet'!$AO$213:$AY$232,COUNTA($C$214:$C226)+1,0),
0)</f>
        <v>0</v>
      </c>
      <c r="BA226" s="118"/>
      <c r="BB226" s="118">
        <f t="shared" si="232"/>
        <v>0</v>
      </c>
      <c r="BC226" s="119">
        <f>IFERROR(
IF(OR($AE226=1,$AE226=""),SUM($P226,$AA226,$AC226,$AK226)*VLOOKUP($C226,'Employee information'!$B:$Q,COLUMNS('Employee information'!$B:$H),0),
IF($AE226=0,SUM($P226,$AA226,$AK226)*VLOOKUP($C226,'Employee information'!$B:$Q,COLUMNS('Employee information'!$B:$H),0),
0)),
0)</f>
        <v>0</v>
      </c>
      <c r="BE226" s="114">
        <f t="shared" si="217"/>
        <v>0</v>
      </c>
      <c r="BF226" s="114">
        <f t="shared" si="218"/>
        <v>0</v>
      </c>
      <c r="BG226" s="114">
        <f t="shared" si="219"/>
        <v>0</v>
      </c>
      <c r="BH226" s="114">
        <f t="shared" si="220"/>
        <v>0</v>
      </c>
      <c r="BI226" s="114">
        <f t="shared" si="221"/>
        <v>0</v>
      </c>
      <c r="BJ226" s="114">
        <f t="shared" si="222"/>
        <v>0</v>
      </c>
      <c r="BK226" s="114">
        <f t="shared" si="223"/>
        <v>0</v>
      </c>
      <c r="BL226" s="114">
        <f t="shared" si="233"/>
        <v>0</v>
      </c>
      <c r="BM226" s="114">
        <f t="shared" si="224"/>
        <v>0</v>
      </c>
    </row>
    <row r="227" spans="1:65" x14ac:dyDescent="0.25">
      <c r="A227" s="228">
        <f t="shared" si="212"/>
        <v>8</v>
      </c>
      <c r="C227" s="278"/>
      <c r="E227" s="103">
        <f>IF($C227="",0,
IF(AND($E$2="Monthly",$A227&gt;12),0,
IF($E$2="Monthly",VLOOKUP($C227,'Employee information'!$B:$AM,COLUMNS('Employee information'!$B:S),0),
IF($E$2="Fortnightly",VLOOKUP($C227,'Employee information'!$B:$AM,COLUMNS('Employee information'!$B:R),0),
0))))</f>
        <v>0</v>
      </c>
      <c r="F227" s="106"/>
      <c r="G227" s="106"/>
      <c r="H227" s="106"/>
      <c r="I227" s="106"/>
      <c r="J227" s="103">
        <f t="shared" si="225"/>
        <v>0</v>
      </c>
      <c r="L227" s="113">
        <f>IF(AND($E$2="Monthly",$A227&gt;12),"",
IFERROR($J227*VLOOKUP($C227,'Employee information'!$B:$AI,COLUMNS('Employee information'!$B:$P),0),0))</f>
        <v>0</v>
      </c>
      <c r="M227" s="114">
        <f t="shared" si="226"/>
        <v>0</v>
      </c>
      <c r="O227" s="103">
        <f t="shared" si="227"/>
        <v>0</v>
      </c>
      <c r="P227" s="113">
        <f>IFERROR(
IF(AND($E$2="Monthly",$A227&gt;12),0,
$O227*VLOOKUP($C227,'Employee information'!$B:$AI,COLUMNS('Employee information'!$B:$P),0)),
0)</f>
        <v>0</v>
      </c>
      <c r="R227" s="114">
        <f t="shared" si="213"/>
        <v>0</v>
      </c>
      <c r="T227" s="103"/>
      <c r="U227" s="103"/>
      <c r="V227" s="282" t="str">
        <f>IF($C227="","",
IF(AND($E$2="Monthly",$A227&gt;12),"",
$T227*VLOOKUP($C227,'Employee information'!$B:$P,COLUMNS('Employee information'!$B:$P),0)))</f>
        <v/>
      </c>
      <c r="W227" s="282" t="str">
        <f>IF($C227="","",
IF(AND($E$2="Monthly",$A227&gt;12),"",
$U227*VLOOKUP($C227,'Employee information'!$B:$P,COLUMNS('Employee information'!$B:$P),0)))</f>
        <v/>
      </c>
      <c r="X227" s="114">
        <f t="shared" si="214"/>
        <v>0</v>
      </c>
      <c r="Y227" s="114">
        <f t="shared" si="215"/>
        <v>0</v>
      </c>
      <c r="AA227" s="118">
        <f>IFERROR(
IF(OR('Basic payroll data'!$D$12="",'Basic payroll data'!$D$12="No"),0,
$T227*VLOOKUP($C227,'Employee information'!$B:$P,COLUMNS('Employee information'!$B:$P),0)*AL_loading_perc),
0)</f>
        <v>0</v>
      </c>
      <c r="AC227" s="118"/>
      <c r="AD227" s="118"/>
      <c r="AE227" s="283" t="str">
        <f t="shared" si="228"/>
        <v/>
      </c>
      <c r="AF227" s="283" t="str">
        <f t="shared" si="229"/>
        <v/>
      </c>
      <c r="AG227" s="118"/>
      <c r="AH227" s="118"/>
      <c r="AI227" s="283" t="str">
        <f t="shared" si="230"/>
        <v/>
      </c>
      <c r="AJ227" s="118"/>
      <c r="AK227" s="118"/>
      <c r="AM227" s="118">
        <f t="shared" si="231"/>
        <v>0</v>
      </c>
      <c r="AN227" s="118">
        <f t="shared" si="216"/>
        <v>0</v>
      </c>
      <c r="AO227" s="118" t="str">
        <f>IFERROR(
IF(VLOOKUP($C227,'Employee information'!$B:$M,COLUMNS('Employee information'!$B:$M),0)=1,
IF($E$2="Fortnightly",
ROUND(
ROUND((((TRUNC($AN227/2,0)+0.99))*VLOOKUP((TRUNC($AN227/2,0)+0.99),'Tax scales - NAT 1004'!$A$12:$C$18,2,1)-VLOOKUP((TRUNC($AN227/2,0)+0.99),'Tax scales - NAT 1004'!$A$12:$C$18,3,1)),0)
*2,
0),
IF(AND($E$2="Monthly",ROUND($AN227-TRUNC($AN227),2)=0.33),
ROUND(
ROUND(((TRUNC(($AN227+0.01)*3/13,0)+0.99)*VLOOKUP((TRUNC(($AN227+0.01)*3/13,0)+0.99),'Tax scales - NAT 1004'!$A$12:$C$18,2,1)-VLOOKUP((TRUNC(($AN227+0.01)*3/13,0)+0.99),'Tax scales - NAT 1004'!$A$12:$C$18,3,1)),0)
*13/3,
0),
IF($E$2="Monthly",
ROUND(
ROUND(((TRUNC($AN227*3/13,0)+0.99)*VLOOKUP((TRUNC($AN227*3/13,0)+0.99),'Tax scales - NAT 1004'!$A$12:$C$18,2,1)-VLOOKUP((TRUNC($AN227*3/13,0)+0.99),'Tax scales - NAT 1004'!$A$12:$C$18,3,1)),0)
*13/3,
0),
""))),
""),
"")</f>
        <v/>
      </c>
      <c r="AP227" s="118" t="str">
        <f>IFERROR(
IF(VLOOKUP($C227,'Employee information'!$B:$M,COLUMNS('Employee information'!$B:$M),0)=2,
IF($E$2="Fortnightly",
ROUND(
ROUND((((TRUNC($AN227/2,0)+0.99))*VLOOKUP((TRUNC($AN227/2,0)+0.99),'Tax scales - NAT 1004'!$A$25:$C$33,2,1)-VLOOKUP((TRUNC($AN227/2,0)+0.99),'Tax scales - NAT 1004'!$A$25:$C$33,3,1)),0)
*2,
0),
IF(AND($E$2="Monthly",ROUND($AN227-TRUNC($AN227),2)=0.33),
ROUND(
ROUND(((TRUNC(($AN227+0.01)*3/13,0)+0.99)*VLOOKUP((TRUNC(($AN227+0.01)*3/13,0)+0.99),'Tax scales - NAT 1004'!$A$25:$C$33,2,1)-VLOOKUP((TRUNC(($AN227+0.01)*3/13,0)+0.99),'Tax scales - NAT 1004'!$A$25:$C$33,3,1)),0)
*13/3,
0),
IF($E$2="Monthly",
ROUND(
ROUND(((TRUNC($AN227*3/13,0)+0.99)*VLOOKUP((TRUNC($AN227*3/13,0)+0.99),'Tax scales - NAT 1004'!$A$25:$C$33,2,1)-VLOOKUP((TRUNC($AN227*3/13,0)+0.99),'Tax scales - NAT 1004'!$A$25:$C$33,3,1)),0)
*13/3,
0),
""))),
""),
"")</f>
        <v/>
      </c>
      <c r="AQ227" s="118" t="str">
        <f>IFERROR(
IF(VLOOKUP($C227,'Employee information'!$B:$M,COLUMNS('Employee information'!$B:$M),0)=3,
IF($E$2="Fortnightly",
ROUND(
ROUND((((TRUNC($AN227/2,0)+0.99))*VLOOKUP((TRUNC($AN227/2,0)+0.99),'Tax scales - NAT 1004'!$A$39:$C$41,2,1)-VLOOKUP((TRUNC($AN227/2,0)+0.99),'Tax scales - NAT 1004'!$A$39:$C$41,3,1)),0)
*2,
0),
IF(AND($E$2="Monthly",ROUND($AN227-TRUNC($AN227),2)=0.33),
ROUND(
ROUND(((TRUNC(($AN227+0.01)*3/13,0)+0.99)*VLOOKUP((TRUNC(($AN227+0.01)*3/13,0)+0.99),'Tax scales - NAT 1004'!$A$39:$C$41,2,1)-VLOOKUP((TRUNC(($AN227+0.01)*3/13,0)+0.99),'Tax scales - NAT 1004'!$A$39:$C$41,3,1)),0)
*13/3,
0),
IF($E$2="Monthly",
ROUND(
ROUND(((TRUNC($AN227*3/13,0)+0.99)*VLOOKUP((TRUNC($AN227*3/13,0)+0.99),'Tax scales - NAT 1004'!$A$39:$C$41,2,1)-VLOOKUP((TRUNC($AN227*3/13,0)+0.99),'Tax scales - NAT 1004'!$A$39:$C$41,3,1)),0)
*13/3,
0),
""))),
""),
"")</f>
        <v/>
      </c>
      <c r="AR227" s="118" t="str">
        <f>IFERROR(
IF(AND(VLOOKUP($C227,'Employee information'!$B:$M,COLUMNS('Employee information'!$B:$M),0)=4,
VLOOKUP($C227,'Employee information'!$B:$J,COLUMNS('Employee information'!$B:$J),0)="Resident"),
TRUNC(TRUNC($AN227)*'Tax scales - NAT 1004'!$B$47),
IF(AND(VLOOKUP($C227,'Employee information'!$B:$M,COLUMNS('Employee information'!$B:$M),0)=4,
VLOOKUP($C227,'Employee information'!$B:$J,COLUMNS('Employee information'!$B:$J),0)="Foreign resident"),
TRUNC(TRUNC($AN227)*'Tax scales - NAT 1004'!$B$48),
"")),
"")</f>
        <v/>
      </c>
      <c r="AS227" s="118" t="str">
        <f>IFERROR(
IF(VLOOKUP($C227,'Employee information'!$B:$M,COLUMNS('Employee information'!$B:$M),0)=5,
IF($E$2="Fortnightly",
ROUND(
ROUND((((TRUNC($AN227/2,0)+0.99))*VLOOKUP((TRUNC($AN227/2,0)+0.99),'Tax scales - NAT 1004'!$A$53:$C$59,2,1)-VLOOKUP((TRUNC($AN227/2,0)+0.99),'Tax scales - NAT 1004'!$A$53:$C$59,3,1)),0)
*2,
0),
IF(AND($E$2="Monthly",ROUND($AN227-TRUNC($AN227),2)=0.33),
ROUND(
ROUND(((TRUNC(($AN227+0.01)*3/13,0)+0.99)*VLOOKUP((TRUNC(($AN227+0.01)*3/13,0)+0.99),'Tax scales - NAT 1004'!$A$53:$C$59,2,1)-VLOOKUP((TRUNC(($AN227+0.01)*3/13,0)+0.99),'Tax scales - NAT 1004'!$A$53:$C$59,3,1)),0)
*13/3,
0),
IF($E$2="Monthly",
ROUND(
ROUND(((TRUNC($AN227*3/13,0)+0.99)*VLOOKUP((TRUNC($AN227*3/13,0)+0.99),'Tax scales - NAT 1004'!$A$53:$C$59,2,1)-VLOOKUP((TRUNC($AN227*3/13,0)+0.99),'Tax scales - NAT 1004'!$A$53:$C$59,3,1)),0)
*13/3,
0),
""))),
""),
"")</f>
        <v/>
      </c>
      <c r="AT227" s="118" t="str">
        <f>IFERROR(
IF(VLOOKUP($C227,'Employee information'!$B:$M,COLUMNS('Employee information'!$B:$M),0)=6,
IF($E$2="Fortnightly",
ROUND(
ROUND((((TRUNC($AN227/2,0)+0.99))*VLOOKUP((TRUNC($AN227/2,0)+0.99),'Tax scales - NAT 1004'!$A$65:$C$73,2,1)-VLOOKUP((TRUNC($AN227/2,0)+0.99),'Tax scales - NAT 1004'!$A$65:$C$73,3,1)),0)
*2,
0),
IF(AND($E$2="Monthly",ROUND($AN227-TRUNC($AN227),2)=0.33),
ROUND(
ROUND(((TRUNC(($AN227+0.01)*3/13,0)+0.99)*VLOOKUP((TRUNC(($AN227+0.01)*3/13,0)+0.99),'Tax scales - NAT 1004'!$A$65:$C$73,2,1)-VLOOKUP((TRUNC(($AN227+0.01)*3/13,0)+0.99),'Tax scales - NAT 1004'!$A$65:$C$73,3,1)),0)
*13/3,
0),
IF($E$2="Monthly",
ROUND(
ROUND(((TRUNC($AN227*3/13,0)+0.99)*VLOOKUP((TRUNC($AN227*3/13,0)+0.99),'Tax scales - NAT 1004'!$A$65:$C$73,2,1)-VLOOKUP((TRUNC($AN227*3/13,0)+0.99),'Tax scales - NAT 1004'!$A$65:$C$73,3,1)),0)
*13/3,
0),
""))),
""),
"")</f>
        <v/>
      </c>
      <c r="AU227" s="118" t="str">
        <f>IFERROR(
IF(VLOOKUP($C227,'Employee information'!$B:$M,COLUMNS('Employee information'!$B:$M),0)=11,
IF($E$2="Fortnightly",
ROUND(
ROUND((((TRUNC($AN227/2,0)+0.99))*VLOOKUP((TRUNC($AN227/2,0)+0.99),'Tax scales - NAT 3539'!$A$14:$C$38,2,1)-VLOOKUP((TRUNC($AN227/2,0)+0.99),'Tax scales - NAT 3539'!$A$14:$C$38,3,1)),0)
*2,
0),
IF(AND($E$2="Monthly",ROUND($AN227-TRUNC($AN227),2)=0.33),
ROUND(
ROUND(((TRUNC(($AN227+0.01)*3/13,0)+0.99)*VLOOKUP((TRUNC(($AN227+0.01)*3/13,0)+0.99),'Tax scales - NAT 3539'!$A$14:$C$38,2,1)-VLOOKUP((TRUNC(($AN227+0.01)*3/13,0)+0.99),'Tax scales - NAT 3539'!$A$14:$C$38,3,1)),0)
*13/3,
0),
IF($E$2="Monthly",
ROUND(
ROUND(((TRUNC($AN227*3/13,0)+0.99)*VLOOKUP((TRUNC($AN227*3/13,0)+0.99),'Tax scales - NAT 3539'!$A$14:$C$38,2,1)-VLOOKUP((TRUNC($AN227*3/13,0)+0.99),'Tax scales - NAT 3539'!$A$14:$C$38,3,1)),0)
*13/3,
0),
""))),
""),
"")</f>
        <v/>
      </c>
      <c r="AV227" s="118" t="str">
        <f>IFERROR(
IF(VLOOKUP($C227,'Employee information'!$B:$M,COLUMNS('Employee information'!$B:$M),0)=22,
IF($E$2="Fortnightly",
ROUND(
ROUND((((TRUNC($AN227/2,0)+0.99))*VLOOKUP((TRUNC($AN227/2,0)+0.99),'Tax scales - NAT 3539'!$A$43:$C$69,2,1)-VLOOKUP((TRUNC($AN227/2,0)+0.99),'Tax scales - NAT 3539'!$A$43:$C$69,3,1)),0)
*2,
0),
IF(AND($E$2="Monthly",ROUND($AN227-TRUNC($AN227),2)=0.33),
ROUND(
ROUND(((TRUNC(($AN227+0.01)*3/13,0)+0.99)*VLOOKUP((TRUNC(($AN227+0.01)*3/13,0)+0.99),'Tax scales - NAT 3539'!$A$43:$C$69,2,1)-VLOOKUP((TRUNC(($AN227+0.01)*3/13,0)+0.99),'Tax scales - NAT 3539'!$A$43:$C$69,3,1)),0)
*13/3,
0),
IF($E$2="Monthly",
ROUND(
ROUND(((TRUNC($AN227*3/13,0)+0.99)*VLOOKUP((TRUNC($AN227*3/13,0)+0.99),'Tax scales - NAT 3539'!$A$43:$C$69,2,1)-VLOOKUP((TRUNC($AN227*3/13,0)+0.99),'Tax scales - NAT 3539'!$A$43:$C$69,3,1)),0)
*13/3,
0),
""))),
""),
"")</f>
        <v/>
      </c>
      <c r="AW227" s="118" t="str">
        <f>IFERROR(
IF(VLOOKUP($C227,'Employee information'!$B:$M,COLUMNS('Employee information'!$B:$M),0)=33,
IF($E$2="Fortnightly",
ROUND(
ROUND((((TRUNC($AN227/2,0)+0.99))*VLOOKUP((TRUNC($AN227/2,0)+0.99),'Tax scales - NAT 3539'!$A$74:$C$94,2,1)-VLOOKUP((TRUNC($AN227/2,0)+0.99),'Tax scales - NAT 3539'!$A$74:$C$94,3,1)),0)
*2,
0),
IF(AND($E$2="Monthly",ROUND($AN227-TRUNC($AN227),2)=0.33),
ROUND(
ROUND(((TRUNC(($AN227+0.01)*3/13,0)+0.99)*VLOOKUP((TRUNC(($AN227+0.01)*3/13,0)+0.99),'Tax scales - NAT 3539'!$A$74:$C$94,2,1)-VLOOKUP((TRUNC(($AN227+0.01)*3/13,0)+0.99),'Tax scales - NAT 3539'!$A$74:$C$94,3,1)),0)
*13/3,
0),
IF($E$2="Monthly",
ROUND(
ROUND(((TRUNC($AN227*3/13,0)+0.99)*VLOOKUP((TRUNC($AN227*3/13,0)+0.99),'Tax scales - NAT 3539'!$A$74:$C$94,2,1)-VLOOKUP((TRUNC($AN227*3/13,0)+0.99),'Tax scales - NAT 3539'!$A$74:$C$94,3,1)),0)
*13/3,
0),
""))),
""),
"")</f>
        <v/>
      </c>
      <c r="AX227" s="118" t="str">
        <f>IFERROR(
IF(VLOOKUP($C227,'Employee information'!$B:$M,COLUMNS('Employee information'!$B:$M),0)=55,
IF($E$2="Fortnightly",
ROUND(
ROUND((((TRUNC($AN227/2,0)+0.99))*VLOOKUP((TRUNC($AN227/2,0)+0.99),'Tax scales - NAT 3539'!$A$99:$C$123,2,1)-VLOOKUP((TRUNC($AN227/2,0)+0.99),'Tax scales - NAT 3539'!$A$99:$C$123,3,1)),0)
*2,
0),
IF(AND($E$2="Monthly",ROUND($AN227-TRUNC($AN227),2)=0.33),
ROUND(
ROUND(((TRUNC(($AN227+0.01)*3/13,0)+0.99)*VLOOKUP((TRUNC(($AN227+0.01)*3/13,0)+0.99),'Tax scales - NAT 3539'!$A$99:$C$123,2,1)-VLOOKUP((TRUNC(($AN227+0.01)*3/13,0)+0.99),'Tax scales - NAT 3539'!$A$99:$C$123,3,1)),0)
*13/3,
0),
IF($E$2="Monthly",
ROUND(
ROUND(((TRUNC($AN227*3/13,0)+0.99)*VLOOKUP((TRUNC($AN227*3/13,0)+0.99),'Tax scales - NAT 3539'!$A$99:$C$123,2,1)-VLOOKUP((TRUNC($AN227*3/13,0)+0.99),'Tax scales - NAT 3539'!$A$99:$C$123,3,1)),0)
*13/3,
0),
""))),
""),
"")</f>
        <v/>
      </c>
      <c r="AY227" s="118" t="str">
        <f>IFERROR(
IF(VLOOKUP($C227,'Employee information'!$B:$M,COLUMNS('Employee information'!$B:$M),0)=66,
IF($E$2="Fortnightly",
ROUND(
ROUND((((TRUNC($AN227/2,0)+0.99))*VLOOKUP((TRUNC($AN227/2,0)+0.99),'Tax scales - NAT 3539'!$A$127:$C$154,2,1)-VLOOKUP((TRUNC($AN227/2,0)+0.99),'Tax scales - NAT 3539'!$A$127:$C$154,3,1)),0)
*2,
0),
IF(AND($E$2="Monthly",ROUND($AN227-TRUNC($AN227),2)=0.33),
ROUND(
ROUND(((TRUNC(($AN227+0.01)*3/13,0)+0.99)*VLOOKUP((TRUNC(($AN227+0.01)*3/13,0)+0.99),'Tax scales - NAT 3539'!$A$127:$C$154,2,1)-VLOOKUP((TRUNC(($AN227+0.01)*3/13,0)+0.99),'Tax scales - NAT 3539'!$A$127:$C$154,3,1)),0)
*13/3,
0),
IF($E$2="Monthly",
ROUND(
ROUND(((TRUNC($AN227*3/13,0)+0.99)*VLOOKUP((TRUNC($AN227*3/13,0)+0.99),'Tax scales - NAT 3539'!$A$127:$C$154,2,1)-VLOOKUP((TRUNC($AN227*3/13,0)+0.99),'Tax scales - NAT 3539'!$A$127:$C$154,3,1)),0)
*13/3,
0),
""))),
""),
"")</f>
        <v/>
      </c>
      <c r="AZ227" s="118">
        <f>IFERROR(
HLOOKUP(VLOOKUP($C227,'Employee information'!$B:$M,COLUMNS('Employee information'!$B:$M),0),'PAYG worksheet'!$AO$213:$AY$232,COUNTA($C$214:$C227)+1,0),
0)</f>
        <v>0</v>
      </c>
      <c r="BA227" s="118"/>
      <c r="BB227" s="118">
        <f t="shared" si="232"/>
        <v>0</v>
      </c>
      <c r="BC227" s="119">
        <f>IFERROR(
IF(OR($AE227=1,$AE227=""),SUM($P227,$AA227,$AC227,$AK227)*VLOOKUP($C227,'Employee information'!$B:$Q,COLUMNS('Employee information'!$B:$H),0),
IF($AE227=0,SUM($P227,$AA227,$AK227)*VLOOKUP($C227,'Employee information'!$B:$Q,COLUMNS('Employee information'!$B:$H),0),
0)),
0)</f>
        <v>0</v>
      </c>
      <c r="BE227" s="114">
        <f t="shared" si="217"/>
        <v>0</v>
      </c>
      <c r="BF227" s="114">
        <f t="shared" si="218"/>
        <v>0</v>
      </c>
      <c r="BG227" s="114">
        <f t="shared" si="219"/>
        <v>0</v>
      </c>
      <c r="BH227" s="114">
        <f t="shared" si="220"/>
        <v>0</v>
      </c>
      <c r="BI227" s="114">
        <f t="shared" si="221"/>
        <v>0</v>
      </c>
      <c r="BJ227" s="114">
        <f t="shared" si="222"/>
        <v>0</v>
      </c>
      <c r="BK227" s="114">
        <f t="shared" si="223"/>
        <v>0</v>
      </c>
      <c r="BL227" s="114">
        <f t="shared" si="233"/>
        <v>0</v>
      </c>
      <c r="BM227" s="114">
        <f t="shared" si="224"/>
        <v>0</v>
      </c>
    </row>
    <row r="228" spans="1:65" x14ac:dyDescent="0.25">
      <c r="A228" s="228">
        <f t="shared" si="212"/>
        <v>8</v>
      </c>
      <c r="C228" s="278"/>
      <c r="E228" s="103">
        <f>IF($C228="",0,
IF(AND($E$2="Monthly",$A228&gt;12),0,
IF($E$2="Monthly",VLOOKUP($C228,'Employee information'!$B:$AM,COLUMNS('Employee information'!$B:S),0),
IF($E$2="Fortnightly",VLOOKUP($C228,'Employee information'!$B:$AM,COLUMNS('Employee information'!$B:R),0),
0))))</f>
        <v>0</v>
      </c>
      <c r="F228" s="106"/>
      <c r="G228" s="106"/>
      <c r="H228" s="106"/>
      <c r="I228" s="106"/>
      <c r="J228" s="103">
        <f t="shared" si="225"/>
        <v>0</v>
      </c>
      <c r="L228" s="113">
        <f>IF(AND($E$2="Monthly",$A228&gt;12),"",
IFERROR($J228*VLOOKUP($C228,'Employee information'!$B:$AI,COLUMNS('Employee information'!$B:$P),0),0))</f>
        <v>0</v>
      </c>
      <c r="M228" s="114">
        <f t="shared" si="226"/>
        <v>0</v>
      </c>
      <c r="O228" s="103">
        <f t="shared" si="227"/>
        <v>0</v>
      </c>
      <c r="P228" s="113">
        <f>IFERROR(
IF(AND($E$2="Monthly",$A228&gt;12),0,
$O228*VLOOKUP($C228,'Employee information'!$B:$AI,COLUMNS('Employee information'!$B:$P),0)),
0)</f>
        <v>0</v>
      </c>
      <c r="R228" s="114">
        <f t="shared" si="213"/>
        <v>0</v>
      </c>
      <c r="T228" s="103"/>
      <c r="U228" s="103"/>
      <c r="V228" s="282" t="str">
        <f>IF($C228="","",
IF(AND($E$2="Monthly",$A228&gt;12),"",
$T228*VLOOKUP($C228,'Employee information'!$B:$P,COLUMNS('Employee information'!$B:$P),0)))</f>
        <v/>
      </c>
      <c r="W228" s="282" t="str">
        <f>IF($C228="","",
IF(AND($E$2="Monthly",$A228&gt;12),"",
$U228*VLOOKUP($C228,'Employee information'!$B:$P,COLUMNS('Employee information'!$B:$P),0)))</f>
        <v/>
      </c>
      <c r="X228" s="114">
        <f t="shared" si="214"/>
        <v>0</v>
      </c>
      <c r="Y228" s="114">
        <f t="shared" si="215"/>
        <v>0</v>
      </c>
      <c r="AA228" s="118">
        <f>IFERROR(
IF(OR('Basic payroll data'!$D$12="",'Basic payroll data'!$D$12="No"),0,
$T228*VLOOKUP($C228,'Employee information'!$B:$P,COLUMNS('Employee information'!$B:$P),0)*AL_loading_perc),
0)</f>
        <v>0</v>
      </c>
      <c r="AC228" s="118"/>
      <c r="AD228" s="118"/>
      <c r="AE228" s="283" t="str">
        <f t="shared" si="228"/>
        <v/>
      </c>
      <c r="AF228" s="283" t="str">
        <f t="shared" si="229"/>
        <v/>
      </c>
      <c r="AG228" s="118"/>
      <c r="AH228" s="118"/>
      <c r="AI228" s="283" t="str">
        <f t="shared" si="230"/>
        <v/>
      </c>
      <c r="AJ228" s="118"/>
      <c r="AK228" s="118"/>
      <c r="AM228" s="118">
        <f t="shared" si="231"/>
        <v>0</v>
      </c>
      <c r="AN228" s="118">
        <f t="shared" si="216"/>
        <v>0</v>
      </c>
      <c r="AO228" s="118" t="str">
        <f>IFERROR(
IF(VLOOKUP($C228,'Employee information'!$B:$M,COLUMNS('Employee information'!$B:$M),0)=1,
IF($E$2="Fortnightly",
ROUND(
ROUND((((TRUNC($AN228/2,0)+0.99))*VLOOKUP((TRUNC($AN228/2,0)+0.99),'Tax scales - NAT 1004'!$A$12:$C$18,2,1)-VLOOKUP((TRUNC($AN228/2,0)+0.99),'Tax scales - NAT 1004'!$A$12:$C$18,3,1)),0)
*2,
0),
IF(AND($E$2="Monthly",ROUND($AN228-TRUNC($AN228),2)=0.33),
ROUND(
ROUND(((TRUNC(($AN228+0.01)*3/13,0)+0.99)*VLOOKUP((TRUNC(($AN228+0.01)*3/13,0)+0.99),'Tax scales - NAT 1004'!$A$12:$C$18,2,1)-VLOOKUP((TRUNC(($AN228+0.01)*3/13,0)+0.99),'Tax scales - NAT 1004'!$A$12:$C$18,3,1)),0)
*13/3,
0),
IF($E$2="Monthly",
ROUND(
ROUND(((TRUNC($AN228*3/13,0)+0.99)*VLOOKUP((TRUNC($AN228*3/13,0)+0.99),'Tax scales - NAT 1004'!$A$12:$C$18,2,1)-VLOOKUP((TRUNC($AN228*3/13,0)+0.99),'Tax scales - NAT 1004'!$A$12:$C$18,3,1)),0)
*13/3,
0),
""))),
""),
"")</f>
        <v/>
      </c>
      <c r="AP228" s="118" t="str">
        <f>IFERROR(
IF(VLOOKUP($C228,'Employee information'!$B:$M,COLUMNS('Employee information'!$B:$M),0)=2,
IF($E$2="Fortnightly",
ROUND(
ROUND((((TRUNC($AN228/2,0)+0.99))*VLOOKUP((TRUNC($AN228/2,0)+0.99),'Tax scales - NAT 1004'!$A$25:$C$33,2,1)-VLOOKUP((TRUNC($AN228/2,0)+0.99),'Tax scales - NAT 1004'!$A$25:$C$33,3,1)),0)
*2,
0),
IF(AND($E$2="Monthly",ROUND($AN228-TRUNC($AN228),2)=0.33),
ROUND(
ROUND(((TRUNC(($AN228+0.01)*3/13,0)+0.99)*VLOOKUP((TRUNC(($AN228+0.01)*3/13,0)+0.99),'Tax scales - NAT 1004'!$A$25:$C$33,2,1)-VLOOKUP((TRUNC(($AN228+0.01)*3/13,0)+0.99),'Tax scales - NAT 1004'!$A$25:$C$33,3,1)),0)
*13/3,
0),
IF($E$2="Monthly",
ROUND(
ROUND(((TRUNC($AN228*3/13,0)+0.99)*VLOOKUP((TRUNC($AN228*3/13,0)+0.99),'Tax scales - NAT 1004'!$A$25:$C$33,2,1)-VLOOKUP((TRUNC($AN228*3/13,0)+0.99),'Tax scales - NAT 1004'!$A$25:$C$33,3,1)),0)
*13/3,
0),
""))),
""),
"")</f>
        <v/>
      </c>
      <c r="AQ228" s="118" t="str">
        <f>IFERROR(
IF(VLOOKUP($C228,'Employee information'!$B:$M,COLUMNS('Employee information'!$B:$M),0)=3,
IF($E$2="Fortnightly",
ROUND(
ROUND((((TRUNC($AN228/2,0)+0.99))*VLOOKUP((TRUNC($AN228/2,0)+0.99),'Tax scales - NAT 1004'!$A$39:$C$41,2,1)-VLOOKUP((TRUNC($AN228/2,0)+0.99),'Tax scales - NAT 1004'!$A$39:$C$41,3,1)),0)
*2,
0),
IF(AND($E$2="Monthly",ROUND($AN228-TRUNC($AN228),2)=0.33),
ROUND(
ROUND(((TRUNC(($AN228+0.01)*3/13,0)+0.99)*VLOOKUP((TRUNC(($AN228+0.01)*3/13,0)+0.99),'Tax scales - NAT 1004'!$A$39:$C$41,2,1)-VLOOKUP((TRUNC(($AN228+0.01)*3/13,0)+0.99),'Tax scales - NAT 1004'!$A$39:$C$41,3,1)),0)
*13/3,
0),
IF($E$2="Monthly",
ROUND(
ROUND(((TRUNC($AN228*3/13,0)+0.99)*VLOOKUP((TRUNC($AN228*3/13,0)+0.99),'Tax scales - NAT 1004'!$A$39:$C$41,2,1)-VLOOKUP((TRUNC($AN228*3/13,0)+0.99),'Tax scales - NAT 1004'!$A$39:$C$41,3,1)),0)
*13/3,
0),
""))),
""),
"")</f>
        <v/>
      </c>
      <c r="AR228" s="118" t="str">
        <f>IFERROR(
IF(AND(VLOOKUP($C228,'Employee information'!$B:$M,COLUMNS('Employee information'!$B:$M),0)=4,
VLOOKUP($C228,'Employee information'!$B:$J,COLUMNS('Employee information'!$B:$J),0)="Resident"),
TRUNC(TRUNC($AN228)*'Tax scales - NAT 1004'!$B$47),
IF(AND(VLOOKUP($C228,'Employee information'!$B:$M,COLUMNS('Employee information'!$B:$M),0)=4,
VLOOKUP($C228,'Employee information'!$B:$J,COLUMNS('Employee information'!$B:$J),0)="Foreign resident"),
TRUNC(TRUNC($AN228)*'Tax scales - NAT 1004'!$B$48),
"")),
"")</f>
        <v/>
      </c>
      <c r="AS228" s="118" t="str">
        <f>IFERROR(
IF(VLOOKUP($C228,'Employee information'!$B:$M,COLUMNS('Employee information'!$B:$M),0)=5,
IF($E$2="Fortnightly",
ROUND(
ROUND((((TRUNC($AN228/2,0)+0.99))*VLOOKUP((TRUNC($AN228/2,0)+0.99),'Tax scales - NAT 1004'!$A$53:$C$59,2,1)-VLOOKUP((TRUNC($AN228/2,0)+0.99),'Tax scales - NAT 1004'!$A$53:$C$59,3,1)),0)
*2,
0),
IF(AND($E$2="Monthly",ROUND($AN228-TRUNC($AN228),2)=0.33),
ROUND(
ROUND(((TRUNC(($AN228+0.01)*3/13,0)+0.99)*VLOOKUP((TRUNC(($AN228+0.01)*3/13,0)+0.99),'Tax scales - NAT 1004'!$A$53:$C$59,2,1)-VLOOKUP((TRUNC(($AN228+0.01)*3/13,0)+0.99),'Tax scales - NAT 1004'!$A$53:$C$59,3,1)),0)
*13/3,
0),
IF($E$2="Monthly",
ROUND(
ROUND(((TRUNC($AN228*3/13,0)+0.99)*VLOOKUP((TRUNC($AN228*3/13,0)+0.99),'Tax scales - NAT 1004'!$A$53:$C$59,2,1)-VLOOKUP((TRUNC($AN228*3/13,0)+0.99),'Tax scales - NAT 1004'!$A$53:$C$59,3,1)),0)
*13/3,
0),
""))),
""),
"")</f>
        <v/>
      </c>
      <c r="AT228" s="118" t="str">
        <f>IFERROR(
IF(VLOOKUP($C228,'Employee information'!$B:$M,COLUMNS('Employee information'!$B:$M),0)=6,
IF($E$2="Fortnightly",
ROUND(
ROUND((((TRUNC($AN228/2,0)+0.99))*VLOOKUP((TRUNC($AN228/2,0)+0.99),'Tax scales - NAT 1004'!$A$65:$C$73,2,1)-VLOOKUP((TRUNC($AN228/2,0)+0.99),'Tax scales - NAT 1004'!$A$65:$C$73,3,1)),0)
*2,
0),
IF(AND($E$2="Monthly",ROUND($AN228-TRUNC($AN228),2)=0.33),
ROUND(
ROUND(((TRUNC(($AN228+0.01)*3/13,0)+0.99)*VLOOKUP((TRUNC(($AN228+0.01)*3/13,0)+0.99),'Tax scales - NAT 1004'!$A$65:$C$73,2,1)-VLOOKUP((TRUNC(($AN228+0.01)*3/13,0)+0.99),'Tax scales - NAT 1004'!$A$65:$C$73,3,1)),0)
*13/3,
0),
IF($E$2="Monthly",
ROUND(
ROUND(((TRUNC($AN228*3/13,0)+0.99)*VLOOKUP((TRUNC($AN228*3/13,0)+0.99),'Tax scales - NAT 1004'!$A$65:$C$73,2,1)-VLOOKUP((TRUNC($AN228*3/13,0)+0.99),'Tax scales - NAT 1004'!$A$65:$C$73,3,1)),0)
*13/3,
0),
""))),
""),
"")</f>
        <v/>
      </c>
      <c r="AU228" s="118" t="str">
        <f>IFERROR(
IF(VLOOKUP($C228,'Employee information'!$B:$M,COLUMNS('Employee information'!$B:$M),0)=11,
IF($E$2="Fortnightly",
ROUND(
ROUND((((TRUNC($AN228/2,0)+0.99))*VLOOKUP((TRUNC($AN228/2,0)+0.99),'Tax scales - NAT 3539'!$A$14:$C$38,2,1)-VLOOKUP((TRUNC($AN228/2,0)+0.99),'Tax scales - NAT 3539'!$A$14:$C$38,3,1)),0)
*2,
0),
IF(AND($E$2="Monthly",ROUND($AN228-TRUNC($AN228),2)=0.33),
ROUND(
ROUND(((TRUNC(($AN228+0.01)*3/13,0)+0.99)*VLOOKUP((TRUNC(($AN228+0.01)*3/13,0)+0.99),'Tax scales - NAT 3539'!$A$14:$C$38,2,1)-VLOOKUP((TRUNC(($AN228+0.01)*3/13,0)+0.99),'Tax scales - NAT 3539'!$A$14:$C$38,3,1)),0)
*13/3,
0),
IF($E$2="Monthly",
ROUND(
ROUND(((TRUNC($AN228*3/13,0)+0.99)*VLOOKUP((TRUNC($AN228*3/13,0)+0.99),'Tax scales - NAT 3539'!$A$14:$C$38,2,1)-VLOOKUP((TRUNC($AN228*3/13,0)+0.99),'Tax scales - NAT 3539'!$A$14:$C$38,3,1)),0)
*13/3,
0),
""))),
""),
"")</f>
        <v/>
      </c>
      <c r="AV228" s="118" t="str">
        <f>IFERROR(
IF(VLOOKUP($C228,'Employee information'!$B:$M,COLUMNS('Employee information'!$B:$M),0)=22,
IF($E$2="Fortnightly",
ROUND(
ROUND((((TRUNC($AN228/2,0)+0.99))*VLOOKUP((TRUNC($AN228/2,0)+0.99),'Tax scales - NAT 3539'!$A$43:$C$69,2,1)-VLOOKUP((TRUNC($AN228/2,0)+0.99),'Tax scales - NAT 3539'!$A$43:$C$69,3,1)),0)
*2,
0),
IF(AND($E$2="Monthly",ROUND($AN228-TRUNC($AN228),2)=0.33),
ROUND(
ROUND(((TRUNC(($AN228+0.01)*3/13,0)+0.99)*VLOOKUP((TRUNC(($AN228+0.01)*3/13,0)+0.99),'Tax scales - NAT 3539'!$A$43:$C$69,2,1)-VLOOKUP((TRUNC(($AN228+0.01)*3/13,0)+0.99),'Tax scales - NAT 3539'!$A$43:$C$69,3,1)),0)
*13/3,
0),
IF($E$2="Monthly",
ROUND(
ROUND(((TRUNC($AN228*3/13,0)+0.99)*VLOOKUP((TRUNC($AN228*3/13,0)+0.99),'Tax scales - NAT 3539'!$A$43:$C$69,2,1)-VLOOKUP((TRUNC($AN228*3/13,0)+0.99),'Tax scales - NAT 3539'!$A$43:$C$69,3,1)),0)
*13/3,
0),
""))),
""),
"")</f>
        <v/>
      </c>
      <c r="AW228" s="118" t="str">
        <f>IFERROR(
IF(VLOOKUP($C228,'Employee information'!$B:$M,COLUMNS('Employee information'!$B:$M),0)=33,
IF($E$2="Fortnightly",
ROUND(
ROUND((((TRUNC($AN228/2,0)+0.99))*VLOOKUP((TRUNC($AN228/2,0)+0.99),'Tax scales - NAT 3539'!$A$74:$C$94,2,1)-VLOOKUP((TRUNC($AN228/2,0)+0.99),'Tax scales - NAT 3539'!$A$74:$C$94,3,1)),0)
*2,
0),
IF(AND($E$2="Monthly",ROUND($AN228-TRUNC($AN228),2)=0.33),
ROUND(
ROUND(((TRUNC(($AN228+0.01)*3/13,0)+0.99)*VLOOKUP((TRUNC(($AN228+0.01)*3/13,0)+0.99),'Tax scales - NAT 3539'!$A$74:$C$94,2,1)-VLOOKUP((TRUNC(($AN228+0.01)*3/13,0)+0.99),'Tax scales - NAT 3539'!$A$74:$C$94,3,1)),0)
*13/3,
0),
IF($E$2="Monthly",
ROUND(
ROUND(((TRUNC($AN228*3/13,0)+0.99)*VLOOKUP((TRUNC($AN228*3/13,0)+0.99),'Tax scales - NAT 3539'!$A$74:$C$94,2,1)-VLOOKUP((TRUNC($AN228*3/13,0)+0.99),'Tax scales - NAT 3539'!$A$74:$C$94,3,1)),0)
*13/3,
0),
""))),
""),
"")</f>
        <v/>
      </c>
      <c r="AX228" s="118" t="str">
        <f>IFERROR(
IF(VLOOKUP($C228,'Employee information'!$B:$M,COLUMNS('Employee information'!$B:$M),0)=55,
IF($E$2="Fortnightly",
ROUND(
ROUND((((TRUNC($AN228/2,0)+0.99))*VLOOKUP((TRUNC($AN228/2,0)+0.99),'Tax scales - NAT 3539'!$A$99:$C$123,2,1)-VLOOKUP((TRUNC($AN228/2,0)+0.99),'Tax scales - NAT 3539'!$A$99:$C$123,3,1)),0)
*2,
0),
IF(AND($E$2="Monthly",ROUND($AN228-TRUNC($AN228),2)=0.33),
ROUND(
ROUND(((TRUNC(($AN228+0.01)*3/13,0)+0.99)*VLOOKUP((TRUNC(($AN228+0.01)*3/13,0)+0.99),'Tax scales - NAT 3539'!$A$99:$C$123,2,1)-VLOOKUP((TRUNC(($AN228+0.01)*3/13,0)+0.99),'Tax scales - NAT 3539'!$A$99:$C$123,3,1)),0)
*13/3,
0),
IF($E$2="Monthly",
ROUND(
ROUND(((TRUNC($AN228*3/13,0)+0.99)*VLOOKUP((TRUNC($AN228*3/13,0)+0.99),'Tax scales - NAT 3539'!$A$99:$C$123,2,1)-VLOOKUP((TRUNC($AN228*3/13,0)+0.99),'Tax scales - NAT 3539'!$A$99:$C$123,3,1)),0)
*13/3,
0),
""))),
""),
"")</f>
        <v/>
      </c>
      <c r="AY228" s="118" t="str">
        <f>IFERROR(
IF(VLOOKUP($C228,'Employee information'!$B:$M,COLUMNS('Employee information'!$B:$M),0)=66,
IF($E$2="Fortnightly",
ROUND(
ROUND((((TRUNC($AN228/2,0)+0.99))*VLOOKUP((TRUNC($AN228/2,0)+0.99),'Tax scales - NAT 3539'!$A$127:$C$154,2,1)-VLOOKUP((TRUNC($AN228/2,0)+0.99),'Tax scales - NAT 3539'!$A$127:$C$154,3,1)),0)
*2,
0),
IF(AND($E$2="Monthly",ROUND($AN228-TRUNC($AN228),2)=0.33),
ROUND(
ROUND(((TRUNC(($AN228+0.01)*3/13,0)+0.99)*VLOOKUP((TRUNC(($AN228+0.01)*3/13,0)+0.99),'Tax scales - NAT 3539'!$A$127:$C$154,2,1)-VLOOKUP((TRUNC(($AN228+0.01)*3/13,0)+0.99),'Tax scales - NAT 3539'!$A$127:$C$154,3,1)),0)
*13/3,
0),
IF($E$2="Monthly",
ROUND(
ROUND(((TRUNC($AN228*3/13,0)+0.99)*VLOOKUP((TRUNC($AN228*3/13,0)+0.99),'Tax scales - NAT 3539'!$A$127:$C$154,2,1)-VLOOKUP((TRUNC($AN228*3/13,0)+0.99),'Tax scales - NAT 3539'!$A$127:$C$154,3,1)),0)
*13/3,
0),
""))),
""),
"")</f>
        <v/>
      </c>
      <c r="AZ228" s="118">
        <f>IFERROR(
HLOOKUP(VLOOKUP($C228,'Employee information'!$B:$M,COLUMNS('Employee information'!$B:$M),0),'PAYG worksheet'!$AO$213:$AY$232,COUNTA($C$214:$C228)+1,0),
0)</f>
        <v>0</v>
      </c>
      <c r="BA228" s="118"/>
      <c r="BB228" s="118">
        <f t="shared" si="232"/>
        <v>0</v>
      </c>
      <c r="BC228" s="119">
        <f>IFERROR(
IF(OR($AE228=1,$AE228=""),SUM($P228,$AA228,$AC228,$AK228)*VLOOKUP($C228,'Employee information'!$B:$Q,COLUMNS('Employee information'!$B:$H),0),
IF($AE228=0,SUM($P228,$AA228,$AK228)*VLOOKUP($C228,'Employee information'!$B:$Q,COLUMNS('Employee information'!$B:$H),0),
0)),
0)</f>
        <v>0</v>
      </c>
      <c r="BE228" s="114">
        <f t="shared" si="217"/>
        <v>0</v>
      </c>
      <c r="BF228" s="114">
        <f t="shared" si="218"/>
        <v>0</v>
      </c>
      <c r="BG228" s="114">
        <f t="shared" si="219"/>
        <v>0</v>
      </c>
      <c r="BH228" s="114">
        <f t="shared" si="220"/>
        <v>0</v>
      </c>
      <c r="BI228" s="114">
        <f t="shared" si="221"/>
        <v>0</v>
      </c>
      <c r="BJ228" s="114">
        <f t="shared" si="222"/>
        <v>0</v>
      </c>
      <c r="BK228" s="114">
        <f t="shared" si="223"/>
        <v>0</v>
      </c>
      <c r="BL228" s="114">
        <f t="shared" si="233"/>
        <v>0</v>
      </c>
      <c r="BM228" s="114">
        <f t="shared" si="224"/>
        <v>0</v>
      </c>
    </row>
    <row r="229" spans="1:65" x14ac:dyDescent="0.25">
      <c r="A229" s="228">
        <f t="shared" si="212"/>
        <v>8</v>
      </c>
      <c r="C229" s="278"/>
      <c r="E229" s="103">
        <f>IF($C229="",0,
IF(AND($E$2="Monthly",$A229&gt;12),0,
IF($E$2="Monthly",VLOOKUP($C229,'Employee information'!$B:$AM,COLUMNS('Employee information'!$B:S),0),
IF($E$2="Fortnightly",VLOOKUP($C229,'Employee information'!$B:$AM,COLUMNS('Employee information'!$B:R),0),
0))))</f>
        <v>0</v>
      </c>
      <c r="F229" s="106"/>
      <c r="G229" s="106"/>
      <c r="H229" s="106"/>
      <c r="I229" s="106"/>
      <c r="J229" s="103">
        <f t="shared" si="225"/>
        <v>0</v>
      </c>
      <c r="L229" s="113">
        <f>IF(AND($E$2="Monthly",$A229&gt;12),"",
IFERROR($J229*VLOOKUP($C229,'Employee information'!$B:$AI,COLUMNS('Employee information'!$B:$P),0),0))</f>
        <v>0</v>
      </c>
      <c r="M229" s="114">
        <f t="shared" si="226"/>
        <v>0</v>
      </c>
      <c r="O229" s="103">
        <f t="shared" si="227"/>
        <v>0</v>
      </c>
      <c r="P229" s="113">
        <f>IFERROR(
IF(AND($E$2="Monthly",$A229&gt;12),0,
$O229*VLOOKUP($C229,'Employee information'!$B:$AI,COLUMNS('Employee information'!$B:$P),0)),
0)</f>
        <v>0</v>
      </c>
      <c r="R229" s="114">
        <f t="shared" si="213"/>
        <v>0</v>
      </c>
      <c r="T229" s="103"/>
      <c r="U229" s="103"/>
      <c r="V229" s="282" t="str">
        <f>IF($C229="","",
IF(AND($E$2="Monthly",$A229&gt;12),"",
$T229*VLOOKUP($C229,'Employee information'!$B:$P,COLUMNS('Employee information'!$B:$P),0)))</f>
        <v/>
      </c>
      <c r="W229" s="282" t="str">
        <f>IF($C229="","",
IF(AND($E$2="Monthly",$A229&gt;12),"",
$U229*VLOOKUP($C229,'Employee information'!$B:$P,COLUMNS('Employee information'!$B:$P),0)))</f>
        <v/>
      </c>
      <c r="X229" s="114">
        <f t="shared" si="214"/>
        <v>0</v>
      </c>
      <c r="Y229" s="114">
        <f t="shared" si="215"/>
        <v>0</v>
      </c>
      <c r="AA229" s="118">
        <f>IFERROR(
IF(OR('Basic payroll data'!$D$12="",'Basic payroll data'!$D$12="No"),0,
$T229*VLOOKUP($C229,'Employee information'!$B:$P,COLUMNS('Employee information'!$B:$P),0)*AL_loading_perc),
0)</f>
        <v>0</v>
      </c>
      <c r="AC229" s="118"/>
      <c r="AD229" s="118"/>
      <c r="AE229" s="283" t="str">
        <f t="shared" si="228"/>
        <v/>
      </c>
      <c r="AF229" s="283" t="str">
        <f t="shared" si="229"/>
        <v/>
      </c>
      <c r="AG229" s="118"/>
      <c r="AH229" s="118"/>
      <c r="AI229" s="283" t="str">
        <f t="shared" si="230"/>
        <v/>
      </c>
      <c r="AJ229" s="118"/>
      <c r="AK229" s="118"/>
      <c r="AM229" s="118">
        <f t="shared" si="231"/>
        <v>0</v>
      </c>
      <c r="AN229" s="118">
        <f t="shared" si="216"/>
        <v>0</v>
      </c>
      <c r="AO229" s="118" t="str">
        <f>IFERROR(
IF(VLOOKUP($C229,'Employee information'!$B:$M,COLUMNS('Employee information'!$B:$M),0)=1,
IF($E$2="Fortnightly",
ROUND(
ROUND((((TRUNC($AN229/2,0)+0.99))*VLOOKUP((TRUNC($AN229/2,0)+0.99),'Tax scales - NAT 1004'!$A$12:$C$18,2,1)-VLOOKUP((TRUNC($AN229/2,0)+0.99),'Tax scales - NAT 1004'!$A$12:$C$18,3,1)),0)
*2,
0),
IF(AND($E$2="Monthly",ROUND($AN229-TRUNC($AN229),2)=0.33),
ROUND(
ROUND(((TRUNC(($AN229+0.01)*3/13,0)+0.99)*VLOOKUP((TRUNC(($AN229+0.01)*3/13,0)+0.99),'Tax scales - NAT 1004'!$A$12:$C$18,2,1)-VLOOKUP((TRUNC(($AN229+0.01)*3/13,0)+0.99),'Tax scales - NAT 1004'!$A$12:$C$18,3,1)),0)
*13/3,
0),
IF($E$2="Monthly",
ROUND(
ROUND(((TRUNC($AN229*3/13,0)+0.99)*VLOOKUP((TRUNC($AN229*3/13,0)+0.99),'Tax scales - NAT 1004'!$A$12:$C$18,2,1)-VLOOKUP((TRUNC($AN229*3/13,0)+0.99),'Tax scales - NAT 1004'!$A$12:$C$18,3,1)),0)
*13/3,
0),
""))),
""),
"")</f>
        <v/>
      </c>
      <c r="AP229" s="118" t="str">
        <f>IFERROR(
IF(VLOOKUP($C229,'Employee information'!$B:$M,COLUMNS('Employee information'!$B:$M),0)=2,
IF($E$2="Fortnightly",
ROUND(
ROUND((((TRUNC($AN229/2,0)+0.99))*VLOOKUP((TRUNC($AN229/2,0)+0.99),'Tax scales - NAT 1004'!$A$25:$C$33,2,1)-VLOOKUP((TRUNC($AN229/2,0)+0.99),'Tax scales - NAT 1004'!$A$25:$C$33,3,1)),0)
*2,
0),
IF(AND($E$2="Monthly",ROUND($AN229-TRUNC($AN229),2)=0.33),
ROUND(
ROUND(((TRUNC(($AN229+0.01)*3/13,0)+0.99)*VLOOKUP((TRUNC(($AN229+0.01)*3/13,0)+0.99),'Tax scales - NAT 1004'!$A$25:$C$33,2,1)-VLOOKUP((TRUNC(($AN229+0.01)*3/13,0)+0.99),'Tax scales - NAT 1004'!$A$25:$C$33,3,1)),0)
*13/3,
0),
IF($E$2="Monthly",
ROUND(
ROUND(((TRUNC($AN229*3/13,0)+0.99)*VLOOKUP((TRUNC($AN229*3/13,0)+0.99),'Tax scales - NAT 1004'!$A$25:$C$33,2,1)-VLOOKUP((TRUNC($AN229*3/13,0)+0.99),'Tax scales - NAT 1004'!$A$25:$C$33,3,1)),0)
*13/3,
0),
""))),
""),
"")</f>
        <v/>
      </c>
      <c r="AQ229" s="118" t="str">
        <f>IFERROR(
IF(VLOOKUP($C229,'Employee information'!$B:$M,COLUMNS('Employee information'!$B:$M),0)=3,
IF($E$2="Fortnightly",
ROUND(
ROUND((((TRUNC($AN229/2,0)+0.99))*VLOOKUP((TRUNC($AN229/2,0)+0.99),'Tax scales - NAT 1004'!$A$39:$C$41,2,1)-VLOOKUP((TRUNC($AN229/2,0)+0.99),'Tax scales - NAT 1004'!$A$39:$C$41,3,1)),0)
*2,
0),
IF(AND($E$2="Monthly",ROUND($AN229-TRUNC($AN229),2)=0.33),
ROUND(
ROUND(((TRUNC(($AN229+0.01)*3/13,0)+0.99)*VLOOKUP((TRUNC(($AN229+0.01)*3/13,0)+0.99),'Tax scales - NAT 1004'!$A$39:$C$41,2,1)-VLOOKUP((TRUNC(($AN229+0.01)*3/13,0)+0.99),'Tax scales - NAT 1004'!$A$39:$C$41,3,1)),0)
*13/3,
0),
IF($E$2="Monthly",
ROUND(
ROUND(((TRUNC($AN229*3/13,0)+0.99)*VLOOKUP((TRUNC($AN229*3/13,0)+0.99),'Tax scales - NAT 1004'!$A$39:$C$41,2,1)-VLOOKUP((TRUNC($AN229*3/13,0)+0.99),'Tax scales - NAT 1004'!$A$39:$C$41,3,1)),0)
*13/3,
0),
""))),
""),
"")</f>
        <v/>
      </c>
      <c r="AR229" s="118" t="str">
        <f>IFERROR(
IF(AND(VLOOKUP($C229,'Employee information'!$B:$M,COLUMNS('Employee information'!$B:$M),0)=4,
VLOOKUP($C229,'Employee information'!$B:$J,COLUMNS('Employee information'!$B:$J),0)="Resident"),
TRUNC(TRUNC($AN229)*'Tax scales - NAT 1004'!$B$47),
IF(AND(VLOOKUP($C229,'Employee information'!$B:$M,COLUMNS('Employee information'!$B:$M),0)=4,
VLOOKUP($C229,'Employee information'!$B:$J,COLUMNS('Employee information'!$B:$J),0)="Foreign resident"),
TRUNC(TRUNC($AN229)*'Tax scales - NAT 1004'!$B$48),
"")),
"")</f>
        <v/>
      </c>
      <c r="AS229" s="118" t="str">
        <f>IFERROR(
IF(VLOOKUP($C229,'Employee information'!$B:$M,COLUMNS('Employee information'!$B:$M),0)=5,
IF($E$2="Fortnightly",
ROUND(
ROUND((((TRUNC($AN229/2,0)+0.99))*VLOOKUP((TRUNC($AN229/2,0)+0.99),'Tax scales - NAT 1004'!$A$53:$C$59,2,1)-VLOOKUP((TRUNC($AN229/2,0)+0.99),'Tax scales - NAT 1004'!$A$53:$C$59,3,1)),0)
*2,
0),
IF(AND($E$2="Monthly",ROUND($AN229-TRUNC($AN229),2)=0.33),
ROUND(
ROUND(((TRUNC(($AN229+0.01)*3/13,0)+0.99)*VLOOKUP((TRUNC(($AN229+0.01)*3/13,0)+0.99),'Tax scales - NAT 1004'!$A$53:$C$59,2,1)-VLOOKUP((TRUNC(($AN229+0.01)*3/13,0)+0.99),'Tax scales - NAT 1004'!$A$53:$C$59,3,1)),0)
*13/3,
0),
IF($E$2="Monthly",
ROUND(
ROUND(((TRUNC($AN229*3/13,0)+0.99)*VLOOKUP((TRUNC($AN229*3/13,0)+0.99),'Tax scales - NAT 1004'!$A$53:$C$59,2,1)-VLOOKUP((TRUNC($AN229*3/13,0)+0.99),'Tax scales - NAT 1004'!$A$53:$C$59,3,1)),0)
*13/3,
0),
""))),
""),
"")</f>
        <v/>
      </c>
      <c r="AT229" s="118" t="str">
        <f>IFERROR(
IF(VLOOKUP($C229,'Employee information'!$B:$M,COLUMNS('Employee information'!$B:$M),0)=6,
IF($E$2="Fortnightly",
ROUND(
ROUND((((TRUNC($AN229/2,0)+0.99))*VLOOKUP((TRUNC($AN229/2,0)+0.99),'Tax scales - NAT 1004'!$A$65:$C$73,2,1)-VLOOKUP((TRUNC($AN229/2,0)+0.99),'Tax scales - NAT 1004'!$A$65:$C$73,3,1)),0)
*2,
0),
IF(AND($E$2="Monthly",ROUND($AN229-TRUNC($AN229),2)=0.33),
ROUND(
ROUND(((TRUNC(($AN229+0.01)*3/13,0)+0.99)*VLOOKUP((TRUNC(($AN229+0.01)*3/13,0)+0.99),'Tax scales - NAT 1004'!$A$65:$C$73,2,1)-VLOOKUP((TRUNC(($AN229+0.01)*3/13,0)+0.99),'Tax scales - NAT 1004'!$A$65:$C$73,3,1)),0)
*13/3,
0),
IF($E$2="Monthly",
ROUND(
ROUND(((TRUNC($AN229*3/13,0)+0.99)*VLOOKUP((TRUNC($AN229*3/13,0)+0.99),'Tax scales - NAT 1004'!$A$65:$C$73,2,1)-VLOOKUP((TRUNC($AN229*3/13,0)+0.99),'Tax scales - NAT 1004'!$A$65:$C$73,3,1)),0)
*13/3,
0),
""))),
""),
"")</f>
        <v/>
      </c>
      <c r="AU229" s="118" t="str">
        <f>IFERROR(
IF(VLOOKUP($C229,'Employee information'!$B:$M,COLUMNS('Employee information'!$B:$M),0)=11,
IF($E$2="Fortnightly",
ROUND(
ROUND((((TRUNC($AN229/2,0)+0.99))*VLOOKUP((TRUNC($AN229/2,0)+0.99),'Tax scales - NAT 3539'!$A$14:$C$38,2,1)-VLOOKUP((TRUNC($AN229/2,0)+0.99),'Tax scales - NAT 3539'!$A$14:$C$38,3,1)),0)
*2,
0),
IF(AND($E$2="Monthly",ROUND($AN229-TRUNC($AN229),2)=0.33),
ROUND(
ROUND(((TRUNC(($AN229+0.01)*3/13,0)+0.99)*VLOOKUP((TRUNC(($AN229+0.01)*3/13,0)+0.99),'Tax scales - NAT 3539'!$A$14:$C$38,2,1)-VLOOKUP((TRUNC(($AN229+0.01)*3/13,0)+0.99),'Tax scales - NAT 3539'!$A$14:$C$38,3,1)),0)
*13/3,
0),
IF($E$2="Monthly",
ROUND(
ROUND(((TRUNC($AN229*3/13,0)+0.99)*VLOOKUP((TRUNC($AN229*3/13,0)+0.99),'Tax scales - NAT 3539'!$A$14:$C$38,2,1)-VLOOKUP((TRUNC($AN229*3/13,0)+0.99),'Tax scales - NAT 3539'!$A$14:$C$38,3,1)),0)
*13/3,
0),
""))),
""),
"")</f>
        <v/>
      </c>
      <c r="AV229" s="118" t="str">
        <f>IFERROR(
IF(VLOOKUP($C229,'Employee information'!$B:$M,COLUMNS('Employee information'!$B:$M),0)=22,
IF($E$2="Fortnightly",
ROUND(
ROUND((((TRUNC($AN229/2,0)+0.99))*VLOOKUP((TRUNC($AN229/2,0)+0.99),'Tax scales - NAT 3539'!$A$43:$C$69,2,1)-VLOOKUP((TRUNC($AN229/2,0)+0.99),'Tax scales - NAT 3539'!$A$43:$C$69,3,1)),0)
*2,
0),
IF(AND($E$2="Monthly",ROUND($AN229-TRUNC($AN229),2)=0.33),
ROUND(
ROUND(((TRUNC(($AN229+0.01)*3/13,0)+0.99)*VLOOKUP((TRUNC(($AN229+0.01)*3/13,0)+0.99),'Tax scales - NAT 3539'!$A$43:$C$69,2,1)-VLOOKUP((TRUNC(($AN229+0.01)*3/13,0)+0.99),'Tax scales - NAT 3539'!$A$43:$C$69,3,1)),0)
*13/3,
0),
IF($E$2="Monthly",
ROUND(
ROUND(((TRUNC($AN229*3/13,0)+0.99)*VLOOKUP((TRUNC($AN229*3/13,0)+0.99),'Tax scales - NAT 3539'!$A$43:$C$69,2,1)-VLOOKUP((TRUNC($AN229*3/13,0)+0.99),'Tax scales - NAT 3539'!$A$43:$C$69,3,1)),0)
*13/3,
0),
""))),
""),
"")</f>
        <v/>
      </c>
      <c r="AW229" s="118" t="str">
        <f>IFERROR(
IF(VLOOKUP($C229,'Employee information'!$B:$M,COLUMNS('Employee information'!$B:$M),0)=33,
IF($E$2="Fortnightly",
ROUND(
ROUND((((TRUNC($AN229/2,0)+0.99))*VLOOKUP((TRUNC($AN229/2,0)+0.99),'Tax scales - NAT 3539'!$A$74:$C$94,2,1)-VLOOKUP((TRUNC($AN229/2,0)+0.99),'Tax scales - NAT 3539'!$A$74:$C$94,3,1)),0)
*2,
0),
IF(AND($E$2="Monthly",ROUND($AN229-TRUNC($AN229),2)=0.33),
ROUND(
ROUND(((TRUNC(($AN229+0.01)*3/13,0)+0.99)*VLOOKUP((TRUNC(($AN229+0.01)*3/13,0)+0.99),'Tax scales - NAT 3539'!$A$74:$C$94,2,1)-VLOOKUP((TRUNC(($AN229+0.01)*3/13,0)+0.99),'Tax scales - NAT 3539'!$A$74:$C$94,3,1)),0)
*13/3,
0),
IF($E$2="Monthly",
ROUND(
ROUND(((TRUNC($AN229*3/13,0)+0.99)*VLOOKUP((TRUNC($AN229*3/13,0)+0.99),'Tax scales - NAT 3539'!$A$74:$C$94,2,1)-VLOOKUP((TRUNC($AN229*3/13,0)+0.99),'Tax scales - NAT 3539'!$A$74:$C$94,3,1)),0)
*13/3,
0),
""))),
""),
"")</f>
        <v/>
      </c>
      <c r="AX229" s="118" t="str">
        <f>IFERROR(
IF(VLOOKUP($C229,'Employee information'!$B:$M,COLUMNS('Employee information'!$B:$M),0)=55,
IF($E$2="Fortnightly",
ROUND(
ROUND((((TRUNC($AN229/2,0)+0.99))*VLOOKUP((TRUNC($AN229/2,0)+0.99),'Tax scales - NAT 3539'!$A$99:$C$123,2,1)-VLOOKUP((TRUNC($AN229/2,0)+0.99),'Tax scales - NAT 3539'!$A$99:$C$123,3,1)),0)
*2,
0),
IF(AND($E$2="Monthly",ROUND($AN229-TRUNC($AN229),2)=0.33),
ROUND(
ROUND(((TRUNC(($AN229+0.01)*3/13,0)+0.99)*VLOOKUP((TRUNC(($AN229+0.01)*3/13,0)+0.99),'Tax scales - NAT 3539'!$A$99:$C$123,2,1)-VLOOKUP((TRUNC(($AN229+0.01)*3/13,0)+0.99),'Tax scales - NAT 3539'!$A$99:$C$123,3,1)),0)
*13/3,
0),
IF($E$2="Monthly",
ROUND(
ROUND(((TRUNC($AN229*3/13,0)+0.99)*VLOOKUP((TRUNC($AN229*3/13,0)+0.99),'Tax scales - NAT 3539'!$A$99:$C$123,2,1)-VLOOKUP((TRUNC($AN229*3/13,0)+0.99),'Tax scales - NAT 3539'!$A$99:$C$123,3,1)),0)
*13/3,
0),
""))),
""),
"")</f>
        <v/>
      </c>
      <c r="AY229" s="118" t="str">
        <f>IFERROR(
IF(VLOOKUP($C229,'Employee information'!$B:$M,COLUMNS('Employee information'!$B:$M),0)=66,
IF($E$2="Fortnightly",
ROUND(
ROUND((((TRUNC($AN229/2,0)+0.99))*VLOOKUP((TRUNC($AN229/2,0)+0.99),'Tax scales - NAT 3539'!$A$127:$C$154,2,1)-VLOOKUP((TRUNC($AN229/2,0)+0.99),'Tax scales - NAT 3539'!$A$127:$C$154,3,1)),0)
*2,
0),
IF(AND($E$2="Monthly",ROUND($AN229-TRUNC($AN229),2)=0.33),
ROUND(
ROUND(((TRUNC(($AN229+0.01)*3/13,0)+0.99)*VLOOKUP((TRUNC(($AN229+0.01)*3/13,0)+0.99),'Tax scales - NAT 3539'!$A$127:$C$154,2,1)-VLOOKUP((TRUNC(($AN229+0.01)*3/13,0)+0.99),'Tax scales - NAT 3539'!$A$127:$C$154,3,1)),0)
*13/3,
0),
IF($E$2="Monthly",
ROUND(
ROUND(((TRUNC($AN229*3/13,0)+0.99)*VLOOKUP((TRUNC($AN229*3/13,0)+0.99),'Tax scales - NAT 3539'!$A$127:$C$154,2,1)-VLOOKUP((TRUNC($AN229*3/13,0)+0.99),'Tax scales - NAT 3539'!$A$127:$C$154,3,1)),0)
*13/3,
0),
""))),
""),
"")</f>
        <v/>
      </c>
      <c r="AZ229" s="118">
        <f>IFERROR(
HLOOKUP(VLOOKUP($C229,'Employee information'!$B:$M,COLUMNS('Employee information'!$B:$M),0),'PAYG worksheet'!$AO$213:$AY$232,COUNTA($C$214:$C229)+1,0),
0)</f>
        <v>0</v>
      </c>
      <c r="BA229" s="118"/>
      <c r="BB229" s="118">
        <f t="shared" si="232"/>
        <v>0</v>
      </c>
      <c r="BC229" s="119">
        <f>IFERROR(
IF(OR($AE229=1,$AE229=""),SUM($P229,$AA229,$AC229,$AK229)*VLOOKUP($C229,'Employee information'!$B:$Q,COLUMNS('Employee information'!$B:$H),0),
IF($AE229=0,SUM($P229,$AA229,$AK229)*VLOOKUP($C229,'Employee information'!$B:$Q,COLUMNS('Employee information'!$B:$H),0),
0)),
0)</f>
        <v>0</v>
      </c>
      <c r="BE229" s="114">
        <f t="shared" si="217"/>
        <v>0</v>
      </c>
      <c r="BF229" s="114">
        <f t="shared" si="218"/>
        <v>0</v>
      </c>
      <c r="BG229" s="114">
        <f t="shared" si="219"/>
        <v>0</v>
      </c>
      <c r="BH229" s="114">
        <f t="shared" si="220"/>
        <v>0</v>
      </c>
      <c r="BI229" s="114">
        <f t="shared" si="221"/>
        <v>0</v>
      </c>
      <c r="BJ229" s="114">
        <f t="shared" si="222"/>
        <v>0</v>
      </c>
      <c r="BK229" s="114">
        <f t="shared" si="223"/>
        <v>0</v>
      </c>
      <c r="BL229" s="114">
        <f t="shared" si="233"/>
        <v>0</v>
      </c>
      <c r="BM229" s="114">
        <f t="shared" si="224"/>
        <v>0</v>
      </c>
    </row>
    <row r="230" spans="1:65" x14ac:dyDescent="0.25">
      <c r="A230" s="228">
        <f t="shared" si="212"/>
        <v>8</v>
      </c>
      <c r="C230" s="278"/>
      <c r="E230" s="103">
        <f>IF($C230="",0,
IF(AND($E$2="Monthly",$A230&gt;12),0,
IF($E$2="Monthly",VLOOKUP($C230,'Employee information'!$B:$AM,COLUMNS('Employee information'!$B:S),0),
IF($E$2="Fortnightly",VLOOKUP($C230,'Employee information'!$B:$AM,COLUMNS('Employee information'!$B:R),0),
0))))</f>
        <v>0</v>
      </c>
      <c r="F230" s="106"/>
      <c r="G230" s="106"/>
      <c r="H230" s="106"/>
      <c r="I230" s="106"/>
      <c r="J230" s="103">
        <f t="shared" si="225"/>
        <v>0</v>
      </c>
      <c r="L230" s="113">
        <f>IF(AND($E$2="Monthly",$A230&gt;12),"",
IFERROR($J230*VLOOKUP($C230,'Employee information'!$B:$AI,COLUMNS('Employee information'!$B:$P),0),0))</f>
        <v>0</v>
      </c>
      <c r="M230" s="114">
        <f t="shared" si="226"/>
        <v>0</v>
      </c>
      <c r="O230" s="103">
        <f t="shared" si="227"/>
        <v>0</v>
      </c>
      <c r="P230" s="113">
        <f>IFERROR(
IF(AND($E$2="Monthly",$A230&gt;12),0,
$O230*VLOOKUP($C230,'Employee information'!$B:$AI,COLUMNS('Employee information'!$B:$P),0)),
0)</f>
        <v>0</v>
      </c>
      <c r="R230" s="114">
        <f t="shared" si="213"/>
        <v>0</v>
      </c>
      <c r="T230" s="103"/>
      <c r="U230" s="103"/>
      <c r="V230" s="282" t="str">
        <f>IF($C230="","",
IF(AND($E$2="Monthly",$A230&gt;12),"",
$T230*VLOOKUP($C230,'Employee information'!$B:$P,COLUMNS('Employee information'!$B:$P),0)))</f>
        <v/>
      </c>
      <c r="W230" s="282" t="str">
        <f>IF($C230="","",
IF(AND($E$2="Monthly",$A230&gt;12),"",
$U230*VLOOKUP($C230,'Employee information'!$B:$P,COLUMNS('Employee information'!$B:$P),0)))</f>
        <v/>
      </c>
      <c r="X230" s="114">
        <f t="shared" si="214"/>
        <v>0</v>
      </c>
      <c r="Y230" s="114">
        <f t="shared" si="215"/>
        <v>0</v>
      </c>
      <c r="AA230" s="118">
        <f>IFERROR(
IF(OR('Basic payroll data'!$D$12="",'Basic payroll data'!$D$12="No"),0,
$T230*VLOOKUP($C230,'Employee information'!$B:$P,COLUMNS('Employee information'!$B:$P),0)*AL_loading_perc),
0)</f>
        <v>0</v>
      </c>
      <c r="AC230" s="118"/>
      <c r="AD230" s="118"/>
      <c r="AE230" s="283" t="str">
        <f t="shared" si="228"/>
        <v/>
      </c>
      <c r="AF230" s="283" t="str">
        <f t="shared" si="229"/>
        <v/>
      </c>
      <c r="AG230" s="118"/>
      <c r="AH230" s="118"/>
      <c r="AI230" s="283" t="str">
        <f t="shared" si="230"/>
        <v/>
      </c>
      <c r="AJ230" s="118"/>
      <c r="AK230" s="118"/>
      <c r="AM230" s="118">
        <f t="shared" si="231"/>
        <v>0</v>
      </c>
      <c r="AN230" s="118">
        <f t="shared" si="216"/>
        <v>0</v>
      </c>
      <c r="AO230" s="118" t="str">
        <f>IFERROR(
IF(VLOOKUP($C230,'Employee information'!$B:$M,COLUMNS('Employee information'!$B:$M),0)=1,
IF($E$2="Fortnightly",
ROUND(
ROUND((((TRUNC($AN230/2,0)+0.99))*VLOOKUP((TRUNC($AN230/2,0)+0.99),'Tax scales - NAT 1004'!$A$12:$C$18,2,1)-VLOOKUP((TRUNC($AN230/2,0)+0.99),'Tax scales - NAT 1004'!$A$12:$C$18,3,1)),0)
*2,
0),
IF(AND($E$2="Monthly",ROUND($AN230-TRUNC($AN230),2)=0.33),
ROUND(
ROUND(((TRUNC(($AN230+0.01)*3/13,0)+0.99)*VLOOKUP((TRUNC(($AN230+0.01)*3/13,0)+0.99),'Tax scales - NAT 1004'!$A$12:$C$18,2,1)-VLOOKUP((TRUNC(($AN230+0.01)*3/13,0)+0.99),'Tax scales - NAT 1004'!$A$12:$C$18,3,1)),0)
*13/3,
0),
IF($E$2="Monthly",
ROUND(
ROUND(((TRUNC($AN230*3/13,0)+0.99)*VLOOKUP((TRUNC($AN230*3/13,0)+0.99),'Tax scales - NAT 1004'!$A$12:$C$18,2,1)-VLOOKUP((TRUNC($AN230*3/13,0)+0.99),'Tax scales - NAT 1004'!$A$12:$C$18,3,1)),0)
*13/3,
0),
""))),
""),
"")</f>
        <v/>
      </c>
      <c r="AP230" s="118" t="str">
        <f>IFERROR(
IF(VLOOKUP($C230,'Employee information'!$B:$M,COLUMNS('Employee information'!$B:$M),0)=2,
IF($E$2="Fortnightly",
ROUND(
ROUND((((TRUNC($AN230/2,0)+0.99))*VLOOKUP((TRUNC($AN230/2,0)+0.99),'Tax scales - NAT 1004'!$A$25:$C$33,2,1)-VLOOKUP((TRUNC($AN230/2,0)+0.99),'Tax scales - NAT 1004'!$A$25:$C$33,3,1)),0)
*2,
0),
IF(AND($E$2="Monthly",ROUND($AN230-TRUNC($AN230),2)=0.33),
ROUND(
ROUND(((TRUNC(($AN230+0.01)*3/13,0)+0.99)*VLOOKUP((TRUNC(($AN230+0.01)*3/13,0)+0.99),'Tax scales - NAT 1004'!$A$25:$C$33,2,1)-VLOOKUP((TRUNC(($AN230+0.01)*3/13,0)+0.99),'Tax scales - NAT 1004'!$A$25:$C$33,3,1)),0)
*13/3,
0),
IF($E$2="Monthly",
ROUND(
ROUND(((TRUNC($AN230*3/13,0)+0.99)*VLOOKUP((TRUNC($AN230*3/13,0)+0.99),'Tax scales - NAT 1004'!$A$25:$C$33,2,1)-VLOOKUP((TRUNC($AN230*3/13,0)+0.99),'Tax scales - NAT 1004'!$A$25:$C$33,3,1)),0)
*13/3,
0),
""))),
""),
"")</f>
        <v/>
      </c>
      <c r="AQ230" s="118" t="str">
        <f>IFERROR(
IF(VLOOKUP($C230,'Employee information'!$B:$M,COLUMNS('Employee information'!$B:$M),0)=3,
IF($E$2="Fortnightly",
ROUND(
ROUND((((TRUNC($AN230/2,0)+0.99))*VLOOKUP((TRUNC($AN230/2,0)+0.99),'Tax scales - NAT 1004'!$A$39:$C$41,2,1)-VLOOKUP((TRUNC($AN230/2,0)+0.99),'Tax scales - NAT 1004'!$A$39:$C$41,3,1)),0)
*2,
0),
IF(AND($E$2="Monthly",ROUND($AN230-TRUNC($AN230),2)=0.33),
ROUND(
ROUND(((TRUNC(($AN230+0.01)*3/13,0)+0.99)*VLOOKUP((TRUNC(($AN230+0.01)*3/13,0)+0.99),'Tax scales - NAT 1004'!$A$39:$C$41,2,1)-VLOOKUP((TRUNC(($AN230+0.01)*3/13,0)+0.99),'Tax scales - NAT 1004'!$A$39:$C$41,3,1)),0)
*13/3,
0),
IF($E$2="Monthly",
ROUND(
ROUND(((TRUNC($AN230*3/13,0)+0.99)*VLOOKUP((TRUNC($AN230*3/13,0)+0.99),'Tax scales - NAT 1004'!$A$39:$C$41,2,1)-VLOOKUP((TRUNC($AN230*3/13,0)+0.99),'Tax scales - NAT 1004'!$A$39:$C$41,3,1)),0)
*13/3,
0),
""))),
""),
"")</f>
        <v/>
      </c>
      <c r="AR230" s="118" t="str">
        <f>IFERROR(
IF(AND(VLOOKUP($C230,'Employee information'!$B:$M,COLUMNS('Employee information'!$B:$M),0)=4,
VLOOKUP($C230,'Employee information'!$B:$J,COLUMNS('Employee information'!$B:$J),0)="Resident"),
TRUNC(TRUNC($AN230)*'Tax scales - NAT 1004'!$B$47),
IF(AND(VLOOKUP($C230,'Employee information'!$B:$M,COLUMNS('Employee information'!$B:$M),0)=4,
VLOOKUP($C230,'Employee information'!$B:$J,COLUMNS('Employee information'!$B:$J),0)="Foreign resident"),
TRUNC(TRUNC($AN230)*'Tax scales - NAT 1004'!$B$48),
"")),
"")</f>
        <v/>
      </c>
      <c r="AS230" s="118" t="str">
        <f>IFERROR(
IF(VLOOKUP($C230,'Employee information'!$B:$M,COLUMNS('Employee information'!$B:$M),0)=5,
IF($E$2="Fortnightly",
ROUND(
ROUND((((TRUNC($AN230/2,0)+0.99))*VLOOKUP((TRUNC($AN230/2,0)+0.99),'Tax scales - NAT 1004'!$A$53:$C$59,2,1)-VLOOKUP((TRUNC($AN230/2,0)+0.99),'Tax scales - NAT 1004'!$A$53:$C$59,3,1)),0)
*2,
0),
IF(AND($E$2="Monthly",ROUND($AN230-TRUNC($AN230),2)=0.33),
ROUND(
ROUND(((TRUNC(($AN230+0.01)*3/13,0)+0.99)*VLOOKUP((TRUNC(($AN230+0.01)*3/13,0)+0.99),'Tax scales - NAT 1004'!$A$53:$C$59,2,1)-VLOOKUP((TRUNC(($AN230+0.01)*3/13,0)+0.99),'Tax scales - NAT 1004'!$A$53:$C$59,3,1)),0)
*13/3,
0),
IF($E$2="Monthly",
ROUND(
ROUND(((TRUNC($AN230*3/13,0)+0.99)*VLOOKUP((TRUNC($AN230*3/13,0)+0.99),'Tax scales - NAT 1004'!$A$53:$C$59,2,1)-VLOOKUP((TRUNC($AN230*3/13,0)+0.99),'Tax scales - NAT 1004'!$A$53:$C$59,3,1)),0)
*13/3,
0),
""))),
""),
"")</f>
        <v/>
      </c>
      <c r="AT230" s="118" t="str">
        <f>IFERROR(
IF(VLOOKUP($C230,'Employee information'!$B:$M,COLUMNS('Employee information'!$B:$M),0)=6,
IF($E$2="Fortnightly",
ROUND(
ROUND((((TRUNC($AN230/2,0)+0.99))*VLOOKUP((TRUNC($AN230/2,0)+0.99),'Tax scales - NAT 1004'!$A$65:$C$73,2,1)-VLOOKUP((TRUNC($AN230/2,0)+0.99),'Tax scales - NAT 1004'!$A$65:$C$73,3,1)),0)
*2,
0),
IF(AND($E$2="Monthly",ROUND($AN230-TRUNC($AN230),2)=0.33),
ROUND(
ROUND(((TRUNC(($AN230+0.01)*3/13,0)+0.99)*VLOOKUP((TRUNC(($AN230+0.01)*3/13,0)+0.99),'Tax scales - NAT 1004'!$A$65:$C$73,2,1)-VLOOKUP((TRUNC(($AN230+0.01)*3/13,0)+0.99),'Tax scales - NAT 1004'!$A$65:$C$73,3,1)),0)
*13/3,
0),
IF($E$2="Monthly",
ROUND(
ROUND(((TRUNC($AN230*3/13,0)+0.99)*VLOOKUP((TRUNC($AN230*3/13,0)+0.99),'Tax scales - NAT 1004'!$A$65:$C$73,2,1)-VLOOKUP((TRUNC($AN230*3/13,0)+0.99),'Tax scales - NAT 1004'!$A$65:$C$73,3,1)),0)
*13/3,
0),
""))),
""),
"")</f>
        <v/>
      </c>
      <c r="AU230" s="118" t="str">
        <f>IFERROR(
IF(VLOOKUP($C230,'Employee information'!$B:$M,COLUMNS('Employee information'!$B:$M),0)=11,
IF($E$2="Fortnightly",
ROUND(
ROUND((((TRUNC($AN230/2,0)+0.99))*VLOOKUP((TRUNC($AN230/2,0)+0.99),'Tax scales - NAT 3539'!$A$14:$C$38,2,1)-VLOOKUP((TRUNC($AN230/2,0)+0.99),'Tax scales - NAT 3539'!$A$14:$C$38,3,1)),0)
*2,
0),
IF(AND($E$2="Monthly",ROUND($AN230-TRUNC($AN230),2)=0.33),
ROUND(
ROUND(((TRUNC(($AN230+0.01)*3/13,0)+0.99)*VLOOKUP((TRUNC(($AN230+0.01)*3/13,0)+0.99),'Tax scales - NAT 3539'!$A$14:$C$38,2,1)-VLOOKUP((TRUNC(($AN230+0.01)*3/13,0)+0.99),'Tax scales - NAT 3539'!$A$14:$C$38,3,1)),0)
*13/3,
0),
IF($E$2="Monthly",
ROUND(
ROUND(((TRUNC($AN230*3/13,0)+0.99)*VLOOKUP((TRUNC($AN230*3/13,0)+0.99),'Tax scales - NAT 3539'!$A$14:$C$38,2,1)-VLOOKUP((TRUNC($AN230*3/13,0)+0.99),'Tax scales - NAT 3539'!$A$14:$C$38,3,1)),0)
*13/3,
0),
""))),
""),
"")</f>
        <v/>
      </c>
      <c r="AV230" s="118" t="str">
        <f>IFERROR(
IF(VLOOKUP($C230,'Employee information'!$B:$M,COLUMNS('Employee information'!$B:$M),0)=22,
IF($E$2="Fortnightly",
ROUND(
ROUND((((TRUNC($AN230/2,0)+0.99))*VLOOKUP((TRUNC($AN230/2,0)+0.99),'Tax scales - NAT 3539'!$A$43:$C$69,2,1)-VLOOKUP((TRUNC($AN230/2,0)+0.99),'Tax scales - NAT 3539'!$A$43:$C$69,3,1)),0)
*2,
0),
IF(AND($E$2="Monthly",ROUND($AN230-TRUNC($AN230),2)=0.33),
ROUND(
ROUND(((TRUNC(($AN230+0.01)*3/13,0)+0.99)*VLOOKUP((TRUNC(($AN230+0.01)*3/13,0)+0.99),'Tax scales - NAT 3539'!$A$43:$C$69,2,1)-VLOOKUP((TRUNC(($AN230+0.01)*3/13,0)+0.99),'Tax scales - NAT 3539'!$A$43:$C$69,3,1)),0)
*13/3,
0),
IF($E$2="Monthly",
ROUND(
ROUND(((TRUNC($AN230*3/13,0)+0.99)*VLOOKUP((TRUNC($AN230*3/13,0)+0.99),'Tax scales - NAT 3539'!$A$43:$C$69,2,1)-VLOOKUP((TRUNC($AN230*3/13,0)+0.99),'Tax scales - NAT 3539'!$A$43:$C$69,3,1)),0)
*13/3,
0),
""))),
""),
"")</f>
        <v/>
      </c>
      <c r="AW230" s="118" t="str">
        <f>IFERROR(
IF(VLOOKUP($C230,'Employee information'!$B:$M,COLUMNS('Employee information'!$B:$M),0)=33,
IF($E$2="Fortnightly",
ROUND(
ROUND((((TRUNC($AN230/2,0)+0.99))*VLOOKUP((TRUNC($AN230/2,0)+0.99),'Tax scales - NAT 3539'!$A$74:$C$94,2,1)-VLOOKUP((TRUNC($AN230/2,0)+0.99),'Tax scales - NAT 3539'!$A$74:$C$94,3,1)),0)
*2,
0),
IF(AND($E$2="Monthly",ROUND($AN230-TRUNC($AN230),2)=0.33),
ROUND(
ROUND(((TRUNC(($AN230+0.01)*3/13,0)+0.99)*VLOOKUP((TRUNC(($AN230+0.01)*3/13,0)+0.99),'Tax scales - NAT 3539'!$A$74:$C$94,2,1)-VLOOKUP((TRUNC(($AN230+0.01)*3/13,0)+0.99),'Tax scales - NAT 3539'!$A$74:$C$94,3,1)),0)
*13/3,
0),
IF($E$2="Monthly",
ROUND(
ROUND(((TRUNC($AN230*3/13,0)+0.99)*VLOOKUP((TRUNC($AN230*3/13,0)+0.99),'Tax scales - NAT 3539'!$A$74:$C$94,2,1)-VLOOKUP((TRUNC($AN230*3/13,0)+0.99),'Tax scales - NAT 3539'!$A$74:$C$94,3,1)),0)
*13/3,
0),
""))),
""),
"")</f>
        <v/>
      </c>
      <c r="AX230" s="118" t="str">
        <f>IFERROR(
IF(VLOOKUP($C230,'Employee information'!$B:$M,COLUMNS('Employee information'!$B:$M),0)=55,
IF($E$2="Fortnightly",
ROUND(
ROUND((((TRUNC($AN230/2,0)+0.99))*VLOOKUP((TRUNC($AN230/2,0)+0.99),'Tax scales - NAT 3539'!$A$99:$C$123,2,1)-VLOOKUP((TRUNC($AN230/2,0)+0.99),'Tax scales - NAT 3539'!$A$99:$C$123,3,1)),0)
*2,
0),
IF(AND($E$2="Monthly",ROUND($AN230-TRUNC($AN230),2)=0.33),
ROUND(
ROUND(((TRUNC(($AN230+0.01)*3/13,0)+0.99)*VLOOKUP((TRUNC(($AN230+0.01)*3/13,0)+0.99),'Tax scales - NAT 3539'!$A$99:$C$123,2,1)-VLOOKUP((TRUNC(($AN230+0.01)*3/13,0)+0.99),'Tax scales - NAT 3539'!$A$99:$C$123,3,1)),0)
*13/3,
0),
IF($E$2="Monthly",
ROUND(
ROUND(((TRUNC($AN230*3/13,0)+0.99)*VLOOKUP((TRUNC($AN230*3/13,0)+0.99),'Tax scales - NAT 3539'!$A$99:$C$123,2,1)-VLOOKUP((TRUNC($AN230*3/13,0)+0.99),'Tax scales - NAT 3539'!$A$99:$C$123,3,1)),0)
*13/3,
0),
""))),
""),
"")</f>
        <v/>
      </c>
      <c r="AY230" s="118" t="str">
        <f>IFERROR(
IF(VLOOKUP($C230,'Employee information'!$B:$M,COLUMNS('Employee information'!$B:$M),0)=66,
IF($E$2="Fortnightly",
ROUND(
ROUND((((TRUNC($AN230/2,0)+0.99))*VLOOKUP((TRUNC($AN230/2,0)+0.99),'Tax scales - NAT 3539'!$A$127:$C$154,2,1)-VLOOKUP((TRUNC($AN230/2,0)+0.99),'Tax scales - NAT 3539'!$A$127:$C$154,3,1)),0)
*2,
0),
IF(AND($E$2="Monthly",ROUND($AN230-TRUNC($AN230),2)=0.33),
ROUND(
ROUND(((TRUNC(($AN230+0.01)*3/13,0)+0.99)*VLOOKUP((TRUNC(($AN230+0.01)*3/13,0)+0.99),'Tax scales - NAT 3539'!$A$127:$C$154,2,1)-VLOOKUP((TRUNC(($AN230+0.01)*3/13,0)+0.99),'Tax scales - NAT 3539'!$A$127:$C$154,3,1)),0)
*13/3,
0),
IF($E$2="Monthly",
ROUND(
ROUND(((TRUNC($AN230*3/13,0)+0.99)*VLOOKUP((TRUNC($AN230*3/13,0)+0.99),'Tax scales - NAT 3539'!$A$127:$C$154,2,1)-VLOOKUP((TRUNC($AN230*3/13,0)+0.99),'Tax scales - NAT 3539'!$A$127:$C$154,3,1)),0)
*13/3,
0),
""))),
""),
"")</f>
        <v/>
      </c>
      <c r="AZ230" s="118">
        <f>IFERROR(
HLOOKUP(VLOOKUP($C230,'Employee information'!$B:$M,COLUMNS('Employee information'!$B:$M),0),'PAYG worksheet'!$AO$213:$AY$232,COUNTA($C$214:$C230)+1,0),
0)</f>
        <v>0</v>
      </c>
      <c r="BA230" s="118"/>
      <c r="BB230" s="118">
        <f t="shared" si="232"/>
        <v>0</v>
      </c>
      <c r="BC230" s="119">
        <f>IFERROR(
IF(OR($AE230=1,$AE230=""),SUM($P230,$AA230,$AC230,$AK230)*VLOOKUP($C230,'Employee information'!$B:$Q,COLUMNS('Employee information'!$B:$H),0),
IF($AE230=0,SUM($P230,$AA230,$AK230)*VLOOKUP($C230,'Employee information'!$B:$Q,COLUMNS('Employee information'!$B:$H),0),
0)),
0)</f>
        <v>0</v>
      </c>
      <c r="BE230" s="114">
        <f t="shared" si="217"/>
        <v>0</v>
      </c>
      <c r="BF230" s="114">
        <f t="shared" si="218"/>
        <v>0</v>
      </c>
      <c r="BG230" s="114">
        <f t="shared" si="219"/>
        <v>0</v>
      </c>
      <c r="BH230" s="114">
        <f t="shared" si="220"/>
        <v>0</v>
      </c>
      <c r="BI230" s="114">
        <f t="shared" si="221"/>
        <v>0</v>
      </c>
      <c r="BJ230" s="114">
        <f t="shared" si="222"/>
        <v>0</v>
      </c>
      <c r="BK230" s="114">
        <f t="shared" si="223"/>
        <v>0</v>
      </c>
      <c r="BL230" s="114">
        <f t="shared" si="233"/>
        <v>0</v>
      </c>
      <c r="BM230" s="114">
        <f t="shared" si="224"/>
        <v>0</v>
      </c>
    </row>
    <row r="231" spans="1:65" x14ac:dyDescent="0.25">
      <c r="A231" s="228">
        <f t="shared" si="212"/>
        <v>8</v>
      </c>
      <c r="C231" s="278"/>
      <c r="E231" s="103">
        <f>IF($C231="",0,
IF(AND($E$2="Monthly",$A231&gt;12),0,
IF($E$2="Monthly",VLOOKUP($C231,'Employee information'!$B:$AM,COLUMNS('Employee information'!$B:S),0),
IF($E$2="Fortnightly",VLOOKUP($C231,'Employee information'!$B:$AM,COLUMNS('Employee information'!$B:R),0),
0))))</f>
        <v>0</v>
      </c>
      <c r="F231" s="106"/>
      <c r="G231" s="106"/>
      <c r="H231" s="106"/>
      <c r="I231" s="106"/>
      <c r="J231" s="103">
        <f t="shared" si="225"/>
        <v>0</v>
      </c>
      <c r="L231" s="113">
        <f>IF(AND($E$2="Monthly",$A231&gt;12),"",
IFERROR($J231*VLOOKUP($C231,'Employee information'!$B:$AI,COLUMNS('Employee information'!$B:$P),0),0))</f>
        <v>0</v>
      </c>
      <c r="M231" s="114">
        <f t="shared" si="226"/>
        <v>0</v>
      </c>
      <c r="O231" s="103">
        <f t="shared" si="227"/>
        <v>0</v>
      </c>
      <c r="P231" s="113">
        <f>IFERROR(
IF(AND($E$2="Monthly",$A231&gt;12),0,
$O231*VLOOKUP($C231,'Employee information'!$B:$AI,COLUMNS('Employee information'!$B:$P),0)),
0)</f>
        <v>0</v>
      </c>
      <c r="R231" s="114">
        <f t="shared" si="213"/>
        <v>0</v>
      </c>
      <c r="T231" s="103"/>
      <c r="U231" s="103"/>
      <c r="V231" s="282" t="str">
        <f>IF($C231="","",
IF(AND($E$2="Monthly",$A231&gt;12),"",
$T231*VLOOKUP($C231,'Employee information'!$B:$P,COLUMNS('Employee information'!$B:$P),0)))</f>
        <v/>
      </c>
      <c r="W231" s="282" t="str">
        <f>IF($C231="","",
IF(AND($E$2="Monthly",$A231&gt;12),"",
$U231*VLOOKUP($C231,'Employee information'!$B:$P,COLUMNS('Employee information'!$B:$P),0)))</f>
        <v/>
      </c>
      <c r="X231" s="114">
        <f t="shared" si="214"/>
        <v>0</v>
      </c>
      <c r="Y231" s="114">
        <f t="shared" si="215"/>
        <v>0</v>
      </c>
      <c r="AA231" s="118">
        <f>IFERROR(
IF(OR('Basic payroll data'!$D$12="",'Basic payroll data'!$D$12="No"),0,
$T231*VLOOKUP($C231,'Employee information'!$B:$P,COLUMNS('Employee information'!$B:$P),0)*AL_loading_perc),
0)</f>
        <v>0</v>
      </c>
      <c r="AC231" s="118"/>
      <c r="AD231" s="118"/>
      <c r="AE231" s="283" t="str">
        <f t="shared" si="228"/>
        <v/>
      </c>
      <c r="AF231" s="283" t="str">
        <f t="shared" si="229"/>
        <v/>
      </c>
      <c r="AG231" s="118"/>
      <c r="AH231" s="118"/>
      <c r="AI231" s="283" t="str">
        <f t="shared" si="230"/>
        <v/>
      </c>
      <c r="AJ231" s="118"/>
      <c r="AK231" s="118"/>
      <c r="AM231" s="118">
        <f t="shared" si="231"/>
        <v>0</v>
      </c>
      <c r="AN231" s="118">
        <f t="shared" si="216"/>
        <v>0</v>
      </c>
      <c r="AO231" s="118" t="str">
        <f>IFERROR(
IF(VLOOKUP($C231,'Employee information'!$B:$M,COLUMNS('Employee information'!$B:$M),0)=1,
IF($E$2="Fortnightly",
ROUND(
ROUND((((TRUNC($AN231/2,0)+0.99))*VLOOKUP((TRUNC($AN231/2,0)+0.99),'Tax scales - NAT 1004'!$A$12:$C$18,2,1)-VLOOKUP((TRUNC($AN231/2,0)+0.99),'Tax scales - NAT 1004'!$A$12:$C$18,3,1)),0)
*2,
0),
IF(AND($E$2="Monthly",ROUND($AN231-TRUNC($AN231),2)=0.33),
ROUND(
ROUND(((TRUNC(($AN231+0.01)*3/13,0)+0.99)*VLOOKUP((TRUNC(($AN231+0.01)*3/13,0)+0.99),'Tax scales - NAT 1004'!$A$12:$C$18,2,1)-VLOOKUP((TRUNC(($AN231+0.01)*3/13,0)+0.99),'Tax scales - NAT 1004'!$A$12:$C$18,3,1)),0)
*13/3,
0),
IF($E$2="Monthly",
ROUND(
ROUND(((TRUNC($AN231*3/13,0)+0.99)*VLOOKUP((TRUNC($AN231*3/13,0)+0.99),'Tax scales - NAT 1004'!$A$12:$C$18,2,1)-VLOOKUP((TRUNC($AN231*3/13,0)+0.99),'Tax scales - NAT 1004'!$A$12:$C$18,3,1)),0)
*13/3,
0),
""))),
""),
"")</f>
        <v/>
      </c>
      <c r="AP231" s="118" t="str">
        <f>IFERROR(
IF(VLOOKUP($C231,'Employee information'!$B:$M,COLUMNS('Employee information'!$B:$M),0)=2,
IF($E$2="Fortnightly",
ROUND(
ROUND((((TRUNC($AN231/2,0)+0.99))*VLOOKUP((TRUNC($AN231/2,0)+0.99),'Tax scales - NAT 1004'!$A$25:$C$33,2,1)-VLOOKUP((TRUNC($AN231/2,0)+0.99),'Tax scales - NAT 1004'!$A$25:$C$33,3,1)),0)
*2,
0),
IF(AND($E$2="Monthly",ROUND($AN231-TRUNC($AN231),2)=0.33),
ROUND(
ROUND(((TRUNC(($AN231+0.01)*3/13,0)+0.99)*VLOOKUP((TRUNC(($AN231+0.01)*3/13,0)+0.99),'Tax scales - NAT 1004'!$A$25:$C$33,2,1)-VLOOKUP((TRUNC(($AN231+0.01)*3/13,0)+0.99),'Tax scales - NAT 1004'!$A$25:$C$33,3,1)),0)
*13/3,
0),
IF($E$2="Monthly",
ROUND(
ROUND(((TRUNC($AN231*3/13,0)+0.99)*VLOOKUP((TRUNC($AN231*3/13,0)+0.99),'Tax scales - NAT 1004'!$A$25:$C$33,2,1)-VLOOKUP((TRUNC($AN231*3/13,0)+0.99),'Tax scales - NAT 1004'!$A$25:$C$33,3,1)),0)
*13/3,
0),
""))),
""),
"")</f>
        <v/>
      </c>
      <c r="AQ231" s="118" t="str">
        <f>IFERROR(
IF(VLOOKUP($C231,'Employee information'!$B:$M,COLUMNS('Employee information'!$B:$M),0)=3,
IF($E$2="Fortnightly",
ROUND(
ROUND((((TRUNC($AN231/2,0)+0.99))*VLOOKUP((TRUNC($AN231/2,0)+0.99),'Tax scales - NAT 1004'!$A$39:$C$41,2,1)-VLOOKUP((TRUNC($AN231/2,0)+0.99),'Tax scales - NAT 1004'!$A$39:$C$41,3,1)),0)
*2,
0),
IF(AND($E$2="Monthly",ROUND($AN231-TRUNC($AN231),2)=0.33),
ROUND(
ROUND(((TRUNC(($AN231+0.01)*3/13,0)+0.99)*VLOOKUP((TRUNC(($AN231+0.01)*3/13,0)+0.99),'Tax scales - NAT 1004'!$A$39:$C$41,2,1)-VLOOKUP((TRUNC(($AN231+0.01)*3/13,0)+0.99),'Tax scales - NAT 1004'!$A$39:$C$41,3,1)),0)
*13/3,
0),
IF($E$2="Monthly",
ROUND(
ROUND(((TRUNC($AN231*3/13,0)+0.99)*VLOOKUP((TRUNC($AN231*3/13,0)+0.99),'Tax scales - NAT 1004'!$A$39:$C$41,2,1)-VLOOKUP((TRUNC($AN231*3/13,0)+0.99),'Tax scales - NAT 1004'!$A$39:$C$41,3,1)),0)
*13/3,
0),
""))),
""),
"")</f>
        <v/>
      </c>
      <c r="AR231" s="118" t="str">
        <f>IFERROR(
IF(AND(VLOOKUP($C231,'Employee information'!$B:$M,COLUMNS('Employee information'!$B:$M),0)=4,
VLOOKUP($C231,'Employee information'!$B:$J,COLUMNS('Employee information'!$B:$J),0)="Resident"),
TRUNC(TRUNC($AN231)*'Tax scales - NAT 1004'!$B$47),
IF(AND(VLOOKUP($C231,'Employee information'!$B:$M,COLUMNS('Employee information'!$B:$M),0)=4,
VLOOKUP($C231,'Employee information'!$B:$J,COLUMNS('Employee information'!$B:$J),0)="Foreign resident"),
TRUNC(TRUNC($AN231)*'Tax scales - NAT 1004'!$B$48),
"")),
"")</f>
        <v/>
      </c>
      <c r="AS231" s="118" t="str">
        <f>IFERROR(
IF(VLOOKUP($C231,'Employee information'!$B:$M,COLUMNS('Employee information'!$B:$M),0)=5,
IF($E$2="Fortnightly",
ROUND(
ROUND((((TRUNC($AN231/2,0)+0.99))*VLOOKUP((TRUNC($AN231/2,0)+0.99),'Tax scales - NAT 1004'!$A$53:$C$59,2,1)-VLOOKUP((TRUNC($AN231/2,0)+0.99),'Tax scales - NAT 1004'!$A$53:$C$59,3,1)),0)
*2,
0),
IF(AND($E$2="Monthly",ROUND($AN231-TRUNC($AN231),2)=0.33),
ROUND(
ROUND(((TRUNC(($AN231+0.01)*3/13,0)+0.99)*VLOOKUP((TRUNC(($AN231+0.01)*3/13,0)+0.99),'Tax scales - NAT 1004'!$A$53:$C$59,2,1)-VLOOKUP((TRUNC(($AN231+0.01)*3/13,0)+0.99),'Tax scales - NAT 1004'!$A$53:$C$59,3,1)),0)
*13/3,
0),
IF($E$2="Monthly",
ROUND(
ROUND(((TRUNC($AN231*3/13,0)+0.99)*VLOOKUP((TRUNC($AN231*3/13,0)+0.99),'Tax scales - NAT 1004'!$A$53:$C$59,2,1)-VLOOKUP((TRUNC($AN231*3/13,0)+0.99),'Tax scales - NAT 1004'!$A$53:$C$59,3,1)),0)
*13/3,
0),
""))),
""),
"")</f>
        <v/>
      </c>
      <c r="AT231" s="118" t="str">
        <f>IFERROR(
IF(VLOOKUP($C231,'Employee information'!$B:$M,COLUMNS('Employee information'!$B:$M),0)=6,
IF($E$2="Fortnightly",
ROUND(
ROUND((((TRUNC($AN231/2,0)+0.99))*VLOOKUP((TRUNC($AN231/2,0)+0.99),'Tax scales - NAT 1004'!$A$65:$C$73,2,1)-VLOOKUP((TRUNC($AN231/2,0)+0.99),'Tax scales - NAT 1004'!$A$65:$C$73,3,1)),0)
*2,
0),
IF(AND($E$2="Monthly",ROUND($AN231-TRUNC($AN231),2)=0.33),
ROUND(
ROUND(((TRUNC(($AN231+0.01)*3/13,0)+0.99)*VLOOKUP((TRUNC(($AN231+0.01)*3/13,0)+0.99),'Tax scales - NAT 1004'!$A$65:$C$73,2,1)-VLOOKUP((TRUNC(($AN231+0.01)*3/13,0)+0.99),'Tax scales - NAT 1004'!$A$65:$C$73,3,1)),0)
*13/3,
0),
IF($E$2="Monthly",
ROUND(
ROUND(((TRUNC($AN231*3/13,0)+0.99)*VLOOKUP((TRUNC($AN231*3/13,0)+0.99),'Tax scales - NAT 1004'!$A$65:$C$73,2,1)-VLOOKUP((TRUNC($AN231*3/13,0)+0.99),'Tax scales - NAT 1004'!$A$65:$C$73,3,1)),0)
*13/3,
0),
""))),
""),
"")</f>
        <v/>
      </c>
      <c r="AU231" s="118" t="str">
        <f>IFERROR(
IF(VLOOKUP($C231,'Employee information'!$B:$M,COLUMNS('Employee information'!$B:$M),0)=11,
IF($E$2="Fortnightly",
ROUND(
ROUND((((TRUNC($AN231/2,0)+0.99))*VLOOKUP((TRUNC($AN231/2,0)+0.99),'Tax scales - NAT 3539'!$A$14:$C$38,2,1)-VLOOKUP((TRUNC($AN231/2,0)+0.99),'Tax scales - NAT 3539'!$A$14:$C$38,3,1)),0)
*2,
0),
IF(AND($E$2="Monthly",ROUND($AN231-TRUNC($AN231),2)=0.33),
ROUND(
ROUND(((TRUNC(($AN231+0.01)*3/13,0)+0.99)*VLOOKUP((TRUNC(($AN231+0.01)*3/13,0)+0.99),'Tax scales - NAT 3539'!$A$14:$C$38,2,1)-VLOOKUP((TRUNC(($AN231+0.01)*3/13,0)+0.99),'Tax scales - NAT 3539'!$A$14:$C$38,3,1)),0)
*13/3,
0),
IF($E$2="Monthly",
ROUND(
ROUND(((TRUNC($AN231*3/13,0)+0.99)*VLOOKUP((TRUNC($AN231*3/13,0)+0.99),'Tax scales - NAT 3539'!$A$14:$C$38,2,1)-VLOOKUP((TRUNC($AN231*3/13,0)+0.99),'Tax scales - NAT 3539'!$A$14:$C$38,3,1)),0)
*13/3,
0),
""))),
""),
"")</f>
        <v/>
      </c>
      <c r="AV231" s="118" t="str">
        <f>IFERROR(
IF(VLOOKUP($C231,'Employee information'!$B:$M,COLUMNS('Employee information'!$B:$M),0)=22,
IF($E$2="Fortnightly",
ROUND(
ROUND((((TRUNC($AN231/2,0)+0.99))*VLOOKUP((TRUNC($AN231/2,0)+0.99),'Tax scales - NAT 3539'!$A$43:$C$69,2,1)-VLOOKUP((TRUNC($AN231/2,0)+0.99),'Tax scales - NAT 3539'!$A$43:$C$69,3,1)),0)
*2,
0),
IF(AND($E$2="Monthly",ROUND($AN231-TRUNC($AN231),2)=0.33),
ROUND(
ROUND(((TRUNC(($AN231+0.01)*3/13,0)+0.99)*VLOOKUP((TRUNC(($AN231+0.01)*3/13,0)+0.99),'Tax scales - NAT 3539'!$A$43:$C$69,2,1)-VLOOKUP((TRUNC(($AN231+0.01)*3/13,0)+0.99),'Tax scales - NAT 3539'!$A$43:$C$69,3,1)),0)
*13/3,
0),
IF($E$2="Monthly",
ROUND(
ROUND(((TRUNC($AN231*3/13,0)+0.99)*VLOOKUP((TRUNC($AN231*3/13,0)+0.99),'Tax scales - NAT 3539'!$A$43:$C$69,2,1)-VLOOKUP((TRUNC($AN231*3/13,0)+0.99),'Tax scales - NAT 3539'!$A$43:$C$69,3,1)),0)
*13/3,
0),
""))),
""),
"")</f>
        <v/>
      </c>
      <c r="AW231" s="118" t="str">
        <f>IFERROR(
IF(VLOOKUP($C231,'Employee information'!$B:$M,COLUMNS('Employee information'!$B:$M),0)=33,
IF($E$2="Fortnightly",
ROUND(
ROUND((((TRUNC($AN231/2,0)+0.99))*VLOOKUP((TRUNC($AN231/2,0)+0.99),'Tax scales - NAT 3539'!$A$74:$C$94,2,1)-VLOOKUP((TRUNC($AN231/2,0)+0.99),'Tax scales - NAT 3539'!$A$74:$C$94,3,1)),0)
*2,
0),
IF(AND($E$2="Monthly",ROUND($AN231-TRUNC($AN231),2)=0.33),
ROUND(
ROUND(((TRUNC(($AN231+0.01)*3/13,0)+0.99)*VLOOKUP((TRUNC(($AN231+0.01)*3/13,0)+0.99),'Tax scales - NAT 3539'!$A$74:$C$94,2,1)-VLOOKUP((TRUNC(($AN231+0.01)*3/13,0)+0.99),'Tax scales - NAT 3539'!$A$74:$C$94,3,1)),0)
*13/3,
0),
IF($E$2="Monthly",
ROUND(
ROUND(((TRUNC($AN231*3/13,0)+0.99)*VLOOKUP((TRUNC($AN231*3/13,0)+0.99),'Tax scales - NAT 3539'!$A$74:$C$94,2,1)-VLOOKUP((TRUNC($AN231*3/13,0)+0.99),'Tax scales - NAT 3539'!$A$74:$C$94,3,1)),0)
*13/3,
0),
""))),
""),
"")</f>
        <v/>
      </c>
      <c r="AX231" s="118" t="str">
        <f>IFERROR(
IF(VLOOKUP($C231,'Employee information'!$B:$M,COLUMNS('Employee information'!$B:$M),0)=55,
IF($E$2="Fortnightly",
ROUND(
ROUND((((TRUNC($AN231/2,0)+0.99))*VLOOKUP((TRUNC($AN231/2,0)+0.99),'Tax scales - NAT 3539'!$A$99:$C$123,2,1)-VLOOKUP((TRUNC($AN231/2,0)+0.99),'Tax scales - NAT 3539'!$A$99:$C$123,3,1)),0)
*2,
0),
IF(AND($E$2="Monthly",ROUND($AN231-TRUNC($AN231),2)=0.33),
ROUND(
ROUND(((TRUNC(($AN231+0.01)*3/13,0)+0.99)*VLOOKUP((TRUNC(($AN231+0.01)*3/13,0)+0.99),'Tax scales - NAT 3539'!$A$99:$C$123,2,1)-VLOOKUP((TRUNC(($AN231+0.01)*3/13,0)+0.99),'Tax scales - NAT 3539'!$A$99:$C$123,3,1)),0)
*13/3,
0),
IF($E$2="Monthly",
ROUND(
ROUND(((TRUNC($AN231*3/13,0)+0.99)*VLOOKUP((TRUNC($AN231*3/13,0)+0.99),'Tax scales - NAT 3539'!$A$99:$C$123,2,1)-VLOOKUP((TRUNC($AN231*3/13,0)+0.99),'Tax scales - NAT 3539'!$A$99:$C$123,3,1)),0)
*13/3,
0),
""))),
""),
"")</f>
        <v/>
      </c>
      <c r="AY231" s="118" t="str">
        <f>IFERROR(
IF(VLOOKUP($C231,'Employee information'!$B:$M,COLUMNS('Employee information'!$B:$M),0)=66,
IF($E$2="Fortnightly",
ROUND(
ROUND((((TRUNC($AN231/2,0)+0.99))*VLOOKUP((TRUNC($AN231/2,0)+0.99),'Tax scales - NAT 3539'!$A$127:$C$154,2,1)-VLOOKUP((TRUNC($AN231/2,0)+0.99),'Tax scales - NAT 3539'!$A$127:$C$154,3,1)),0)
*2,
0),
IF(AND($E$2="Monthly",ROUND($AN231-TRUNC($AN231),2)=0.33),
ROUND(
ROUND(((TRUNC(($AN231+0.01)*3/13,0)+0.99)*VLOOKUP((TRUNC(($AN231+0.01)*3/13,0)+0.99),'Tax scales - NAT 3539'!$A$127:$C$154,2,1)-VLOOKUP((TRUNC(($AN231+0.01)*3/13,0)+0.99),'Tax scales - NAT 3539'!$A$127:$C$154,3,1)),0)
*13/3,
0),
IF($E$2="Monthly",
ROUND(
ROUND(((TRUNC($AN231*3/13,0)+0.99)*VLOOKUP((TRUNC($AN231*3/13,0)+0.99),'Tax scales - NAT 3539'!$A$127:$C$154,2,1)-VLOOKUP((TRUNC($AN231*3/13,0)+0.99),'Tax scales - NAT 3539'!$A$127:$C$154,3,1)),0)
*13/3,
0),
""))),
""),
"")</f>
        <v/>
      </c>
      <c r="AZ231" s="118">
        <f>IFERROR(
HLOOKUP(VLOOKUP($C231,'Employee information'!$B:$M,COLUMNS('Employee information'!$B:$M),0),'PAYG worksheet'!$AO$213:$AY$232,COUNTA($C$214:$C231)+1,0),
0)</f>
        <v>0</v>
      </c>
      <c r="BA231" s="118"/>
      <c r="BB231" s="118">
        <f t="shared" si="232"/>
        <v>0</v>
      </c>
      <c r="BC231" s="119">
        <f>IFERROR(
IF(OR($AE231=1,$AE231=""),SUM($P231,$AA231,$AC231,$AK231)*VLOOKUP($C231,'Employee information'!$B:$Q,COLUMNS('Employee information'!$B:$H),0),
IF($AE231=0,SUM($P231,$AA231,$AK231)*VLOOKUP($C231,'Employee information'!$B:$Q,COLUMNS('Employee information'!$B:$H),0),
0)),
0)</f>
        <v>0</v>
      </c>
      <c r="BE231" s="114">
        <f t="shared" si="217"/>
        <v>0</v>
      </c>
      <c r="BF231" s="114">
        <f t="shared" si="218"/>
        <v>0</v>
      </c>
      <c r="BG231" s="114">
        <f t="shared" si="219"/>
        <v>0</v>
      </c>
      <c r="BH231" s="114">
        <f t="shared" si="220"/>
        <v>0</v>
      </c>
      <c r="BI231" s="114">
        <f t="shared" si="221"/>
        <v>0</v>
      </c>
      <c r="BJ231" s="114">
        <f t="shared" si="222"/>
        <v>0</v>
      </c>
      <c r="BK231" s="114">
        <f t="shared" si="223"/>
        <v>0</v>
      </c>
      <c r="BL231" s="114">
        <f t="shared" si="233"/>
        <v>0</v>
      </c>
      <c r="BM231" s="114">
        <f t="shared" si="224"/>
        <v>0</v>
      </c>
    </row>
    <row r="232" spans="1:65" x14ac:dyDescent="0.25">
      <c r="A232" s="228">
        <f t="shared" si="212"/>
        <v>8</v>
      </c>
      <c r="C232" s="278"/>
      <c r="E232" s="103">
        <f>IF($C232="",0,
IF(AND($E$2="Monthly",$A232&gt;12),0,
IF($E$2="Monthly",VLOOKUP($C232,'Employee information'!$B:$AM,COLUMNS('Employee information'!$B:S),0),
IF($E$2="Fortnightly",VLOOKUP($C232,'Employee information'!$B:$AM,COLUMNS('Employee information'!$B:R),0),
0))))</f>
        <v>0</v>
      </c>
      <c r="F232" s="106"/>
      <c r="G232" s="106"/>
      <c r="H232" s="106"/>
      <c r="I232" s="106"/>
      <c r="J232" s="103">
        <f t="shared" si="225"/>
        <v>0</v>
      </c>
      <c r="L232" s="113">
        <f>IF(AND($E$2="Monthly",$A232&gt;12),"",
IFERROR($J232*VLOOKUP($C232,'Employee information'!$B:$AI,COLUMNS('Employee information'!$B:$P),0),0))</f>
        <v>0</v>
      </c>
      <c r="M232" s="114">
        <f t="shared" si="226"/>
        <v>0</v>
      </c>
      <c r="O232" s="103">
        <f t="shared" si="227"/>
        <v>0</v>
      </c>
      <c r="P232" s="113">
        <f>IFERROR(
IF(AND($E$2="Monthly",$A232&gt;12),0,
$O232*VLOOKUP($C232,'Employee information'!$B:$AI,COLUMNS('Employee information'!$B:$P),0)),
0)</f>
        <v>0</v>
      </c>
      <c r="R232" s="114">
        <f t="shared" si="213"/>
        <v>0</v>
      </c>
      <c r="T232" s="103"/>
      <c r="U232" s="103"/>
      <c r="V232" s="282" t="str">
        <f>IF($C232="","",
IF(AND($E$2="Monthly",$A232&gt;12),"",
$T232*VLOOKUP($C232,'Employee information'!$B:$P,COLUMNS('Employee information'!$B:$P),0)))</f>
        <v/>
      </c>
      <c r="W232" s="282" t="str">
        <f>IF($C232="","",
IF(AND($E$2="Monthly",$A232&gt;12),"",
$U232*VLOOKUP($C232,'Employee information'!$B:$P,COLUMNS('Employee information'!$B:$P),0)))</f>
        <v/>
      </c>
      <c r="X232" s="114">
        <f t="shared" si="214"/>
        <v>0</v>
      </c>
      <c r="Y232" s="114">
        <f t="shared" si="215"/>
        <v>0</v>
      </c>
      <c r="AA232" s="118">
        <f>IFERROR(
IF(OR('Basic payroll data'!$D$12="",'Basic payroll data'!$D$12="No"),0,
$T232*VLOOKUP($C232,'Employee information'!$B:$P,COLUMNS('Employee information'!$B:$P),0)*AL_loading_perc),
0)</f>
        <v>0</v>
      </c>
      <c r="AC232" s="118"/>
      <c r="AD232" s="118"/>
      <c r="AE232" s="283" t="str">
        <f t="shared" si="228"/>
        <v/>
      </c>
      <c r="AF232" s="283" t="str">
        <f t="shared" si="229"/>
        <v/>
      </c>
      <c r="AG232" s="118"/>
      <c r="AH232" s="118"/>
      <c r="AI232" s="283" t="str">
        <f t="shared" si="230"/>
        <v/>
      </c>
      <c r="AJ232" s="118"/>
      <c r="AK232" s="118"/>
      <c r="AM232" s="118">
        <f t="shared" si="231"/>
        <v>0</v>
      </c>
      <c r="AN232" s="118">
        <f t="shared" si="216"/>
        <v>0</v>
      </c>
      <c r="AO232" s="118" t="str">
        <f>IFERROR(
IF(VLOOKUP($C232,'Employee information'!$B:$M,COLUMNS('Employee information'!$B:$M),0)=1,
IF($E$2="Fortnightly",
ROUND(
ROUND((((TRUNC($AN232/2,0)+0.99))*VLOOKUP((TRUNC($AN232/2,0)+0.99),'Tax scales - NAT 1004'!$A$12:$C$18,2,1)-VLOOKUP((TRUNC($AN232/2,0)+0.99),'Tax scales - NAT 1004'!$A$12:$C$18,3,1)),0)
*2,
0),
IF(AND($E$2="Monthly",ROUND($AN232-TRUNC($AN232),2)=0.33),
ROUND(
ROUND(((TRUNC(($AN232+0.01)*3/13,0)+0.99)*VLOOKUP((TRUNC(($AN232+0.01)*3/13,0)+0.99),'Tax scales - NAT 1004'!$A$12:$C$18,2,1)-VLOOKUP((TRUNC(($AN232+0.01)*3/13,0)+0.99),'Tax scales - NAT 1004'!$A$12:$C$18,3,1)),0)
*13/3,
0),
IF($E$2="Monthly",
ROUND(
ROUND(((TRUNC($AN232*3/13,0)+0.99)*VLOOKUP((TRUNC($AN232*3/13,0)+0.99),'Tax scales - NAT 1004'!$A$12:$C$18,2,1)-VLOOKUP((TRUNC($AN232*3/13,0)+0.99),'Tax scales - NAT 1004'!$A$12:$C$18,3,1)),0)
*13/3,
0),
""))),
""),
"")</f>
        <v/>
      </c>
      <c r="AP232" s="118" t="str">
        <f>IFERROR(
IF(VLOOKUP($C232,'Employee information'!$B:$M,COLUMNS('Employee information'!$B:$M),0)=2,
IF($E$2="Fortnightly",
ROUND(
ROUND((((TRUNC($AN232/2,0)+0.99))*VLOOKUP((TRUNC($AN232/2,0)+0.99),'Tax scales - NAT 1004'!$A$25:$C$33,2,1)-VLOOKUP((TRUNC($AN232/2,0)+0.99),'Tax scales - NAT 1004'!$A$25:$C$33,3,1)),0)
*2,
0),
IF(AND($E$2="Monthly",ROUND($AN232-TRUNC($AN232),2)=0.33),
ROUND(
ROUND(((TRUNC(($AN232+0.01)*3/13,0)+0.99)*VLOOKUP((TRUNC(($AN232+0.01)*3/13,0)+0.99),'Tax scales - NAT 1004'!$A$25:$C$33,2,1)-VLOOKUP((TRUNC(($AN232+0.01)*3/13,0)+0.99),'Tax scales - NAT 1004'!$A$25:$C$33,3,1)),0)
*13/3,
0),
IF($E$2="Monthly",
ROUND(
ROUND(((TRUNC($AN232*3/13,0)+0.99)*VLOOKUP((TRUNC($AN232*3/13,0)+0.99),'Tax scales - NAT 1004'!$A$25:$C$33,2,1)-VLOOKUP((TRUNC($AN232*3/13,0)+0.99),'Tax scales - NAT 1004'!$A$25:$C$33,3,1)),0)
*13/3,
0),
""))),
""),
"")</f>
        <v/>
      </c>
      <c r="AQ232" s="118" t="str">
        <f>IFERROR(
IF(VLOOKUP($C232,'Employee information'!$B:$M,COLUMNS('Employee information'!$B:$M),0)=3,
IF($E$2="Fortnightly",
ROUND(
ROUND((((TRUNC($AN232/2,0)+0.99))*VLOOKUP((TRUNC($AN232/2,0)+0.99),'Tax scales - NAT 1004'!$A$39:$C$41,2,1)-VLOOKUP((TRUNC($AN232/2,0)+0.99),'Tax scales - NAT 1004'!$A$39:$C$41,3,1)),0)
*2,
0),
IF(AND($E$2="Monthly",ROUND($AN232-TRUNC($AN232),2)=0.33),
ROUND(
ROUND(((TRUNC(($AN232+0.01)*3/13,0)+0.99)*VLOOKUP((TRUNC(($AN232+0.01)*3/13,0)+0.99),'Tax scales - NAT 1004'!$A$39:$C$41,2,1)-VLOOKUP((TRUNC(($AN232+0.01)*3/13,0)+0.99),'Tax scales - NAT 1004'!$A$39:$C$41,3,1)),0)
*13/3,
0),
IF($E$2="Monthly",
ROUND(
ROUND(((TRUNC($AN232*3/13,0)+0.99)*VLOOKUP((TRUNC($AN232*3/13,0)+0.99),'Tax scales - NAT 1004'!$A$39:$C$41,2,1)-VLOOKUP((TRUNC($AN232*3/13,0)+0.99),'Tax scales - NAT 1004'!$A$39:$C$41,3,1)),0)
*13/3,
0),
""))),
""),
"")</f>
        <v/>
      </c>
      <c r="AR232" s="118" t="str">
        <f>IFERROR(
IF(AND(VLOOKUP($C232,'Employee information'!$B:$M,COLUMNS('Employee information'!$B:$M),0)=4,
VLOOKUP($C232,'Employee information'!$B:$J,COLUMNS('Employee information'!$B:$J),0)="Resident"),
TRUNC(TRUNC($AN232)*'Tax scales - NAT 1004'!$B$47),
IF(AND(VLOOKUP($C232,'Employee information'!$B:$M,COLUMNS('Employee information'!$B:$M),0)=4,
VLOOKUP($C232,'Employee information'!$B:$J,COLUMNS('Employee information'!$B:$J),0)="Foreign resident"),
TRUNC(TRUNC($AN232)*'Tax scales - NAT 1004'!$B$48),
"")),
"")</f>
        <v/>
      </c>
      <c r="AS232" s="118" t="str">
        <f>IFERROR(
IF(VLOOKUP($C232,'Employee information'!$B:$M,COLUMNS('Employee information'!$B:$M),0)=5,
IF($E$2="Fortnightly",
ROUND(
ROUND((((TRUNC($AN232/2,0)+0.99))*VLOOKUP((TRUNC($AN232/2,0)+0.99),'Tax scales - NAT 1004'!$A$53:$C$59,2,1)-VLOOKUP((TRUNC($AN232/2,0)+0.99),'Tax scales - NAT 1004'!$A$53:$C$59,3,1)),0)
*2,
0),
IF(AND($E$2="Monthly",ROUND($AN232-TRUNC($AN232),2)=0.33),
ROUND(
ROUND(((TRUNC(($AN232+0.01)*3/13,0)+0.99)*VLOOKUP((TRUNC(($AN232+0.01)*3/13,0)+0.99),'Tax scales - NAT 1004'!$A$53:$C$59,2,1)-VLOOKUP((TRUNC(($AN232+0.01)*3/13,0)+0.99),'Tax scales - NAT 1004'!$A$53:$C$59,3,1)),0)
*13/3,
0),
IF($E$2="Monthly",
ROUND(
ROUND(((TRUNC($AN232*3/13,0)+0.99)*VLOOKUP((TRUNC($AN232*3/13,0)+0.99),'Tax scales - NAT 1004'!$A$53:$C$59,2,1)-VLOOKUP((TRUNC($AN232*3/13,0)+0.99),'Tax scales - NAT 1004'!$A$53:$C$59,3,1)),0)
*13/3,
0),
""))),
""),
"")</f>
        <v/>
      </c>
      <c r="AT232" s="118" t="str">
        <f>IFERROR(
IF(VLOOKUP($C232,'Employee information'!$B:$M,COLUMNS('Employee information'!$B:$M),0)=6,
IF($E$2="Fortnightly",
ROUND(
ROUND((((TRUNC($AN232/2,0)+0.99))*VLOOKUP((TRUNC($AN232/2,0)+0.99),'Tax scales - NAT 1004'!$A$65:$C$73,2,1)-VLOOKUP((TRUNC($AN232/2,0)+0.99),'Tax scales - NAT 1004'!$A$65:$C$73,3,1)),0)
*2,
0),
IF(AND($E$2="Monthly",ROUND($AN232-TRUNC($AN232),2)=0.33),
ROUND(
ROUND(((TRUNC(($AN232+0.01)*3/13,0)+0.99)*VLOOKUP((TRUNC(($AN232+0.01)*3/13,0)+0.99),'Tax scales - NAT 1004'!$A$65:$C$73,2,1)-VLOOKUP((TRUNC(($AN232+0.01)*3/13,0)+0.99),'Tax scales - NAT 1004'!$A$65:$C$73,3,1)),0)
*13/3,
0),
IF($E$2="Monthly",
ROUND(
ROUND(((TRUNC($AN232*3/13,0)+0.99)*VLOOKUP((TRUNC($AN232*3/13,0)+0.99),'Tax scales - NAT 1004'!$A$65:$C$73,2,1)-VLOOKUP((TRUNC($AN232*3/13,0)+0.99),'Tax scales - NAT 1004'!$A$65:$C$73,3,1)),0)
*13/3,
0),
""))),
""),
"")</f>
        <v/>
      </c>
      <c r="AU232" s="118" t="str">
        <f>IFERROR(
IF(VLOOKUP($C232,'Employee information'!$B:$M,COLUMNS('Employee information'!$B:$M),0)=11,
IF($E$2="Fortnightly",
ROUND(
ROUND((((TRUNC($AN232/2,0)+0.99))*VLOOKUP((TRUNC($AN232/2,0)+0.99),'Tax scales - NAT 3539'!$A$14:$C$38,2,1)-VLOOKUP((TRUNC($AN232/2,0)+0.99),'Tax scales - NAT 3539'!$A$14:$C$38,3,1)),0)
*2,
0),
IF(AND($E$2="Monthly",ROUND($AN232-TRUNC($AN232),2)=0.33),
ROUND(
ROUND(((TRUNC(($AN232+0.01)*3/13,0)+0.99)*VLOOKUP((TRUNC(($AN232+0.01)*3/13,0)+0.99),'Tax scales - NAT 3539'!$A$14:$C$38,2,1)-VLOOKUP((TRUNC(($AN232+0.01)*3/13,0)+0.99),'Tax scales - NAT 3539'!$A$14:$C$38,3,1)),0)
*13/3,
0),
IF($E$2="Monthly",
ROUND(
ROUND(((TRUNC($AN232*3/13,0)+0.99)*VLOOKUP((TRUNC($AN232*3/13,0)+0.99),'Tax scales - NAT 3539'!$A$14:$C$38,2,1)-VLOOKUP((TRUNC($AN232*3/13,0)+0.99),'Tax scales - NAT 3539'!$A$14:$C$38,3,1)),0)
*13/3,
0),
""))),
""),
"")</f>
        <v/>
      </c>
      <c r="AV232" s="118" t="str">
        <f>IFERROR(
IF(VLOOKUP($C232,'Employee information'!$B:$M,COLUMNS('Employee information'!$B:$M),0)=22,
IF($E$2="Fortnightly",
ROUND(
ROUND((((TRUNC($AN232/2,0)+0.99))*VLOOKUP((TRUNC($AN232/2,0)+0.99),'Tax scales - NAT 3539'!$A$43:$C$69,2,1)-VLOOKUP((TRUNC($AN232/2,0)+0.99),'Tax scales - NAT 3539'!$A$43:$C$69,3,1)),0)
*2,
0),
IF(AND($E$2="Monthly",ROUND($AN232-TRUNC($AN232),2)=0.33),
ROUND(
ROUND(((TRUNC(($AN232+0.01)*3/13,0)+0.99)*VLOOKUP((TRUNC(($AN232+0.01)*3/13,0)+0.99),'Tax scales - NAT 3539'!$A$43:$C$69,2,1)-VLOOKUP((TRUNC(($AN232+0.01)*3/13,0)+0.99),'Tax scales - NAT 3539'!$A$43:$C$69,3,1)),0)
*13/3,
0),
IF($E$2="Monthly",
ROUND(
ROUND(((TRUNC($AN232*3/13,0)+0.99)*VLOOKUP((TRUNC($AN232*3/13,0)+0.99),'Tax scales - NAT 3539'!$A$43:$C$69,2,1)-VLOOKUP((TRUNC($AN232*3/13,0)+0.99),'Tax scales - NAT 3539'!$A$43:$C$69,3,1)),0)
*13/3,
0),
""))),
""),
"")</f>
        <v/>
      </c>
      <c r="AW232" s="118" t="str">
        <f>IFERROR(
IF(VLOOKUP($C232,'Employee information'!$B:$M,COLUMNS('Employee information'!$B:$M),0)=33,
IF($E$2="Fortnightly",
ROUND(
ROUND((((TRUNC($AN232/2,0)+0.99))*VLOOKUP((TRUNC($AN232/2,0)+0.99),'Tax scales - NAT 3539'!$A$74:$C$94,2,1)-VLOOKUP((TRUNC($AN232/2,0)+0.99),'Tax scales - NAT 3539'!$A$74:$C$94,3,1)),0)
*2,
0),
IF(AND($E$2="Monthly",ROUND($AN232-TRUNC($AN232),2)=0.33),
ROUND(
ROUND(((TRUNC(($AN232+0.01)*3/13,0)+0.99)*VLOOKUP((TRUNC(($AN232+0.01)*3/13,0)+0.99),'Tax scales - NAT 3539'!$A$74:$C$94,2,1)-VLOOKUP((TRUNC(($AN232+0.01)*3/13,0)+0.99),'Tax scales - NAT 3539'!$A$74:$C$94,3,1)),0)
*13/3,
0),
IF($E$2="Monthly",
ROUND(
ROUND(((TRUNC($AN232*3/13,0)+0.99)*VLOOKUP((TRUNC($AN232*3/13,0)+0.99),'Tax scales - NAT 3539'!$A$74:$C$94,2,1)-VLOOKUP((TRUNC($AN232*3/13,0)+0.99),'Tax scales - NAT 3539'!$A$74:$C$94,3,1)),0)
*13/3,
0),
""))),
""),
"")</f>
        <v/>
      </c>
      <c r="AX232" s="118" t="str">
        <f>IFERROR(
IF(VLOOKUP($C232,'Employee information'!$B:$M,COLUMNS('Employee information'!$B:$M),0)=55,
IF($E$2="Fortnightly",
ROUND(
ROUND((((TRUNC($AN232/2,0)+0.99))*VLOOKUP((TRUNC($AN232/2,0)+0.99),'Tax scales - NAT 3539'!$A$99:$C$123,2,1)-VLOOKUP((TRUNC($AN232/2,0)+0.99),'Tax scales - NAT 3539'!$A$99:$C$123,3,1)),0)
*2,
0),
IF(AND($E$2="Monthly",ROUND($AN232-TRUNC($AN232),2)=0.33),
ROUND(
ROUND(((TRUNC(($AN232+0.01)*3/13,0)+0.99)*VLOOKUP((TRUNC(($AN232+0.01)*3/13,0)+0.99),'Tax scales - NAT 3539'!$A$99:$C$123,2,1)-VLOOKUP((TRUNC(($AN232+0.01)*3/13,0)+0.99),'Tax scales - NAT 3539'!$A$99:$C$123,3,1)),0)
*13/3,
0),
IF($E$2="Monthly",
ROUND(
ROUND(((TRUNC($AN232*3/13,0)+0.99)*VLOOKUP((TRUNC($AN232*3/13,0)+0.99),'Tax scales - NAT 3539'!$A$99:$C$123,2,1)-VLOOKUP((TRUNC($AN232*3/13,0)+0.99),'Tax scales - NAT 3539'!$A$99:$C$123,3,1)),0)
*13/3,
0),
""))),
""),
"")</f>
        <v/>
      </c>
      <c r="AY232" s="118" t="str">
        <f>IFERROR(
IF(VLOOKUP($C232,'Employee information'!$B:$M,COLUMNS('Employee information'!$B:$M),0)=66,
IF($E$2="Fortnightly",
ROUND(
ROUND((((TRUNC($AN232/2,0)+0.99))*VLOOKUP((TRUNC($AN232/2,0)+0.99),'Tax scales - NAT 3539'!$A$127:$C$154,2,1)-VLOOKUP((TRUNC($AN232/2,0)+0.99),'Tax scales - NAT 3539'!$A$127:$C$154,3,1)),0)
*2,
0),
IF(AND($E$2="Monthly",ROUND($AN232-TRUNC($AN232),2)=0.33),
ROUND(
ROUND(((TRUNC(($AN232+0.01)*3/13,0)+0.99)*VLOOKUP((TRUNC(($AN232+0.01)*3/13,0)+0.99),'Tax scales - NAT 3539'!$A$127:$C$154,2,1)-VLOOKUP((TRUNC(($AN232+0.01)*3/13,0)+0.99),'Tax scales - NAT 3539'!$A$127:$C$154,3,1)),0)
*13/3,
0),
IF($E$2="Monthly",
ROUND(
ROUND(((TRUNC($AN232*3/13,0)+0.99)*VLOOKUP((TRUNC($AN232*3/13,0)+0.99),'Tax scales - NAT 3539'!$A$127:$C$154,2,1)-VLOOKUP((TRUNC($AN232*3/13,0)+0.99),'Tax scales - NAT 3539'!$A$127:$C$154,3,1)),0)
*13/3,
0),
""))),
""),
"")</f>
        <v/>
      </c>
      <c r="AZ232" s="118">
        <f>IFERROR(
HLOOKUP(VLOOKUP($C232,'Employee information'!$B:$M,COLUMNS('Employee information'!$B:$M),0),'PAYG worksheet'!$AO$213:$AY$232,COUNTA($C$214:$C232)+1,0),
0)</f>
        <v>0</v>
      </c>
      <c r="BA232" s="118"/>
      <c r="BB232" s="118">
        <f t="shared" si="232"/>
        <v>0</v>
      </c>
      <c r="BC232" s="119">
        <f>IFERROR(
IF(OR($AE232=1,$AE232=""),SUM($P232,$AA232,$AC232,$AK232)*VLOOKUP($C232,'Employee information'!$B:$Q,COLUMNS('Employee information'!$B:$H),0),
IF($AE232=0,SUM($P232,$AA232,$AK232)*VLOOKUP($C232,'Employee information'!$B:$Q,COLUMNS('Employee information'!$B:$H),0),
0)),
0)</f>
        <v>0</v>
      </c>
      <c r="BE232" s="114">
        <f t="shared" si="217"/>
        <v>0</v>
      </c>
      <c r="BF232" s="114">
        <f t="shared" si="218"/>
        <v>0</v>
      </c>
      <c r="BG232" s="114">
        <f t="shared" si="219"/>
        <v>0</v>
      </c>
      <c r="BH232" s="114">
        <f t="shared" si="220"/>
        <v>0</v>
      </c>
      <c r="BI232" s="114">
        <f t="shared" si="221"/>
        <v>0</v>
      </c>
      <c r="BJ232" s="114">
        <f t="shared" si="222"/>
        <v>0</v>
      </c>
      <c r="BK232" s="114">
        <f t="shared" si="223"/>
        <v>0</v>
      </c>
      <c r="BL232" s="114">
        <f t="shared" si="233"/>
        <v>0</v>
      </c>
      <c r="BM232" s="114">
        <f t="shared" si="224"/>
        <v>0</v>
      </c>
    </row>
    <row r="233" spans="1:65" x14ac:dyDescent="0.25">
      <c r="C233" s="284" t="s">
        <v>39</v>
      </c>
      <c r="D233" s="223"/>
      <c r="E233" s="111">
        <f>SUM(E214:E232)</f>
        <v>345</v>
      </c>
      <c r="F233" s="112">
        <f t="shared" ref="F233:H233" si="234">SUM(F214:F232)</f>
        <v>0</v>
      </c>
      <c r="G233" s="112">
        <f t="shared" si="234"/>
        <v>0</v>
      </c>
      <c r="H233" s="112">
        <f t="shared" si="234"/>
        <v>0</v>
      </c>
      <c r="I233" s="112"/>
      <c r="J233" s="111">
        <f t="shared" ref="J233" si="235">SUM(J214:J232)</f>
        <v>345</v>
      </c>
      <c r="K233" s="223"/>
      <c r="L233" s="115">
        <f>SUM(L214:L232)</f>
        <v>19122.576396206536</v>
      </c>
      <c r="M233" s="115">
        <f>SUM(M214:M232)</f>
        <v>155495.99578503688</v>
      </c>
      <c r="N233" s="223"/>
      <c r="O233" s="116">
        <f>SUM(O214:O232)</f>
        <v>345</v>
      </c>
      <c r="P233" s="117">
        <f>SUM(P214:P232)</f>
        <v>19122.576396206536</v>
      </c>
      <c r="R233" s="117">
        <f>SUM(R214:R232)</f>
        <v>155495.99578503688</v>
      </c>
      <c r="S233" s="223"/>
      <c r="T233" s="116">
        <f>SUM(T214:T232)</f>
        <v>0</v>
      </c>
      <c r="U233" s="116">
        <f t="shared" ref="U233:Y233" si="236">SUM(U214:U232)</f>
        <v>0</v>
      </c>
      <c r="V233" s="285">
        <f t="shared" si="236"/>
        <v>0</v>
      </c>
      <c r="W233" s="285">
        <f t="shared" si="236"/>
        <v>0</v>
      </c>
      <c r="X233" s="285">
        <f t="shared" si="236"/>
        <v>1538.4615384615386</v>
      </c>
      <c r="Y233" s="285">
        <f t="shared" si="236"/>
        <v>801.28205128205127</v>
      </c>
      <c r="Z233" s="223"/>
      <c r="AA233" s="117">
        <f t="shared" ref="AA233" si="237">SUM(AA214:AA232)</f>
        <v>0</v>
      </c>
      <c r="AC233" s="117">
        <f t="shared" ref="AC233" si="238">SUM(AC214:AC232)</f>
        <v>0</v>
      </c>
      <c r="AD233" s="117"/>
      <c r="AE233" s="117"/>
      <c r="AF233" s="117"/>
      <c r="AG233" s="117">
        <f t="shared" ref="AG233" si="239">SUM(AG214:AG232)</f>
        <v>0</v>
      </c>
      <c r="AH233" s="117"/>
      <c r="AI233" s="117"/>
      <c r="AJ233" s="117">
        <f>SUM(AJ214:AJ232)</f>
        <v>0</v>
      </c>
      <c r="AK233" s="117">
        <f>SUM(AK214:AK232)</f>
        <v>0</v>
      </c>
      <c r="AM233" s="117">
        <f t="shared" ref="AM233:AN233" si="240">SUM(AM214:AM232)</f>
        <v>19122.576396206536</v>
      </c>
      <c r="AN233" s="117">
        <f t="shared" si="240"/>
        <v>19122.576396206536</v>
      </c>
      <c r="AO233" s="117"/>
      <c r="AP233" s="117"/>
      <c r="AQ233" s="117"/>
      <c r="AR233" s="117"/>
      <c r="AS233" s="117"/>
      <c r="AT233" s="117"/>
      <c r="AU233" s="117"/>
      <c r="AV233" s="117"/>
      <c r="AW233" s="117"/>
      <c r="AX233" s="117"/>
      <c r="AY233" s="117"/>
      <c r="AZ233" s="117">
        <f>SUM(AZ214:AZ232)</f>
        <v>7481</v>
      </c>
      <c r="BA233" s="117">
        <f>SUM(BA214:BA232)</f>
        <v>0</v>
      </c>
      <c r="BB233" s="117">
        <f>SUM(BB214:BB232)</f>
        <v>11641.576396206534</v>
      </c>
      <c r="BC233" s="117">
        <f t="shared" ref="BC233" si="241">SUM(BC214:BC232)</f>
        <v>1816.6447576396208</v>
      </c>
      <c r="BD233" s="136"/>
      <c r="BE233" s="117">
        <f t="shared" ref="BE233:BM233" si="242">SUM(BE214:BE232)</f>
        <v>155735.99578503688</v>
      </c>
      <c r="BF233" s="117">
        <f t="shared" si="242"/>
        <v>155595.99578503688</v>
      </c>
      <c r="BG233" s="117">
        <f t="shared" si="242"/>
        <v>0</v>
      </c>
      <c r="BH233" s="117">
        <f t="shared" si="242"/>
        <v>140</v>
      </c>
      <c r="BI233" s="117">
        <f t="shared" si="242"/>
        <v>60662</v>
      </c>
      <c r="BJ233" s="117">
        <f t="shared" si="242"/>
        <v>0</v>
      </c>
      <c r="BK233" s="117">
        <f t="shared" si="242"/>
        <v>0</v>
      </c>
      <c r="BL233" s="117">
        <f t="shared" si="242"/>
        <v>100</v>
      </c>
      <c r="BM233" s="117">
        <f t="shared" si="242"/>
        <v>14781.619599578504</v>
      </c>
    </row>
    <row r="235" spans="1:65" x14ac:dyDescent="0.25">
      <c r="B235" s="228">
        <v>9</v>
      </c>
      <c r="C235" s="230" t="s">
        <v>2</v>
      </c>
      <c r="E235" s="232">
        <v>44256</v>
      </c>
      <c r="F235" s="148" t="s">
        <v>91</v>
      </c>
      <c r="L235" s="286"/>
      <c r="T235" s="127"/>
      <c r="U235" s="127"/>
      <c r="V235" s="127"/>
      <c r="W235" s="127"/>
      <c r="X235" s="127"/>
      <c r="Y235" s="127"/>
    </row>
    <row r="236" spans="1:65" x14ac:dyDescent="0.25">
      <c r="C236" s="230" t="s">
        <v>3</v>
      </c>
      <c r="E236" s="232">
        <v>44286</v>
      </c>
      <c r="F236" s="148" t="s">
        <v>90</v>
      </c>
      <c r="G236" s="229"/>
      <c r="H236" s="229"/>
      <c r="I236" s="229"/>
      <c r="J236" s="229"/>
      <c r="L236" s="164"/>
      <c r="T236" s="127"/>
      <c r="U236" s="127"/>
      <c r="V236" s="127"/>
      <c r="W236" s="127"/>
      <c r="X236" s="127"/>
      <c r="Y236" s="127"/>
    </row>
    <row r="237" spans="1:65" x14ac:dyDescent="0.25">
      <c r="C237" s="233"/>
    </row>
    <row r="238" spans="1:65" ht="34.5" customHeight="1" x14ac:dyDescent="0.25">
      <c r="C238" s="234"/>
      <c r="D238" s="235"/>
      <c r="E238" s="441" t="s">
        <v>4</v>
      </c>
      <c r="F238" s="442"/>
      <c r="G238" s="442"/>
      <c r="H238" s="442"/>
      <c r="I238" s="442"/>
      <c r="J238" s="443"/>
      <c r="L238" s="444" t="s">
        <v>253</v>
      </c>
      <c r="M238" s="445"/>
      <c r="N238" s="235"/>
      <c r="O238" s="444" t="s">
        <v>148</v>
      </c>
      <c r="P238" s="445"/>
      <c r="R238" s="235"/>
      <c r="T238" s="446" t="s">
        <v>269</v>
      </c>
      <c r="U238" s="447"/>
      <c r="V238" s="447"/>
      <c r="W238" s="447"/>
      <c r="X238" s="447"/>
      <c r="Y238" s="447"/>
      <c r="Z238" s="447"/>
      <c r="AA238" s="447"/>
      <c r="AC238" s="438" t="s">
        <v>274</v>
      </c>
      <c r="AD238" s="438"/>
      <c r="AE238" s="438"/>
      <c r="AF238" s="438"/>
      <c r="AG238" s="438"/>
      <c r="AH238" s="438"/>
      <c r="AI238" s="438"/>
      <c r="AJ238" s="438"/>
      <c r="AK238" s="438"/>
      <c r="AM238" s="439" t="s">
        <v>270</v>
      </c>
      <c r="AN238" s="439"/>
      <c r="AO238" s="439"/>
      <c r="AP238" s="439"/>
      <c r="AQ238" s="439"/>
      <c r="AR238" s="439"/>
      <c r="AS238" s="439"/>
      <c r="AT238" s="439"/>
      <c r="AU238" s="439"/>
      <c r="AV238" s="439"/>
      <c r="AW238" s="439"/>
      <c r="AX238" s="439"/>
      <c r="AY238" s="439"/>
      <c r="AZ238" s="439"/>
      <c r="BA238" s="439"/>
      <c r="BB238" s="439"/>
      <c r="BC238" s="440"/>
      <c r="BE238" s="439" t="s">
        <v>246</v>
      </c>
      <c r="BF238" s="439"/>
      <c r="BG238" s="439"/>
      <c r="BH238" s="439"/>
      <c r="BI238" s="439"/>
      <c r="BJ238" s="439"/>
      <c r="BK238" s="439"/>
      <c r="BL238" s="439"/>
      <c r="BM238" s="439"/>
    </row>
    <row r="239" spans="1:65" x14ac:dyDescent="0.25">
      <c r="C239" s="236"/>
      <c r="E239" s="229"/>
      <c r="F239" s="229"/>
      <c r="G239" s="229"/>
      <c r="H239" s="229"/>
      <c r="I239" s="229"/>
      <c r="J239" s="229"/>
      <c r="L239" s="164"/>
      <c r="O239" s="229"/>
      <c r="P239" s="164"/>
      <c r="T239" s="127"/>
      <c r="U239" s="127"/>
      <c r="V239" s="127"/>
      <c r="W239" s="127"/>
      <c r="X239" s="127"/>
      <c r="Y239" s="127"/>
      <c r="AA239" s="229"/>
      <c r="AC239" s="229"/>
      <c r="AD239" s="229"/>
      <c r="AE239" s="229"/>
      <c r="AF239" s="229"/>
      <c r="AG239" s="229"/>
      <c r="AH239" s="229"/>
      <c r="AI239" s="229"/>
      <c r="AJ239" s="229"/>
      <c r="AK239" s="127"/>
      <c r="AM239" s="229"/>
      <c r="AN239" s="229"/>
      <c r="AO239" s="229"/>
      <c r="AP239" s="229"/>
      <c r="AQ239" s="229"/>
      <c r="AR239" s="229"/>
      <c r="AS239" s="229"/>
      <c r="AT239" s="229"/>
      <c r="AU239" s="229"/>
      <c r="AV239" s="229"/>
      <c r="AW239" s="229"/>
      <c r="AX239" s="229"/>
      <c r="AY239" s="229"/>
      <c r="AZ239" s="229"/>
      <c r="BA239" s="229"/>
      <c r="BB239" s="229"/>
      <c r="BC239" s="229"/>
    </row>
    <row r="240" spans="1:65" ht="60" x14ac:dyDescent="0.25">
      <c r="C240" s="238" t="s">
        <v>5</v>
      </c>
      <c r="D240" s="239"/>
      <c r="E240" s="240" t="s">
        <v>268</v>
      </c>
      <c r="F240" s="241" t="s">
        <v>271</v>
      </c>
      <c r="G240" s="242" t="s">
        <v>267</v>
      </c>
      <c r="H240" s="243" t="s">
        <v>266</v>
      </c>
      <c r="I240" s="242" t="s">
        <v>265</v>
      </c>
      <c r="J240" s="244" t="s">
        <v>6</v>
      </c>
      <c r="L240" s="245" t="s">
        <v>7</v>
      </c>
      <c r="M240" s="246" t="s">
        <v>254</v>
      </c>
      <c r="N240" s="247"/>
      <c r="O240" s="248" t="s">
        <v>272</v>
      </c>
      <c r="P240" s="249" t="s">
        <v>200</v>
      </c>
      <c r="R240" s="250" t="s">
        <v>151</v>
      </c>
      <c r="T240" s="251" t="s">
        <v>8</v>
      </c>
      <c r="U240" s="252" t="s">
        <v>9</v>
      </c>
      <c r="V240" s="252" t="s">
        <v>120</v>
      </c>
      <c r="W240" s="252" t="s">
        <v>121</v>
      </c>
      <c r="X240" s="253" t="s">
        <v>118</v>
      </c>
      <c r="Y240" s="254" t="s">
        <v>119</v>
      </c>
      <c r="AA240" s="255" t="s">
        <v>84</v>
      </c>
      <c r="AC240" s="256" t="s">
        <v>142</v>
      </c>
      <c r="AD240" s="256" t="s">
        <v>138</v>
      </c>
      <c r="AE240" s="257" t="s">
        <v>147</v>
      </c>
      <c r="AF240" s="257" t="s">
        <v>149</v>
      </c>
      <c r="AG240" s="256" t="s">
        <v>305</v>
      </c>
      <c r="AH240" s="256" t="s">
        <v>306</v>
      </c>
      <c r="AI240" s="257" t="s">
        <v>150</v>
      </c>
      <c r="AJ240" s="258" t="s">
        <v>250</v>
      </c>
      <c r="AK240" s="259" t="s">
        <v>373</v>
      </c>
      <c r="AM240" s="260" t="s">
        <v>256</v>
      </c>
      <c r="AN240" s="261" t="s">
        <v>372</v>
      </c>
      <c r="AO240" s="253" t="s">
        <v>170</v>
      </c>
      <c r="AP240" s="253" t="s">
        <v>171</v>
      </c>
      <c r="AQ240" s="253" t="s">
        <v>172</v>
      </c>
      <c r="AR240" s="253" t="s">
        <v>173</v>
      </c>
      <c r="AS240" s="253" t="s">
        <v>174</v>
      </c>
      <c r="AT240" s="253" t="s">
        <v>175</v>
      </c>
      <c r="AU240" s="262" t="s">
        <v>210</v>
      </c>
      <c r="AV240" s="262" t="s">
        <v>211</v>
      </c>
      <c r="AW240" s="262" t="s">
        <v>212</v>
      </c>
      <c r="AX240" s="262" t="s">
        <v>213</v>
      </c>
      <c r="AY240" s="263" t="s">
        <v>214</v>
      </c>
      <c r="AZ240" s="264" t="s">
        <v>111</v>
      </c>
      <c r="BA240" s="265" t="s">
        <v>199</v>
      </c>
      <c r="BB240" s="252" t="s">
        <v>223</v>
      </c>
      <c r="BC240" s="260" t="s">
        <v>112</v>
      </c>
      <c r="BE240" s="260" t="s">
        <v>257</v>
      </c>
      <c r="BF240" s="266" t="s">
        <v>255</v>
      </c>
      <c r="BG240" s="262" t="s">
        <v>247</v>
      </c>
      <c r="BH240" s="262" t="s">
        <v>248</v>
      </c>
      <c r="BI240" s="260" t="s">
        <v>249</v>
      </c>
      <c r="BJ240" s="253" t="s">
        <v>199</v>
      </c>
      <c r="BK240" s="262" t="s">
        <v>251</v>
      </c>
      <c r="BL240" s="259" t="s">
        <v>373</v>
      </c>
      <c r="BM240" s="260" t="s">
        <v>252</v>
      </c>
    </row>
    <row r="241" spans="1:65" x14ac:dyDescent="0.25">
      <c r="T241" s="120"/>
      <c r="U241" s="120"/>
      <c r="V241" s="120"/>
      <c r="W241" s="120"/>
      <c r="X241" s="120"/>
      <c r="Y241" s="120"/>
      <c r="AM241" s="267" t="s">
        <v>322</v>
      </c>
      <c r="AN241" s="237"/>
      <c r="AO241" s="237"/>
      <c r="AP241" s="237"/>
      <c r="AQ241" s="237"/>
      <c r="AR241" s="237"/>
      <c r="AS241" s="237"/>
      <c r="AT241" s="237"/>
      <c r="AU241" s="237"/>
      <c r="AV241" s="237"/>
      <c r="AW241" s="237"/>
      <c r="AX241" s="237"/>
      <c r="AY241" s="237"/>
      <c r="AZ241" s="436" t="s">
        <v>320</v>
      </c>
      <c r="BA241" s="437"/>
      <c r="BB241" s="237"/>
      <c r="BC241" s="267" t="s">
        <v>321</v>
      </c>
    </row>
    <row r="242" spans="1:65" x14ac:dyDescent="0.25">
      <c r="A242" s="228">
        <f t="shared" ref="A242:A261" si="243">IF($E$236="","",$B$235)</f>
        <v>9</v>
      </c>
      <c r="C242" s="268"/>
      <c r="D242" s="239"/>
      <c r="E242" s="269"/>
      <c r="F242" s="270"/>
      <c r="G242" s="271"/>
      <c r="H242" s="272"/>
      <c r="I242" s="271"/>
      <c r="J242" s="273"/>
      <c r="O242" s="274"/>
      <c r="P242" s="247"/>
      <c r="T242" s="271"/>
      <c r="U242" s="271"/>
      <c r="V242" s="275"/>
      <c r="W242" s="269"/>
      <c r="X242" s="269"/>
      <c r="Y242" s="269"/>
      <c r="AA242" s="271"/>
      <c r="AC242" s="271"/>
      <c r="AD242" s="271"/>
      <c r="AE242" s="271"/>
      <c r="AF242" s="271"/>
      <c r="AG242" s="271"/>
      <c r="AH242" s="271"/>
      <c r="AI242" s="271"/>
      <c r="AJ242" s="271"/>
      <c r="AK242" s="275"/>
      <c r="AM242" s="271"/>
      <c r="AN242" s="271"/>
      <c r="AO242" s="276">
        <v>1</v>
      </c>
      <c r="AP242" s="276">
        <v>2</v>
      </c>
      <c r="AQ242" s="276">
        <v>3</v>
      </c>
      <c r="AR242" s="277">
        <v>4</v>
      </c>
      <c r="AS242" s="276">
        <v>5</v>
      </c>
      <c r="AT242" s="276">
        <v>6</v>
      </c>
      <c r="AU242" s="276">
        <v>11</v>
      </c>
      <c r="AV242" s="276">
        <v>22</v>
      </c>
      <c r="AW242" s="276">
        <v>33</v>
      </c>
      <c r="AX242" s="276">
        <v>55</v>
      </c>
      <c r="AY242" s="276">
        <v>66</v>
      </c>
      <c r="AZ242" s="271"/>
      <c r="BA242" s="271"/>
      <c r="BB242" s="271"/>
      <c r="BC242" s="273"/>
    </row>
    <row r="243" spans="1:65" x14ac:dyDescent="0.25">
      <c r="A243" s="228">
        <f t="shared" si="243"/>
        <v>9</v>
      </c>
      <c r="C243" s="278" t="s">
        <v>12</v>
      </c>
      <c r="E243" s="103">
        <f>IF($C243="",0,
IF(AND($E$2="Monthly",$A243&gt;12),0,
IF($E$2="Monthly",VLOOKUP($C243,'Employee information'!$B:$AM,COLUMNS('Employee information'!$B:S),0),
IF($E$2="Fortnightly",VLOOKUP($C243,'Employee information'!$B:$AM,COLUMNS('Employee information'!$B:R),0),
0))))</f>
        <v>75</v>
      </c>
      <c r="F243" s="279"/>
      <c r="G243" s="106"/>
      <c r="H243" s="280"/>
      <c r="I243" s="106"/>
      <c r="J243" s="103">
        <f>IF($E$2="Monthly",
IF(AND($E$2="Monthly",$H243&lt;&gt;""),$H243,
IF(AND($E$2="Monthly",$E243=0),SUM($F243:$G243),
$E243)),
IF($E$2="Fortnightly",
IF(AND($E$2="Fortnightly",$H243&lt;&gt;""),$H243,
IF(AND($E$2="Fortnightly",$F243&lt;&gt;"",$E243&lt;&gt;0),$F243,
IF(AND($E$2="Fortnightly",$E243=0),SUM($F243:$G243),
$E243)))))</f>
        <v>75</v>
      </c>
      <c r="L243" s="113">
        <f>IF(AND($E$2="Monthly",$A243&gt;12),"",
IFERROR($J243*VLOOKUP($C243,'Employee information'!$B:$AI,COLUMNS('Employee information'!$B:$P),0),0))</f>
        <v>3697.576396206533</v>
      </c>
      <c r="M243" s="114">
        <f>IF(AND($E$2="Monthly",$A243&gt;12),"",
SUMIFS($L:$L,$C:$C,$C243,$A:$A,"&lt;="&amp;$A243)
)</f>
        <v>33278.187565858796</v>
      </c>
      <c r="O243" s="103">
        <f>IF($E$2="Monthly",
IF(AND($E$2="Monthly",$H243&lt;&gt;""),$H243,
IF(AND($E$2="Monthly",$E243=0),$F243,
$E243)),
IF($E$2="Fortnightly",
IF(AND($E$2="Fortnightly",$H243&lt;&gt;""),$H243,
IF(AND($E$2="Fortnightly",$F243&lt;&gt;"",$E243&lt;&gt;0),$F243,
IF(AND($E$2="Fortnightly",$E243=0),$F243,
$E243)))))</f>
        <v>75</v>
      </c>
      <c r="P243" s="113">
        <f>IFERROR(
IF(AND($E$2="Monthly",$A243&gt;12),0,
$O243*VLOOKUP($C243,'Employee information'!$B:$AI,COLUMNS('Employee information'!$B:$P),0)),
0)</f>
        <v>3697.576396206533</v>
      </c>
      <c r="R243" s="114">
        <f t="shared" ref="R243:R261" si="244">IF(AND($E$2="Monthly",$A243&gt;12),"",
SUMIFS($P:$P,$C:$C,$C243,$A:$A,"&lt;="&amp;$A243)
)</f>
        <v>33278.187565858796</v>
      </c>
      <c r="T243" s="281"/>
      <c r="U243" s="103"/>
      <c r="V243" s="282">
        <f>IF($C243="","",
IF(AND($E$2="Monthly",$A243&gt;12),"",
$T243*VLOOKUP($C243,'Employee information'!$B:$P,COLUMNS('Employee information'!$B:$P),0)))</f>
        <v>0</v>
      </c>
      <c r="W243" s="282">
        <f>IF($C243="","",
IF(AND($E$2="Monthly",$A243&gt;12),"",
$U243*VLOOKUP($C243,'Employee information'!$B:$P,COLUMNS('Employee information'!$B:$P),0)))</f>
        <v>0</v>
      </c>
      <c r="X243" s="114">
        <f t="shared" ref="X243:X261" si="245">IF(AND($E$2="Monthly",$A243&gt;12),"",
SUMIFS($V:$V,$C:$C,$C243,$A:$A,"&lt;="&amp;$A243)
)</f>
        <v>0</v>
      </c>
      <c r="Y243" s="114">
        <f t="shared" ref="Y243:Y261" si="246">IF(AND($E$2="Monthly",$A243&gt;12),"",
SUMIFS($W:$W,$C:$C,$C243,$A:$A,"&lt;="&amp;$A243)
)</f>
        <v>0</v>
      </c>
      <c r="AA243" s="118">
        <f>IFERROR(
IF(OR('Basic payroll data'!$D$12="",'Basic payroll data'!$D$12="No"),0,
$T243*VLOOKUP($C243,'Employee information'!$B:$P,COLUMNS('Employee information'!$B:$P),0)*AL_loading_perc),
0)</f>
        <v>0</v>
      </c>
      <c r="AC243" s="118"/>
      <c r="AD243" s="118"/>
      <c r="AE243" s="283" t="str">
        <f>IF(LEFT($AD243,6)="Is OTE",1,
IF(LEFT($AD243,10)="Is not OTE",0,
""))</f>
        <v/>
      </c>
      <c r="AF243" s="283" t="str">
        <f>IF(RIGHT($AD243,12)="tax withheld",1,
IF(RIGHT($AD243,16)="tax not withheld",0,
""))</f>
        <v/>
      </c>
      <c r="AG243" s="118"/>
      <c r="AH243" s="118"/>
      <c r="AI243" s="283" t="str">
        <f>IF($AH243="FBT",0,
IF($AH243="Not FBT",1,
""))</f>
        <v/>
      </c>
      <c r="AJ243" s="118"/>
      <c r="AK243" s="118"/>
      <c r="AM243" s="118">
        <f>SUM($L243,$AA243,$AC243,$AG243,$AK243)-$AJ243</f>
        <v>3697.576396206533</v>
      </c>
      <c r="AN243" s="118">
        <f t="shared" ref="AN243:AN261" si="247">IF(AND(OR($AF243=1,$AF243=""),OR($AI243=1,$AI243="")),SUM($L243,$AA243,$AC243,$AG243,$AK243)-$AJ243,
IF(AND(OR($AF243=1,$AF243=""),$AI243=0),SUM($L243,$AA243,$AC243,$AK243)-$AJ243,
IF(AND($AF243=0,OR($AI243=1,$AI243="")),SUM($L243,$AA243,$AG243,$AK243)-$AJ243,
IF(AND($AF243=0,$AI243=0),SUM($L243,$AA243,$AK243)-$AJ243,
""))))</f>
        <v>3697.576396206533</v>
      </c>
      <c r="AO243" s="118" t="str">
        <f>IFERROR(
IF(VLOOKUP($C243,'Employee information'!$B:$M,COLUMNS('Employee information'!$B:$M),0)=1,
IF($E$2="Fortnightly",
ROUND(
ROUND((((TRUNC($AN243/2,0)+0.99))*VLOOKUP((TRUNC($AN243/2,0)+0.99),'Tax scales - NAT 1004'!$A$12:$C$18,2,1)-VLOOKUP((TRUNC($AN243/2,0)+0.99),'Tax scales - NAT 1004'!$A$12:$C$18,3,1)),0)
*2,
0),
IF(AND($E$2="Monthly",ROUND($AN243-TRUNC($AN243),2)=0.33),
ROUND(
ROUND(((TRUNC(($AN243+0.01)*3/13,0)+0.99)*VLOOKUP((TRUNC(($AN243+0.01)*3/13,0)+0.99),'Tax scales - NAT 1004'!$A$12:$C$18,2,1)-VLOOKUP((TRUNC(($AN243+0.01)*3/13,0)+0.99),'Tax scales - NAT 1004'!$A$12:$C$18,3,1)),0)
*13/3,
0),
IF($E$2="Monthly",
ROUND(
ROUND(((TRUNC($AN243*3/13,0)+0.99)*VLOOKUP((TRUNC($AN243*3/13,0)+0.99),'Tax scales - NAT 1004'!$A$12:$C$18,2,1)-VLOOKUP((TRUNC($AN243*3/13,0)+0.99),'Tax scales - NAT 1004'!$A$12:$C$18,3,1)),0)
*13/3,
0),
""))),
""),
"")</f>
        <v/>
      </c>
      <c r="AP243" s="118" t="str">
        <f>IFERROR(
IF(VLOOKUP($C243,'Employee information'!$B:$M,COLUMNS('Employee information'!$B:$M),0)=2,
IF($E$2="Fortnightly",
ROUND(
ROUND((((TRUNC($AN243/2,0)+0.99))*VLOOKUP((TRUNC($AN243/2,0)+0.99),'Tax scales - NAT 1004'!$A$25:$C$33,2,1)-VLOOKUP((TRUNC($AN243/2,0)+0.99),'Tax scales - NAT 1004'!$A$25:$C$33,3,1)),0)
*2,
0),
IF(AND($E$2="Monthly",ROUND($AN243-TRUNC($AN243),2)=0.33),
ROUND(
ROUND(((TRUNC(($AN243+0.01)*3/13,0)+0.99)*VLOOKUP((TRUNC(($AN243+0.01)*3/13,0)+0.99),'Tax scales - NAT 1004'!$A$25:$C$33,2,1)-VLOOKUP((TRUNC(($AN243+0.01)*3/13,0)+0.99),'Tax scales - NAT 1004'!$A$25:$C$33,3,1)),0)
*13/3,
0),
IF($E$2="Monthly",
ROUND(
ROUND(((TRUNC($AN243*3/13,0)+0.99)*VLOOKUP((TRUNC($AN243*3/13,0)+0.99),'Tax scales - NAT 1004'!$A$25:$C$33,2,1)-VLOOKUP((TRUNC($AN243*3/13,0)+0.99),'Tax scales - NAT 1004'!$A$25:$C$33,3,1)),0)
*13/3,
0),
""))),
""),
"")</f>
        <v/>
      </c>
      <c r="AQ243" s="118" t="str">
        <f>IFERROR(
IF(VLOOKUP($C243,'Employee information'!$B:$M,COLUMNS('Employee information'!$B:$M),0)=3,
IF($E$2="Fortnightly",
ROUND(
ROUND((((TRUNC($AN243/2,0)+0.99))*VLOOKUP((TRUNC($AN243/2,0)+0.99),'Tax scales - NAT 1004'!$A$39:$C$41,2,1)-VLOOKUP((TRUNC($AN243/2,0)+0.99),'Tax scales - NAT 1004'!$A$39:$C$41,3,1)),0)
*2,
0),
IF(AND($E$2="Monthly",ROUND($AN243-TRUNC($AN243),2)=0.33),
ROUND(
ROUND(((TRUNC(($AN243+0.01)*3/13,0)+0.99)*VLOOKUP((TRUNC(($AN243+0.01)*3/13,0)+0.99),'Tax scales - NAT 1004'!$A$39:$C$41,2,1)-VLOOKUP((TRUNC(($AN243+0.01)*3/13,0)+0.99),'Tax scales - NAT 1004'!$A$39:$C$41,3,1)),0)
*13/3,
0),
IF($E$2="Monthly",
ROUND(
ROUND(((TRUNC($AN243*3/13,0)+0.99)*VLOOKUP((TRUNC($AN243*3/13,0)+0.99),'Tax scales - NAT 1004'!$A$39:$C$41,2,1)-VLOOKUP((TRUNC($AN243*3/13,0)+0.99),'Tax scales - NAT 1004'!$A$39:$C$41,3,1)),0)
*13/3,
0),
""))),
""),
"")</f>
        <v/>
      </c>
      <c r="AR243" s="118" t="str">
        <f>IFERROR(
IF(AND(VLOOKUP($C243,'Employee information'!$B:$M,COLUMNS('Employee information'!$B:$M),0)=4,
VLOOKUP($C243,'Employee information'!$B:$J,COLUMNS('Employee information'!$B:$J),0)="Resident"),
TRUNC(TRUNC($AN243)*'Tax scales - NAT 1004'!$B$47),
IF(AND(VLOOKUP($C243,'Employee information'!$B:$M,COLUMNS('Employee information'!$B:$M),0)=4,
VLOOKUP($C243,'Employee information'!$B:$J,COLUMNS('Employee information'!$B:$J),0)="Foreign resident"),
TRUNC(TRUNC($AN243)*'Tax scales - NAT 1004'!$B$48),
"")),
"")</f>
        <v/>
      </c>
      <c r="AS243" s="118" t="str">
        <f>IFERROR(
IF(VLOOKUP($C243,'Employee information'!$B:$M,COLUMNS('Employee information'!$B:$M),0)=5,
IF($E$2="Fortnightly",
ROUND(
ROUND((((TRUNC($AN243/2,0)+0.99))*VLOOKUP((TRUNC($AN243/2,0)+0.99),'Tax scales - NAT 1004'!$A$53:$C$59,2,1)-VLOOKUP((TRUNC($AN243/2,0)+0.99),'Tax scales - NAT 1004'!$A$53:$C$59,3,1)),0)
*2,
0),
IF(AND($E$2="Monthly",ROUND($AN243-TRUNC($AN243),2)=0.33),
ROUND(
ROUND(((TRUNC(($AN243+0.01)*3/13,0)+0.99)*VLOOKUP((TRUNC(($AN243+0.01)*3/13,0)+0.99),'Tax scales - NAT 1004'!$A$53:$C$59,2,1)-VLOOKUP((TRUNC(($AN243+0.01)*3/13,0)+0.99),'Tax scales - NAT 1004'!$A$53:$C$59,3,1)),0)
*13/3,
0),
IF($E$2="Monthly",
ROUND(
ROUND(((TRUNC($AN243*3/13,0)+0.99)*VLOOKUP((TRUNC($AN243*3/13,0)+0.99),'Tax scales - NAT 1004'!$A$53:$C$59,2,1)-VLOOKUP((TRUNC($AN243*3/13,0)+0.99),'Tax scales - NAT 1004'!$A$53:$C$59,3,1)),0)
*13/3,
0),
""))),
""),
"")</f>
        <v/>
      </c>
      <c r="AT243" s="118" t="str">
        <f>IFERROR(
IF(VLOOKUP($C243,'Employee information'!$B:$M,COLUMNS('Employee information'!$B:$M),0)=6,
IF($E$2="Fortnightly",
ROUND(
ROUND((((TRUNC($AN243/2,0)+0.99))*VLOOKUP((TRUNC($AN243/2,0)+0.99),'Tax scales - NAT 1004'!$A$65:$C$73,2,1)-VLOOKUP((TRUNC($AN243/2,0)+0.99),'Tax scales - NAT 1004'!$A$65:$C$73,3,1)),0)
*2,
0),
IF(AND($E$2="Monthly",ROUND($AN243-TRUNC($AN243),2)=0.33),
ROUND(
ROUND(((TRUNC(($AN243+0.01)*3/13,0)+0.99)*VLOOKUP((TRUNC(($AN243+0.01)*3/13,0)+0.99),'Tax scales - NAT 1004'!$A$65:$C$73,2,1)-VLOOKUP((TRUNC(($AN243+0.01)*3/13,0)+0.99),'Tax scales - NAT 1004'!$A$65:$C$73,3,1)),0)
*13/3,
0),
IF($E$2="Monthly",
ROUND(
ROUND(((TRUNC($AN243*3/13,0)+0.99)*VLOOKUP((TRUNC($AN243*3/13,0)+0.99),'Tax scales - NAT 1004'!$A$65:$C$73,2,1)-VLOOKUP((TRUNC($AN243*3/13,0)+0.99),'Tax scales - NAT 1004'!$A$65:$C$73,3,1)),0)
*13/3,
0),
""))),
""),
"")</f>
        <v/>
      </c>
      <c r="AU243" s="118">
        <f>IFERROR(
IF(VLOOKUP($C243,'Employee information'!$B:$M,COLUMNS('Employee information'!$B:$M),0)=11,
IF($E$2="Fortnightly",
ROUND(
ROUND((((TRUNC($AN243/2,0)+0.99))*VLOOKUP((TRUNC($AN243/2,0)+0.99),'Tax scales - NAT 3539'!$A$14:$C$38,2,1)-VLOOKUP((TRUNC($AN243/2,0)+0.99),'Tax scales - NAT 3539'!$A$14:$C$38,3,1)),0)
*2,
0),
IF(AND($E$2="Monthly",ROUND($AN243-TRUNC($AN243),2)=0.33),
ROUND(
ROUND(((TRUNC(($AN243+0.01)*3/13,0)+0.99)*VLOOKUP((TRUNC(($AN243+0.01)*3/13,0)+0.99),'Tax scales - NAT 3539'!$A$14:$C$38,2,1)-VLOOKUP((TRUNC(($AN243+0.01)*3/13,0)+0.99),'Tax scales - NAT 3539'!$A$14:$C$38,3,1)),0)
*13/3,
0),
IF($E$2="Monthly",
ROUND(
ROUND(((TRUNC($AN243*3/13,0)+0.99)*VLOOKUP((TRUNC($AN243*3/13,0)+0.99),'Tax scales - NAT 3539'!$A$14:$C$38,2,1)-VLOOKUP((TRUNC($AN243*3/13,0)+0.99),'Tax scales - NAT 3539'!$A$14:$C$38,3,1)),0)
*13/3,
0),
""))),
""),
"")</f>
        <v>1448</v>
      </c>
      <c r="AV243" s="118" t="str">
        <f>IFERROR(
IF(VLOOKUP($C243,'Employee information'!$B:$M,COLUMNS('Employee information'!$B:$M),0)=22,
IF($E$2="Fortnightly",
ROUND(
ROUND((((TRUNC($AN243/2,0)+0.99))*VLOOKUP((TRUNC($AN243/2,0)+0.99),'Tax scales - NAT 3539'!$A$43:$C$69,2,1)-VLOOKUP((TRUNC($AN243/2,0)+0.99),'Tax scales - NAT 3539'!$A$43:$C$69,3,1)),0)
*2,
0),
IF(AND($E$2="Monthly",ROUND($AN243-TRUNC($AN243),2)=0.33),
ROUND(
ROUND(((TRUNC(($AN243+0.01)*3/13,0)+0.99)*VLOOKUP((TRUNC(($AN243+0.01)*3/13,0)+0.99),'Tax scales - NAT 3539'!$A$43:$C$69,2,1)-VLOOKUP((TRUNC(($AN243+0.01)*3/13,0)+0.99),'Tax scales - NAT 3539'!$A$43:$C$69,3,1)),0)
*13/3,
0),
IF($E$2="Monthly",
ROUND(
ROUND(((TRUNC($AN243*3/13,0)+0.99)*VLOOKUP((TRUNC($AN243*3/13,0)+0.99),'Tax scales - NAT 3539'!$A$43:$C$69,2,1)-VLOOKUP((TRUNC($AN243*3/13,0)+0.99),'Tax scales - NAT 3539'!$A$43:$C$69,3,1)),0)
*13/3,
0),
""))),
""),
"")</f>
        <v/>
      </c>
      <c r="AW243" s="118" t="str">
        <f>IFERROR(
IF(VLOOKUP($C243,'Employee information'!$B:$M,COLUMNS('Employee information'!$B:$M),0)=33,
IF($E$2="Fortnightly",
ROUND(
ROUND((((TRUNC($AN243/2,0)+0.99))*VLOOKUP((TRUNC($AN243/2,0)+0.99),'Tax scales - NAT 3539'!$A$74:$C$94,2,1)-VLOOKUP((TRUNC($AN243/2,0)+0.99),'Tax scales - NAT 3539'!$A$74:$C$94,3,1)),0)
*2,
0),
IF(AND($E$2="Monthly",ROUND($AN243-TRUNC($AN243),2)=0.33),
ROUND(
ROUND(((TRUNC(($AN243+0.01)*3/13,0)+0.99)*VLOOKUP((TRUNC(($AN243+0.01)*3/13,0)+0.99),'Tax scales - NAT 3539'!$A$74:$C$94,2,1)-VLOOKUP((TRUNC(($AN243+0.01)*3/13,0)+0.99),'Tax scales - NAT 3539'!$A$74:$C$94,3,1)),0)
*13/3,
0),
IF($E$2="Monthly",
ROUND(
ROUND(((TRUNC($AN243*3/13,0)+0.99)*VLOOKUP((TRUNC($AN243*3/13,0)+0.99),'Tax scales - NAT 3539'!$A$74:$C$94,2,1)-VLOOKUP((TRUNC($AN243*3/13,0)+0.99),'Tax scales - NAT 3539'!$A$74:$C$94,3,1)),0)
*13/3,
0),
""))),
""),
"")</f>
        <v/>
      </c>
      <c r="AX243" s="118" t="str">
        <f>IFERROR(
IF(VLOOKUP($C243,'Employee information'!$B:$M,COLUMNS('Employee information'!$B:$M),0)=55,
IF($E$2="Fortnightly",
ROUND(
ROUND((((TRUNC($AN243/2,0)+0.99))*VLOOKUP((TRUNC($AN243/2,0)+0.99),'Tax scales - NAT 3539'!$A$99:$C$123,2,1)-VLOOKUP((TRUNC($AN243/2,0)+0.99),'Tax scales - NAT 3539'!$A$99:$C$123,3,1)),0)
*2,
0),
IF(AND($E$2="Monthly",ROUND($AN243-TRUNC($AN243),2)=0.33),
ROUND(
ROUND(((TRUNC(($AN243+0.01)*3/13,0)+0.99)*VLOOKUP((TRUNC(($AN243+0.01)*3/13,0)+0.99),'Tax scales - NAT 3539'!$A$99:$C$123,2,1)-VLOOKUP((TRUNC(($AN243+0.01)*3/13,0)+0.99),'Tax scales - NAT 3539'!$A$99:$C$123,3,1)),0)
*13/3,
0),
IF($E$2="Monthly",
ROUND(
ROUND(((TRUNC($AN243*3/13,0)+0.99)*VLOOKUP((TRUNC($AN243*3/13,0)+0.99),'Tax scales - NAT 3539'!$A$99:$C$123,2,1)-VLOOKUP((TRUNC($AN243*3/13,0)+0.99),'Tax scales - NAT 3539'!$A$99:$C$123,3,1)),0)
*13/3,
0),
""))),
""),
"")</f>
        <v/>
      </c>
      <c r="AY243" s="118" t="str">
        <f>IFERROR(
IF(VLOOKUP($C243,'Employee information'!$B:$M,COLUMNS('Employee information'!$B:$M),0)=66,
IF($E$2="Fortnightly",
ROUND(
ROUND((((TRUNC($AN243/2,0)+0.99))*VLOOKUP((TRUNC($AN243/2,0)+0.99),'Tax scales - NAT 3539'!$A$127:$C$154,2,1)-VLOOKUP((TRUNC($AN243/2,0)+0.99),'Tax scales - NAT 3539'!$A$127:$C$154,3,1)),0)
*2,
0),
IF(AND($E$2="Monthly",ROUND($AN243-TRUNC($AN243),2)=0.33),
ROUND(
ROUND(((TRUNC(($AN243+0.01)*3/13,0)+0.99)*VLOOKUP((TRUNC(($AN243+0.01)*3/13,0)+0.99),'Tax scales - NAT 3539'!$A$127:$C$154,2,1)-VLOOKUP((TRUNC(($AN243+0.01)*3/13,0)+0.99),'Tax scales - NAT 3539'!$A$127:$C$154,3,1)),0)
*13/3,
0),
IF($E$2="Monthly",
ROUND(
ROUND(((TRUNC($AN243*3/13,0)+0.99)*VLOOKUP((TRUNC($AN243*3/13,0)+0.99),'Tax scales - NAT 3539'!$A$127:$C$154,2,1)-VLOOKUP((TRUNC($AN243*3/13,0)+0.99),'Tax scales - NAT 3539'!$A$127:$C$154,3,1)),0)
*13/3,
0),
""))),
""),
"")</f>
        <v/>
      </c>
      <c r="AZ243" s="118">
        <f>IFERROR(
HLOOKUP(VLOOKUP($C243,'Employee information'!$B:$M,COLUMNS('Employee information'!$B:$M),0),'PAYG worksheet'!$AO$242:$AY$261,COUNTA($C$243:$C243)+1,0),
0)</f>
        <v>1448</v>
      </c>
      <c r="BA243" s="118"/>
      <c r="BB243" s="118">
        <f>IFERROR($AM243-$AZ243-$BA243,"")</f>
        <v>2249.576396206533</v>
      </c>
      <c r="BC243" s="119">
        <f>IFERROR(
IF(OR($AE243=1,$AE243=""),SUM($P243,$AA243,$AC243,$AK243)*VLOOKUP($C243,'Employee information'!$B:$Q,COLUMNS('Employee information'!$B:$H),0),
IF($AE243=0,SUM($P243,$AA243,$AK243)*VLOOKUP($C243,'Employee information'!$B:$Q,COLUMNS('Employee information'!$B:$H),0),
0)),
0)</f>
        <v>351.26975763962065</v>
      </c>
      <c r="BE243" s="114">
        <f t="shared" ref="BE243:BE261" si="248">IF(AND($E$2="Monthly",$A243&gt;12),"",
SUMIFS($AM:$AM,$C:$C,$C243,$A:$A,"&lt;="&amp;$A243)
)</f>
        <v>33278.187565858796</v>
      </c>
      <c r="BF243" s="114">
        <f t="shared" ref="BF243:BF261" si="249">IF(AND($E$2="Monthly",$A243&gt;12),"",
SUMIFS($AN:$AN,$C:$C,$C243,$A:$A,"&lt;="&amp;$A243)
)</f>
        <v>33278.187565858796</v>
      </c>
      <c r="BG243" s="114">
        <f t="shared" ref="BG243:BG261" si="250">IF(AND($E$2="Monthly",$A243&gt;12),"",
SUMIFS($AC:$AC,$C:$C,$C243,$A:$A,"&lt;="&amp;$A243)
)</f>
        <v>0</v>
      </c>
      <c r="BH243" s="114">
        <f t="shared" ref="BH243:BH261" si="251">IF(AND($E$2="Monthly",$A243&gt;12),"",
SUMIFS($AG:$AG,$C:$C,$C243,$A:$A,"&lt;="&amp;$A243)
)</f>
        <v>0</v>
      </c>
      <c r="BI243" s="114">
        <f t="shared" ref="BI243:BI261" si="252">IF(AND($E$2="Monthly",$A243&gt;12),"",
SUMIFS($AZ:$AZ,$C:$C,$C243,$A:$A,"&lt;="&amp;$A243)
)</f>
        <v>13032</v>
      </c>
      <c r="BJ243" s="114">
        <f t="shared" ref="BJ243:BJ261" si="253">IF(AND($E$2="Monthly",$A243&gt;12),"",
SUMIFS($BA:$BA,$C:$C,$C243,$A:$A,"&lt;="&amp;$A243)
)</f>
        <v>0</v>
      </c>
      <c r="BK243" s="114">
        <f t="shared" ref="BK243:BK261" si="254">IF(AND($E$2="Monthly",$A243&gt;12),"",
SUMIFS($AJ:$AJ,$C:$C,$C243,$A:$A,"&lt;="&amp;$A243)
)</f>
        <v>0</v>
      </c>
      <c r="BL243" s="114">
        <f>IF(AND($E$2="Monthly",$A243&gt;12),"",
SUMIFS($AK:$AK,$C:$C,$C243,$A:$A,"&lt;="&amp;$A243)
)</f>
        <v>0</v>
      </c>
      <c r="BM243" s="114">
        <f t="shared" ref="BM243:BM261" si="255">IF(AND($E$2="Monthly",$A243&gt;12),"",
SUMIFS($BC:$BC,$C:$C,$C243,$A:$A,"&lt;="&amp;$A243)
)</f>
        <v>3161.4278187565865</v>
      </c>
    </row>
    <row r="244" spans="1:65" x14ac:dyDescent="0.25">
      <c r="A244" s="228">
        <f t="shared" si="243"/>
        <v>9</v>
      </c>
      <c r="C244" s="278" t="s">
        <v>13</v>
      </c>
      <c r="E244" s="103">
        <f>IF($C244="",0,
IF(AND($E$2="Monthly",$A244&gt;12),0,
IF($E$2="Monthly",VLOOKUP($C244,'Employee information'!$B:$AM,COLUMNS('Employee information'!$B:S),0),
IF($E$2="Fortnightly",VLOOKUP($C244,'Employee information'!$B:$AM,COLUMNS('Employee information'!$B:R),0),
0))))</f>
        <v>0</v>
      </c>
      <c r="F244" s="106"/>
      <c r="G244" s="106"/>
      <c r="H244" s="106"/>
      <c r="I244" s="106"/>
      <c r="J244" s="103">
        <f t="shared" ref="J244:J261" si="256">IF($E$2="Monthly",
IF(AND($E$2="Monthly",$H244&lt;&gt;""),$H244,
IF(AND($E$2="Monthly",$E244=0),SUM($F244:$G244),
$E244)),
IF($E$2="Fortnightly",
IF(AND($E$2="Fortnightly",$H244&lt;&gt;""),$H244,
IF(AND($E$2="Fortnightly",$F244&lt;&gt;"",$E244&lt;&gt;0),$F244,
IF(AND($E$2="Fortnightly",$E244=0),SUM($F244:$G244),
$E244)))))</f>
        <v>0</v>
      </c>
      <c r="L244" s="113">
        <f>IF(AND($E$2="Monthly",$A244&gt;12),"",
IFERROR($J244*VLOOKUP($C244,'Employee information'!$B:$AI,COLUMNS('Employee information'!$B:$P),0),0))</f>
        <v>0</v>
      </c>
      <c r="M244" s="114">
        <f t="shared" ref="M244:M261" si="257">IF(AND($E$2="Monthly",$A244&gt;12),"",
SUMIFS($L:$L,$C:$C,$C244,$A:$A,"&lt;="&amp;$A244)
)</f>
        <v>1615.3846153846152</v>
      </c>
      <c r="O244" s="103">
        <f t="shared" ref="O244:O261" si="258">IF($E$2="Monthly",
IF(AND($E$2="Monthly",$H244&lt;&gt;""),$H244,
IF(AND($E$2="Monthly",$E244=0),$F244,
$E244)),
IF($E$2="Fortnightly",
IF(AND($E$2="Fortnightly",$H244&lt;&gt;""),$H244,
IF(AND($E$2="Fortnightly",$F244&lt;&gt;"",$E244&lt;&gt;0),$F244,
IF(AND($E$2="Fortnightly",$E244=0),$F244,
$E244)))))</f>
        <v>0</v>
      </c>
      <c r="P244" s="113">
        <f>IFERROR(
IF(AND($E$2="Monthly",$A244&gt;12),0,
$O244*VLOOKUP($C244,'Employee information'!$B:$AI,COLUMNS('Employee information'!$B:$P),0)),
0)</f>
        <v>0</v>
      </c>
      <c r="R244" s="114">
        <f t="shared" si="244"/>
        <v>1615.3846153846152</v>
      </c>
      <c r="T244" s="103"/>
      <c r="U244" s="103"/>
      <c r="V244" s="282">
        <f>IF($C244="","",
IF(AND($E$2="Monthly",$A244&gt;12),"",
$T244*VLOOKUP($C244,'Employee information'!$B:$P,COLUMNS('Employee information'!$B:$P),0)))</f>
        <v>0</v>
      </c>
      <c r="W244" s="282">
        <f>IF($C244="","",
IF(AND($E$2="Monthly",$A244&gt;12),"",
$U244*VLOOKUP($C244,'Employee information'!$B:$P,COLUMNS('Employee information'!$B:$P),0)))</f>
        <v>0</v>
      </c>
      <c r="X244" s="114">
        <f t="shared" si="245"/>
        <v>0</v>
      </c>
      <c r="Y244" s="114">
        <f t="shared" si="246"/>
        <v>288.46153846153845</v>
      </c>
      <c r="AA244" s="118">
        <f>IFERROR(
IF(OR('Basic payroll data'!$D$12="",'Basic payroll data'!$D$12="No"),0,
$T244*VLOOKUP($C244,'Employee information'!$B:$P,COLUMNS('Employee information'!$B:$P),0)*AL_loading_perc),
0)</f>
        <v>0</v>
      </c>
      <c r="AC244" s="118"/>
      <c r="AD244" s="118"/>
      <c r="AE244" s="283" t="str">
        <f t="shared" ref="AE244:AE261" si="259">IF(LEFT($AD244,6)="Is OTE",1,
IF(LEFT($AD244,10)="Is not OTE",0,
""))</f>
        <v/>
      </c>
      <c r="AF244" s="283" t="str">
        <f t="shared" ref="AF244:AF261" si="260">IF(RIGHT($AD244,12)="tax withheld",1,
IF(RIGHT($AD244,16)="tax not withheld",0,
""))</f>
        <v/>
      </c>
      <c r="AG244" s="118"/>
      <c r="AH244" s="118"/>
      <c r="AI244" s="283" t="str">
        <f t="shared" ref="AI244:AI261" si="261">IF($AH244="FBT",0,
IF($AH244="Not FBT",1,
""))</f>
        <v/>
      </c>
      <c r="AJ244" s="118"/>
      <c r="AK244" s="118"/>
      <c r="AM244" s="118">
        <f t="shared" ref="AM244:AM261" si="262">SUM($L244,$AA244,$AC244,$AG244,$AK244)-$AJ244</f>
        <v>0</v>
      </c>
      <c r="AN244" s="118">
        <f t="shared" si="247"/>
        <v>0</v>
      </c>
      <c r="AO244" s="118" t="str">
        <f>IFERROR(
IF(VLOOKUP($C244,'Employee information'!$B:$M,COLUMNS('Employee information'!$B:$M),0)=1,
IF($E$2="Fortnightly",
ROUND(
ROUND((((TRUNC($AN244/2,0)+0.99))*VLOOKUP((TRUNC($AN244/2,0)+0.99),'Tax scales - NAT 1004'!$A$12:$C$18,2,1)-VLOOKUP((TRUNC($AN244/2,0)+0.99),'Tax scales - NAT 1004'!$A$12:$C$18,3,1)),0)
*2,
0),
IF(AND($E$2="Monthly",ROUND($AN244-TRUNC($AN244),2)=0.33),
ROUND(
ROUND(((TRUNC(($AN244+0.01)*3/13,0)+0.99)*VLOOKUP((TRUNC(($AN244+0.01)*3/13,0)+0.99),'Tax scales - NAT 1004'!$A$12:$C$18,2,1)-VLOOKUP((TRUNC(($AN244+0.01)*3/13,0)+0.99),'Tax scales - NAT 1004'!$A$12:$C$18,3,1)),0)
*13/3,
0),
IF($E$2="Monthly",
ROUND(
ROUND(((TRUNC($AN244*3/13,0)+0.99)*VLOOKUP((TRUNC($AN244*3/13,0)+0.99),'Tax scales - NAT 1004'!$A$12:$C$18,2,1)-VLOOKUP((TRUNC($AN244*3/13,0)+0.99),'Tax scales - NAT 1004'!$A$12:$C$18,3,1)),0)
*13/3,
0),
""))),
""),
"")</f>
        <v/>
      </c>
      <c r="AP244" s="118" t="str">
        <f>IFERROR(
IF(VLOOKUP($C244,'Employee information'!$B:$M,COLUMNS('Employee information'!$B:$M),0)=2,
IF($E$2="Fortnightly",
ROUND(
ROUND((((TRUNC($AN244/2,0)+0.99))*VLOOKUP((TRUNC($AN244/2,0)+0.99),'Tax scales - NAT 1004'!$A$25:$C$33,2,1)-VLOOKUP((TRUNC($AN244/2,0)+0.99),'Tax scales - NAT 1004'!$A$25:$C$33,3,1)),0)
*2,
0),
IF(AND($E$2="Monthly",ROUND($AN244-TRUNC($AN244),2)=0.33),
ROUND(
ROUND(((TRUNC(($AN244+0.01)*3/13,0)+0.99)*VLOOKUP((TRUNC(($AN244+0.01)*3/13,0)+0.99),'Tax scales - NAT 1004'!$A$25:$C$33,2,1)-VLOOKUP((TRUNC(($AN244+0.01)*3/13,0)+0.99),'Tax scales - NAT 1004'!$A$25:$C$33,3,1)),0)
*13/3,
0),
IF($E$2="Monthly",
ROUND(
ROUND(((TRUNC($AN244*3/13,0)+0.99)*VLOOKUP((TRUNC($AN244*3/13,0)+0.99),'Tax scales - NAT 1004'!$A$25:$C$33,2,1)-VLOOKUP((TRUNC($AN244*3/13,0)+0.99),'Tax scales - NAT 1004'!$A$25:$C$33,3,1)),0)
*13/3,
0),
""))),
""),
"")</f>
        <v/>
      </c>
      <c r="AQ244" s="118" t="str">
        <f>IFERROR(
IF(VLOOKUP($C244,'Employee information'!$B:$M,COLUMNS('Employee information'!$B:$M),0)=3,
IF($E$2="Fortnightly",
ROUND(
ROUND((((TRUNC($AN244/2,0)+0.99))*VLOOKUP((TRUNC($AN244/2,0)+0.99),'Tax scales - NAT 1004'!$A$39:$C$41,2,1)-VLOOKUP((TRUNC($AN244/2,0)+0.99),'Tax scales - NAT 1004'!$A$39:$C$41,3,1)),0)
*2,
0),
IF(AND($E$2="Monthly",ROUND($AN244-TRUNC($AN244),2)=0.33),
ROUND(
ROUND(((TRUNC(($AN244+0.01)*3/13,0)+0.99)*VLOOKUP((TRUNC(($AN244+0.01)*3/13,0)+0.99),'Tax scales - NAT 1004'!$A$39:$C$41,2,1)-VLOOKUP((TRUNC(($AN244+0.01)*3/13,0)+0.99),'Tax scales - NAT 1004'!$A$39:$C$41,3,1)),0)
*13/3,
0),
IF($E$2="Monthly",
ROUND(
ROUND(((TRUNC($AN244*3/13,0)+0.99)*VLOOKUP((TRUNC($AN244*3/13,0)+0.99),'Tax scales - NAT 1004'!$A$39:$C$41,2,1)-VLOOKUP((TRUNC($AN244*3/13,0)+0.99),'Tax scales - NAT 1004'!$A$39:$C$41,3,1)),0)
*13/3,
0),
""))),
""),
"")</f>
        <v/>
      </c>
      <c r="AR244" s="118" t="str">
        <f>IFERROR(
IF(AND(VLOOKUP($C244,'Employee information'!$B:$M,COLUMNS('Employee information'!$B:$M),0)=4,
VLOOKUP($C244,'Employee information'!$B:$J,COLUMNS('Employee information'!$B:$J),0)="Resident"),
TRUNC(TRUNC($AN244)*'Tax scales - NAT 1004'!$B$47),
IF(AND(VLOOKUP($C244,'Employee information'!$B:$M,COLUMNS('Employee information'!$B:$M),0)=4,
VLOOKUP($C244,'Employee information'!$B:$J,COLUMNS('Employee information'!$B:$J),0)="Foreign resident"),
TRUNC(TRUNC($AN244)*'Tax scales - NAT 1004'!$B$48),
"")),
"")</f>
        <v/>
      </c>
      <c r="AS244" s="118" t="str">
        <f>IFERROR(
IF(VLOOKUP($C244,'Employee information'!$B:$M,COLUMNS('Employee information'!$B:$M),0)=5,
IF($E$2="Fortnightly",
ROUND(
ROUND((((TRUNC($AN244/2,0)+0.99))*VLOOKUP((TRUNC($AN244/2,0)+0.99),'Tax scales - NAT 1004'!$A$53:$C$59,2,1)-VLOOKUP((TRUNC($AN244/2,0)+0.99),'Tax scales - NAT 1004'!$A$53:$C$59,3,1)),0)
*2,
0),
IF(AND($E$2="Monthly",ROUND($AN244-TRUNC($AN244),2)=0.33),
ROUND(
ROUND(((TRUNC(($AN244+0.01)*3/13,0)+0.99)*VLOOKUP((TRUNC(($AN244+0.01)*3/13,0)+0.99),'Tax scales - NAT 1004'!$A$53:$C$59,2,1)-VLOOKUP((TRUNC(($AN244+0.01)*3/13,0)+0.99),'Tax scales - NAT 1004'!$A$53:$C$59,3,1)),0)
*13/3,
0),
IF($E$2="Monthly",
ROUND(
ROUND(((TRUNC($AN244*3/13,0)+0.99)*VLOOKUP((TRUNC($AN244*3/13,0)+0.99),'Tax scales - NAT 1004'!$A$53:$C$59,2,1)-VLOOKUP((TRUNC($AN244*3/13,0)+0.99),'Tax scales - NAT 1004'!$A$53:$C$59,3,1)),0)
*13/3,
0),
""))),
""),
"")</f>
        <v/>
      </c>
      <c r="AT244" s="118" t="str">
        <f>IFERROR(
IF(VLOOKUP($C244,'Employee information'!$B:$M,COLUMNS('Employee information'!$B:$M),0)=6,
IF($E$2="Fortnightly",
ROUND(
ROUND((((TRUNC($AN244/2,0)+0.99))*VLOOKUP((TRUNC($AN244/2,0)+0.99),'Tax scales - NAT 1004'!$A$65:$C$73,2,1)-VLOOKUP((TRUNC($AN244/2,0)+0.99),'Tax scales - NAT 1004'!$A$65:$C$73,3,1)),0)
*2,
0),
IF(AND($E$2="Monthly",ROUND($AN244-TRUNC($AN244),2)=0.33),
ROUND(
ROUND(((TRUNC(($AN244+0.01)*3/13,0)+0.99)*VLOOKUP((TRUNC(($AN244+0.01)*3/13,0)+0.99),'Tax scales - NAT 1004'!$A$65:$C$73,2,1)-VLOOKUP((TRUNC(($AN244+0.01)*3/13,0)+0.99),'Tax scales - NAT 1004'!$A$65:$C$73,3,1)),0)
*13/3,
0),
IF($E$2="Monthly",
ROUND(
ROUND(((TRUNC($AN244*3/13,0)+0.99)*VLOOKUP((TRUNC($AN244*3/13,0)+0.99),'Tax scales - NAT 1004'!$A$65:$C$73,2,1)-VLOOKUP((TRUNC($AN244*3/13,0)+0.99),'Tax scales - NAT 1004'!$A$65:$C$73,3,1)),0)
*13/3,
0),
""))),
""),
"")</f>
        <v/>
      </c>
      <c r="AU244" s="118">
        <f>IFERROR(
IF(VLOOKUP($C244,'Employee information'!$B:$M,COLUMNS('Employee information'!$B:$M),0)=11,
IF($E$2="Fortnightly",
ROUND(
ROUND((((TRUNC($AN244/2,0)+0.99))*VLOOKUP((TRUNC($AN244/2,0)+0.99),'Tax scales - NAT 3539'!$A$14:$C$38,2,1)-VLOOKUP((TRUNC($AN244/2,0)+0.99),'Tax scales - NAT 3539'!$A$14:$C$38,3,1)),0)
*2,
0),
IF(AND($E$2="Monthly",ROUND($AN244-TRUNC($AN244),2)=0.33),
ROUND(
ROUND(((TRUNC(($AN244+0.01)*3/13,0)+0.99)*VLOOKUP((TRUNC(($AN244+0.01)*3/13,0)+0.99),'Tax scales - NAT 3539'!$A$14:$C$38,2,1)-VLOOKUP((TRUNC(($AN244+0.01)*3/13,0)+0.99),'Tax scales - NAT 3539'!$A$14:$C$38,3,1)),0)
*13/3,
0),
IF($E$2="Monthly",
ROUND(
ROUND(((TRUNC($AN244*3/13,0)+0.99)*VLOOKUP((TRUNC($AN244*3/13,0)+0.99),'Tax scales - NAT 3539'!$A$14:$C$38,2,1)-VLOOKUP((TRUNC($AN244*3/13,0)+0.99),'Tax scales - NAT 3539'!$A$14:$C$38,3,1)),0)
*13/3,
0),
""))),
""),
"")</f>
        <v>0</v>
      </c>
      <c r="AV244" s="118" t="str">
        <f>IFERROR(
IF(VLOOKUP($C244,'Employee information'!$B:$M,COLUMNS('Employee information'!$B:$M),0)=22,
IF($E$2="Fortnightly",
ROUND(
ROUND((((TRUNC($AN244/2,0)+0.99))*VLOOKUP((TRUNC($AN244/2,0)+0.99),'Tax scales - NAT 3539'!$A$43:$C$69,2,1)-VLOOKUP((TRUNC($AN244/2,0)+0.99),'Tax scales - NAT 3539'!$A$43:$C$69,3,1)),0)
*2,
0),
IF(AND($E$2="Monthly",ROUND($AN244-TRUNC($AN244),2)=0.33),
ROUND(
ROUND(((TRUNC(($AN244+0.01)*3/13,0)+0.99)*VLOOKUP((TRUNC(($AN244+0.01)*3/13,0)+0.99),'Tax scales - NAT 3539'!$A$43:$C$69,2,1)-VLOOKUP((TRUNC(($AN244+0.01)*3/13,0)+0.99),'Tax scales - NAT 3539'!$A$43:$C$69,3,1)),0)
*13/3,
0),
IF($E$2="Monthly",
ROUND(
ROUND(((TRUNC($AN244*3/13,0)+0.99)*VLOOKUP((TRUNC($AN244*3/13,0)+0.99),'Tax scales - NAT 3539'!$A$43:$C$69,2,1)-VLOOKUP((TRUNC($AN244*3/13,0)+0.99),'Tax scales - NAT 3539'!$A$43:$C$69,3,1)),0)
*13/3,
0),
""))),
""),
"")</f>
        <v/>
      </c>
      <c r="AW244" s="118" t="str">
        <f>IFERROR(
IF(VLOOKUP($C244,'Employee information'!$B:$M,COLUMNS('Employee information'!$B:$M),0)=33,
IF($E$2="Fortnightly",
ROUND(
ROUND((((TRUNC($AN244/2,0)+0.99))*VLOOKUP((TRUNC($AN244/2,0)+0.99),'Tax scales - NAT 3539'!$A$74:$C$94,2,1)-VLOOKUP((TRUNC($AN244/2,0)+0.99),'Tax scales - NAT 3539'!$A$74:$C$94,3,1)),0)
*2,
0),
IF(AND($E$2="Monthly",ROUND($AN244-TRUNC($AN244),2)=0.33),
ROUND(
ROUND(((TRUNC(($AN244+0.01)*3/13,0)+0.99)*VLOOKUP((TRUNC(($AN244+0.01)*3/13,0)+0.99),'Tax scales - NAT 3539'!$A$74:$C$94,2,1)-VLOOKUP((TRUNC(($AN244+0.01)*3/13,0)+0.99),'Tax scales - NAT 3539'!$A$74:$C$94,3,1)),0)
*13/3,
0),
IF($E$2="Monthly",
ROUND(
ROUND(((TRUNC($AN244*3/13,0)+0.99)*VLOOKUP((TRUNC($AN244*3/13,0)+0.99),'Tax scales - NAT 3539'!$A$74:$C$94,2,1)-VLOOKUP((TRUNC($AN244*3/13,0)+0.99),'Tax scales - NAT 3539'!$A$74:$C$94,3,1)),0)
*13/3,
0),
""))),
""),
"")</f>
        <v/>
      </c>
      <c r="AX244" s="118" t="str">
        <f>IFERROR(
IF(VLOOKUP($C244,'Employee information'!$B:$M,COLUMNS('Employee information'!$B:$M),0)=55,
IF($E$2="Fortnightly",
ROUND(
ROUND((((TRUNC($AN244/2,0)+0.99))*VLOOKUP((TRUNC($AN244/2,0)+0.99),'Tax scales - NAT 3539'!$A$99:$C$123,2,1)-VLOOKUP((TRUNC($AN244/2,0)+0.99),'Tax scales - NAT 3539'!$A$99:$C$123,3,1)),0)
*2,
0),
IF(AND($E$2="Monthly",ROUND($AN244-TRUNC($AN244),2)=0.33),
ROUND(
ROUND(((TRUNC(($AN244+0.01)*3/13,0)+0.99)*VLOOKUP((TRUNC(($AN244+0.01)*3/13,0)+0.99),'Tax scales - NAT 3539'!$A$99:$C$123,2,1)-VLOOKUP((TRUNC(($AN244+0.01)*3/13,0)+0.99),'Tax scales - NAT 3539'!$A$99:$C$123,3,1)),0)
*13/3,
0),
IF($E$2="Monthly",
ROUND(
ROUND(((TRUNC($AN244*3/13,0)+0.99)*VLOOKUP((TRUNC($AN244*3/13,0)+0.99),'Tax scales - NAT 3539'!$A$99:$C$123,2,1)-VLOOKUP((TRUNC($AN244*3/13,0)+0.99),'Tax scales - NAT 3539'!$A$99:$C$123,3,1)),0)
*13/3,
0),
""))),
""),
"")</f>
        <v/>
      </c>
      <c r="AY244" s="118" t="str">
        <f>IFERROR(
IF(VLOOKUP($C244,'Employee information'!$B:$M,COLUMNS('Employee information'!$B:$M),0)=66,
IF($E$2="Fortnightly",
ROUND(
ROUND((((TRUNC($AN244/2,0)+0.99))*VLOOKUP((TRUNC($AN244/2,0)+0.99),'Tax scales - NAT 3539'!$A$127:$C$154,2,1)-VLOOKUP((TRUNC($AN244/2,0)+0.99),'Tax scales - NAT 3539'!$A$127:$C$154,3,1)),0)
*2,
0),
IF(AND($E$2="Monthly",ROUND($AN244-TRUNC($AN244),2)=0.33),
ROUND(
ROUND(((TRUNC(($AN244+0.01)*3/13,0)+0.99)*VLOOKUP((TRUNC(($AN244+0.01)*3/13,0)+0.99),'Tax scales - NAT 3539'!$A$127:$C$154,2,1)-VLOOKUP((TRUNC(($AN244+0.01)*3/13,0)+0.99),'Tax scales - NAT 3539'!$A$127:$C$154,3,1)),0)
*13/3,
0),
IF($E$2="Monthly",
ROUND(
ROUND(((TRUNC($AN244*3/13,0)+0.99)*VLOOKUP((TRUNC($AN244*3/13,0)+0.99),'Tax scales - NAT 3539'!$A$127:$C$154,2,1)-VLOOKUP((TRUNC($AN244*3/13,0)+0.99),'Tax scales - NAT 3539'!$A$127:$C$154,3,1)),0)
*13/3,
0),
""))),
""),
"")</f>
        <v/>
      </c>
      <c r="AZ244" s="118">
        <f>IFERROR(
HLOOKUP(VLOOKUP($C244,'Employee information'!$B:$M,COLUMNS('Employee information'!$B:$M),0),'PAYG worksheet'!$AO$242:$AY$261,COUNTA($C$243:$C244)+1,0),
0)</f>
        <v>0</v>
      </c>
      <c r="BA244" s="118"/>
      <c r="BB244" s="118">
        <f t="shared" ref="BB244:BB261" si="263">IFERROR($AM244-$AZ244-$BA244,"")</f>
        <v>0</v>
      </c>
      <c r="BC244" s="119">
        <f>IFERROR(
IF(OR($AE244=1,$AE244=""),SUM($P244,$AA244,$AC244,$AK244)*VLOOKUP($C244,'Employee information'!$B:$Q,COLUMNS('Employee information'!$B:$H),0),
IF($AE244=0,SUM($P244,$AA244,$AK244)*VLOOKUP($C244,'Employee information'!$B:$Q,COLUMNS('Employee information'!$B:$H),0),
0)),
0)</f>
        <v>0</v>
      </c>
      <c r="BE244" s="114">
        <f t="shared" si="248"/>
        <v>1615.3846153846152</v>
      </c>
      <c r="BF244" s="114">
        <f t="shared" si="249"/>
        <v>1615.3846153846152</v>
      </c>
      <c r="BG244" s="114">
        <f t="shared" si="250"/>
        <v>0</v>
      </c>
      <c r="BH244" s="114">
        <f t="shared" si="251"/>
        <v>0</v>
      </c>
      <c r="BI244" s="114">
        <f t="shared" si="252"/>
        <v>474</v>
      </c>
      <c r="BJ244" s="114">
        <f t="shared" si="253"/>
        <v>0</v>
      </c>
      <c r="BK244" s="114">
        <f t="shared" si="254"/>
        <v>0</v>
      </c>
      <c r="BL244" s="114">
        <f t="shared" ref="BL244:BL261" si="264">IF(AND($E$2="Monthly",$A244&gt;12),"",
SUMIFS($AK:$AK,$C:$C,$C244,$A:$A,"&lt;="&amp;$A244)
)</f>
        <v>0</v>
      </c>
      <c r="BM244" s="114">
        <f t="shared" si="255"/>
        <v>153.46153846153845</v>
      </c>
    </row>
    <row r="245" spans="1:65" x14ac:dyDescent="0.25">
      <c r="A245" s="228">
        <f t="shared" si="243"/>
        <v>9</v>
      </c>
      <c r="C245" s="278" t="s">
        <v>14</v>
      </c>
      <c r="E245" s="103">
        <f>IF($C245="",0,
IF(AND($E$2="Monthly",$A245&gt;12),0,
IF($E$2="Monthly",VLOOKUP($C245,'Employee information'!$B:$AM,COLUMNS('Employee information'!$B:S),0),
IF($E$2="Fortnightly",VLOOKUP($C245,'Employee information'!$B:$AM,COLUMNS('Employee information'!$B:R),0),
0))))</f>
        <v>0</v>
      </c>
      <c r="F245" s="106"/>
      <c r="G245" s="106"/>
      <c r="H245" s="106"/>
      <c r="I245" s="106"/>
      <c r="J245" s="103">
        <f t="shared" si="256"/>
        <v>0</v>
      </c>
      <c r="L245" s="113">
        <f>IF(AND($E$2="Monthly",$A245&gt;12),"",
IFERROR($J245*VLOOKUP($C245,'Employee information'!$B:$AI,COLUMNS('Employee information'!$B:$P),0),0))</f>
        <v>0</v>
      </c>
      <c r="M245" s="114">
        <f t="shared" si="257"/>
        <v>900</v>
      </c>
      <c r="O245" s="103">
        <f t="shared" si="258"/>
        <v>0</v>
      </c>
      <c r="P245" s="113">
        <f>IFERROR(
IF(AND($E$2="Monthly",$A245&gt;12),0,
$O245*VLOOKUP($C245,'Employee information'!$B:$AI,COLUMNS('Employee information'!$B:$P),0)),
0)</f>
        <v>0</v>
      </c>
      <c r="R245" s="114">
        <f t="shared" si="244"/>
        <v>900</v>
      </c>
      <c r="T245" s="103"/>
      <c r="U245" s="103"/>
      <c r="V245" s="282">
        <f>IF($C245="","",
IF(AND($E$2="Monthly",$A245&gt;12),"",
$T245*VLOOKUP($C245,'Employee information'!$B:$P,COLUMNS('Employee information'!$B:$P),0)))</f>
        <v>0</v>
      </c>
      <c r="W245" s="282">
        <f>IF($C245="","",
IF(AND($E$2="Monthly",$A245&gt;12),"",
$U245*VLOOKUP($C245,'Employee information'!$B:$P,COLUMNS('Employee information'!$B:$P),0)))</f>
        <v>0</v>
      </c>
      <c r="X245" s="114">
        <f t="shared" si="245"/>
        <v>0</v>
      </c>
      <c r="Y245" s="114">
        <f t="shared" si="246"/>
        <v>0</v>
      </c>
      <c r="AA245" s="118">
        <f>IFERROR(
IF(OR('Basic payroll data'!$D$12="",'Basic payroll data'!$D$12="No"),0,
$T245*VLOOKUP($C245,'Employee information'!$B:$P,COLUMNS('Employee information'!$B:$P),0)*AL_loading_perc),
0)</f>
        <v>0</v>
      </c>
      <c r="AC245" s="118"/>
      <c r="AD245" s="118"/>
      <c r="AE245" s="283" t="str">
        <f t="shared" si="259"/>
        <v/>
      </c>
      <c r="AF245" s="283" t="str">
        <f t="shared" si="260"/>
        <v/>
      </c>
      <c r="AG245" s="118"/>
      <c r="AH245" s="118"/>
      <c r="AI245" s="283" t="str">
        <f t="shared" si="261"/>
        <v/>
      </c>
      <c r="AJ245" s="118"/>
      <c r="AK245" s="118"/>
      <c r="AM245" s="118">
        <f t="shared" si="262"/>
        <v>0</v>
      </c>
      <c r="AN245" s="118">
        <f t="shared" si="247"/>
        <v>0</v>
      </c>
      <c r="AO245" s="118" t="str">
        <f>IFERROR(
IF(VLOOKUP($C245,'Employee information'!$B:$M,COLUMNS('Employee information'!$B:$M),0)=1,
IF($E$2="Fortnightly",
ROUND(
ROUND((((TRUNC($AN245/2,0)+0.99))*VLOOKUP((TRUNC($AN245/2,0)+0.99),'Tax scales - NAT 1004'!$A$12:$C$18,2,1)-VLOOKUP((TRUNC($AN245/2,0)+0.99),'Tax scales - NAT 1004'!$A$12:$C$18,3,1)),0)
*2,
0),
IF(AND($E$2="Monthly",ROUND($AN245-TRUNC($AN245),2)=0.33),
ROUND(
ROUND(((TRUNC(($AN245+0.01)*3/13,0)+0.99)*VLOOKUP((TRUNC(($AN245+0.01)*3/13,0)+0.99),'Tax scales - NAT 1004'!$A$12:$C$18,2,1)-VLOOKUP((TRUNC(($AN245+0.01)*3/13,0)+0.99),'Tax scales - NAT 1004'!$A$12:$C$18,3,1)),0)
*13/3,
0),
IF($E$2="Monthly",
ROUND(
ROUND(((TRUNC($AN245*3/13,0)+0.99)*VLOOKUP((TRUNC($AN245*3/13,0)+0.99),'Tax scales - NAT 1004'!$A$12:$C$18,2,1)-VLOOKUP((TRUNC($AN245*3/13,0)+0.99),'Tax scales - NAT 1004'!$A$12:$C$18,3,1)),0)
*13/3,
0),
""))),
""),
"")</f>
        <v/>
      </c>
      <c r="AP245" s="118" t="str">
        <f>IFERROR(
IF(VLOOKUP($C245,'Employee information'!$B:$M,COLUMNS('Employee information'!$B:$M),0)=2,
IF($E$2="Fortnightly",
ROUND(
ROUND((((TRUNC($AN245/2,0)+0.99))*VLOOKUP((TRUNC($AN245/2,0)+0.99),'Tax scales - NAT 1004'!$A$25:$C$33,2,1)-VLOOKUP((TRUNC($AN245/2,0)+0.99),'Tax scales - NAT 1004'!$A$25:$C$33,3,1)),0)
*2,
0),
IF(AND($E$2="Monthly",ROUND($AN245-TRUNC($AN245),2)=0.33),
ROUND(
ROUND(((TRUNC(($AN245+0.01)*3/13,0)+0.99)*VLOOKUP((TRUNC(($AN245+0.01)*3/13,0)+0.99),'Tax scales - NAT 1004'!$A$25:$C$33,2,1)-VLOOKUP((TRUNC(($AN245+0.01)*3/13,0)+0.99),'Tax scales - NAT 1004'!$A$25:$C$33,3,1)),0)
*13/3,
0),
IF($E$2="Monthly",
ROUND(
ROUND(((TRUNC($AN245*3/13,0)+0.99)*VLOOKUP((TRUNC($AN245*3/13,0)+0.99),'Tax scales - NAT 1004'!$A$25:$C$33,2,1)-VLOOKUP((TRUNC($AN245*3/13,0)+0.99),'Tax scales - NAT 1004'!$A$25:$C$33,3,1)),0)
*13/3,
0),
""))),
""),
"")</f>
        <v/>
      </c>
      <c r="AQ245" s="118" t="str">
        <f>IFERROR(
IF(VLOOKUP($C245,'Employee information'!$B:$M,COLUMNS('Employee information'!$B:$M),0)=3,
IF($E$2="Fortnightly",
ROUND(
ROUND((((TRUNC($AN245/2,0)+0.99))*VLOOKUP((TRUNC($AN245/2,0)+0.99),'Tax scales - NAT 1004'!$A$39:$C$41,2,1)-VLOOKUP((TRUNC($AN245/2,0)+0.99),'Tax scales - NAT 1004'!$A$39:$C$41,3,1)),0)
*2,
0),
IF(AND($E$2="Monthly",ROUND($AN245-TRUNC($AN245),2)=0.33),
ROUND(
ROUND(((TRUNC(($AN245+0.01)*3/13,0)+0.99)*VLOOKUP((TRUNC(($AN245+0.01)*3/13,0)+0.99),'Tax scales - NAT 1004'!$A$39:$C$41,2,1)-VLOOKUP((TRUNC(($AN245+0.01)*3/13,0)+0.99),'Tax scales - NAT 1004'!$A$39:$C$41,3,1)),0)
*13/3,
0),
IF($E$2="Monthly",
ROUND(
ROUND(((TRUNC($AN245*3/13,0)+0.99)*VLOOKUP((TRUNC($AN245*3/13,0)+0.99),'Tax scales - NAT 1004'!$A$39:$C$41,2,1)-VLOOKUP((TRUNC($AN245*3/13,0)+0.99),'Tax scales - NAT 1004'!$A$39:$C$41,3,1)),0)
*13/3,
0),
""))),
""),
"")</f>
        <v/>
      </c>
      <c r="AR245" s="118" t="str">
        <f>IFERROR(
IF(AND(VLOOKUP($C245,'Employee information'!$B:$M,COLUMNS('Employee information'!$B:$M),0)=4,
VLOOKUP($C245,'Employee information'!$B:$J,COLUMNS('Employee information'!$B:$J),0)="Resident"),
TRUNC(TRUNC($AN245)*'Tax scales - NAT 1004'!$B$47),
IF(AND(VLOOKUP($C245,'Employee information'!$B:$M,COLUMNS('Employee information'!$B:$M),0)=4,
VLOOKUP($C245,'Employee information'!$B:$J,COLUMNS('Employee information'!$B:$J),0)="Foreign resident"),
TRUNC(TRUNC($AN245)*'Tax scales - NAT 1004'!$B$48),
"")),
"")</f>
        <v/>
      </c>
      <c r="AS245" s="118" t="str">
        <f>IFERROR(
IF(VLOOKUP($C245,'Employee information'!$B:$M,COLUMNS('Employee information'!$B:$M),0)=5,
IF($E$2="Fortnightly",
ROUND(
ROUND((((TRUNC($AN245/2,0)+0.99))*VLOOKUP((TRUNC($AN245/2,0)+0.99),'Tax scales - NAT 1004'!$A$53:$C$59,2,1)-VLOOKUP((TRUNC($AN245/2,0)+0.99),'Tax scales - NAT 1004'!$A$53:$C$59,3,1)),0)
*2,
0),
IF(AND($E$2="Monthly",ROUND($AN245-TRUNC($AN245),2)=0.33),
ROUND(
ROUND(((TRUNC(($AN245+0.01)*3/13,0)+0.99)*VLOOKUP((TRUNC(($AN245+0.01)*3/13,0)+0.99),'Tax scales - NAT 1004'!$A$53:$C$59,2,1)-VLOOKUP((TRUNC(($AN245+0.01)*3/13,0)+0.99),'Tax scales - NAT 1004'!$A$53:$C$59,3,1)),0)
*13/3,
0),
IF($E$2="Monthly",
ROUND(
ROUND(((TRUNC($AN245*3/13,0)+0.99)*VLOOKUP((TRUNC($AN245*3/13,0)+0.99),'Tax scales - NAT 1004'!$A$53:$C$59,2,1)-VLOOKUP((TRUNC($AN245*3/13,0)+0.99),'Tax scales - NAT 1004'!$A$53:$C$59,3,1)),0)
*13/3,
0),
""))),
""),
"")</f>
        <v/>
      </c>
      <c r="AT245" s="118" t="str">
        <f>IFERROR(
IF(VLOOKUP($C245,'Employee information'!$B:$M,COLUMNS('Employee information'!$B:$M),0)=6,
IF($E$2="Fortnightly",
ROUND(
ROUND((((TRUNC($AN245/2,0)+0.99))*VLOOKUP((TRUNC($AN245/2,0)+0.99),'Tax scales - NAT 1004'!$A$65:$C$73,2,1)-VLOOKUP((TRUNC($AN245/2,0)+0.99),'Tax scales - NAT 1004'!$A$65:$C$73,3,1)),0)
*2,
0),
IF(AND($E$2="Monthly",ROUND($AN245-TRUNC($AN245),2)=0.33),
ROUND(
ROUND(((TRUNC(($AN245+0.01)*3/13,0)+0.99)*VLOOKUP((TRUNC(($AN245+0.01)*3/13,0)+0.99),'Tax scales - NAT 1004'!$A$65:$C$73,2,1)-VLOOKUP((TRUNC(($AN245+0.01)*3/13,0)+0.99),'Tax scales - NAT 1004'!$A$65:$C$73,3,1)),0)
*13/3,
0),
IF($E$2="Monthly",
ROUND(
ROUND(((TRUNC($AN245*3/13,0)+0.99)*VLOOKUP((TRUNC($AN245*3/13,0)+0.99),'Tax scales - NAT 1004'!$A$65:$C$73,2,1)-VLOOKUP((TRUNC($AN245*3/13,0)+0.99),'Tax scales - NAT 1004'!$A$65:$C$73,3,1)),0)
*13/3,
0),
""))),
""),
"")</f>
        <v/>
      </c>
      <c r="AU245" s="118" t="str">
        <f>IFERROR(
IF(VLOOKUP($C245,'Employee information'!$B:$M,COLUMNS('Employee information'!$B:$M),0)=11,
IF($E$2="Fortnightly",
ROUND(
ROUND((((TRUNC($AN245/2,0)+0.99))*VLOOKUP((TRUNC($AN245/2,0)+0.99),'Tax scales - NAT 3539'!$A$14:$C$38,2,1)-VLOOKUP((TRUNC($AN245/2,0)+0.99),'Tax scales - NAT 3539'!$A$14:$C$38,3,1)),0)
*2,
0),
IF(AND($E$2="Monthly",ROUND($AN245-TRUNC($AN245),2)=0.33),
ROUND(
ROUND(((TRUNC(($AN245+0.01)*3/13,0)+0.99)*VLOOKUP((TRUNC(($AN245+0.01)*3/13,0)+0.99),'Tax scales - NAT 3539'!$A$14:$C$38,2,1)-VLOOKUP((TRUNC(($AN245+0.01)*3/13,0)+0.99),'Tax scales - NAT 3539'!$A$14:$C$38,3,1)),0)
*13/3,
0),
IF($E$2="Monthly",
ROUND(
ROUND(((TRUNC($AN245*3/13,0)+0.99)*VLOOKUP((TRUNC($AN245*3/13,0)+0.99),'Tax scales - NAT 3539'!$A$14:$C$38,2,1)-VLOOKUP((TRUNC($AN245*3/13,0)+0.99),'Tax scales - NAT 3539'!$A$14:$C$38,3,1)),0)
*13/3,
0),
""))),
""),
"")</f>
        <v/>
      </c>
      <c r="AV245" s="118" t="str">
        <f>IFERROR(
IF(VLOOKUP($C245,'Employee information'!$B:$M,COLUMNS('Employee information'!$B:$M),0)=22,
IF($E$2="Fortnightly",
ROUND(
ROUND((((TRUNC($AN245/2,0)+0.99))*VLOOKUP((TRUNC($AN245/2,0)+0.99),'Tax scales - NAT 3539'!$A$43:$C$69,2,1)-VLOOKUP((TRUNC($AN245/2,0)+0.99),'Tax scales - NAT 3539'!$A$43:$C$69,3,1)),0)
*2,
0),
IF(AND($E$2="Monthly",ROUND($AN245-TRUNC($AN245),2)=0.33),
ROUND(
ROUND(((TRUNC(($AN245+0.01)*3/13,0)+0.99)*VLOOKUP((TRUNC(($AN245+0.01)*3/13,0)+0.99),'Tax scales - NAT 3539'!$A$43:$C$69,2,1)-VLOOKUP((TRUNC(($AN245+0.01)*3/13,0)+0.99),'Tax scales - NAT 3539'!$A$43:$C$69,3,1)),0)
*13/3,
0),
IF($E$2="Monthly",
ROUND(
ROUND(((TRUNC($AN245*3/13,0)+0.99)*VLOOKUP((TRUNC($AN245*3/13,0)+0.99),'Tax scales - NAT 3539'!$A$43:$C$69,2,1)-VLOOKUP((TRUNC($AN245*3/13,0)+0.99),'Tax scales - NAT 3539'!$A$43:$C$69,3,1)),0)
*13/3,
0),
""))),
""),
"")</f>
        <v/>
      </c>
      <c r="AW245" s="118">
        <f>IFERROR(
IF(VLOOKUP($C245,'Employee information'!$B:$M,COLUMNS('Employee information'!$B:$M),0)=33,
IF($E$2="Fortnightly",
ROUND(
ROUND((((TRUNC($AN245/2,0)+0.99))*VLOOKUP((TRUNC($AN245/2,0)+0.99),'Tax scales - NAT 3539'!$A$74:$C$94,2,1)-VLOOKUP((TRUNC($AN245/2,0)+0.99),'Tax scales - NAT 3539'!$A$74:$C$94,3,1)),0)
*2,
0),
IF(AND($E$2="Monthly",ROUND($AN245-TRUNC($AN245),2)=0.33),
ROUND(
ROUND(((TRUNC(($AN245+0.01)*3/13,0)+0.99)*VLOOKUP((TRUNC(($AN245+0.01)*3/13,0)+0.99),'Tax scales - NAT 3539'!$A$74:$C$94,2,1)-VLOOKUP((TRUNC(($AN245+0.01)*3/13,0)+0.99),'Tax scales - NAT 3539'!$A$74:$C$94,3,1)),0)
*13/3,
0),
IF($E$2="Monthly",
ROUND(
ROUND(((TRUNC($AN245*3/13,0)+0.99)*VLOOKUP((TRUNC($AN245*3/13,0)+0.99),'Tax scales - NAT 3539'!$A$74:$C$94,2,1)-VLOOKUP((TRUNC($AN245*3/13,0)+0.99),'Tax scales - NAT 3539'!$A$74:$C$94,3,1)),0)
*13/3,
0),
""))),
""),
"")</f>
        <v>0</v>
      </c>
      <c r="AX245" s="118" t="str">
        <f>IFERROR(
IF(VLOOKUP($C245,'Employee information'!$B:$M,COLUMNS('Employee information'!$B:$M),0)=55,
IF($E$2="Fortnightly",
ROUND(
ROUND((((TRUNC($AN245/2,0)+0.99))*VLOOKUP((TRUNC($AN245/2,0)+0.99),'Tax scales - NAT 3539'!$A$99:$C$123,2,1)-VLOOKUP((TRUNC($AN245/2,0)+0.99),'Tax scales - NAT 3539'!$A$99:$C$123,3,1)),0)
*2,
0),
IF(AND($E$2="Monthly",ROUND($AN245-TRUNC($AN245),2)=0.33),
ROUND(
ROUND(((TRUNC(($AN245+0.01)*3/13,0)+0.99)*VLOOKUP((TRUNC(($AN245+0.01)*3/13,0)+0.99),'Tax scales - NAT 3539'!$A$99:$C$123,2,1)-VLOOKUP((TRUNC(($AN245+0.01)*3/13,0)+0.99),'Tax scales - NAT 3539'!$A$99:$C$123,3,1)),0)
*13/3,
0),
IF($E$2="Monthly",
ROUND(
ROUND(((TRUNC($AN245*3/13,0)+0.99)*VLOOKUP((TRUNC($AN245*3/13,0)+0.99),'Tax scales - NAT 3539'!$A$99:$C$123,2,1)-VLOOKUP((TRUNC($AN245*3/13,0)+0.99),'Tax scales - NAT 3539'!$A$99:$C$123,3,1)),0)
*13/3,
0),
""))),
""),
"")</f>
        <v/>
      </c>
      <c r="AY245" s="118" t="str">
        <f>IFERROR(
IF(VLOOKUP($C245,'Employee information'!$B:$M,COLUMNS('Employee information'!$B:$M),0)=66,
IF($E$2="Fortnightly",
ROUND(
ROUND((((TRUNC($AN245/2,0)+0.99))*VLOOKUP((TRUNC($AN245/2,0)+0.99),'Tax scales - NAT 3539'!$A$127:$C$154,2,1)-VLOOKUP((TRUNC($AN245/2,0)+0.99),'Tax scales - NAT 3539'!$A$127:$C$154,3,1)),0)
*2,
0),
IF(AND($E$2="Monthly",ROUND($AN245-TRUNC($AN245),2)=0.33),
ROUND(
ROUND(((TRUNC(($AN245+0.01)*3/13,0)+0.99)*VLOOKUP((TRUNC(($AN245+0.01)*3/13,0)+0.99),'Tax scales - NAT 3539'!$A$127:$C$154,2,1)-VLOOKUP((TRUNC(($AN245+0.01)*3/13,0)+0.99),'Tax scales - NAT 3539'!$A$127:$C$154,3,1)),0)
*13/3,
0),
IF($E$2="Monthly",
ROUND(
ROUND(((TRUNC($AN245*3/13,0)+0.99)*VLOOKUP((TRUNC($AN245*3/13,0)+0.99),'Tax scales - NAT 3539'!$A$127:$C$154,2,1)-VLOOKUP((TRUNC($AN245*3/13,0)+0.99),'Tax scales - NAT 3539'!$A$127:$C$154,3,1)),0)
*13/3,
0),
""))),
""),
"")</f>
        <v/>
      </c>
      <c r="AZ245" s="118">
        <f>IFERROR(
HLOOKUP(VLOOKUP($C245,'Employee information'!$B:$M,COLUMNS('Employee information'!$B:$M),0),'PAYG worksheet'!$AO$242:$AY$261,COUNTA($C$243:$C245)+1,0),
0)</f>
        <v>0</v>
      </c>
      <c r="BA245" s="118"/>
      <c r="BB245" s="118">
        <f t="shared" si="263"/>
        <v>0</v>
      </c>
      <c r="BC245" s="119">
        <f>IFERROR(
IF(OR($AE245=1,$AE245=""),SUM($P245,$AA245,$AC245,$AK245)*VLOOKUP($C245,'Employee information'!$B:$Q,COLUMNS('Employee information'!$B:$H),0),
IF($AE245=0,SUM($P245,$AA245,$AK245)*VLOOKUP($C245,'Employee information'!$B:$Q,COLUMNS('Employee information'!$B:$H),0),
0)),
0)</f>
        <v>0</v>
      </c>
      <c r="BE245" s="114">
        <f t="shared" si="248"/>
        <v>900</v>
      </c>
      <c r="BF245" s="114">
        <f t="shared" si="249"/>
        <v>900</v>
      </c>
      <c r="BG245" s="114">
        <f t="shared" si="250"/>
        <v>0</v>
      </c>
      <c r="BH245" s="114">
        <f t="shared" si="251"/>
        <v>0</v>
      </c>
      <c r="BI245" s="114">
        <f t="shared" si="252"/>
        <v>292</v>
      </c>
      <c r="BJ245" s="114">
        <f t="shared" si="253"/>
        <v>0</v>
      </c>
      <c r="BK245" s="114">
        <f t="shared" si="254"/>
        <v>0</v>
      </c>
      <c r="BL245" s="114">
        <f t="shared" si="264"/>
        <v>0</v>
      </c>
      <c r="BM245" s="114">
        <f t="shared" si="255"/>
        <v>85.5</v>
      </c>
    </row>
    <row r="246" spans="1:65" x14ac:dyDescent="0.25">
      <c r="A246" s="228">
        <f t="shared" si="243"/>
        <v>9</v>
      </c>
      <c r="C246" s="278" t="s">
        <v>15</v>
      </c>
      <c r="E246" s="103">
        <f>IF($C246="",0,
IF(AND($E$2="Monthly",$A246&gt;12),0,
IF($E$2="Monthly",VLOOKUP($C246,'Employee information'!$B:$AM,COLUMNS('Employee information'!$B:S),0),
IF($E$2="Fortnightly",VLOOKUP($C246,'Employee information'!$B:$AM,COLUMNS('Employee information'!$B:R),0),
0))))</f>
        <v>75</v>
      </c>
      <c r="F246" s="106"/>
      <c r="G246" s="106"/>
      <c r="H246" s="106"/>
      <c r="I246" s="106"/>
      <c r="J246" s="103">
        <f t="shared" si="256"/>
        <v>75</v>
      </c>
      <c r="L246" s="113">
        <f>IF(AND($E$2="Monthly",$A246&gt;12),"",
IFERROR($J246*VLOOKUP($C246,'Employee information'!$B:$AI,COLUMNS('Employee information'!$B:$P),0),0))</f>
        <v>7692.3076923076924</v>
      </c>
      <c r="M246" s="114">
        <f t="shared" si="257"/>
        <v>69230.769230769234</v>
      </c>
      <c r="O246" s="103">
        <f t="shared" si="258"/>
        <v>75</v>
      </c>
      <c r="P246" s="113">
        <f>IFERROR(
IF(AND($E$2="Monthly",$A246&gt;12),0,
$O246*VLOOKUP($C246,'Employee information'!$B:$AI,COLUMNS('Employee information'!$B:$P),0)),
0)</f>
        <v>7692.3076923076924</v>
      </c>
      <c r="R246" s="114">
        <f t="shared" si="244"/>
        <v>69230.769230769234</v>
      </c>
      <c r="T246" s="103"/>
      <c r="U246" s="103"/>
      <c r="V246" s="282">
        <f>IF($C246="","",
IF(AND($E$2="Monthly",$A246&gt;12),"",
$T246*VLOOKUP($C246,'Employee information'!$B:$P,COLUMNS('Employee information'!$B:$P),0)))</f>
        <v>0</v>
      </c>
      <c r="W246" s="282">
        <f>IF($C246="","",
IF(AND($E$2="Monthly",$A246&gt;12),"",
$U246*VLOOKUP($C246,'Employee information'!$B:$P,COLUMNS('Employee information'!$B:$P),0)))</f>
        <v>0</v>
      </c>
      <c r="X246" s="114">
        <f t="shared" si="245"/>
        <v>1538.4615384615386</v>
      </c>
      <c r="Y246" s="114">
        <f t="shared" si="246"/>
        <v>512.82051282051282</v>
      </c>
      <c r="AA246" s="118">
        <f>IFERROR(
IF(OR('Basic payroll data'!$D$12="",'Basic payroll data'!$D$12="No"),0,
$T246*VLOOKUP($C246,'Employee information'!$B:$P,COLUMNS('Employee information'!$B:$P),0)*AL_loading_perc),
0)</f>
        <v>0</v>
      </c>
      <c r="AC246" s="118"/>
      <c r="AD246" s="118"/>
      <c r="AE246" s="283" t="str">
        <f t="shared" si="259"/>
        <v/>
      </c>
      <c r="AF246" s="283" t="str">
        <f t="shared" si="260"/>
        <v/>
      </c>
      <c r="AG246" s="118"/>
      <c r="AH246" s="118"/>
      <c r="AI246" s="283" t="str">
        <f t="shared" si="261"/>
        <v/>
      </c>
      <c r="AJ246" s="118"/>
      <c r="AK246" s="118"/>
      <c r="AM246" s="118">
        <f t="shared" si="262"/>
        <v>7692.3076923076924</v>
      </c>
      <c r="AN246" s="118">
        <f t="shared" si="247"/>
        <v>7692.3076923076924</v>
      </c>
      <c r="AO246" s="118" t="str">
        <f>IFERROR(
IF(VLOOKUP($C246,'Employee information'!$B:$M,COLUMNS('Employee information'!$B:$M),0)=1,
IF($E$2="Fortnightly",
ROUND(
ROUND((((TRUNC($AN246/2,0)+0.99))*VLOOKUP((TRUNC($AN246/2,0)+0.99),'Tax scales - NAT 1004'!$A$12:$C$18,2,1)-VLOOKUP((TRUNC($AN246/2,0)+0.99),'Tax scales - NAT 1004'!$A$12:$C$18,3,1)),0)
*2,
0),
IF(AND($E$2="Monthly",ROUND($AN246-TRUNC($AN246),2)=0.33),
ROUND(
ROUND(((TRUNC(($AN246+0.01)*3/13,0)+0.99)*VLOOKUP((TRUNC(($AN246+0.01)*3/13,0)+0.99),'Tax scales - NAT 1004'!$A$12:$C$18,2,1)-VLOOKUP((TRUNC(($AN246+0.01)*3/13,0)+0.99),'Tax scales - NAT 1004'!$A$12:$C$18,3,1)),0)
*13/3,
0),
IF($E$2="Monthly",
ROUND(
ROUND(((TRUNC($AN246*3/13,0)+0.99)*VLOOKUP((TRUNC($AN246*3/13,0)+0.99),'Tax scales - NAT 1004'!$A$12:$C$18,2,1)-VLOOKUP((TRUNC($AN246*3/13,0)+0.99),'Tax scales - NAT 1004'!$A$12:$C$18,3,1)),0)
*13/3,
0),
""))),
""),
"")</f>
        <v/>
      </c>
      <c r="AP246" s="118" t="str">
        <f>IFERROR(
IF(VLOOKUP($C246,'Employee information'!$B:$M,COLUMNS('Employee information'!$B:$M),0)=2,
IF($E$2="Fortnightly",
ROUND(
ROUND((((TRUNC($AN246/2,0)+0.99))*VLOOKUP((TRUNC($AN246/2,0)+0.99),'Tax scales - NAT 1004'!$A$25:$C$33,2,1)-VLOOKUP((TRUNC($AN246/2,0)+0.99),'Tax scales - NAT 1004'!$A$25:$C$33,3,1)),0)
*2,
0),
IF(AND($E$2="Monthly",ROUND($AN246-TRUNC($AN246),2)=0.33),
ROUND(
ROUND(((TRUNC(($AN246+0.01)*3/13,0)+0.99)*VLOOKUP((TRUNC(($AN246+0.01)*3/13,0)+0.99),'Tax scales - NAT 1004'!$A$25:$C$33,2,1)-VLOOKUP((TRUNC(($AN246+0.01)*3/13,0)+0.99),'Tax scales - NAT 1004'!$A$25:$C$33,3,1)),0)
*13/3,
0),
IF($E$2="Monthly",
ROUND(
ROUND(((TRUNC($AN246*3/13,0)+0.99)*VLOOKUP((TRUNC($AN246*3/13,0)+0.99),'Tax scales - NAT 1004'!$A$25:$C$33,2,1)-VLOOKUP((TRUNC($AN246*3/13,0)+0.99),'Tax scales - NAT 1004'!$A$25:$C$33,3,1)),0)
*13/3,
0),
""))),
""),
"")</f>
        <v/>
      </c>
      <c r="AQ246" s="118" t="str">
        <f>IFERROR(
IF(VLOOKUP($C246,'Employee information'!$B:$M,COLUMNS('Employee information'!$B:$M),0)=3,
IF($E$2="Fortnightly",
ROUND(
ROUND((((TRUNC($AN246/2,0)+0.99))*VLOOKUP((TRUNC($AN246/2,0)+0.99),'Tax scales - NAT 1004'!$A$39:$C$41,2,1)-VLOOKUP((TRUNC($AN246/2,0)+0.99),'Tax scales - NAT 1004'!$A$39:$C$41,3,1)),0)
*2,
0),
IF(AND($E$2="Monthly",ROUND($AN246-TRUNC($AN246),2)=0.33),
ROUND(
ROUND(((TRUNC(($AN246+0.01)*3/13,0)+0.99)*VLOOKUP((TRUNC(($AN246+0.01)*3/13,0)+0.99),'Tax scales - NAT 1004'!$A$39:$C$41,2,1)-VLOOKUP((TRUNC(($AN246+0.01)*3/13,0)+0.99),'Tax scales - NAT 1004'!$A$39:$C$41,3,1)),0)
*13/3,
0),
IF($E$2="Monthly",
ROUND(
ROUND(((TRUNC($AN246*3/13,0)+0.99)*VLOOKUP((TRUNC($AN246*3/13,0)+0.99),'Tax scales - NAT 1004'!$A$39:$C$41,2,1)-VLOOKUP((TRUNC($AN246*3/13,0)+0.99),'Tax scales - NAT 1004'!$A$39:$C$41,3,1)),0)
*13/3,
0),
""))),
""),
"")</f>
        <v/>
      </c>
      <c r="AR246" s="118" t="str">
        <f>IFERROR(
IF(AND(VLOOKUP($C246,'Employee information'!$B:$M,COLUMNS('Employee information'!$B:$M),0)=4,
VLOOKUP($C246,'Employee information'!$B:$J,COLUMNS('Employee information'!$B:$J),0)="Resident"),
TRUNC(TRUNC($AN246)*'Tax scales - NAT 1004'!$B$47),
IF(AND(VLOOKUP($C246,'Employee information'!$B:$M,COLUMNS('Employee information'!$B:$M),0)=4,
VLOOKUP($C246,'Employee information'!$B:$J,COLUMNS('Employee information'!$B:$J),0)="Foreign resident"),
TRUNC(TRUNC($AN246)*'Tax scales - NAT 1004'!$B$48),
"")),
"")</f>
        <v/>
      </c>
      <c r="AS246" s="118" t="str">
        <f>IFERROR(
IF(VLOOKUP($C246,'Employee information'!$B:$M,COLUMNS('Employee information'!$B:$M),0)=5,
IF($E$2="Fortnightly",
ROUND(
ROUND((((TRUNC($AN246/2,0)+0.99))*VLOOKUP((TRUNC($AN246/2,0)+0.99),'Tax scales - NAT 1004'!$A$53:$C$59,2,1)-VLOOKUP((TRUNC($AN246/2,0)+0.99),'Tax scales - NAT 1004'!$A$53:$C$59,3,1)),0)
*2,
0),
IF(AND($E$2="Monthly",ROUND($AN246-TRUNC($AN246),2)=0.33),
ROUND(
ROUND(((TRUNC(($AN246+0.01)*3/13,0)+0.99)*VLOOKUP((TRUNC(($AN246+0.01)*3/13,0)+0.99),'Tax scales - NAT 1004'!$A$53:$C$59,2,1)-VLOOKUP((TRUNC(($AN246+0.01)*3/13,0)+0.99),'Tax scales - NAT 1004'!$A$53:$C$59,3,1)),0)
*13/3,
0),
IF($E$2="Monthly",
ROUND(
ROUND(((TRUNC($AN246*3/13,0)+0.99)*VLOOKUP((TRUNC($AN246*3/13,0)+0.99),'Tax scales - NAT 1004'!$A$53:$C$59,2,1)-VLOOKUP((TRUNC($AN246*3/13,0)+0.99),'Tax scales - NAT 1004'!$A$53:$C$59,3,1)),0)
*13/3,
0),
""))),
""),
"")</f>
        <v/>
      </c>
      <c r="AT246" s="118" t="str">
        <f>IFERROR(
IF(VLOOKUP($C246,'Employee information'!$B:$M,COLUMNS('Employee information'!$B:$M),0)=6,
IF($E$2="Fortnightly",
ROUND(
ROUND((((TRUNC($AN246/2,0)+0.99))*VLOOKUP((TRUNC($AN246/2,0)+0.99),'Tax scales - NAT 1004'!$A$65:$C$73,2,1)-VLOOKUP((TRUNC($AN246/2,0)+0.99),'Tax scales - NAT 1004'!$A$65:$C$73,3,1)),0)
*2,
0),
IF(AND($E$2="Monthly",ROUND($AN246-TRUNC($AN246),2)=0.33),
ROUND(
ROUND(((TRUNC(($AN246+0.01)*3/13,0)+0.99)*VLOOKUP((TRUNC(($AN246+0.01)*3/13,0)+0.99),'Tax scales - NAT 1004'!$A$65:$C$73,2,1)-VLOOKUP((TRUNC(($AN246+0.01)*3/13,0)+0.99),'Tax scales - NAT 1004'!$A$65:$C$73,3,1)),0)
*13/3,
0),
IF($E$2="Monthly",
ROUND(
ROUND(((TRUNC($AN246*3/13,0)+0.99)*VLOOKUP((TRUNC($AN246*3/13,0)+0.99),'Tax scales - NAT 1004'!$A$65:$C$73,2,1)-VLOOKUP((TRUNC($AN246*3/13,0)+0.99),'Tax scales - NAT 1004'!$A$65:$C$73,3,1)),0)
*13/3,
0),
""))),
""),
"")</f>
        <v/>
      </c>
      <c r="AU246" s="118" t="str">
        <f>IFERROR(
IF(VLOOKUP($C246,'Employee information'!$B:$M,COLUMNS('Employee information'!$B:$M),0)=11,
IF($E$2="Fortnightly",
ROUND(
ROUND((((TRUNC($AN246/2,0)+0.99))*VLOOKUP((TRUNC($AN246/2,0)+0.99),'Tax scales - NAT 3539'!$A$14:$C$38,2,1)-VLOOKUP((TRUNC($AN246/2,0)+0.99),'Tax scales - NAT 3539'!$A$14:$C$38,3,1)),0)
*2,
0),
IF(AND($E$2="Monthly",ROUND($AN246-TRUNC($AN246),2)=0.33),
ROUND(
ROUND(((TRUNC(($AN246+0.01)*3/13,0)+0.99)*VLOOKUP((TRUNC(($AN246+0.01)*3/13,0)+0.99),'Tax scales - NAT 3539'!$A$14:$C$38,2,1)-VLOOKUP((TRUNC(($AN246+0.01)*3/13,0)+0.99),'Tax scales - NAT 3539'!$A$14:$C$38,3,1)),0)
*13/3,
0),
IF($E$2="Monthly",
ROUND(
ROUND(((TRUNC($AN246*3/13,0)+0.99)*VLOOKUP((TRUNC($AN246*3/13,0)+0.99),'Tax scales - NAT 3539'!$A$14:$C$38,2,1)-VLOOKUP((TRUNC($AN246*3/13,0)+0.99),'Tax scales - NAT 3539'!$A$14:$C$38,3,1)),0)
*13/3,
0),
""))),
""),
"")</f>
        <v/>
      </c>
      <c r="AV246" s="118" t="str">
        <f>IFERROR(
IF(VLOOKUP($C246,'Employee information'!$B:$M,COLUMNS('Employee information'!$B:$M),0)=22,
IF($E$2="Fortnightly",
ROUND(
ROUND((((TRUNC($AN246/2,0)+0.99))*VLOOKUP((TRUNC($AN246/2,0)+0.99),'Tax scales - NAT 3539'!$A$43:$C$69,2,1)-VLOOKUP((TRUNC($AN246/2,0)+0.99),'Tax scales - NAT 3539'!$A$43:$C$69,3,1)),0)
*2,
0),
IF(AND($E$2="Monthly",ROUND($AN246-TRUNC($AN246),2)=0.33),
ROUND(
ROUND(((TRUNC(($AN246+0.01)*3/13,0)+0.99)*VLOOKUP((TRUNC(($AN246+0.01)*3/13,0)+0.99),'Tax scales - NAT 3539'!$A$43:$C$69,2,1)-VLOOKUP((TRUNC(($AN246+0.01)*3/13,0)+0.99),'Tax scales - NAT 3539'!$A$43:$C$69,3,1)),0)
*13/3,
0),
IF($E$2="Monthly",
ROUND(
ROUND(((TRUNC($AN246*3/13,0)+0.99)*VLOOKUP((TRUNC($AN246*3/13,0)+0.99),'Tax scales - NAT 3539'!$A$43:$C$69,2,1)-VLOOKUP((TRUNC($AN246*3/13,0)+0.99),'Tax scales - NAT 3539'!$A$43:$C$69,3,1)),0)
*13/3,
0),
""))),
""),
"")</f>
        <v/>
      </c>
      <c r="AW246" s="118" t="str">
        <f>IFERROR(
IF(VLOOKUP($C246,'Employee information'!$B:$M,COLUMNS('Employee information'!$B:$M),0)=33,
IF($E$2="Fortnightly",
ROUND(
ROUND((((TRUNC($AN246/2,0)+0.99))*VLOOKUP((TRUNC($AN246/2,0)+0.99),'Tax scales - NAT 3539'!$A$74:$C$94,2,1)-VLOOKUP((TRUNC($AN246/2,0)+0.99),'Tax scales - NAT 3539'!$A$74:$C$94,3,1)),0)
*2,
0),
IF(AND($E$2="Monthly",ROUND($AN246-TRUNC($AN246),2)=0.33),
ROUND(
ROUND(((TRUNC(($AN246+0.01)*3/13,0)+0.99)*VLOOKUP((TRUNC(($AN246+0.01)*3/13,0)+0.99),'Tax scales - NAT 3539'!$A$74:$C$94,2,1)-VLOOKUP((TRUNC(($AN246+0.01)*3/13,0)+0.99),'Tax scales - NAT 3539'!$A$74:$C$94,3,1)),0)
*13/3,
0),
IF($E$2="Monthly",
ROUND(
ROUND(((TRUNC($AN246*3/13,0)+0.99)*VLOOKUP((TRUNC($AN246*3/13,0)+0.99),'Tax scales - NAT 3539'!$A$74:$C$94,2,1)-VLOOKUP((TRUNC($AN246*3/13,0)+0.99),'Tax scales - NAT 3539'!$A$74:$C$94,3,1)),0)
*13/3,
0),
""))),
""),
"")</f>
        <v/>
      </c>
      <c r="AX246" s="118">
        <f>IFERROR(
IF(VLOOKUP($C246,'Employee information'!$B:$M,COLUMNS('Employee information'!$B:$M),0)=55,
IF($E$2="Fortnightly",
ROUND(
ROUND((((TRUNC($AN246/2,0)+0.99))*VLOOKUP((TRUNC($AN246/2,0)+0.99),'Tax scales - NAT 3539'!$A$99:$C$123,2,1)-VLOOKUP((TRUNC($AN246/2,0)+0.99),'Tax scales - NAT 3539'!$A$99:$C$123,3,1)),0)
*2,
0),
IF(AND($E$2="Monthly",ROUND($AN246-TRUNC($AN246),2)=0.33),
ROUND(
ROUND(((TRUNC(($AN246+0.01)*3/13,0)+0.99)*VLOOKUP((TRUNC(($AN246+0.01)*3/13,0)+0.99),'Tax scales - NAT 3539'!$A$99:$C$123,2,1)-VLOOKUP((TRUNC(($AN246+0.01)*3/13,0)+0.99),'Tax scales - NAT 3539'!$A$99:$C$123,3,1)),0)
*13/3,
0),
IF($E$2="Monthly",
ROUND(
ROUND(((TRUNC($AN246*3/13,0)+0.99)*VLOOKUP((TRUNC($AN246*3/13,0)+0.99),'Tax scales - NAT 3539'!$A$99:$C$123,2,1)-VLOOKUP((TRUNC($AN246*3/13,0)+0.99),'Tax scales - NAT 3539'!$A$99:$C$123,3,1)),0)
*13/3,
0),
""))),
""),
"")</f>
        <v>3104</v>
      </c>
      <c r="AY246" s="118" t="str">
        <f>IFERROR(
IF(VLOOKUP($C246,'Employee information'!$B:$M,COLUMNS('Employee information'!$B:$M),0)=66,
IF($E$2="Fortnightly",
ROUND(
ROUND((((TRUNC($AN246/2,0)+0.99))*VLOOKUP((TRUNC($AN246/2,0)+0.99),'Tax scales - NAT 3539'!$A$127:$C$154,2,1)-VLOOKUP((TRUNC($AN246/2,0)+0.99),'Tax scales - NAT 3539'!$A$127:$C$154,3,1)),0)
*2,
0),
IF(AND($E$2="Monthly",ROUND($AN246-TRUNC($AN246),2)=0.33),
ROUND(
ROUND(((TRUNC(($AN246+0.01)*3/13,0)+0.99)*VLOOKUP((TRUNC(($AN246+0.01)*3/13,0)+0.99),'Tax scales - NAT 3539'!$A$127:$C$154,2,1)-VLOOKUP((TRUNC(($AN246+0.01)*3/13,0)+0.99),'Tax scales - NAT 3539'!$A$127:$C$154,3,1)),0)
*13/3,
0),
IF($E$2="Monthly",
ROUND(
ROUND(((TRUNC($AN246*3/13,0)+0.99)*VLOOKUP((TRUNC($AN246*3/13,0)+0.99),'Tax scales - NAT 3539'!$A$127:$C$154,2,1)-VLOOKUP((TRUNC($AN246*3/13,0)+0.99),'Tax scales - NAT 3539'!$A$127:$C$154,3,1)),0)
*13/3,
0),
""))),
""),
"")</f>
        <v/>
      </c>
      <c r="AZ246" s="118">
        <f>IFERROR(
HLOOKUP(VLOOKUP($C246,'Employee information'!$B:$M,COLUMNS('Employee information'!$B:$M),0),'PAYG worksheet'!$AO$242:$AY$261,COUNTA($C$243:$C246)+1,0),
0)</f>
        <v>3104</v>
      </c>
      <c r="BA246" s="118"/>
      <c r="BB246" s="118">
        <f t="shared" si="263"/>
        <v>4588.3076923076924</v>
      </c>
      <c r="BC246" s="119">
        <f>IFERROR(
IF(OR($AE246=1,$AE246=""),SUM($P246,$AA246,$AC246,$AK246)*VLOOKUP($C246,'Employee information'!$B:$Q,COLUMNS('Employee information'!$B:$H),0),
IF($AE246=0,SUM($P246,$AA246,$AK246)*VLOOKUP($C246,'Employee information'!$B:$Q,COLUMNS('Employee information'!$B:$H),0),
0)),
0)</f>
        <v>730.76923076923083</v>
      </c>
      <c r="BE246" s="114">
        <f t="shared" si="248"/>
        <v>69370.769230769234</v>
      </c>
      <c r="BF246" s="114">
        <f t="shared" si="249"/>
        <v>69230.769230769234</v>
      </c>
      <c r="BG246" s="114">
        <f t="shared" si="250"/>
        <v>0</v>
      </c>
      <c r="BH246" s="114">
        <f t="shared" si="251"/>
        <v>140</v>
      </c>
      <c r="BI246" s="114">
        <f t="shared" si="252"/>
        <v>27936</v>
      </c>
      <c r="BJ246" s="114">
        <f t="shared" si="253"/>
        <v>0</v>
      </c>
      <c r="BK246" s="114">
        <f t="shared" si="254"/>
        <v>0</v>
      </c>
      <c r="BL246" s="114">
        <f t="shared" si="264"/>
        <v>0</v>
      </c>
      <c r="BM246" s="114">
        <f t="shared" si="255"/>
        <v>6576.9230769230762</v>
      </c>
    </row>
    <row r="247" spans="1:65" x14ac:dyDescent="0.25">
      <c r="A247" s="228">
        <f t="shared" si="243"/>
        <v>9</v>
      </c>
      <c r="C247" s="278" t="s">
        <v>16</v>
      </c>
      <c r="E247" s="103">
        <f>IF($C247="",0,
IF(AND($E$2="Monthly",$A247&gt;12),0,
IF($E$2="Monthly",VLOOKUP($C247,'Employee information'!$B:$AM,COLUMNS('Employee information'!$B:S),0),
IF($E$2="Fortnightly",VLOOKUP($C247,'Employee information'!$B:$AM,COLUMNS('Employee information'!$B:R),0),
0))))</f>
        <v>75</v>
      </c>
      <c r="F247" s="106"/>
      <c r="G247" s="106"/>
      <c r="H247" s="106"/>
      <c r="I247" s="106"/>
      <c r="J247" s="103">
        <f t="shared" si="256"/>
        <v>75</v>
      </c>
      <c r="L247" s="113">
        <f>IF(AND($E$2="Monthly",$A247&gt;12),"",
IFERROR($J247*VLOOKUP($C247,'Employee information'!$B:$AI,COLUMNS('Employee information'!$B:$P),0),0))</f>
        <v>4125</v>
      </c>
      <c r="M247" s="114">
        <f t="shared" si="257"/>
        <v>37125</v>
      </c>
      <c r="O247" s="103">
        <f t="shared" si="258"/>
        <v>75</v>
      </c>
      <c r="P247" s="113">
        <f>IFERROR(
IF(AND($E$2="Monthly",$A247&gt;12),0,
$O247*VLOOKUP($C247,'Employee information'!$B:$AI,COLUMNS('Employee information'!$B:$P),0)),
0)</f>
        <v>4125</v>
      </c>
      <c r="R247" s="114">
        <f t="shared" si="244"/>
        <v>37125</v>
      </c>
      <c r="T247" s="103"/>
      <c r="U247" s="103"/>
      <c r="V247" s="282">
        <f>IF($C247="","",
IF(AND($E$2="Monthly",$A247&gt;12),"",
$T247*VLOOKUP($C247,'Employee information'!$B:$P,COLUMNS('Employee information'!$B:$P),0)))</f>
        <v>0</v>
      </c>
      <c r="W247" s="282">
        <f>IF($C247="","",
IF(AND($E$2="Monthly",$A247&gt;12),"",
$U247*VLOOKUP($C247,'Employee information'!$B:$P,COLUMNS('Employee information'!$B:$P),0)))</f>
        <v>0</v>
      </c>
      <c r="X247" s="114">
        <f t="shared" si="245"/>
        <v>0</v>
      </c>
      <c r="Y247" s="114">
        <f t="shared" si="246"/>
        <v>0</v>
      </c>
      <c r="AA247" s="118">
        <f>IFERROR(
IF(OR('Basic payroll data'!$D$12="",'Basic payroll data'!$D$12="No"),0,
$T247*VLOOKUP($C247,'Employee information'!$B:$P,COLUMNS('Employee information'!$B:$P),0)*AL_loading_perc),
0)</f>
        <v>0</v>
      </c>
      <c r="AC247" s="118"/>
      <c r="AD247" s="118"/>
      <c r="AE247" s="283" t="str">
        <f t="shared" si="259"/>
        <v/>
      </c>
      <c r="AF247" s="283" t="str">
        <f t="shared" si="260"/>
        <v/>
      </c>
      <c r="AG247" s="118"/>
      <c r="AH247" s="118"/>
      <c r="AI247" s="283" t="str">
        <f t="shared" si="261"/>
        <v/>
      </c>
      <c r="AJ247" s="118"/>
      <c r="AK247" s="118"/>
      <c r="AM247" s="118">
        <f t="shared" si="262"/>
        <v>4125</v>
      </c>
      <c r="AN247" s="118">
        <f t="shared" si="247"/>
        <v>4125</v>
      </c>
      <c r="AO247" s="118" t="str">
        <f>IFERROR(
IF(VLOOKUP($C247,'Employee information'!$B:$M,COLUMNS('Employee information'!$B:$M),0)=1,
IF($E$2="Fortnightly",
ROUND(
ROUND((((TRUNC($AN247/2,0)+0.99))*VLOOKUP((TRUNC($AN247/2,0)+0.99),'Tax scales - NAT 1004'!$A$12:$C$18,2,1)-VLOOKUP((TRUNC($AN247/2,0)+0.99),'Tax scales - NAT 1004'!$A$12:$C$18,3,1)),0)
*2,
0),
IF(AND($E$2="Monthly",ROUND($AN247-TRUNC($AN247),2)=0.33),
ROUND(
ROUND(((TRUNC(($AN247+0.01)*3/13,0)+0.99)*VLOOKUP((TRUNC(($AN247+0.01)*3/13,0)+0.99),'Tax scales - NAT 1004'!$A$12:$C$18,2,1)-VLOOKUP((TRUNC(($AN247+0.01)*3/13,0)+0.99),'Tax scales - NAT 1004'!$A$12:$C$18,3,1)),0)
*13/3,
0),
IF($E$2="Monthly",
ROUND(
ROUND(((TRUNC($AN247*3/13,0)+0.99)*VLOOKUP((TRUNC($AN247*3/13,0)+0.99),'Tax scales - NAT 1004'!$A$12:$C$18,2,1)-VLOOKUP((TRUNC($AN247*3/13,0)+0.99),'Tax scales - NAT 1004'!$A$12:$C$18,3,1)),0)
*13/3,
0),
""))),
""),
"")</f>
        <v/>
      </c>
      <c r="AP247" s="118" t="str">
        <f>IFERROR(
IF(VLOOKUP($C247,'Employee information'!$B:$M,COLUMNS('Employee information'!$B:$M),0)=2,
IF($E$2="Fortnightly",
ROUND(
ROUND((((TRUNC($AN247/2,0)+0.99))*VLOOKUP((TRUNC($AN247/2,0)+0.99),'Tax scales - NAT 1004'!$A$25:$C$33,2,1)-VLOOKUP((TRUNC($AN247/2,0)+0.99),'Tax scales - NAT 1004'!$A$25:$C$33,3,1)),0)
*2,
0),
IF(AND($E$2="Monthly",ROUND($AN247-TRUNC($AN247),2)=0.33),
ROUND(
ROUND(((TRUNC(($AN247+0.01)*3/13,0)+0.99)*VLOOKUP((TRUNC(($AN247+0.01)*3/13,0)+0.99),'Tax scales - NAT 1004'!$A$25:$C$33,2,1)-VLOOKUP((TRUNC(($AN247+0.01)*3/13,0)+0.99),'Tax scales - NAT 1004'!$A$25:$C$33,3,1)),0)
*13/3,
0),
IF($E$2="Monthly",
ROUND(
ROUND(((TRUNC($AN247*3/13,0)+0.99)*VLOOKUP((TRUNC($AN247*3/13,0)+0.99),'Tax scales - NAT 1004'!$A$25:$C$33,2,1)-VLOOKUP((TRUNC($AN247*3/13,0)+0.99),'Tax scales - NAT 1004'!$A$25:$C$33,3,1)),0)
*13/3,
0),
""))),
""),
"")</f>
        <v/>
      </c>
      <c r="AQ247" s="118" t="str">
        <f>IFERROR(
IF(VLOOKUP($C247,'Employee information'!$B:$M,COLUMNS('Employee information'!$B:$M),0)=3,
IF($E$2="Fortnightly",
ROUND(
ROUND((((TRUNC($AN247/2,0)+0.99))*VLOOKUP((TRUNC($AN247/2,0)+0.99),'Tax scales - NAT 1004'!$A$39:$C$41,2,1)-VLOOKUP((TRUNC($AN247/2,0)+0.99),'Tax scales - NAT 1004'!$A$39:$C$41,3,1)),0)
*2,
0),
IF(AND($E$2="Monthly",ROUND($AN247-TRUNC($AN247),2)=0.33),
ROUND(
ROUND(((TRUNC(($AN247+0.01)*3/13,0)+0.99)*VLOOKUP((TRUNC(($AN247+0.01)*3/13,0)+0.99),'Tax scales - NAT 1004'!$A$39:$C$41,2,1)-VLOOKUP((TRUNC(($AN247+0.01)*3/13,0)+0.99),'Tax scales - NAT 1004'!$A$39:$C$41,3,1)),0)
*13/3,
0),
IF($E$2="Monthly",
ROUND(
ROUND(((TRUNC($AN247*3/13,0)+0.99)*VLOOKUP((TRUNC($AN247*3/13,0)+0.99),'Tax scales - NAT 1004'!$A$39:$C$41,2,1)-VLOOKUP((TRUNC($AN247*3/13,0)+0.99),'Tax scales - NAT 1004'!$A$39:$C$41,3,1)),0)
*13/3,
0),
""))),
""),
"")</f>
        <v/>
      </c>
      <c r="AR247" s="118" t="str">
        <f>IFERROR(
IF(AND(VLOOKUP($C247,'Employee information'!$B:$M,COLUMNS('Employee information'!$B:$M),0)=4,
VLOOKUP($C247,'Employee information'!$B:$J,COLUMNS('Employee information'!$B:$J),0)="Resident"),
TRUNC(TRUNC($AN247)*'Tax scales - NAT 1004'!$B$47),
IF(AND(VLOOKUP($C247,'Employee information'!$B:$M,COLUMNS('Employee information'!$B:$M),0)=4,
VLOOKUP($C247,'Employee information'!$B:$J,COLUMNS('Employee information'!$B:$J),0)="Foreign resident"),
TRUNC(TRUNC($AN247)*'Tax scales - NAT 1004'!$B$48),
"")),
"")</f>
        <v/>
      </c>
      <c r="AS247" s="118" t="str">
        <f>IFERROR(
IF(VLOOKUP($C247,'Employee information'!$B:$M,COLUMNS('Employee information'!$B:$M),0)=5,
IF($E$2="Fortnightly",
ROUND(
ROUND((((TRUNC($AN247/2,0)+0.99))*VLOOKUP((TRUNC($AN247/2,0)+0.99),'Tax scales - NAT 1004'!$A$53:$C$59,2,1)-VLOOKUP((TRUNC($AN247/2,0)+0.99),'Tax scales - NAT 1004'!$A$53:$C$59,3,1)),0)
*2,
0),
IF(AND($E$2="Monthly",ROUND($AN247-TRUNC($AN247),2)=0.33),
ROUND(
ROUND(((TRUNC(($AN247+0.01)*3/13,0)+0.99)*VLOOKUP((TRUNC(($AN247+0.01)*3/13,0)+0.99),'Tax scales - NAT 1004'!$A$53:$C$59,2,1)-VLOOKUP((TRUNC(($AN247+0.01)*3/13,0)+0.99),'Tax scales - NAT 1004'!$A$53:$C$59,3,1)),0)
*13/3,
0),
IF($E$2="Monthly",
ROUND(
ROUND(((TRUNC($AN247*3/13,0)+0.99)*VLOOKUP((TRUNC($AN247*3/13,0)+0.99),'Tax scales - NAT 1004'!$A$53:$C$59,2,1)-VLOOKUP((TRUNC($AN247*3/13,0)+0.99),'Tax scales - NAT 1004'!$A$53:$C$59,3,1)),0)
*13/3,
0),
""))),
""),
"")</f>
        <v/>
      </c>
      <c r="AT247" s="118" t="str">
        <f>IFERROR(
IF(VLOOKUP($C247,'Employee information'!$B:$M,COLUMNS('Employee information'!$B:$M),0)=6,
IF($E$2="Fortnightly",
ROUND(
ROUND((((TRUNC($AN247/2,0)+0.99))*VLOOKUP((TRUNC($AN247/2,0)+0.99),'Tax scales - NAT 1004'!$A$65:$C$73,2,1)-VLOOKUP((TRUNC($AN247/2,0)+0.99),'Tax scales - NAT 1004'!$A$65:$C$73,3,1)),0)
*2,
0),
IF(AND($E$2="Monthly",ROUND($AN247-TRUNC($AN247),2)=0.33),
ROUND(
ROUND(((TRUNC(($AN247+0.01)*3/13,0)+0.99)*VLOOKUP((TRUNC(($AN247+0.01)*3/13,0)+0.99),'Tax scales - NAT 1004'!$A$65:$C$73,2,1)-VLOOKUP((TRUNC(($AN247+0.01)*3/13,0)+0.99),'Tax scales - NAT 1004'!$A$65:$C$73,3,1)),0)
*13/3,
0),
IF($E$2="Monthly",
ROUND(
ROUND(((TRUNC($AN247*3/13,0)+0.99)*VLOOKUP((TRUNC($AN247*3/13,0)+0.99),'Tax scales - NAT 1004'!$A$65:$C$73,2,1)-VLOOKUP((TRUNC($AN247*3/13,0)+0.99),'Tax scales - NAT 1004'!$A$65:$C$73,3,1)),0)
*13/3,
0),
""))),
""),
"")</f>
        <v/>
      </c>
      <c r="AU247" s="118">
        <f>IFERROR(
IF(VLOOKUP($C247,'Employee information'!$B:$M,COLUMNS('Employee information'!$B:$M),0)=11,
IF($E$2="Fortnightly",
ROUND(
ROUND((((TRUNC($AN247/2,0)+0.99))*VLOOKUP((TRUNC($AN247/2,0)+0.99),'Tax scales - NAT 3539'!$A$14:$C$38,2,1)-VLOOKUP((TRUNC($AN247/2,0)+0.99),'Tax scales - NAT 3539'!$A$14:$C$38,3,1)),0)
*2,
0),
IF(AND($E$2="Monthly",ROUND($AN247-TRUNC($AN247),2)=0.33),
ROUND(
ROUND(((TRUNC(($AN247+0.01)*3/13,0)+0.99)*VLOOKUP((TRUNC(($AN247+0.01)*3/13,0)+0.99),'Tax scales - NAT 3539'!$A$14:$C$38,2,1)-VLOOKUP((TRUNC(($AN247+0.01)*3/13,0)+0.99),'Tax scales - NAT 3539'!$A$14:$C$38,3,1)),0)
*13/3,
0),
IF($E$2="Monthly",
ROUND(
ROUND(((TRUNC($AN247*3/13,0)+0.99)*VLOOKUP((TRUNC($AN247*3/13,0)+0.99),'Tax scales - NAT 3539'!$A$14:$C$38,2,1)-VLOOKUP((TRUNC($AN247*3/13,0)+0.99),'Tax scales - NAT 3539'!$A$14:$C$38,3,1)),0)
*13/3,
0),
""))),
""),
"")</f>
        <v>1680</v>
      </c>
      <c r="AV247" s="118" t="str">
        <f>IFERROR(
IF(VLOOKUP($C247,'Employee information'!$B:$M,COLUMNS('Employee information'!$B:$M),0)=22,
IF($E$2="Fortnightly",
ROUND(
ROUND((((TRUNC($AN247/2,0)+0.99))*VLOOKUP((TRUNC($AN247/2,0)+0.99),'Tax scales - NAT 3539'!$A$43:$C$69,2,1)-VLOOKUP((TRUNC($AN247/2,0)+0.99),'Tax scales - NAT 3539'!$A$43:$C$69,3,1)),0)
*2,
0),
IF(AND($E$2="Monthly",ROUND($AN247-TRUNC($AN247),2)=0.33),
ROUND(
ROUND(((TRUNC(($AN247+0.01)*3/13,0)+0.99)*VLOOKUP((TRUNC(($AN247+0.01)*3/13,0)+0.99),'Tax scales - NAT 3539'!$A$43:$C$69,2,1)-VLOOKUP((TRUNC(($AN247+0.01)*3/13,0)+0.99),'Tax scales - NAT 3539'!$A$43:$C$69,3,1)),0)
*13/3,
0),
IF($E$2="Monthly",
ROUND(
ROUND(((TRUNC($AN247*3/13,0)+0.99)*VLOOKUP((TRUNC($AN247*3/13,0)+0.99),'Tax scales - NAT 3539'!$A$43:$C$69,2,1)-VLOOKUP((TRUNC($AN247*3/13,0)+0.99),'Tax scales - NAT 3539'!$A$43:$C$69,3,1)),0)
*13/3,
0),
""))),
""),
"")</f>
        <v/>
      </c>
      <c r="AW247" s="118" t="str">
        <f>IFERROR(
IF(VLOOKUP($C247,'Employee information'!$B:$M,COLUMNS('Employee information'!$B:$M),0)=33,
IF($E$2="Fortnightly",
ROUND(
ROUND((((TRUNC($AN247/2,0)+0.99))*VLOOKUP((TRUNC($AN247/2,0)+0.99),'Tax scales - NAT 3539'!$A$74:$C$94,2,1)-VLOOKUP((TRUNC($AN247/2,0)+0.99),'Tax scales - NAT 3539'!$A$74:$C$94,3,1)),0)
*2,
0),
IF(AND($E$2="Monthly",ROUND($AN247-TRUNC($AN247),2)=0.33),
ROUND(
ROUND(((TRUNC(($AN247+0.01)*3/13,0)+0.99)*VLOOKUP((TRUNC(($AN247+0.01)*3/13,0)+0.99),'Tax scales - NAT 3539'!$A$74:$C$94,2,1)-VLOOKUP((TRUNC(($AN247+0.01)*3/13,0)+0.99),'Tax scales - NAT 3539'!$A$74:$C$94,3,1)),0)
*13/3,
0),
IF($E$2="Monthly",
ROUND(
ROUND(((TRUNC($AN247*3/13,0)+0.99)*VLOOKUP((TRUNC($AN247*3/13,0)+0.99),'Tax scales - NAT 3539'!$A$74:$C$94,2,1)-VLOOKUP((TRUNC($AN247*3/13,0)+0.99),'Tax scales - NAT 3539'!$A$74:$C$94,3,1)),0)
*13/3,
0),
""))),
""),
"")</f>
        <v/>
      </c>
      <c r="AX247" s="118" t="str">
        <f>IFERROR(
IF(VLOOKUP($C247,'Employee information'!$B:$M,COLUMNS('Employee information'!$B:$M),0)=55,
IF($E$2="Fortnightly",
ROUND(
ROUND((((TRUNC($AN247/2,0)+0.99))*VLOOKUP((TRUNC($AN247/2,0)+0.99),'Tax scales - NAT 3539'!$A$99:$C$123,2,1)-VLOOKUP((TRUNC($AN247/2,0)+0.99),'Tax scales - NAT 3539'!$A$99:$C$123,3,1)),0)
*2,
0),
IF(AND($E$2="Monthly",ROUND($AN247-TRUNC($AN247),2)=0.33),
ROUND(
ROUND(((TRUNC(($AN247+0.01)*3/13,0)+0.99)*VLOOKUP((TRUNC(($AN247+0.01)*3/13,0)+0.99),'Tax scales - NAT 3539'!$A$99:$C$123,2,1)-VLOOKUP((TRUNC(($AN247+0.01)*3/13,0)+0.99),'Tax scales - NAT 3539'!$A$99:$C$123,3,1)),0)
*13/3,
0),
IF($E$2="Monthly",
ROUND(
ROUND(((TRUNC($AN247*3/13,0)+0.99)*VLOOKUP((TRUNC($AN247*3/13,0)+0.99),'Tax scales - NAT 3539'!$A$99:$C$123,2,1)-VLOOKUP((TRUNC($AN247*3/13,0)+0.99),'Tax scales - NAT 3539'!$A$99:$C$123,3,1)),0)
*13/3,
0),
""))),
""),
"")</f>
        <v/>
      </c>
      <c r="AY247" s="118" t="str">
        <f>IFERROR(
IF(VLOOKUP($C247,'Employee information'!$B:$M,COLUMNS('Employee information'!$B:$M),0)=66,
IF($E$2="Fortnightly",
ROUND(
ROUND((((TRUNC($AN247/2,0)+0.99))*VLOOKUP((TRUNC($AN247/2,0)+0.99),'Tax scales - NAT 3539'!$A$127:$C$154,2,1)-VLOOKUP((TRUNC($AN247/2,0)+0.99),'Tax scales - NAT 3539'!$A$127:$C$154,3,1)),0)
*2,
0),
IF(AND($E$2="Monthly",ROUND($AN247-TRUNC($AN247),2)=0.33),
ROUND(
ROUND(((TRUNC(($AN247+0.01)*3/13,0)+0.99)*VLOOKUP((TRUNC(($AN247+0.01)*3/13,0)+0.99),'Tax scales - NAT 3539'!$A$127:$C$154,2,1)-VLOOKUP((TRUNC(($AN247+0.01)*3/13,0)+0.99),'Tax scales - NAT 3539'!$A$127:$C$154,3,1)),0)
*13/3,
0),
IF($E$2="Monthly",
ROUND(
ROUND(((TRUNC($AN247*3/13,0)+0.99)*VLOOKUP((TRUNC($AN247*3/13,0)+0.99),'Tax scales - NAT 3539'!$A$127:$C$154,2,1)-VLOOKUP((TRUNC($AN247*3/13,0)+0.99),'Tax scales - NAT 3539'!$A$127:$C$154,3,1)),0)
*13/3,
0),
""))),
""),
"")</f>
        <v/>
      </c>
      <c r="AZ247" s="118">
        <f>IFERROR(
HLOOKUP(VLOOKUP($C247,'Employee information'!$B:$M,COLUMNS('Employee information'!$B:$M),0),'PAYG worksheet'!$AO$242:$AY$261,COUNTA($C$243:$C247)+1,0),
0)</f>
        <v>1680</v>
      </c>
      <c r="BA247" s="118"/>
      <c r="BB247" s="118">
        <f t="shared" si="263"/>
        <v>2445</v>
      </c>
      <c r="BC247" s="119">
        <f>IFERROR(
IF(OR($AE247=1,$AE247=""),SUM($P247,$AA247,$AC247,$AK247)*VLOOKUP($C247,'Employee information'!$B:$Q,COLUMNS('Employee information'!$B:$H),0),
IF($AE247=0,SUM($P247,$AA247,$AK247)*VLOOKUP($C247,'Employee information'!$B:$Q,COLUMNS('Employee information'!$B:$H),0),
0)),
0)</f>
        <v>391.875</v>
      </c>
      <c r="BE247" s="114">
        <f t="shared" si="248"/>
        <v>37225</v>
      </c>
      <c r="BF247" s="114">
        <f t="shared" si="249"/>
        <v>37225</v>
      </c>
      <c r="BG247" s="114">
        <f t="shared" si="250"/>
        <v>0</v>
      </c>
      <c r="BH247" s="114">
        <f t="shared" si="251"/>
        <v>0</v>
      </c>
      <c r="BI247" s="114">
        <f t="shared" si="252"/>
        <v>15168</v>
      </c>
      <c r="BJ247" s="114">
        <f t="shared" si="253"/>
        <v>0</v>
      </c>
      <c r="BK247" s="114">
        <f t="shared" si="254"/>
        <v>0</v>
      </c>
      <c r="BL247" s="114">
        <f t="shared" si="264"/>
        <v>100</v>
      </c>
      <c r="BM247" s="114">
        <f t="shared" si="255"/>
        <v>3536.375</v>
      </c>
    </row>
    <row r="248" spans="1:65" x14ac:dyDescent="0.25">
      <c r="A248" s="228">
        <f t="shared" si="243"/>
        <v>9</v>
      </c>
      <c r="C248" s="278" t="s">
        <v>17</v>
      </c>
      <c r="E248" s="103">
        <f>IF($C248="",0,
IF(AND($E$2="Monthly",$A248&gt;12),0,
IF($E$2="Monthly",VLOOKUP($C248,'Employee information'!$B:$AM,COLUMNS('Employee information'!$B:S),0),
IF($E$2="Fortnightly",VLOOKUP($C248,'Employee information'!$B:$AM,COLUMNS('Employee information'!$B:R),0),
0))))</f>
        <v>75</v>
      </c>
      <c r="F248" s="106"/>
      <c r="G248" s="106"/>
      <c r="H248" s="106"/>
      <c r="I248" s="106"/>
      <c r="J248" s="103">
        <f t="shared" si="256"/>
        <v>75</v>
      </c>
      <c r="L248" s="113">
        <f>IF(AND($E$2="Monthly",$A248&gt;12),"",
IFERROR($J248*VLOOKUP($C248,'Employee information'!$B:$AI,COLUMNS('Employee information'!$B:$P),0),0))</f>
        <v>2500</v>
      </c>
      <c r="M248" s="114">
        <f t="shared" si="257"/>
        <v>22500</v>
      </c>
      <c r="O248" s="103">
        <f t="shared" si="258"/>
        <v>75</v>
      </c>
      <c r="P248" s="113">
        <f>IFERROR(
IF(AND($E$2="Monthly",$A248&gt;12),0,
$O248*VLOOKUP($C248,'Employee information'!$B:$AI,COLUMNS('Employee information'!$B:$P),0)),
0)</f>
        <v>2500</v>
      </c>
      <c r="R248" s="114">
        <f t="shared" si="244"/>
        <v>22500</v>
      </c>
      <c r="T248" s="103"/>
      <c r="U248" s="103"/>
      <c r="V248" s="282">
        <f>IF($C248="","",
IF(AND($E$2="Monthly",$A248&gt;12),"",
$T248*VLOOKUP($C248,'Employee information'!$B:$P,COLUMNS('Employee information'!$B:$P),0)))</f>
        <v>0</v>
      </c>
      <c r="W248" s="282">
        <f>IF($C248="","",
IF(AND($E$2="Monthly",$A248&gt;12),"",
$U248*VLOOKUP($C248,'Employee information'!$B:$P,COLUMNS('Employee information'!$B:$P),0)))</f>
        <v>0</v>
      </c>
      <c r="X248" s="114">
        <f t="shared" si="245"/>
        <v>0</v>
      </c>
      <c r="Y248" s="114">
        <f t="shared" si="246"/>
        <v>0</v>
      </c>
      <c r="AA248" s="118">
        <f>IFERROR(
IF(OR('Basic payroll data'!$D$12="",'Basic payroll data'!$D$12="No"),0,
$T248*VLOOKUP($C248,'Employee information'!$B:$P,COLUMNS('Employee information'!$B:$P),0)*AL_loading_perc),
0)</f>
        <v>0</v>
      </c>
      <c r="AC248" s="118"/>
      <c r="AD248" s="118"/>
      <c r="AE248" s="283" t="str">
        <f t="shared" si="259"/>
        <v/>
      </c>
      <c r="AF248" s="283" t="str">
        <f t="shared" si="260"/>
        <v/>
      </c>
      <c r="AG248" s="118"/>
      <c r="AH248" s="118"/>
      <c r="AI248" s="283" t="str">
        <f t="shared" si="261"/>
        <v/>
      </c>
      <c r="AJ248" s="118"/>
      <c r="AK248" s="118"/>
      <c r="AM248" s="118">
        <f t="shared" si="262"/>
        <v>2500</v>
      </c>
      <c r="AN248" s="118">
        <f t="shared" si="247"/>
        <v>2500</v>
      </c>
      <c r="AO248" s="118" t="str">
        <f>IFERROR(
IF(VLOOKUP($C248,'Employee information'!$B:$M,COLUMNS('Employee information'!$B:$M),0)=1,
IF($E$2="Fortnightly",
ROUND(
ROUND((((TRUNC($AN248/2,0)+0.99))*VLOOKUP((TRUNC($AN248/2,0)+0.99),'Tax scales - NAT 1004'!$A$12:$C$18,2,1)-VLOOKUP((TRUNC($AN248/2,0)+0.99),'Tax scales - NAT 1004'!$A$12:$C$18,3,1)),0)
*2,
0),
IF(AND($E$2="Monthly",ROUND($AN248-TRUNC($AN248),2)=0.33),
ROUND(
ROUND(((TRUNC(($AN248+0.01)*3/13,0)+0.99)*VLOOKUP((TRUNC(($AN248+0.01)*3/13,0)+0.99),'Tax scales - NAT 1004'!$A$12:$C$18,2,1)-VLOOKUP((TRUNC(($AN248+0.01)*3/13,0)+0.99),'Tax scales - NAT 1004'!$A$12:$C$18,3,1)),0)
*13/3,
0),
IF($E$2="Monthly",
ROUND(
ROUND(((TRUNC($AN248*3/13,0)+0.99)*VLOOKUP((TRUNC($AN248*3/13,0)+0.99),'Tax scales - NAT 1004'!$A$12:$C$18,2,1)-VLOOKUP((TRUNC($AN248*3/13,0)+0.99),'Tax scales - NAT 1004'!$A$12:$C$18,3,1)),0)
*13/3,
0),
""))),
""),
"")</f>
        <v/>
      </c>
      <c r="AP248" s="118" t="str">
        <f>IFERROR(
IF(VLOOKUP($C248,'Employee information'!$B:$M,COLUMNS('Employee information'!$B:$M),0)=2,
IF($E$2="Fortnightly",
ROUND(
ROUND((((TRUNC($AN248/2,0)+0.99))*VLOOKUP((TRUNC($AN248/2,0)+0.99),'Tax scales - NAT 1004'!$A$25:$C$33,2,1)-VLOOKUP((TRUNC($AN248/2,0)+0.99),'Tax scales - NAT 1004'!$A$25:$C$33,3,1)),0)
*2,
0),
IF(AND($E$2="Monthly",ROUND($AN248-TRUNC($AN248),2)=0.33),
ROUND(
ROUND(((TRUNC(($AN248+0.01)*3/13,0)+0.99)*VLOOKUP((TRUNC(($AN248+0.01)*3/13,0)+0.99),'Tax scales - NAT 1004'!$A$25:$C$33,2,1)-VLOOKUP((TRUNC(($AN248+0.01)*3/13,0)+0.99),'Tax scales - NAT 1004'!$A$25:$C$33,3,1)),0)
*13/3,
0),
IF($E$2="Monthly",
ROUND(
ROUND(((TRUNC($AN248*3/13,0)+0.99)*VLOOKUP((TRUNC($AN248*3/13,0)+0.99),'Tax scales - NAT 1004'!$A$25:$C$33,2,1)-VLOOKUP((TRUNC($AN248*3/13,0)+0.99),'Tax scales - NAT 1004'!$A$25:$C$33,3,1)),0)
*13/3,
0),
""))),
""),
"")</f>
        <v/>
      </c>
      <c r="AQ248" s="118" t="str">
        <f>IFERROR(
IF(VLOOKUP($C248,'Employee information'!$B:$M,COLUMNS('Employee information'!$B:$M),0)=3,
IF($E$2="Fortnightly",
ROUND(
ROUND((((TRUNC($AN248/2,0)+0.99))*VLOOKUP((TRUNC($AN248/2,0)+0.99),'Tax scales - NAT 1004'!$A$39:$C$41,2,1)-VLOOKUP((TRUNC($AN248/2,0)+0.99),'Tax scales - NAT 1004'!$A$39:$C$41,3,1)),0)
*2,
0),
IF(AND($E$2="Monthly",ROUND($AN248-TRUNC($AN248),2)=0.33),
ROUND(
ROUND(((TRUNC(($AN248+0.01)*3/13,0)+0.99)*VLOOKUP((TRUNC(($AN248+0.01)*3/13,0)+0.99),'Tax scales - NAT 1004'!$A$39:$C$41,2,1)-VLOOKUP((TRUNC(($AN248+0.01)*3/13,0)+0.99),'Tax scales - NAT 1004'!$A$39:$C$41,3,1)),0)
*13/3,
0),
IF($E$2="Monthly",
ROUND(
ROUND(((TRUNC($AN248*3/13,0)+0.99)*VLOOKUP((TRUNC($AN248*3/13,0)+0.99),'Tax scales - NAT 1004'!$A$39:$C$41,2,1)-VLOOKUP((TRUNC($AN248*3/13,0)+0.99),'Tax scales - NAT 1004'!$A$39:$C$41,3,1)),0)
*13/3,
0),
""))),
""),
"")</f>
        <v/>
      </c>
      <c r="AR248" s="118">
        <f>IFERROR(
IF(AND(VLOOKUP($C248,'Employee information'!$B:$M,COLUMNS('Employee information'!$B:$M),0)=4,
VLOOKUP($C248,'Employee information'!$B:$J,COLUMNS('Employee information'!$B:$J),0)="Resident"),
TRUNC(TRUNC($AN248)*'Tax scales - NAT 1004'!$B$47),
IF(AND(VLOOKUP($C248,'Employee information'!$B:$M,COLUMNS('Employee information'!$B:$M),0)=4,
VLOOKUP($C248,'Employee information'!$B:$J,COLUMNS('Employee information'!$B:$J),0)="Foreign resident"),
TRUNC(TRUNC($AN248)*'Tax scales - NAT 1004'!$B$48),
"")),
"")</f>
        <v>1175</v>
      </c>
      <c r="AS248" s="118" t="str">
        <f>IFERROR(
IF(VLOOKUP($C248,'Employee information'!$B:$M,COLUMNS('Employee information'!$B:$M),0)=5,
IF($E$2="Fortnightly",
ROUND(
ROUND((((TRUNC($AN248/2,0)+0.99))*VLOOKUP((TRUNC($AN248/2,0)+0.99),'Tax scales - NAT 1004'!$A$53:$C$59,2,1)-VLOOKUP((TRUNC($AN248/2,0)+0.99),'Tax scales - NAT 1004'!$A$53:$C$59,3,1)),0)
*2,
0),
IF(AND($E$2="Monthly",ROUND($AN248-TRUNC($AN248),2)=0.33),
ROUND(
ROUND(((TRUNC(($AN248+0.01)*3/13,0)+0.99)*VLOOKUP((TRUNC(($AN248+0.01)*3/13,0)+0.99),'Tax scales - NAT 1004'!$A$53:$C$59,2,1)-VLOOKUP((TRUNC(($AN248+0.01)*3/13,0)+0.99),'Tax scales - NAT 1004'!$A$53:$C$59,3,1)),0)
*13/3,
0),
IF($E$2="Monthly",
ROUND(
ROUND(((TRUNC($AN248*3/13,0)+0.99)*VLOOKUP((TRUNC($AN248*3/13,0)+0.99),'Tax scales - NAT 1004'!$A$53:$C$59,2,1)-VLOOKUP((TRUNC($AN248*3/13,0)+0.99),'Tax scales - NAT 1004'!$A$53:$C$59,3,1)),0)
*13/3,
0),
""))),
""),
"")</f>
        <v/>
      </c>
      <c r="AT248" s="118" t="str">
        <f>IFERROR(
IF(VLOOKUP($C248,'Employee information'!$B:$M,COLUMNS('Employee information'!$B:$M),0)=6,
IF($E$2="Fortnightly",
ROUND(
ROUND((((TRUNC($AN248/2,0)+0.99))*VLOOKUP((TRUNC($AN248/2,0)+0.99),'Tax scales - NAT 1004'!$A$65:$C$73,2,1)-VLOOKUP((TRUNC($AN248/2,0)+0.99),'Tax scales - NAT 1004'!$A$65:$C$73,3,1)),0)
*2,
0),
IF(AND($E$2="Monthly",ROUND($AN248-TRUNC($AN248),2)=0.33),
ROUND(
ROUND(((TRUNC(($AN248+0.01)*3/13,0)+0.99)*VLOOKUP((TRUNC(($AN248+0.01)*3/13,0)+0.99),'Tax scales - NAT 1004'!$A$65:$C$73,2,1)-VLOOKUP((TRUNC(($AN248+0.01)*3/13,0)+0.99),'Tax scales - NAT 1004'!$A$65:$C$73,3,1)),0)
*13/3,
0),
IF($E$2="Monthly",
ROUND(
ROUND(((TRUNC($AN248*3/13,0)+0.99)*VLOOKUP((TRUNC($AN248*3/13,0)+0.99),'Tax scales - NAT 1004'!$A$65:$C$73,2,1)-VLOOKUP((TRUNC($AN248*3/13,0)+0.99),'Tax scales - NAT 1004'!$A$65:$C$73,3,1)),0)
*13/3,
0),
""))),
""),
"")</f>
        <v/>
      </c>
      <c r="AU248" s="118" t="str">
        <f>IFERROR(
IF(VLOOKUP($C248,'Employee information'!$B:$M,COLUMNS('Employee information'!$B:$M),0)=11,
IF($E$2="Fortnightly",
ROUND(
ROUND((((TRUNC($AN248/2,0)+0.99))*VLOOKUP((TRUNC($AN248/2,0)+0.99),'Tax scales - NAT 3539'!$A$14:$C$38,2,1)-VLOOKUP((TRUNC($AN248/2,0)+0.99),'Tax scales - NAT 3539'!$A$14:$C$38,3,1)),0)
*2,
0),
IF(AND($E$2="Monthly",ROUND($AN248-TRUNC($AN248),2)=0.33),
ROUND(
ROUND(((TRUNC(($AN248+0.01)*3/13,0)+0.99)*VLOOKUP((TRUNC(($AN248+0.01)*3/13,0)+0.99),'Tax scales - NAT 3539'!$A$14:$C$38,2,1)-VLOOKUP((TRUNC(($AN248+0.01)*3/13,0)+0.99),'Tax scales - NAT 3539'!$A$14:$C$38,3,1)),0)
*13/3,
0),
IF($E$2="Monthly",
ROUND(
ROUND(((TRUNC($AN248*3/13,0)+0.99)*VLOOKUP((TRUNC($AN248*3/13,0)+0.99),'Tax scales - NAT 3539'!$A$14:$C$38,2,1)-VLOOKUP((TRUNC($AN248*3/13,0)+0.99),'Tax scales - NAT 3539'!$A$14:$C$38,3,1)),0)
*13/3,
0),
""))),
""),
"")</f>
        <v/>
      </c>
      <c r="AV248" s="118" t="str">
        <f>IFERROR(
IF(VLOOKUP($C248,'Employee information'!$B:$M,COLUMNS('Employee information'!$B:$M),0)=22,
IF($E$2="Fortnightly",
ROUND(
ROUND((((TRUNC($AN248/2,0)+0.99))*VLOOKUP((TRUNC($AN248/2,0)+0.99),'Tax scales - NAT 3539'!$A$43:$C$69,2,1)-VLOOKUP((TRUNC($AN248/2,0)+0.99),'Tax scales - NAT 3539'!$A$43:$C$69,3,1)),0)
*2,
0),
IF(AND($E$2="Monthly",ROUND($AN248-TRUNC($AN248),2)=0.33),
ROUND(
ROUND(((TRUNC(($AN248+0.01)*3/13,0)+0.99)*VLOOKUP((TRUNC(($AN248+0.01)*3/13,0)+0.99),'Tax scales - NAT 3539'!$A$43:$C$69,2,1)-VLOOKUP((TRUNC(($AN248+0.01)*3/13,0)+0.99),'Tax scales - NAT 3539'!$A$43:$C$69,3,1)),0)
*13/3,
0),
IF($E$2="Monthly",
ROUND(
ROUND(((TRUNC($AN248*3/13,0)+0.99)*VLOOKUP((TRUNC($AN248*3/13,0)+0.99),'Tax scales - NAT 3539'!$A$43:$C$69,2,1)-VLOOKUP((TRUNC($AN248*3/13,0)+0.99),'Tax scales - NAT 3539'!$A$43:$C$69,3,1)),0)
*13/3,
0),
""))),
""),
"")</f>
        <v/>
      </c>
      <c r="AW248" s="118" t="str">
        <f>IFERROR(
IF(VLOOKUP($C248,'Employee information'!$B:$M,COLUMNS('Employee information'!$B:$M),0)=33,
IF($E$2="Fortnightly",
ROUND(
ROUND((((TRUNC($AN248/2,0)+0.99))*VLOOKUP((TRUNC($AN248/2,0)+0.99),'Tax scales - NAT 3539'!$A$74:$C$94,2,1)-VLOOKUP((TRUNC($AN248/2,0)+0.99),'Tax scales - NAT 3539'!$A$74:$C$94,3,1)),0)
*2,
0),
IF(AND($E$2="Monthly",ROUND($AN248-TRUNC($AN248),2)=0.33),
ROUND(
ROUND(((TRUNC(($AN248+0.01)*3/13,0)+0.99)*VLOOKUP((TRUNC(($AN248+0.01)*3/13,0)+0.99),'Tax scales - NAT 3539'!$A$74:$C$94,2,1)-VLOOKUP((TRUNC(($AN248+0.01)*3/13,0)+0.99),'Tax scales - NAT 3539'!$A$74:$C$94,3,1)),0)
*13/3,
0),
IF($E$2="Monthly",
ROUND(
ROUND(((TRUNC($AN248*3/13,0)+0.99)*VLOOKUP((TRUNC($AN248*3/13,0)+0.99),'Tax scales - NAT 3539'!$A$74:$C$94,2,1)-VLOOKUP((TRUNC($AN248*3/13,0)+0.99),'Tax scales - NAT 3539'!$A$74:$C$94,3,1)),0)
*13/3,
0),
""))),
""),
"")</f>
        <v/>
      </c>
      <c r="AX248" s="118" t="str">
        <f>IFERROR(
IF(VLOOKUP($C248,'Employee information'!$B:$M,COLUMNS('Employee information'!$B:$M),0)=55,
IF($E$2="Fortnightly",
ROUND(
ROUND((((TRUNC($AN248/2,0)+0.99))*VLOOKUP((TRUNC($AN248/2,0)+0.99),'Tax scales - NAT 3539'!$A$99:$C$123,2,1)-VLOOKUP((TRUNC($AN248/2,0)+0.99),'Tax scales - NAT 3539'!$A$99:$C$123,3,1)),0)
*2,
0),
IF(AND($E$2="Monthly",ROUND($AN248-TRUNC($AN248),2)=0.33),
ROUND(
ROUND(((TRUNC(($AN248+0.01)*3/13,0)+0.99)*VLOOKUP((TRUNC(($AN248+0.01)*3/13,0)+0.99),'Tax scales - NAT 3539'!$A$99:$C$123,2,1)-VLOOKUP((TRUNC(($AN248+0.01)*3/13,0)+0.99),'Tax scales - NAT 3539'!$A$99:$C$123,3,1)),0)
*13/3,
0),
IF($E$2="Monthly",
ROUND(
ROUND(((TRUNC($AN248*3/13,0)+0.99)*VLOOKUP((TRUNC($AN248*3/13,0)+0.99),'Tax scales - NAT 3539'!$A$99:$C$123,2,1)-VLOOKUP((TRUNC($AN248*3/13,0)+0.99),'Tax scales - NAT 3539'!$A$99:$C$123,3,1)),0)
*13/3,
0),
""))),
""),
"")</f>
        <v/>
      </c>
      <c r="AY248" s="118" t="str">
        <f>IFERROR(
IF(VLOOKUP($C248,'Employee information'!$B:$M,COLUMNS('Employee information'!$B:$M),0)=66,
IF($E$2="Fortnightly",
ROUND(
ROUND((((TRUNC($AN248/2,0)+0.99))*VLOOKUP((TRUNC($AN248/2,0)+0.99),'Tax scales - NAT 3539'!$A$127:$C$154,2,1)-VLOOKUP((TRUNC($AN248/2,0)+0.99),'Tax scales - NAT 3539'!$A$127:$C$154,3,1)),0)
*2,
0),
IF(AND($E$2="Monthly",ROUND($AN248-TRUNC($AN248),2)=0.33),
ROUND(
ROUND(((TRUNC(($AN248+0.01)*3/13,0)+0.99)*VLOOKUP((TRUNC(($AN248+0.01)*3/13,0)+0.99),'Tax scales - NAT 3539'!$A$127:$C$154,2,1)-VLOOKUP((TRUNC(($AN248+0.01)*3/13,0)+0.99),'Tax scales - NAT 3539'!$A$127:$C$154,3,1)),0)
*13/3,
0),
IF($E$2="Monthly",
ROUND(
ROUND(((TRUNC($AN248*3/13,0)+0.99)*VLOOKUP((TRUNC($AN248*3/13,0)+0.99),'Tax scales - NAT 3539'!$A$127:$C$154,2,1)-VLOOKUP((TRUNC($AN248*3/13,0)+0.99),'Tax scales - NAT 3539'!$A$127:$C$154,3,1)),0)
*13/3,
0),
""))),
""),
"")</f>
        <v/>
      </c>
      <c r="AZ248" s="118">
        <f>IFERROR(
HLOOKUP(VLOOKUP($C248,'Employee information'!$B:$M,COLUMNS('Employee information'!$B:$M),0),'PAYG worksheet'!$AO$242:$AY$261,COUNTA($C$243:$C248)+1,0),
0)</f>
        <v>1175</v>
      </c>
      <c r="BA248" s="118"/>
      <c r="BB248" s="118">
        <f t="shared" si="263"/>
        <v>1325</v>
      </c>
      <c r="BC248" s="119">
        <f>IFERROR(
IF(OR($AE248=1,$AE248=""),SUM($P248,$AA248,$AC248,$AK248)*VLOOKUP($C248,'Employee information'!$B:$Q,COLUMNS('Employee information'!$B:$H),0),
IF($AE248=0,SUM($P248,$AA248,$AK248)*VLOOKUP($C248,'Employee information'!$B:$Q,COLUMNS('Employee information'!$B:$H),0),
0)),
0)</f>
        <v>237.5</v>
      </c>
      <c r="BE248" s="114">
        <f t="shared" si="248"/>
        <v>22500</v>
      </c>
      <c r="BF248" s="114">
        <f t="shared" si="249"/>
        <v>22500</v>
      </c>
      <c r="BG248" s="114">
        <f t="shared" si="250"/>
        <v>0</v>
      </c>
      <c r="BH248" s="114">
        <f t="shared" si="251"/>
        <v>0</v>
      </c>
      <c r="BI248" s="114">
        <f t="shared" si="252"/>
        <v>10575</v>
      </c>
      <c r="BJ248" s="114">
        <f t="shared" si="253"/>
        <v>0</v>
      </c>
      <c r="BK248" s="114">
        <f t="shared" si="254"/>
        <v>0</v>
      </c>
      <c r="BL248" s="114">
        <f t="shared" si="264"/>
        <v>0</v>
      </c>
      <c r="BM248" s="114">
        <f t="shared" si="255"/>
        <v>2137.5</v>
      </c>
    </row>
    <row r="249" spans="1:65" x14ac:dyDescent="0.25">
      <c r="A249" s="228">
        <f t="shared" si="243"/>
        <v>9</v>
      </c>
      <c r="C249" s="278" t="s">
        <v>95</v>
      </c>
      <c r="E249" s="103">
        <f>IF($C249="",0,
IF(AND($E$2="Monthly",$A249&gt;12),0,
IF($E$2="Monthly",VLOOKUP($C249,'Employee information'!$B:$AM,COLUMNS('Employee information'!$B:S),0),
IF($E$2="Fortnightly",VLOOKUP($C249,'Employee information'!$B:$AM,COLUMNS('Employee information'!$B:R),0),
0))))</f>
        <v>45</v>
      </c>
      <c r="F249" s="106"/>
      <c r="G249" s="106"/>
      <c r="H249" s="106"/>
      <c r="I249" s="106"/>
      <c r="J249" s="103">
        <f t="shared" si="256"/>
        <v>45</v>
      </c>
      <c r="L249" s="113">
        <f>IF(AND($E$2="Monthly",$A249&gt;12),"",
IFERROR($J249*VLOOKUP($C249,'Employee information'!$B:$AI,COLUMNS('Employee information'!$B:$P),0),0))</f>
        <v>1107.6923076923078</v>
      </c>
      <c r="M249" s="114">
        <f t="shared" si="257"/>
        <v>9969.2307692307713</v>
      </c>
      <c r="O249" s="103">
        <f t="shared" si="258"/>
        <v>45</v>
      </c>
      <c r="P249" s="113">
        <f>IFERROR(
IF(AND($E$2="Monthly",$A249&gt;12),0,
$O249*VLOOKUP($C249,'Employee information'!$B:$AI,COLUMNS('Employee information'!$B:$P),0)),
0)</f>
        <v>1107.6923076923078</v>
      </c>
      <c r="R249" s="114">
        <f t="shared" si="244"/>
        <v>9969.2307692307713</v>
      </c>
      <c r="T249" s="103"/>
      <c r="U249" s="103"/>
      <c r="V249" s="282">
        <f>IF($C249="","",
IF(AND($E$2="Monthly",$A249&gt;12),"",
$T249*VLOOKUP($C249,'Employee information'!$B:$P,COLUMNS('Employee information'!$B:$P),0)))</f>
        <v>0</v>
      </c>
      <c r="W249" s="282">
        <f>IF($C249="","",
IF(AND($E$2="Monthly",$A249&gt;12),"",
$U249*VLOOKUP($C249,'Employee information'!$B:$P,COLUMNS('Employee information'!$B:$P),0)))</f>
        <v>0</v>
      </c>
      <c r="X249" s="114">
        <f t="shared" si="245"/>
        <v>0</v>
      </c>
      <c r="Y249" s="114">
        <f t="shared" si="246"/>
        <v>0</v>
      </c>
      <c r="AA249" s="118">
        <f>IFERROR(
IF(OR('Basic payroll data'!$D$12="",'Basic payroll data'!$D$12="No"),0,
$T249*VLOOKUP($C249,'Employee information'!$B:$P,COLUMNS('Employee information'!$B:$P),0)*AL_loading_perc),
0)</f>
        <v>0</v>
      </c>
      <c r="AC249" s="118"/>
      <c r="AD249" s="118"/>
      <c r="AE249" s="283" t="str">
        <f t="shared" si="259"/>
        <v/>
      </c>
      <c r="AF249" s="283" t="str">
        <f t="shared" si="260"/>
        <v/>
      </c>
      <c r="AG249" s="118"/>
      <c r="AH249" s="118"/>
      <c r="AI249" s="283" t="str">
        <f t="shared" si="261"/>
        <v/>
      </c>
      <c r="AJ249" s="118"/>
      <c r="AK249" s="118"/>
      <c r="AM249" s="118">
        <f t="shared" si="262"/>
        <v>1107.6923076923078</v>
      </c>
      <c r="AN249" s="118">
        <f t="shared" si="247"/>
        <v>1107.6923076923078</v>
      </c>
      <c r="AO249" s="118" t="str">
        <f>IFERROR(
IF(VLOOKUP($C249,'Employee information'!$B:$M,COLUMNS('Employee information'!$B:$M),0)=1,
IF($E$2="Fortnightly",
ROUND(
ROUND((((TRUNC($AN249/2,0)+0.99))*VLOOKUP((TRUNC($AN249/2,0)+0.99),'Tax scales - NAT 1004'!$A$12:$C$18,2,1)-VLOOKUP((TRUNC($AN249/2,0)+0.99),'Tax scales - NAT 1004'!$A$12:$C$18,3,1)),0)
*2,
0),
IF(AND($E$2="Monthly",ROUND($AN249-TRUNC($AN249),2)=0.33),
ROUND(
ROUND(((TRUNC(($AN249+0.01)*3/13,0)+0.99)*VLOOKUP((TRUNC(($AN249+0.01)*3/13,0)+0.99),'Tax scales - NAT 1004'!$A$12:$C$18,2,1)-VLOOKUP((TRUNC(($AN249+0.01)*3/13,0)+0.99),'Tax scales - NAT 1004'!$A$12:$C$18,3,1)),0)
*13/3,
0),
IF($E$2="Monthly",
ROUND(
ROUND(((TRUNC($AN249*3/13,0)+0.99)*VLOOKUP((TRUNC($AN249*3/13,0)+0.99),'Tax scales - NAT 1004'!$A$12:$C$18,2,1)-VLOOKUP((TRUNC($AN249*3/13,0)+0.99),'Tax scales - NAT 1004'!$A$12:$C$18,3,1)),0)
*13/3,
0),
""))),
""),
"")</f>
        <v/>
      </c>
      <c r="AP249" s="118" t="str">
        <f>IFERROR(
IF(VLOOKUP($C249,'Employee information'!$B:$M,COLUMNS('Employee information'!$B:$M),0)=2,
IF($E$2="Fortnightly",
ROUND(
ROUND((((TRUNC($AN249/2,0)+0.99))*VLOOKUP((TRUNC($AN249/2,0)+0.99),'Tax scales - NAT 1004'!$A$25:$C$33,2,1)-VLOOKUP((TRUNC($AN249/2,0)+0.99),'Tax scales - NAT 1004'!$A$25:$C$33,3,1)),0)
*2,
0),
IF(AND($E$2="Monthly",ROUND($AN249-TRUNC($AN249),2)=0.33),
ROUND(
ROUND(((TRUNC(($AN249+0.01)*3/13,0)+0.99)*VLOOKUP((TRUNC(($AN249+0.01)*3/13,0)+0.99),'Tax scales - NAT 1004'!$A$25:$C$33,2,1)-VLOOKUP((TRUNC(($AN249+0.01)*3/13,0)+0.99),'Tax scales - NAT 1004'!$A$25:$C$33,3,1)),0)
*13/3,
0),
IF($E$2="Monthly",
ROUND(
ROUND(((TRUNC($AN249*3/13,0)+0.99)*VLOOKUP((TRUNC($AN249*3/13,0)+0.99),'Tax scales - NAT 1004'!$A$25:$C$33,2,1)-VLOOKUP((TRUNC($AN249*3/13,0)+0.99),'Tax scales - NAT 1004'!$A$25:$C$33,3,1)),0)
*13/3,
0),
""))),
""),
"")</f>
        <v/>
      </c>
      <c r="AQ249" s="118" t="str">
        <f>IFERROR(
IF(VLOOKUP($C249,'Employee information'!$B:$M,COLUMNS('Employee information'!$B:$M),0)=3,
IF($E$2="Fortnightly",
ROUND(
ROUND((((TRUNC($AN249/2,0)+0.99))*VLOOKUP((TRUNC($AN249/2,0)+0.99),'Tax scales - NAT 1004'!$A$39:$C$41,2,1)-VLOOKUP((TRUNC($AN249/2,0)+0.99),'Tax scales - NAT 1004'!$A$39:$C$41,3,1)),0)
*2,
0),
IF(AND($E$2="Monthly",ROUND($AN249-TRUNC($AN249),2)=0.33),
ROUND(
ROUND(((TRUNC(($AN249+0.01)*3/13,0)+0.99)*VLOOKUP((TRUNC(($AN249+0.01)*3/13,0)+0.99),'Tax scales - NAT 1004'!$A$39:$C$41,2,1)-VLOOKUP((TRUNC(($AN249+0.01)*3/13,0)+0.99),'Tax scales - NAT 1004'!$A$39:$C$41,3,1)),0)
*13/3,
0),
IF($E$2="Monthly",
ROUND(
ROUND(((TRUNC($AN249*3/13,0)+0.99)*VLOOKUP((TRUNC($AN249*3/13,0)+0.99),'Tax scales - NAT 1004'!$A$39:$C$41,2,1)-VLOOKUP((TRUNC($AN249*3/13,0)+0.99),'Tax scales - NAT 1004'!$A$39:$C$41,3,1)),0)
*13/3,
0),
""))),
""),
"")</f>
        <v/>
      </c>
      <c r="AR249" s="118" t="str">
        <f>IFERROR(
IF(AND(VLOOKUP($C249,'Employee information'!$B:$M,COLUMNS('Employee information'!$B:$M),0)=4,
VLOOKUP($C249,'Employee information'!$B:$J,COLUMNS('Employee information'!$B:$J),0)="Resident"),
TRUNC(TRUNC($AN249)*'Tax scales - NAT 1004'!$B$47),
IF(AND(VLOOKUP($C249,'Employee information'!$B:$M,COLUMNS('Employee information'!$B:$M),0)=4,
VLOOKUP($C249,'Employee information'!$B:$J,COLUMNS('Employee information'!$B:$J),0)="Foreign resident"),
TRUNC(TRUNC($AN249)*'Tax scales - NAT 1004'!$B$48),
"")),
"")</f>
        <v/>
      </c>
      <c r="AS249" s="118" t="str">
        <f>IFERROR(
IF(VLOOKUP($C249,'Employee information'!$B:$M,COLUMNS('Employee information'!$B:$M),0)=5,
IF($E$2="Fortnightly",
ROUND(
ROUND((((TRUNC($AN249/2,0)+0.99))*VLOOKUP((TRUNC($AN249/2,0)+0.99),'Tax scales - NAT 1004'!$A$53:$C$59,2,1)-VLOOKUP((TRUNC($AN249/2,0)+0.99),'Tax scales - NAT 1004'!$A$53:$C$59,3,1)),0)
*2,
0),
IF(AND($E$2="Monthly",ROUND($AN249-TRUNC($AN249),2)=0.33),
ROUND(
ROUND(((TRUNC(($AN249+0.01)*3/13,0)+0.99)*VLOOKUP((TRUNC(($AN249+0.01)*3/13,0)+0.99),'Tax scales - NAT 1004'!$A$53:$C$59,2,1)-VLOOKUP((TRUNC(($AN249+0.01)*3/13,0)+0.99),'Tax scales - NAT 1004'!$A$53:$C$59,3,1)),0)
*13/3,
0),
IF($E$2="Monthly",
ROUND(
ROUND(((TRUNC($AN249*3/13,0)+0.99)*VLOOKUP((TRUNC($AN249*3/13,0)+0.99),'Tax scales - NAT 1004'!$A$53:$C$59,2,1)-VLOOKUP((TRUNC($AN249*3/13,0)+0.99),'Tax scales - NAT 1004'!$A$53:$C$59,3,1)),0)
*13/3,
0),
""))),
""),
"")</f>
        <v/>
      </c>
      <c r="AT249" s="118" t="str">
        <f>IFERROR(
IF(VLOOKUP($C249,'Employee information'!$B:$M,COLUMNS('Employee information'!$B:$M),0)=6,
IF($E$2="Fortnightly",
ROUND(
ROUND((((TRUNC($AN249/2,0)+0.99))*VLOOKUP((TRUNC($AN249/2,0)+0.99),'Tax scales - NAT 1004'!$A$65:$C$73,2,1)-VLOOKUP((TRUNC($AN249/2,0)+0.99),'Tax scales - NAT 1004'!$A$65:$C$73,3,1)),0)
*2,
0),
IF(AND($E$2="Monthly",ROUND($AN249-TRUNC($AN249),2)=0.33),
ROUND(
ROUND(((TRUNC(($AN249+0.01)*3/13,0)+0.99)*VLOOKUP((TRUNC(($AN249+0.01)*3/13,0)+0.99),'Tax scales - NAT 1004'!$A$65:$C$73,2,1)-VLOOKUP((TRUNC(($AN249+0.01)*3/13,0)+0.99),'Tax scales - NAT 1004'!$A$65:$C$73,3,1)),0)
*13/3,
0),
IF($E$2="Monthly",
ROUND(
ROUND(((TRUNC($AN249*3/13,0)+0.99)*VLOOKUP((TRUNC($AN249*3/13,0)+0.99),'Tax scales - NAT 1004'!$A$65:$C$73,2,1)-VLOOKUP((TRUNC($AN249*3/13,0)+0.99),'Tax scales - NAT 1004'!$A$65:$C$73,3,1)),0)
*13/3,
0),
""))),
""),
"")</f>
        <v/>
      </c>
      <c r="AU249" s="118" t="str">
        <f>IFERROR(
IF(VLOOKUP($C249,'Employee information'!$B:$M,COLUMNS('Employee information'!$B:$M),0)=11,
IF($E$2="Fortnightly",
ROUND(
ROUND((((TRUNC($AN249/2,0)+0.99))*VLOOKUP((TRUNC($AN249/2,0)+0.99),'Tax scales - NAT 3539'!$A$14:$C$38,2,1)-VLOOKUP((TRUNC($AN249/2,0)+0.99),'Tax scales - NAT 3539'!$A$14:$C$38,3,1)),0)
*2,
0),
IF(AND($E$2="Monthly",ROUND($AN249-TRUNC($AN249),2)=0.33),
ROUND(
ROUND(((TRUNC(($AN249+0.01)*3/13,0)+0.99)*VLOOKUP((TRUNC(($AN249+0.01)*3/13,0)+0.99),'Tax scales - NAT 3539'!$A$14:$C$38,2,1)-VLOOKUP((TRUNC(($AN249+0.01)*3/13,0)+0.99),'Tax scales - NAT 3539'!$A$14:$C$38,3,1)),0)
*13/3,
0),
IF($E$2="Monthly",
ROUND(
ROUND(((TRUNC($AN249*3/13,0)+0.99)*VLOOKUP((TRUNC($AN249*3/13,0)+0.99),'Tax scales - NAT 3539'!$A$14:$C$38,2,1)-VLOOKUP((TRUNC($AN249*3/13,0)+0.99),'Tax scales - NAT 3539'!$A$14:$C$38,3,1)),0)
*13/3,
0),
""))),
""),
"")</f>
        <v/>
      </c>
      <c r="AV249" s="118" t="str">
        <f>IFERROR(
IF(VLOOKUP($C249,'Employee information'!$B:$M,COLUMNS('Employee information'!$B:$M),0)=22,
IF($E$2="Fortnightly",
ROUND(
ROUND((((TRUNC($AN249/2,0)+0.99))*VLOOKUP((TRUNC($AN249/2,0)+0.99),'Tax scales - NAT 3539'!$A$43:$C$69,2,1)-VLOOKUP((TRUNC($AN249/2,0)+0.99),'Tax scales - NAT 3539'!$A$43:$C$69,3,1)),0)
*2,
0),
IF(AND($E$2="Monthly",ROUND($AN249-TRUNC($AN249),2)=0.33),
ROUND(
ROUND(((TRUNC(($AN249+0.01)*3/13,0)+0.99)*VLOOKUP((TRUNC(($AN249+0.01)*3/13,0)+0.99),'Tax scales - NAT 3539'!$A$43:$C$69,2,1)-VLOOKUP((TRUNC(($AN249+0.01)*3/13,0)+0.99),'Tax scales - NAT 3539'!$A$43:$C$69,3,1)),0)
*13/3,
0),
IF($E$2="Monthly",
ROUND(
ROUND(((TRUNC($AN249*3/13,0)+0.99)*VLOOKUP((TRUNC($AN249*3/13,0)+0.99),'Tax scales - NAT 3539'!$A$43:$C$69,2,1)-VLOOKUP((TRUNC($AN249*3/13,0)+0.99),'Tax scales - NAT 3539'!$A$43:$C$69,3,1)),0)
*13/3,
0),
""))),
""),
"")</f>
        <v/>
      </c>
      <c r="AW249" s="118" t="str">
        <f>IFERROR(
IF(VLOOKUP($C249,'Employee information'!$B:$M,COLUMNS('Employee information'!$B:$M),0)=33,
IF($E$2="Fortnightly",
ROUND(
ROUND((((TRUNC($AN249/2,0)+0.99))*VLOOKUP((TRUNC($AN249/2,0)+0.99),'Tax scales - NAT 3539'!$A$74:$C$94,2,1)-VLOOKUP((TRUNC($AN249/2,0)+0.99),'Tax scales - NAT 3539'!$A$74:$C$94,3,1)),0)
*2,
0),
IF(AND($E$2="Monthly",ROUND($AN249-TRUNC($AN249),2)=0.33),
ROUND(
ROUND(((TRUNC(($AN249+0.01)*3/13,0)+0.99)*VLOOKUP((TRUNC(($AN249+0.01)*3/13,0)+0.99),'Tax scales - NAT 3539'!$A$74:$C$94,2,1)-VLOOKUP((TRUNC(($AN249+0.01)*3/13,0)+0.99),'Tax scales - NAT 3539'!$A$74:$C$94,3,1)),0)
*13/3,
0),
IF($E$2="Monthly",
ROUND(
ROUND(((TRUNC($AN249*3/13,0)+0.99)*VLOOKUP((TRUNC($AN249*3/13,0)+0.99),'Tax scales - NAT 3539'!$A$74:$C$94,2,1)-VLOOKUP((TRUNC($AN249*3/13,0)+0.99),'Tax scales - NAT 3539'!$A$74:$C$94,3,1)),0)
*13/3,
0),
""))),
""),
"")</f>
        <v/>
      </c>
      <c r="AX249" s="118" t="str">
        <f>IFERROR(
IF(VLOOKUP($C249,'Employee information'!$B:$M,COLUMNS('Employee information'!$B:$M),0)=55,
IF($E$2="Fortnightly",
ROUND(
ROUND((((TRUNC($AN249/2,0)+0.99))*VLOOKUP((TRUNC($AN249/2,0)+0.99),'Tax scales - NAT 3539'!$A$99:$C$123,2,1)-VLOOKUP((TRUNC($AN249/2,0)+0.99),'Tax scales - NAT 3539'!$A$99:$C$123,3,1)),0)
*2,
0),
IF(AND($E$2="Monthly",ROUND($AN249-TRUNC($AN249),2)=0.33),
ROUND(
ROUND(((TRUNC(($AN249+0.01)*3/13,0)+0.99)*VLOOKUP((TRUNC(($AN249+0.01)*3/13,0)+0.99),'Tax scales - NAT 3539'!$A$99:$C$123,2,1)-VLOOKUP((TRUNC(($AN249+0.01)*3/13,0)+0.99),'Tax scales - NAT 3539'!$A$99:$C$123,3,1)),0)
*13/3,
0),
IF($E$2="Monthly",
ROUND(
ROUND(((TRUNC($AN249*3/13,0)+0.99)*VLOOKUP((TRUNC($AN249*3/13,0)+0.99),'Tax scales - NAT 3539'!$A$99:$C$123,2,1)-VLOOKUP((TRUNC($AN249*3/13,0)+0.99),'Tax scales - NAT 3539'!$A$99:$C$123,3,1)),0)
*13/3,
0),
""))),
""),
"")</f>
        <v/>
      </c>
      <c r="AY249" s="118">
        <f>IFERROR(
IF(VLOOKUP($C249,'Employee information'!$B:$M,COLUMNS('Employee information'!$B:$M),0)=66,
IF($E$2="Fortnightly",
ROUND(
ROUND((((TRUNC($AN249/2,0)+0.99))*VLOOKUP((TRUNC($AN249/2,0)+0.99),'Tax scales - NAT 3539'!$A$127:$C$154,2,1)-VLOOKUP((TRUNC($AN249/2,0)+0.99),'Tax scales - NAT 3539'!$A$127:$C$154,3,1)),0)
*2,
0),
IF(AND($E$2="Monthly",ROUND($AN249-TRUNC($AN249),2)=0.33),
ROUND(
ROUND(((TRUNC(($AN249+0.01)*3/13,0)+0.99)*VLOOKUP((TRUNC(($AN249+0.01)*3/13,0)+0.99),'Tax scales - NAT 3539'!$A$127:$C$154,2,1)-VLOOKUP((TRUNC(($AN249+0.01)*3/13,0)+0.99),'Tax scales - NAT 3539'!$A$127:$C$154,3,1)),0)
*13/3,
0),
IF($E$2="Monthly",
ROUND(
ROUND(((TRUNC($AN249*3/13,0)+0.99)*VLOOKUP((TRUNC($AN249*3/13,0)+0.99),'Tax scales - NAT 3539'!$A$127:$C$154,2,1)-VLOOKUP((TRUNC($AN249*3/13,0)+0.99),'Tax scales - NAT 3539'!$A$127:$C$154,3,1)),0)
*13/3,
0),
""))),
""),
"")</f>
        <v>74</v>
      </c>
      <c r="AZ249" s="118">
        <f>IFERROR(
HLOOKUP(VLOOKUP($C249,'Employee information'!$B:$M,COLUMNS('Employee information'!$B:$M),0),'PAYG worksheet'!$AO$242:$AY$261,COUNTA($C$243:$C249)+1,0),
0)</f>
        <v>74</v>
      </c>
      <c r="BA249" s="118"/>
      <c r="BB249" s="118">
        <f t="shared" si="263"/>
        <v>1033.6923076923078</v>
      </c>
      <c r="BC249" s="119">
        <f>IFERROR(
IF(OR($AE249=1,$AE249=""),SUM($P249,$AA249,$AC249,$AK249)*VLOOKUP($C249,'Employee information'!$B:$Q,COLUMNS('Employee information'!$B:$H),0),
IF($AE249=0,SUM($P249,$AA249,$AK249)*VLOOKUP($C249,'Employee information'!$B:$Q,COLUMNS('Employee information'!$B:$H),0),
0)),
0)</f>
        <v>105.23076923076924</v>
      </c>
      <c r="BE249" s="114">
        <f t="shared" si="248"/>
        <v>9969.2307692307713</v>
      </c>
      <c r="BF249" s="114">
        <f t="shared" si="249"/>
        <v>9969.2307692307713</v>
      </c>
      <c r="BG249" s="114">
        <f t="shared" si="250"/>
        <v>0</v>
      </c>
      <c r="BH249" s="114">
        <f t="shared" si="251"/>
        <v>0</v>
      </c>
      <c r="BI249" s="114">
        <f t="shared" si="252"/>
        <v>666</v>
      </c>
      <c r="BJ249" s="114">
        <f t="shared" si="253"/>
        <v>0</v>
      </c>
      <c r="BK249" s="114">
        <f t="shared" si="254"/>
        <v>0</v>
      </c>
      <c r="BL249" s="114">
        <f t="shared" si="264"/>
        <v>0</v>
      </c>
      <c r="BM249" s="114">
        <f t="shared" si="255"/>
        <v>947.07692307692332</v>
      </c>
    </row>
    <row r="250" spans="1:65" x14ac:dyDescent="0.25">
      <c r="A250" s="228">
        <f t="shared" si="243"/>
        <v>9</v>
      </c>
      <c r="C250" s="278"/>
      <c r="E250" s="103">
        <f>IF($C250="",0,
IF(AND($E$2="Monthly",$A250&gt;12),0,
IF($E$2="Monthly",VLOOKUP($C250,'Employee information'!$B:$AM,COLUMNS('Employee information'!$B:S),0),
IF($E$2="Fortnightly",VLOOKUP($C250,'Employee information'!$B:$AM,COLUMNS('Employee information'!$B:R),0),
0))))</f>
        <v>0</v>
      </c>
      <c r="F250" s="106"/>
      <c r="G250" s="106"/>
      <c r="H250" s="106"/>
      <c r="I250" s="106"/>
      <c r="J250" s="103">
        <f>IF($E$2="Monthly",
IF(AND($E$2="Monthly",$H250&lt;&gt;""),$H250,
IF(AND($E$2="Monthly",$E250=0),SUM($F250:$G250),
$E250)),
IF($E$2="Fortnightly",
IF(AND($E$2="Fortnightly",$H250&lt;&gt;""),$H250,
IF(AND($E$2="Fortnightly",$F250&lt;&gt;"",$E250&lt;&gt;0),$F250,
IF(AND($E$2="Fortnightly",$E250=0),SUM($F250:$G250),
$E250)))))</f>
        <v>0</v>
      </c>
      <c r="L250" s="113">
        <f>IF(AND($E$2="Monthly",$A250&gt;12),"",
IFERROR($J250*VLOOKUP($C250,'Employee information'!$B:$AI,COLUMNS('Employee information'!$B:$P),0),0))</f>
        <v>0</v>
      </c>
      <c r="M250" s="114">
        <f t="shared" si="257"/>
        <v>0</v>
      </c>
      <c r="O250" s="103">
        <f t="shared" si="258"/>
        <v>0</v>
      </c>
      <c r="P250" s="113">
        <f>IFERROR(
IF(AND($E$2="Monthly",$A250&gt;12),0,
$O250*VLOOKUP($C250,'Employee information'!$B:$AI,COLUMNS('Employee information'!$B:$P),0)),
0)</f>
        <v>0</v>
      </c>
      <c r="R250" s="114">
        <f t="shared" si="244"/>
        <v>0</v>
      </c>
      <c r="T250" s="103"/>
      <c r="U250" s="103"/>
      <c r="V250" s="282" t="str">
        <f>IF($C250="","",
IF(AND($E$2="Monthly",$A250&gt;12),"",
$T250*VLOOKUP($C250,'Employee information'!$B:$P,COLUMNS('Employee information'!$B:$P),0)))</f>
        <v/>
      </c>
      <c r="W250" s="282" t="str">
        <f>IF($C250="","",
IF(AND($E$2="Monthly",$A250&gt;12),"",
$U250*VLOOKUP($C250,'Employee information'!$B:$P,COLUMNS('Employee information'!$B:$P),0)))</f>
        <v/>
      </c>
      <c r="X250" s="114">
        <f t="shared" si="245"/>
        <v>0</v>
      </c>
      <c r="Y250" s="114">
        <f t="shared" si="246"/>
        <v>0</v>
      </c>
      <c r="AA250" s="118">
        <f>IFERROR(
IF(OR('Basic payroll data'!$D$12="",'Basic payroll data'!$D$12="No"),0,
$T250*VLOOKUP($C250,'Employee information'!$B:$P,COLUMNS('Employee information'!$B:$P),0)*AL_loading_perc),
0)</f>
        <v>0</v>
      </c>
      <c r="AC250" s="118"/>
      <c r="AD250" s="118"/>
      <c r="AE250" s="283" t="str">
        <f t="shared" si="259"/>
        <v/>
      </c>
      <c r="AF250" s="283" t="str">
        <f t="shared" si="260"/>
        <v/>
      </c>
      <c r="AG250" s="118"/>
      <c r="AH250" s="118"/>
      <c r="AI250" s="283" t="str">
        <f t="shared" si="261"/>
        <v/>
      </c>
      <c r="AJ250" s="118"/>
      <c r="AK250" s="118"/>
      <c r="AM250" s="118">
        <f t="shared" si="262"/>
        <v>0</v>
      </c>
      <c r="AN250" s="118">
        <f t="shared" si="247"/>
        <v>0</v>
      </c>
      <c r="AO250" s="118" t="str">
        <f>IFERROR(
IF(VLOOKUP($C250,'Employee information'!$B:$M,COLUMNS('Employee information'!$B:$M),0)=1,
IF($E$2="Fortnightly",
ROUND(
ROUND((((TRUNC($AN250/2,0)+0.99))*VLOOKUP((TRUNC($AN250/2,0)+0.99),'Tax scales - NAT 1004'!$A$12:$C$18,2,1)-VLOOKUP((TRUNC($AN250/2,0)+0.99),'Tax scales - NAT 1004'!$A$12:$C$18,3,1)),0)
*2,
0),
IF(AND($E$2="Monthly",ROUND($AN250-TRUNC($AN250),2)=0.33),
ROUND(
ROUND(((TRUNC(($AN250+0.01)*3/13,0)+0.99)*VLOOKUP((TRUNC(($AN250+0.01)*3/13,0)+0.99),'Tax scales - NAT 1004'!$A$12:$C$18,2,1)-VLOOKUP((TRUNC(($AN250+0.01)*3/13,0)+0.99),'Tax scales - NAT 1004'!$A$12:$C$18,3,1)),0)
*13/3,
0),
IF($E$2="Monthly",
ROUND(
ROUND(((TRUNC($AN250*3/13,0)+0.99)*VLOOKUP((TRUNC($AN250*3/13,0)+0.99),'Tax scales - NAT 1004'!$A$12:$C$18,2,1)-VLOOKUP((TRUNC($AN250*3/13,0)+0.99),'Tax scales - NAT 1004'!$A$12:$C$18,3,1)),0)
*13/3,
0),
""))),
""),
"")</f>
        <v/>
      </c>
      <c r="AP250" s="118" t="str">
        <f>IFERROR(
IF(VLOOKUP($C250,'Employee information'!$B:$M,COLUMNS('Employee information'!$B:$M),0)=2,
IF($E$2="Fortnightly",
ROUND(
ROUND((((TRUNC($AN250/2,0)+0.99))*VLOOKUP((TRUNC($AN250/2,0)+0.99),'Tax scales - NAT 1004'!$A$25:$C$33,2,1)-VLOOKUP((TRUNC($AN250/2,0)+0.99),'Tax scales - NAT 1004'!$A$25:$C$33,3,1)),0)
*2,
0),
IF(AND($E$2="Monthly",ROUND($AN250-TRUNC($AN250),2)=0.33),
ROUND(
ROUND(((TRUNC(($AN250+0.01)*3/13,0)+0.99)*VLOOKUP((TRUNC(($AN250+0.01)*3/13,0)+0.99),'Tax scales - NAT 1004'!$A$25:$C$33,2,1)-VLOOKUP((TRUNC(($AN250+0.01)*3/13,0)+0.99),'Tax scales - NAT 1004'!$A$25:$C$33,3,1)),0)
*13/3,
0),
IF($E$2="Monthly",
ROUND(
ROUND(((TRUNC($AN250*3/13,0)+0.99)*VLOOKUP((TRUNC($AN250*3/13,0)+0.99),'Tax scales - NAT 1004'!$A$25:$C$33,2,1)-VLOOKUP((TRUNC($AN250*3/13,0)+0.99),'Tax scales - NAT 1004'!$A$25:$C$33,3,1)),0)
*13/3,
0),
""))),
""),
"")</f>
        <v/>
      </c>
      <c r="AQ250" s="118" t="str">
        <f>IFERROR(
IF(VLOOKUP($C250,'Employee information'!$B:$M,COLUMNS('Employee information'!$B:$M),0)=3,
IF($E$2="Fortnightly",
ROUND(
ROUND((((TRUNC($AN250/2,0)+0.99))*VLOOKUP((TRUNC($AN250/2,0)+0.99),'Tax scales - NAT 1004'!$A$39:$C$41,2,1)-VLOOKUP((TRUNC($AN250/2,0)+0.99),'Tax scales - NAT 1004'!$A$39:$C$41,3,1)),0)
*2,
0),
IF(AND($E$2="Monthly",ROUND($AN250-TRUNC($AN250),2)=0.33),
ROUND(
ROUND(((TRUNC(($AN250+0.01)*3/13,0)+0.99)*VLOOKUP((TRUNC(($AN250+0.01)*3/13,0)+0.99),'Tax scales - NAT 1004'!$A$39:$C$41,2,1)-VLOOKUP((TRUNC(($AN250+0.01)*3/13,0)+0.99),'Tax scales - NAT 1004'!$A$39:$C$41,3,1)),0)
*13/3,
0),
IF($E$2="Monthly",
ROUND(
ROUND(((TRUNC($AN250*3/13,0)+0.99)*VLOOKUP((TRUNC($AN250*3/13,0)+0.99),'Tax scales - NAT 1004'!$A$39:$C$41,2,1)-VLOOKUP((TRUNC($AN250*3/13,0)+0.99),'Tax scales - NAT 1004'!$A$39:$C$41,3,1)),0)
*13/3,
0),
""))),
""),
"")</f>
        <v/>
      </c>
      <c r="AR250" s="118" t="str">
        <f>IFERROR(
IF(AND(VLOOKUP($C250,'Employee information'!$B:$M,COLUMNS('Employee information'!$B:$M),0)=4,
VLOOKUP($C250,'Employee information'!$B:$J,COLUMNS('Employee information'!$B:$J),0)="Resident"),
TRUNC(TRUNC($AN250)*'Tax scales - NAT 1004'!$B$47),
IF(AND(VLOOKUP($C250,'Employee information'!$B:$M,COLUMNS('Employee information'!$B:$M),0)=4,
VLOOKUP($C250,'Employee information'!$B:$J,COLUMNS('Employee information'!$B:$J),0)="Foreign resident"),
TRUNC(TRUNC($AN250)*'Tax scales - NAT 1004'!$B$48),
"")),
"")</f>
        <v/>
      </c>
      <c r="AS250" s="118" t="str">
        <f>IFERROR(
IF(VLOOKUP($C250,'Employee information'!$B:$M,COLUMNS('Employee information'!$B:$M),0)=5,
IF($E$2="Fortnightly",
ROUND(
ROUND((((TRUNC($AN250/2,0)+0.99))*VLOOKUP((TRUNC($AN250/2,0)+0.99),'Tax scales - NAT 1004'!$A$53:$C$59,2,1)-VLOOKUP((TRUNC($AN250/2,0)+0.99),'Tax scales - NAT 1004'!$A$53:$C$59,3,1)),0)
*2,
0),
IF(AND($E$2="Monthly",ROUND($AN250-TRUNC($AN250),2)=0.33),
ROUND(
ROUND(((TRUNC(($AN250+0.01)*3/13,0)+0.99)*VLOOKUP((TRUNC(($AN250+0.01)*3/13,0)+0.99),'Tax scales - NAT 1004'!$A$53:$C$59,2,1)-VLOOKUP((TRUNC(($AN250+0.01)*3/13,0)+0.99),'Tax scales - NAT 1004'!$A$53:$C$59,3,1)),0)
*13/3,
0),
IF($E$2="Monthly",
ROUND(
ROUND(((TRUNC($AN250*3/13,0)+0.99)*VLOOKUP((TRUNC($AN250*3/13,0)+0.99),'Tax scales - NAT 1004'!$A$53:$C$59,2,1)-VLOOKUP((TRUNC($AN250*3/13,0)+0.99),'Tax scales - NAT 1004'!$A$53:$C$59,3,1)),0)
*13/3,
0),
""))),
""),
"")</f>
        <v/>
      </c>
      <c r="AT250" s="118" t="str">
        <f>IFERROR(
IF(VLOOKUP($C250,'Employee information'!$B:$M,COLUMNS('Employee information'!$B:$M),0)=6,
IF($E$2="Fortnightly",
ROUND(
ROUND((((TRUNC($AN250/2,0)+0.99))*VLOOKUP((TRUNC($AN250/2,0)+0.99),'Tax scales - NAT 1004'!$A$65:$C$73,2,1)-VLOOKUP((TRUNC($AN250/2,0)+0.99),'Tax scales - NAT 1004'!$A$65:$C$73,3,1)),0)
*2,
0),
IF(AND($E$2="Monthly",ROUND($AN250-TRUNC($AN250),2)=0.33),
ROUND(
ROUND(((TRUNC(($AN250+0.01)*3/13,0)+0.99)*VLOOKUP((TRUNC(($AN250+0.01)*3/13,0)+0.99),'Tax scales - NAT 1004'!$A$65:$C$73,2,1)-VLOOKUP((TRUNC(($AN250+0.01)*3/13,0)+0.99),'Tax scales - NAT 1004'!$A$65:$C$73,3,1)),0)
*13/3,
0),
IF($E$2="Monthly",
ROUND(
ROUND(((TRUNC($AN250*3/13,0)+0.99)*VLOOKUP((TRUNC($AN250*3/13,0)+0.99),'Tax scales - NAT 1004'!$A$65:$C$73,2,1)-VLOOKUP((TRUNC($AN250*3/13,0)+0.99),'Tax scales - NAT 1004'!$A$65:$C$73,3,1)),0)
*13/3,
0),
""))),
""),
"")</f>
        <v/>
      </c>
      <c r="AU250" s="118" t="str">
        <f>IFERROR(
IF(VLOOKUP($C250,'Employee information'!$B:$M,COLUMNS('Employee information'!$B:$M),0)=11,
IF($E$2="Fortnightly",
ROUND(
ROUND((((TRUNC($AN250/2,0)+0.99))*VLOOKUP((TRUNC($AN250/2,0)+0.99),'Tax scales - NAT 3539'!$A$14:$C$38,2,1)-VLOOKUP((TRUNC($AN250/2,0)+0.99),'Tax scales - NAT 3539'!$A$14:$C$38,3,1)),0)
*2,
0),
IF(AND($E$2="Monthly",ROUND($AN250-TRUNC($AN250),2)=0.33),
ROUND(
ROUND(((TRUNC(($AN250+0.01)*3/13,0)+0.99)*VLOOKUP((TRUNC(($AN250+0.01)*3/13,0)+0.99),'Tax scales - NAT 3539'!$A$14:$C$38,2,1)-VLOOKUP((TRUNC(($AN250+0.01)*3/13,0)+0.99),'Tax scales - NAT 3539'!$A$14:$C$38,3,1)),0)
*13/3,
0),
IF($E$2="Monthly",
ROUND(
ROUND(((TRUNC($AN250*3/13,0)+0.99)*VLOOKUP((TRUNC($AN250*3/13,0)+0.99),'Tax scales - NAT 3539'!$A$14:$C$38,2,1)-VLOOKUP((TRUNC($AN250*3/13,0)+0.99),'Tax scales - NAT 3539'!$A$14:$C$38,3,1)),0)
*13/3,
0),
""))),
""),
"")</f>
        <v/>
      </c>
      <c r="AV250" s="118" t="str">
        <f>IFERROR(
IF(VLOOKUP($C250,'Employee information'!$B:$M,COLUMNS('Employee information'!$B:$M),0)=22,
IF($E$2="Fortnightly",
ROUND(
ROUND((((TRUNC($AN250/2,0)+0.99))*VLOOKUP((TRUNC($AN250/2,0)+0.99),'Tax scales - NAT 3539'!$A$43:$C$69,2,1)-VLOOKUP((TRUNC($AN250/2,0)+0.99),'Tax scales - NAT 3539'!$A$43:$C$69,3,1)),0)
*2,
0),
IF(AND($E$2="Monthly",ROUND($AN250-TRUNC($AN250),2)=0.33),
ROUND(
ROUND(((TRUNC(($AN250+0.01)*3/13,0)+0.99)*VLOOKUP((TRUNC(($AN250+0.01)*3/13,0)+0.99),'Tax scales - NAT 3539'!$A$43:$C$69,2,1)-VLOOKUP((TRUNC(($AN250+0.01)*3/13,0)+0.99),'Tax scales - NAT 3539'!$A$43:$C$69,3,1)),0)
*13/3,
0),
IF($E$2="Monthly",
ROUND(
ROUND(((TRUNC($AN250*3/13,0)+0.99)*VLOOKUP((TRUNC($AN250*3/13,0)+0.99),'Tax scales - NAT 3539'!$A$43:$C$69,2,1)-VLOOKUP((TRUNC($AN250*3/13,0)+0.99),'Tax scales - NAT 3539'!$A$43:$C$69,3,1)),0)
*13/3,
0),
""))),
""),
"")</f>
        <v/>
      </c>
      <c r="AW250" s="118" t="str">
        <f>IFERROR(
IF(VLOOKUP($C250,'Employee information'!$B:$M,COLUMNS('Employee information'!$B:$M),0)=33,
IF($E$2="Fortnightly",
ROUND(
ROUND((((TRUNC($AN250/2,0)+0.99))*VLOOKUP((TRUNC($AN250/2,0)+0.99),'Tax scales - NAT 3539'!$A$74:$C$94,2,1)-VLOOKUP((TRUNC($AN250/2,0)+0.99),'Tax scales - NAT 3539'!$A$74:$C$94,3,1)),0)
*2,
0),
IF(AND($E$2="Monthly",ROUND($AN250-TRUNC($AN250),2)=0.33),
ROUND(
ROUND(((TRUNC(($AN250+0.01)*3/13,0)+0.99)*VLOOKUP((TRUNC(($AN250+0.01)*3/13,0)+0.99),'Tax scales - NAT 3539'!$A$74:$C$94,2,1)-VLOOKUP((TRUNC(($AN250+0.01)*3/13,0)+0.99),'Tax scales - NAT 3539'!$A$74:$C$94,3,1)),0)
*13/3,
0),
IF($E$2="Monthly",
ROUND(
ROUND(((TRUNC($AN250*3/13,0)+0.99)*VLOOKUP((TRUNC($AN250*3/13,0)+0.99),'Tax scales - NAT 3539'!$A$74:$C$94,2,1)-VLOOKUP((TRUNC($AN250*3/13,0)+0.99),'Tax scales - NAT 3539'!$A$74:$C$94,3,1)),0)
*13/3,
0),
""))),
""),
"")</f>
        <v/>
      </c>
      <c r="AX250" s="118" t="str">
        <f>IFERROR(
IF(VLOOKUP($C250,'Employee information'!$B:$M,COLUMNS('Employee information'!$B:$M),0)=55,
IF($E$2="Fortnightly",
ROUND(
ROUND((((TRUNC($AN250/2,0)+0.99))*VLOOKUP((TRUNC($AN250/2,0)+0.99),'Tax scales - NAT 3539'!$A$99:$C$123,2,1)-VLOOKUP((TRUNC($AN250/2,0)+0.99),'Tax scales - NAT 3539'!$A$99:$C$123,3,1)),0)
*2,
0),
IF(AND($E$2="Monthly",ROUND($AN250-TRUNC($AN250),2)=0.33),
ROUND(
ROUND(((TRUNC(($AN250+0.01)*3/13,0)+0.99)*VLOOKUP((TRUNC(($AN250+0.01)*3/13,0)+0.99),'Tax scales - NAT 3539'!$A$99:$C$123,2,1)-VLOOKUP((TRUNC(($AN250+0.01)*3/13,0)+0.99),'Tax scales - NAT 3539'!$A$99:$C$123,3,1)),0)
*13/3,
0),
IF($E$2="Monthly",
ROUND(
ROUND(((TRUNC($AN250*3/13,0)+0.99)*VLOOKUP((TRUNC($AN250*3/13,0)+0.99),'Tax scales - NAT 3539'!$A$99:$C$123,2,1)-VLOOKUP((TRUNC($AN250*3/13,0)+0.99),'Tax scales - NAT 3539'!$A$99:$C$123,3,1)),0)
*13/3,
0),
""))),
""),
"")</f>
        <v/>
      </c>
      <c r="AY250" s="118" t="str">
        <f>IFERROR(
IF(VLOOKUP($C250,'Employee information'!$B:$M,COLUMNS('Employee information'!$B:$M),0)=66,
IF($E$2="Fortnightly",
ROUND(
ROUND((((TRUNC($AN250/2,0)+0.99))*VLOOKUP((TRUNC($AN250/2,0)+0.99),'Tax scales - NAT 3539'!$A$127:$C$154,2,1)-VLOOKUP((TRUNC($AN250/2,0)+0.99),'Tax scales - NAT 3539'!$A$127:$C$154,3,1)),0)
*2,
0),
IF(AND($E$2="Monthly",ROUND($AN250-TRUNC($AN250),2)=0.33),
ROUND(
ROUND(((TRUNC(($AN250+0.01)*3/13,0)+0.99)*VLOOKUP((TRUNC(($AN250+0.01)*3/13,0)+0.99),'Tax scales - NAT 3539'!$A$127:$C$154,2,1)-VLOOKUP((TRUNC(($AN250+0.01)*3/13,0)+0.99),'Tax scales - NAT 3539'!$A$127:$C$154,3,1)),0)
*13/3,
0),
IF($E$2="Monthly",
ROUND(
ROUND(((TRUNC($AN250*3/13,0)+0.99)*VLOOKUP((TRUNC($AN250*3/13,0)+0.99),'Tax scales - NAT 3539'!$A$127:$C$154,2,1)-VLOOKUP((TRUNC($AN250*3/13,0)+0.99),'Tax scales - NAT 3539'!$A$127:$C$154,3,1)),0)
*13/3,
0),
""))),
""),
"")</f>
        <v/>
      </c>
      <c r="AZ250" s="118">
        <f>IFERROR(
HLOOKUP(VLOOKUP($C250,'Employee information'!$B:$M,COLUMNS('Employee information'!$B:$M),0),'PAYG worksheet'!$AO$242:$AY$261,COUNTA($C$243:$C250)+1,0),
0)</f>
        <v>0</v>
      </c>
      <c r="BA250" s="118"/>
      <c r="BB250" s="118">
        <f t="shared" si="263"/>
        <v>0</v>
      </c>
      <c r="BC250" s="119">
        <f>IFERROR(
IF(OR($AE250=1,$AE250=""),SUM($P250,$AA250,$AC250,$AK250)*VLOOKUP($C250,'Employee information'!$B:$Q,COLUMNS('Employee information'!$B:$H),0),
IF($AE250=0,SUM($P250,$AA250,$AK250)*VLOOKUP($C250,'Employee information'!$B:$Q,COLUMNS('Employee information'!$B:$H),0),
0)),
0)</f>
        <v>0</v>
      </c>
      <c r="BE250" s="114">
        <f t="shared" si="248"/>
        <v>0</v>
      </c>
      <c r="BF250" s="114">
        <f t="shared" si="249"/>
        <v>0</v>
      </c>
      <c r="BG250" s="114">
        <f t="shared" si="250"/>
        <v>0</v>
      </c>
      <c r="BH250" s="114">
        <f t="shared" si="251"/>
        <v>0</v>
      </c>
      <c r="BI250" s="114">
        <f t="shared" si="252"/>
        <v>0</v>
      </c>
      <c r="BJ250" s="114">
        <f t="shared" si="253"/>
        <v>0</v>
      </c>
      <c r="BK250" s="114">
        <f t="shared" si="254"/>
        <v>0</v>
      </c>
      <c r="BL250" s="114">
        <f t="shared" si="264"/>
        <v>0</v>
      </c>
      <c r="BM250" s="114">
        <f t="shared" si="255"/>
        <v>0</v>
      </c>
    </row>
    <row r="251" spans="1:65" x14ac:dyDescent="0.25">
      <c r="A251" s="228">
        <f t="shared" si="243"/>
        <v>9</v>
      </c>
      <c r="C251" s="278"/>
      <c r="E251" s="103">
        <f>IF($C251="",0,
IF(AND($E$2="Monthly",$A251&gt;12),0,
IF($E$2="Monthly",VLOOKUP($C251,'Employee information'!$B:$AM,COLUMNS('Employee information'!$B:S),0),
IF($E$2="Fortnightly",VLOOKUP($C251,'Employee information'!$B:$AM,COLUMNS('Employee information'!$B:R),0),
0))))</f>
        <v>0</v>
      </c>
      <c r="F251" s="106"/>
      <c r="G251" s="106"/>
      <c r="H251" s="106"/>
      <c r="I251" s="106"/>
      <c r="J251" s="103">
        <f t="shared" si="256"/>
        <v>0</v>
      </c>
      <c r="L251" s="113">
        <f>IF(AND($E$2="Monthly",$A251&gt;12),"",
IFERROR($J251*VLOOKUP($C251,'Employee information'!$B:$AI,COLUMNS('Employee information'!$B:$P),0),0))</f>
        <v>0</v>
      </c>
      <c r="M251" s="114">
        <f t="shared" si="257"/>
        <v>0</v>
      </c>
      <c r="O251" s="103">
        <f t="shared" si="258"/>
        <v>0</v>
      </c>
      <c r="P251" s="113">
        <f>IFERROR(
IF(AND($E$2="Monthly",$A251&gt;12),0,
$O251*VLOOKUP($C251,'Employee information'!$B:$AI,COLUMNS('Employee information'!$B:$P),0)),
0)</f>
        <v>0</v>
      </c>
      <c r="R251" s="114">
        <f t="shared" si="244"/>
        <v>0</v>
      </c>
      <c r="T251" s="103"/>
      <c r="U251" s="103"/>
      <c r="V251" s="282" t="str">
        <f>IF($C251="","",
IF(AND($E$2="Monthly",$A251&gt;12),"",
$T251*VLOOKUP($C251,'Employee information'!$B:$P,COLUMNS('Employee information'!$B:$P),0)))</f>
        <v/>
      </c>
      <c r="W251" s="282" t="str">
        <f>IF($C251="","",
IF(AND($E$2="Monthly",$A251&gt;12),"",
$U251*VLOOKUP($C251,'Employee information'!$B:$P,COLUMNS('Employee information'!$B:$P),0)))</f>
        <v/>
      </c>
      <c r="X251" s="114">
        <f t="shared" si="245"/>
        <v>0</v>
      </c>
      <c r="Y251" s="114">
        <f t="shared" si="246"/>
        <v>0</v>
      </c>
      <c r="AA251" s="118">
        <f>IFERROR(
IF(OR('Basic payroll data'!$D$12="",'Basic payroll data'!$D$12="No"),0,
$T251*VLOOKUP($C251,'Employee information'!$B:$P,COLUMNS('Employee information'!$B:$P),0)*AL_loading_perc),
0)</f>
        <v>0</v>
      </c>
      <c r="AC251" s="118"/>
      <c r="AD251" s="118"/>
      <c r="AE251" s="283" t="str">
        <f t="shared" si="259"/>
        <v/>
      </c>
      <c r="AF251" s="283" t="str">
        <f t="shared" si="260"/>
        <v/>
      </c>
      <c r="AG251" s="118"/>
      <c r="AH251" s="118"/>
      <c r="AI251" s="283" t="str">
        <f t="shared" si="261"/>
        <v/>
      </c>
      <c r="AJ251" s="118"/>
      <c r="AK251" s="118"/>
      <c r="AM251" s="118">
        <f t="shared" si="262"/>
        <v>0</v>
      </c>
      <c r="AN251" s="118">
        <f t="shared" si="247"/>
        <v>0</v>
      </c>
      <c r="AO251" s="118" t="str">
        <f>IFERROR(
IF(VLOOKUP($C251,'Employee information'!$B:$M,COLUMNS('Employee information'!$B:$M),0)=1,
IF($E$2="Fortnightly",
ROUND(
ROUND((((TRUNC($AN251/2,0)+0.99))*VLOOKUP((TRUNC($AN251/2,0)+0.99),'Tax scales - NAT 1004'!$A$12:$C$18,2,1)-VLOOKUP((TRUNC($AN251/2,0)+0.99),'Tax scales - NAT 1004'!$A$12:$C$18,3,1)),0)
*2,
0),
IF(AND($E$2="Monthly",ROUND($AN251-TRUNC($AN251),2)=0.33),
ROUND(
ROUND(((TRUNC(($AN251+0.01)*3/13,0)+0.99)*VLOOKUP((TRUNC(($AN251+0.01)*3/13,0)+0.99),'Tax scales - NAT 1004'!$A$12:$C$18,2,1)-VLOOKUP((TRUNC(($AN251+0.01)*3/13,0)+0.99),'Tax scales - NAT 1004'!$A$12:$C$18,3,1)),0)
*13/3,
0),
IF($E$2="Monthly",
ROUND(
ROUND(((TRUNC($AN251*3/13,0)+0.99)*VLOOKUP((TRUNC($AN251*3/13,0)+0.99),'Tax scales - NAT 1004'!$A$12:$C$18,2,1)-VLOOKUP((TRUNC($AN251*3/13,0)+0.99),'Tax scales - NAT 1004'!$A$12:$C$18,3,1)),0)
*13/3,
0),
""))),
""),
"")</f>
        <v/>
      </c>
      <c r="AP251" s="118" t="str">
        <f>IFERROR(
IF(VLOOKUP($C251,'Employee information'!$B:$M,COLUMNS('Employee information'!$B:$M),0)=2,
IF($E$2="Fortnightly",
ROUND(
ROUND((((TRUNC($AN251/2,0)+0.99))*VLOOKUP((TRUNC($AN251/2,0)+0.99),'Tax scales - NAT 1004'!$A$25:$C$33,2,1)-VLOOKUP((TRUNC($AN251/2,0)+0.99),'Tax scales - NAT 1004'!$A$25:$C$33,3,1)),0)
*2,
0),
IF(AND($E$2="Monthly",ROUND($AN251-TRUNC($AN251),2)=0.33),
ROUND(
ROUND(((TRUNC(($AN251+0.01)*3/13,0)+0.99)*VLOOKUP((TRUNC(($AN251+0.01)*3/13,0)+0.99),'Tax scales - NAT 1004'!$A$25:$C$33,2,1)-VLOOKUP((TRUNC(($AN251+0.01)*3/13,0)+0.99),'Tax scales - NAT 1004'!$A$25:$C$33,3,1)),0)
*13/3,
0),
IF($E$2="Monthly",
ROUND(
ROUND(((TRUNC($AN251*3/13,0)+0.99)*VLOOKUP((TRUNC($AN251*3/13,0)+0.99),'Tax scales - NAT 1004'!$A$25:$C$33,2,1)-VLOOKUP((TRUNC($AN251*3/13,0)+0.99),'Tax scales - NAT 1004'!$A$25:$C$33,3,1)),0)
*13/3,
0),
""))),
""),
"")</f>
        <v/>
      </c>
      <c r="AQ251" s="118" t="str">
        <f>IFERROR(
IF(VLOOKUP($C251,'Employee information'!$B:$M,COLUMNS('Employee information'!$B:$M),0)=3,
IF($E$2="Fortnightly",
ROUND(
ROUND((((TRUNC($AN251/2,0)+0.99))*VLOOKUP((TRUNC($AN251/2,0)+0.99),'Tax scales - NAT 1004'!$A$39:$C$41,2,1)-VLOOKUP((TRUNC($AN251/2,0)+0.99),'Tax scales - NAT 1004'!$A$39:$C$41,3,1)),0)
*2,
0),
IF(AND($E$2="Monthly",ROUND($AN251-TRUNC($AN251),2)=0.33),
ROUND(
ROUND(((TRUNC(($AN251+0.01)*3/13,0)+0.99)*VLOOKUP((TRUNC(($AN251+0.01)*3/13,0)+0.99),'Tax scales - NAT 1004'!$A$39:$C$41,2,1)-VLOOKUP((TRUNC(($AN251+0.01)*3/13,0)+0.99),'Tax scales - NAT 1004'!$A$39:$C$41,3,1)),0)
*13/3,
0),
IF($E$2="Monthly",
ROUND(
ROUND(((TRUNC($AN251*3/13,0)+0.99)*VLOOKUP((TRUNC($AN251*3/13,0)+0.99),'Tax scales - NAT 1004'!$A$39:$C$41,2,1)-VLOOKUP((TRUNC($AN251*3/13,0)+0.99),'Tax scales - NAT 1004'!$A$39:$C$41,3,1)),0)
*13/3,
0),
""))),
""),
"")</f>
        <v/>
      </c>
      <c r="AR251" s="118" t="str">
        <f>IFERROR(
IF(AND(VLOOKUP($C251,'Employee information'!$B:$M,COLUMNS('Employee information'!$B:$M),0)=4,
VLOOKUP($C251,'Employee information'!$B:$J,COLUMNS('Employee information'!$B:$J),0)="Resident"),
TRUNC(TRUNC($AN251)*'Tax scales - NAT 1004'!$B$47),
IF(AND(VLOOKUP($C251,'Employee information'!$B:$M,COLUMNS('Employee information'!$B:$M),0)=4,
VLOOKUP($C251,'Employee information'!$B:$J,COLUMNS('Employee information'!$B:$J),0)="Foreign resident"),
TRUNC(TRUNC($AN251)*'Tax scales - NAT 1004'!$B$48),
"")),
"")</f>
        <v/>
      </c>
      <c r="AS251" s="118" t="str">
        <f>IFERROR(
IF(VLOOKUP($C251,'Employee information'!$B:$M,COLUMNS('Employee information'!$B:$M),0)=5,
IF($E$2="Fortnightly",
ROUND(
ROUND((((TRUNC($AN251/2,0)+0.99))*VLOOKUP((TRUNC($AN251/2,0)+0.99),'Tax scales - NAT 1004'!$A$53:$C$59,2,1)-VLOOKUP((TRUNC($AN251/2,0)+0.99),'Tax scales - NAT 1004'!$A$53:$C$59,3,1)),0)
*2,
0),
IF(AND($E$2="Monthly",ROUND($AN251-TRUNC($AN251),2)=0.33),
ROUND(
ROUND(((TRUNC(($AN251+0.01)*3/13,0)+0.99)*VLOOKUP((TRUNC(($AN251+0.01)*3/13,0)+0.99),'Tax scales - NAT 1004'!$A$53:$C$59,2,1)-VLOOKUP((TRUNC(($AN251+0.01)*3/13,0)+0.99),'Tax scales - NAT 1004'!$A$53:$C$59,3,1)),0)
*13/3,
0),
IF($E$2="Monthly",
ROUND(
ROUND(((TRUNC($AN251*3/13,0)+0.99)*VLOOKUP((TRUNC($AN251*3/13,0)+0.99),'Tax scales - NAT 1004'!$A$53:$C$59,2,1)-VLOOKUP((TRUNC($AN251*3/13,0)+0.99),'Tax scales - NAT 1004'!$A$53:$C$59,3,1)),0)
*13/3,
0),
""))),
""),
"")</f>
        <v/>
      </c>
      <c r="AT251" s="118" t="str">
        <f>IFERROR(
IF(VLOOKUP($C251,'Employee information'!$B:$M,COLUMNS('Employee information'!$B:$M),0)=6,
IF($E$2="Fortnightly",
ROUND(
ROUND((((TRUNC($AN251/2,0)+0.99))*VLOOKUP((TRUNC($AN251/2,0)+0.99),'Tax scales - NAT 1004'!$A$65:$C$73,2,1)-VLOOKUP((TRUNC($AN251/2,0)+0.99),'Tax scales - NAT 1004'!$A$65:$C$73,3,1)),0)
*2,
0),
IF(AND($E$2="Monthly",ROUND($AN251-TRUNC($AN251),2)=0.33),
ROUND(
ROUND(((TRUNC(($AN251+0.01)*3/13,0)+0.99)*VLOOKUP((TRUNC(($AN251+0.01)*3/13,0)+0.99),'Tax scales - NAT 1004'!$A$65:$C$73,2,1)-VLOOKUP((TRUNC(($AN251+0.01)*3/13,0)+0.99),'Tax scales - NAT 1004'!$A$65:$C$73,3,1)),0)
*13/3,
0),
IF($E$2="Monthly",
ROUND(
ROUND(((TRUNC($AN251*3/13,0)+0.99)*VLOOKUP((TRUNC($AN251*3/13,0)+0.99),'Tax scales - NAT 1004'!$A$65:$C$73,2,1)-VLOOKUP((TRUNC($AN251*3/13,0)+0.99),'Tax scales - NAT 1004'!$A$65:$C$73,3,1)),0)
*13/3,
0),
""))),
""),
"")</f>
        <v/>
      </c>
      <c r="AU251" s="118" t="str">
        <f>IFERROR(
IF(VLOOKUP($C251,'Employee information'!$B:$M,COLUMNS('Employee information'!$B:$M),0)=11,
IF($E$2="Fortnightly",
ROUND(
ROUND((((TRUNC($AN251/2,0)+0.99))*VLOOKUP((TRUNC($AN251/2,0)+0.99),'Tax scales - NAT 3539'!$A$14:$C$38,2,1)-VLOOKUP((TRUNC($AN251/2,0)+0.99),'Tax scales - NAT 3539'!$A$14:$C$38,3,1)),0)
*2,
0),
IF(AND($E$2="Monthly",ROUND($AN251-TRUNC($AN251),2)=0.33),
ROUND(
ROUND(((TRUNC(($AN251+0.01)*3/13,0)+0.99)*VLOOKUP((TRUNC(($AN251+0.01)*3/13,0)+0.99),'Tax scales - NAT 3539'!$A$14:$C$38,2,1)-VLOOKUP((TRUNC(($AN251+0.01)*3/13,0)+0.99),'Tax scales - NAT 3539'!$A$14:$C$38,3,1)),0)
*13/3,
0),
IF($E$2="Monthly",
ROUND(
ROUND(((TRUNC($AN251*3/13,0)+0.99)*VLOOKUP((TRUNC($AN251*3/13,0)+0.99),'Tax scales - NAT 3539'!$A$14:$C$38,2,1)-VLOOKUP((TRUNC($AN251*3/13,0)+0.99),'Tax scales - NAT 3539'!$A$14:$C$38,3,1)),0)
*13/3,
0),
""))),
""),
"")</f>
        <v/>
      </c>
      <c r="AV251" s="118" t="str">
        <f>IFERROR(
IF(VLOOKUP($C251,'Employee information'!$B:$M,COLUMNS('Employee information'!$B:$M),0)=22,
IF($E$2="Fortnightly",
ROUND(
ROUND((((TRUNC($AN251/2,0)+0.99))*VLOOKUP((TRUNC($AN251/2,0)+0.99),'Tax scales - NAT 3539'!$A$43:$C$69,2,1)-VLOOKUP((TRUNC($AN251/2,0)+0.99),'Tax scales - NAT 3539'!$A$43:$C$69,3,1)),0)
*2,
0),
IF(AND($E$2="Monthly",ROUND($AN251-TRUNC($AN251),2)=0.33),
ROUND(
ROUND(((TRUNC(($AN251+0.01)*3/13,0)+0.99)*VLOOKUP((TRUNC(($AN251+0.01)*3/13,0)+0.99),'Tax scales - NAT 3539'!$A$43:$C$69,2,1)-VLOOKUP((TRUNC(($AN251+0.01)*3/13,0)+0.99),'Tax scales - NAT 3539'!$A$43:$C$69,3,1)),0)
*13/3,
0),
IF($E$2="Monthly",
ROUND(
ROUND(((TRUNC($AN251*3/13,0)+0.99)*VLOOKUP((TRUNC($AN251*3/13,0)+0.99),'Tax scales - NAT 3539'!$A$43:$C$69,2,1)-VLOOKUP((TRUNC($AN251*3/13,0)+0.99),'Tax scales - NAT 3539'!$A$43:$C$69,3,1)),0)
*13/3,
0),
""))),
""),
"")</f>
        <v/>
      </c>
      <c r="AW251" s="118" t="str">
        <f>IFERROR(
IF(VLOOKUP($C251,'Employee information'!$B:$M,COLUMNS('Employee information'!$B:$M),0)=33,
IF($E$2="Fortnightly",
ROUND(
ROUND((((TRUNC($AN251/2,0)+0.99))*VLOOKUP((TRUNC($AN251/2,0)+0.99),'Tax scales - NAT 3539'!$A$74:$C$94,2,1)-VLOOKUP((TRUNC($AN251/2,0)+0.99),'Tax scales - NAT 3539'!$A$74:$C$94,3,1)),0)
*2,
0),
IF(AND($E$2="Monthly",ROUND($AN251-TRUNC($AN251),2)=0.33),
ROUND(
ROUND(((TRUNC(($AN251+0.01)*3/13,0)+0.99)*VLOOKUP((TRUNC(($AN251+0.01)*3/13,0)+0.99),'Tax scales - NAT 3539'!$A$74:$C$94,2,1)-VLOOKUP((TRUNC(($AN251+0.01)*3/13,0)+0.99),'Tax scales - NAT 3539'!$A$74:$C$94,3,1)),0)
*13/3,
0),
IF($E$2="Monthly",
ROUND(
ROUND(((TRUNC($AN251*3/13,0)+0.99)*VLOOKUP((TRUNC($AN251*3/13,0)+0.99),'Tax scales - NAT 3539'!$A$74:$C$94,2,1)-VLOOKUP((TRUNC($AN251*3/13,0)+0.99),'Tax scales - NAT 3539'!$A$74:$C$94,3,1)),0)
*13/3,
0),
""))),
""),
"")</f>
        <v/>
      </c>
      <c r="AX251" s="118" t="str">
        <f>IFERROR(
IF(VLOOKUP($C251,'Employee information'!$B:$M,COLUMNS('Employee information'!$B:$M),0)=55,
IF($E$2="Fortnightly",
ROUND(
ROUND((((TRUNC($AN251/2,0)+0.99))*VLOOKUP((TRUNC($AN251/2,0)+0.99),'Tax scales - NAT 3539'!$A$99:$C$123,2,1)-VLOOKUP((TRUNC($AN251/2,0)+0.99),'Tax scales - NAT 3539'!$A$99:$C$123,3,1)),0)
*2,
0),
IF(AND($E$2="Monthly",ROUND($AN251-TRUNC($AN251),2)=0.33),
ROUND(
ROUND(((TRUNC(($AN251+0.01)*3/13,0)+0.99)*VLOOKUP((TRUNC(($AN251+0.01)*3/13,0)+0.99),'Tax scales - NAT 3539'!$A$99:$C$123,2,1)-VLOOKUP((TRUNC(($AN251+0.01)*3/13,0)+0.99),'Tax scales - NAT 3539'!$A$99:$C$123,3,1)),0)
*13/3,
0),
IF($E$2="Monthly",
ROUND(
ROUND(((TRUNC($AN251*3/13,0)+0.99)*VLOOKUP((TRUNC($AN251*3/13,0)+0.99),'Tax scales - NAT 3539'!$A$99:$C$123,2,1)-VLOOKUP((TRUNC($AN251*3/13,0)+0.99),'Tax scales - NAT 3539'!$A$99:$C$123,3,1)),0)
*13/3,
0),
""))),
""),
"")</f>
        <v/>
      </c>
      <c r="AY251" s="118" t="str">
        <f>IFERROR(
IF(VLOOKUP($C251,'Employee information'!$B:$M,COLUMNS('Employee information'!$B:$M),0)=66,
IF($E$2="Fortnightly",
ROUND(
ROUND((((TRUNC($AN251/2,0)+0.99))*VLOOKUP((TRUNC($AN251/2,0)+0.99),'Tax scales - NAT 3539'!$A$127:$C$154,2,1)-VLOOKUP((TRUNC($AN251/2,0)+0.99),'Tax scales - NAT 3539'!$A$127:$C$154,3,1)),0)
*2,
0),
IF(AND($E$2="Monthly",ROUND($AN251-TRUNC($AN251),2)=0.33),
ROUND(
ROUND(((TRUNC(($AN251+0.01)*3/13,0)+0.99)*VLOOKUP((TRUNC(($AN251+0.01)*3/13,0)+0.99),'Tax scales - NAT 3539'!$A$127:$C$154,2,1)-VLOOKUP((TRUNC(($AN251+0.01)*3/13,0)+0.99),'Tax scales - NAT 3539'!$A$127:$C$154,3,1)),0)
*13/3,
0),
IF($E$2="Monthly",
ROUND(
ROUND(((TRUNC($AN251*3/13,0)+0.99)*VLOOKUP((TRUNC($AN251*3/13,0)+0.99),'Tax scales - NAT 3539'!$A$127:$C$154,2,1)-VLOOKUP((TRUNC($AN251*3/13,0)+0.99),'Tax scales - NAT 3539'!$A$127:$C$154,3,1)),0)
*13/3,
0),
""))),
""),
"")</f>
        <v/>
      </c>
      <c r="AZ251" s="118">
        <f>IFERROR(
HLOOKUP(VLOOKUP($C251,'Employee information'!$B:$M,COLUMNS('Employee information'!$B:$M),0),'PAYG worksheet'!$AO$242:$AY$261,COUNTA($C$243:$C251)+1,0),
0)</f>
        <v>0</v>
      </c>
      <c r="BA251" s="118"/>
      <c r="BB251" s="118">
        <f t="shared" si="263"/>
        <v>0</v>
      </c>
      <c r="BC251" s="119">
        <f>IFERROR(
IF(OR($AE251=1,$AE251=""),SUM($P251,$AA251,$AC251,$AK251)*VLOOKUP($C251,'Employee information'!$B:$Q,COLUMNS('Employee information'!$B:$H),0),
IF($AE251=0,SUM($P251,$AA251,$AK251)*VLOOKUP($C251,'Employee information'!$B:$Q,COLUMNS('Employee information'!$B:$H),0),
0)),
0)</f>
        <v>0</v>
      </c>
      <c r="BE251" s="114">
        <f t="shared" si="248"/>
        <v>0</v>
      </c>
      <c r="BF251" s="114">
        <f t="shared" si="249"/>
        <v>0</v>
      </c>
      <c r="BG251" s="114">
        <f t="shared" si="250"/>
        <v>0</v>
      </c>
      <c r="BH251" s="114">
        <f t="shared" si="251"/>
        <v>0</v>
      </c>
      <c r="BI251" s="114">
        <f t="shared" si="252"/>
        <v>0</v>
      </c>
      <c r="BJ251" s="114">
        <f t="shared" si="253"/>
        <v>0</v>
      </c>
      <c r="BK251" s="114">
        <f t="shared" si="254"/>
        <v>0</v>
      </c>
      <c r="BL251" s="114">
        <f t="shared" si="264"/>
        <v>0</v>
      </c>
      <c r="BM251" s="114">
        <f t="shared" si="255"/>
        <v>0</v>
      </c>
    </row>
    <row r="252" spans="1:65" x14ac:dyDescent="0.25">
      <c r="A252" s="228">
        <f t="shared" si="243"/>
        <v>9</v>
      </c>
      <c r="C252" s="278"/>
      <c r="E252" s="103">
        <f>IF($C252="",0,
IF(AND($E$2="Monthly",$A252&gt;12),0,
IF($E$2="Monthly",VLOOKUP($C252,'Employee information'!$B:$AM,COLUMNS('Employee information'!$B:S),0),
IF($E$2="Fortnightly",VLOOKUP($C252,'Employee information'!$B:$AM,COLUMNS('Employee information'!$B:R),0),
0))))</f>
        <v>0</v>
      </c>
      <c r="F252" s="106"/>
      <c r="G252" s="106"/>
      <c r="H252" s="106"/>
      <c r="I252" s="106"/>
      <c r="J252" s="103">
        <f t="shared" si="256"/>
        <v>0</v>
      </c>
      <c r="L252" s="113">
        <f>IF(AND($E$2="Monthly",$A252&gt;12),"",
IFERROR($J252*VLOOKUP($C252,'Employee information'!$B:$AI,COLUMNS('Employee information'!$B:$P),0),0))</f>
        <v>0</v>
      </c>
      <c r="M252" s="114">
        <f t="shared" si="257"/>
        <v>0</v>
      </c>
      <c r="O252" s="103">
        <f>IF($E$2="Monthly",
IF(AND($E$2="Monthly",$H252&lt;&gt;""),$H252,
IF(AND($E$2="Monthly",$E252=0),$F252,
$E252)),
IF($E$2="Fortnightly",
IF(AND($E$2="Fortnightly",$H252&lt;&gt;""),$H252,
IF(AND($E$2="Fortnightly",$F252&lt;&gt;"",$E252&lt;&gt;0),$F252,
IF(AND($E$2="Fortnightly",$E252=0),$F252,
$E252)))))</f>
        <v>0</v>
      </c>
      <c r="P252" s="113">
        <f>IFERROR(
IF(AND($E$2="Monthly",$A252&gt;12),0,
$O252*VLOOKUP($C252,'Employee information'!$B:$AI,COLUMNS('Employee information'!$B:$P),0)),
0)</f>
        <v>0</v>
      </c>
      <c r="R252" s="114">
        <f t="shared" si="244"/>
        <v>0</v>
      </c>
      <c r="T252" s="103"/>
      <c r="U252" s="103"/>
      <c r="V252" s="282" t="str">
        <f>IF($C252="","",
IF(AND($E$2="Monthly",$A252&gt;12),"",
$T252*VLOOKUP($C252,'Employee information'!$B:$P,COLUMNS('Employee information'!$B:$P),0)))</f>
        <v/>
      </c>
      <c r="W252" s="282" t="str">
        <f>IF($C252="","",
IF(AND($E$2="Monthly",$A252&gt;12),"",
$U252*VLOOKUP($C252,'Employee information'!$B:$P,COLUMNS('Employee information'!$B:$P),0)))</f>
        <v/>
      </c>
      <c r="X252" s="114">
        <f t="shared" si="245"/>
        <v>0</v>
      </c>
      <c r="Y252" s="114">
        <f t="shared" si="246"/>
        <v>0</v>
      </c>
      <c r="AA252" s="118">
        <f>IFERROR(
IF(OR('Basic payroll data'!$D$12="",'Basic payroll data'!$D$12="No"),0,
$T252*VLOOKUP($C252,'Employee information'!$B:$P,COLUMNS('Employee information'!$B:$P),0)*AL_loading_perc),
0)</f>
        <v>0</v>
      </c>
      <c r="AC252" s="118"/>
      <c r="AD252" s="118"/>
      <c r="AE252" s="283" t="str">
        <f t="shared" si="259"/>
        <v/>
      </c>
      <c r="AF252" s="283" t="str">
        <f t="shared" si="260"/>
        <v/>
      </c>
      <c r="AG252" s="118"/>
      <c r="AH252" s="118"/>
      <c r="AI252" s="283" t="str">
        <f t="shared" si="261"/>
        <v/>
      </c>
      <c r="AJ252" s="118"/>
      <c r="AK252" s="118"/>
      <c r="AM252" s="118">
        <f t="shared" si="262"/>
        <v>0</v>
      </c>
      <c r="AN252" s="118">
        <f t="shared" si="247"/>
        <v>0</v>
      </c>
      <c r="AO252" s="118" t="str">
        <f>IFERROR(
IF(VLOOKUP($C252,'Employee information'!$B:$M,COLUMNS('Employee information'!$B:$M),0)=1,
IF($E$2="Fortnightly",
ROUND(
ROUND((((TRUNC($AN252/2,0)+0.99))*VLOOKUP((TRUNC($AN252/2,0)+0.99),'Tax scales - NAT 1004'!$A$12:$C$18,2,1)-VLOOKUP((TRUNC($AN252/2,0)+0.99),'Tax scales - NAT 1004'!$A$12:$C$18,3,1)),0)
*2,
0),
IF(AND($E$2="Monthly",ROUND($AN252-TRUNC($AN252),2)=0.33),
ROUND(
ROUND(((TRUNC(($AN252+0.01)*3/13,0)+0.99)*VLOOKUP((TRUNC(($AN252+0.01)*3/13,0)+0.99),'Tax scales - NAT 1004'!$A$12:$C$18,2,1)-VLOOKUP((TRUNC(($AN252+0.01)*3/13,0)+0.99),'Tax scales - NAT 1004'!$A$12:$C$18,3,1)),0)
*13/3,
0),
IF($E$2="Monthly",
ROUND(
ROUND(((TRUNC($AN252*3/13,0)+0.99)*VLOOKUP((TRUNC($AN252*3/13,0)+0.99),'Tax scales - NAT 1004'!$A$12:$C$18,2,1)-VLOOKUP((TRUNC($AN252*3/13,0)+0.99),'Tax scales - NAT 1004'!$A$12:$C$18,3,1)),0)
*13/3,
0),
""))),
""),
"")</f>
        <v/>
      </c>
      <c r="AP252" s="118" t="str">
        <f>IFERROR(
IF(VLOOKUP($C252,'Employee information'!$B:$M,COLUMNS('Employee information'!$B:$M),0)=2,
IF($E$2="Fortnightly",
ROUND(
ROUND((((TRUNC($AN252/2,0)+0.99))*VLOOKUP((TRUNC($AN252/2,0)+0.99),'Tax scales - NAT 1004'!$A$25:$C$33,2,1)-VLOOKUP((TRUNC($AN252/2,0)+0.99),'Tax scales - NAT 1004'!$A$25:$C$33,3,1)),0)
*2,
0),
IF(AND($E$2="Monthly",ROUND($AN252-TRUNC($AN252),2)=0.33),
ROUND(
ROUND(((TRUNC(($AN252+0.01)*3/13,0)+0.99)*VLOOKUP((TRUNC(($AN252+0.01)*3/13,0)+0.99),'Tax scales - NAT 1004'!$A$25:$C$33,2,1)-VLOOKUP((TRUNC(($AN252+0.01)*3/13,0)+0.99),'Tax scales - NAT 1004'!$A$25:$C$33,3,1)),0)
*13/3,
0),
IF($E$2="Monthly",
ROUND(
ROUND(((TRUNC($AN252*3/13,0)+0.99)*VLOOKUP((TRUNC($AN252*3/13,0)+0.99),'Tax scales - NAT 1004'!$A$25:$C$33,2,1)-VLOOKUP((TRUNC($AN252*3/13,0)+0.99),'Tax scales - NAT 1004'!$A$25:$C$33,3,1)),0)
*13/3,
0),
""))),
""),
"")</f>
        <v/>
      </c>
      <c r="AQ252" s="118" t="str">
        <f>IFERROR(
IF(VLOOKUP($C252,'Employee information'!$B:$M,COLUMNS('Employee information'!$B:$M),0)=3,
IF($E$2="Fortnightly",
ROUND(
ROUND((((TRUNC($AN252/2,0)+0.99))*VLOOKUP((TRUNC($AN252/2,0)+0.99),'Tax scales - NAT 1004'!$A$39:$C$41,2,1)-VLOOKUP((TRUNC($AN252/2,0)+0.99),'Tax scales - NAT 1004'!$A$39:$C$41,3,1)),0)
*2,
0),
IF(AND($E$2="Monthly",ROUND($AN252-TRUNC($AN252),2)=0.33),
ROUND(
ROUND(((TRUNC(($AN252+0.01)*3/13,0)+0.99)*VLOOKUP((TRUNC(($AN252+0.01)*3/13,0)+0.99),'Tax scales - NAT 1004'!$A$39:$C$41,2,1)-VLOOKUP((TRUNC(($AN252+0.01)*3/13,0)+0.99),'Tax scales - NAT 1004'!$A$39:$C$41,3,1)),0)
*13/3,
0),
IF($E$2="Monthly",
ROUND(
ROUND(((TRUNC($AN252*3/13,0)+0.99)*VLOOKUP((TRUNC($AN252*3/13,0)+0.99),'Tax scales - NAT 1004'!$A$39:$C$41,2,1)-VLOOKUP((TRUNC($AN252*3/13,0)+0.99),'Tax scales - NAT 1004'!$A$39:$C$41,3,1)),0)
*13/3,
0),
""))),
""),
"")</f>
        <v/>
      </c>
      <c r="AR252" s="118" t="str">
        <f>IFERROR(
IF(AND(VLOOKUP($C252,'Employee information'!$B:$M,COLUMNS('Employee information'!$B:$M),0)=4,
VLOOKUP($C252,'Employee information'!$B:$J,COLUMNS('Employee information'!$B:$J),0)="Resident"),
TRUNC(TRUNC($AN252)*'Tax scales - NAT 1004'!$B$47),
IF(AND(VLOOKUP($C252,'Employee information'!$B:$M,COLUMNS('Employee information'!$B:$M),0)=4,
VLOOKUP($C252,'Employee information'!$B:$J,COLUMNS('Employee information'!$B:$J),0)="Foreign resident"),
TRUNC(TRUNC($AN252)*'Tax scales - NAT 1004'!$B$48),
"")),
"")</f>
        <v/>
      </c>
      <c r="AS252" s="118" t="str">
        <f>IFERROR(
IF(VLOOKUP($C252,'Employee information'!$B:$M,COLUMNS('Employee information'!$B:$M),0)=5,
IF($E$2="Fortnightly",
ROUND(
ROUND((((TRUNC($AN252/2,0)+0.99))*VLOOKUP((TRUNC($AN252/2,0)+0.99),'Tax scales - NAT 1004'!$A$53:$C$59,2,1)-VLOOKUP((TRUNC($AN252/2,0)+0.99),'Tax scales - NAT 1004'!$A$53:$C$59,3,1)),0)
*2,
0),
IF(AND($E$2="Monthly",ROUND($AN252-TRUNC($AN252),2)=0.33),
ROUND(
ROUND(((TRUNC(($AN252+0.01)*3/13,0)+0.99)*VLOOKUP((TRUNC(($AN252+0.01)*3/13,0)+0.99),'Tax scales - NAT 1004'!$A$53:$C$59,2,1)-VLOOKUP((TRUNC(($AN252+0.01)*3/13,0)+0.99),'Tax scales - NAT 1004'!$A$53:$C$59,3,1)),0)
*13/3,
0),
IF($E$2="Monthly",
ROUND(
ROUND(((TRUNC($AN252*3/13,0)+0.99)*VLOOKUP((TRUNC($AN252*3/13,0)+0.99),'Tax scales - NAT 1004'!$A$53:$C$59,2,1)-VLOOKUP((TRUNC($AN252*3/13,0)+0.99),'Tax scales - NAT 1004'!$A$53:$C$59,3,1)),0)
*13/3,
0),
""))),
""),
"")</f>
        <v/>
      </c>
      <c r="AT252" s="118" t="str">
        <f>IFERROR(
IF(VLOOKUP($C252,'Employee information'!$B:$M,COLUMNS('Employee information'!$B:$M),0)=6,
IF($E$2="Fortnightly",
ROUND(
ROUND((((TRUNC($AN252/2,0)+0.99))*VLOOKUP((TRUNC($AN252/2,0)+0.99),'Tax scales - NAT 1004'!$A$65:$C$73,2,1)-VLOOKUP((TRUNC($AN252/2,0)+0.99),'Tax scales - NAT 1004'!$A$65:$C$73,3,1)),0)
*2,
0),
IF(AND($E$2="Monthly",ROUND($AN252-TRUNC($AN252),2)=0.33),
ROUND(
ROUND(((TRUNC(($AN252+0.01)*3/13,0)+0.99)*VLOOKUP((TRUNC(($AN252+0.01)*3/13,0)+0.99),'Tax scales - NAT 1004'!$A$65:$C$73,2,1)-VLOOKUP((TRUNC(($AN252+0.01)*3/13,0)+0.99),'Tax scales - NAT 1004'!$A$65:$C$73,3,1)),0)
*13/3,
0),
IF($E$2="Monthly",
ROUND(
ROUND(((TRUNC($AN252*3/13,0)+0.99)*VLOOKUP((TRUNC($AN252*3/13,0)+0.99),'Tax scales - NAT 1004'!$A$65:$C$73,2,1)-VLOOKUP((TRUNC($AN252*3/13,0)+0.99),'Tax scales - NAT 1004'!$A$65:$C$73,3,1)),0)
*13/3,
0),
""))),
""),
"")</f>
        <v/>
      </c>
      <c r="AU252" s="118" t="str">
        <f>IFERROR(
IF(VLOOKUP($C252,'Employee information'!$B:$M,COLUMNS('Employee information'!$B:$M),0)=11,
IF($E$2="Fortnightly",
ROUND(
ROUND((((TRUNC($AN252/2,0)+0.99))*VLOOKUP((TRUNC($AN252/2,0)+0.99),'Tax scales - NAT 3539'!$A$14:$C$38,2,1)-VLOOKUP((TRUNC($AN252/2,0)+0.99),'Tax scales - NAT 3539'!$A$14:$C$38,3,1)),0)
*2,
0),
IF(AND($E$2="Monthly",ROUND($AN252-TRUNC($AN252),2)=0.33),
ROUND(
ROUND(((TRUNC(($AN252+0.01)*3/13,0)+0.99)*VLOOKUP((TRUNC(($AN252+0.01)*3/13,0)+0.99),'Tax scales - NAT 3539'!$A$14:$C$38,2,1)-VLOOKUP((TRUNC(($AN252+0.01)*3/13,0)+0.99),'Tax scales - NAT 3539'!$A$14:$C$38,3,1)),0)
*13/3,
0),
IF($E$2="Monthly",
ROUND(
ROUND(((TRUNC($AN252*3/13,0)+0.99)*VLOOKUP((TRUNC($AN252*3/13,0)+0.99),'Tax scales - NAT 3539'!$A$14:$C$38,2,1)-VLOOKUP((TRUNC($AN252*3/13,0)+0.99),'Tax scales - NAT 3539'!$A$14:$C$38,3,1)),0)
*13/3,
0),
""))),
""),
"")</f>
        <v/>
      </c>
      <c r="AV252" s="118" t="str">
        <f>IFERROR(
IF(VLOOKUP($C252,'Employee information'!$B:$M,COLUMNS('Employee information'!$B:$M),0)=22,
IF($E$2="Fortnightly",
ROUND(
ROUND((((TRUNC($AN252/2,0)+0.99))*VLOOKUP((TRUNC($AN252/2,0)+0.99),'Tax scales - NAT 3539'!$A$43:$C$69,2,1)-VLOOKUP((TRUNC($AN252/2,0)+0.99),'Tax scales - NAT 3539'!$A$43:$C$69,3,1)),0)
*2,
0),
IF(AND($E$2="Monthly",ROUND($AN252-TRUNC($AN252),2)=0.33),
ROUND(
ROUND(((TRUNC(($AN252+0.01)*3/13,0)+0.99)*VLOOKUP((TRUNC(($AN252+0.01)*3/13,0)+0.99),'Tax scales - NAT 3539'!$A$43:$C$69,2,1)-VLOOKUP((TRUNC(($AN252+0.01)*3/13,0)+0.99),'Tax scales - NAT 3539'!$A$43:$C$69,3,1)),0)
*13/3,
0),
IF($E$2="Monthly",
ROUND(
ROUND(((TRUNC($AN252*3/13,0)+0.99)*VLOOKUP((TRUNC($AN252*3/13,0)+0.99),'Tax scales - NAT 3539'!$A$43:$C$69,2,1)-VLOOKUP((TRUNC($AN252*3/13,0)+0.99),'Tax scales - NAT 3539'!$A$43:$C$69,3,1)),0)
*13/3,
0),
""))),
""),
"")</f>
        <v/>
      </c>
      <c r="AW252" s="118" t="str">
        <f>IFERROR(
IF(VLOOKUP($C252,'Employee information'!$B:$M,COLUMNS('Employee information'!$B:$M),0)=33,
IF($E$2="Fortnightly",
ROUND(
ROUND((((TRUNC($AN252/2,0)+0.99))*VLOOKUP((TRUNC($AN252/2,0)+0.99),'Tax scales - NAT 3539'!$A$74:$C$94,2,1)-VLOOKUP((TRUNC($AN252/2,0)+0.99),'Tax scales - NAT 3539'!$A$74:$C$94,3,1)),0)
*2,
0),
IF(AND($E$2="Monthly",ROUND($AN252-TRUNC($AN252),2)=0.33),
ROUND(
ROUND(((TRUNC(($AN252+0.01)*3/13,0)+0.99)*VLOOKUP((TRUNC(($AN252+0.01)*3/13,0)+0.99),'Tax scales - NAT 3539'!$A$74:$C$94,2,1)-VLOOKUP((TRUNC(($AN252+0.01)*3/13,0)+0.99),'Tax scales - NAT 3539'!$A$74:$C$94,3,1)),0)
*13/3,
0),
IF($E$2="Monthly",
ROUND(
ROUND(((TRUNC($AN252*3/13,0)+0.99)*VLOOKUP((TRUNC($AN252*3/13,0)+0.99),'Tax scales - NAT 3539'!$A$74:$C$94,2,1)-VLOOKUP((TRUNC($AN252*3/13,0)+0.99),'Tax scales - NAT 3539'!$A$74:$C$94,3,1)),0)
*13/3,
0),
""))),
""),
"")</f>
        <v/>
      </c>
      <c r="AX252" s="118" t="str">
        <f>IFERROR(
IF(VLOOKUP($C252,'Employee information'!$B:$M,COLUMNS('Employee information'!$B:$M),0)=55,
IF($E$2="Fortnightly",
ROUND(
ROUND((((TRUNC($AN252/2,0)+0.99))*VLOOKUP((TRUNC($AN252/2,0)+0.99),'Tax scales - NAT 3539'!$A$99:$C$123,2,1)-VLOOKUP((TRUNC($AN252/2,0)+0.99),'Tax scales - NAT 3539'!$A$99:$C$123,3,1)),0)
*2,
0),
IF(AND($E$2="Monthly",ROUND($AN252-TRUNC($AN252),2)=0.33),
ROUND(
ROUND(((TRUNC(($AN252+0.01)*3/13,0)+0.99)*VLOOKUP((TRUNC(($AN252+0.01)*3/13,0)+0.99),'Tax scales - NAT 3539'!$A$99:$C$123,2,1)-VLOOKUP((TRUNC(($AN252+0.01)*3/13,0)+0.99),'Tax scales - NAT 3539'!$A$99:$C$123,3,1)),0)
*13/3,
0),
IF($E$2="Monthly",
ROUND(
ROUND(((TRUNC($AN252*3/13,0)+0.99)*VLOOKUP((TRUNC($AN252*3/13,0)+0.99),'Tax scales - NAT 3539'!$A$99:$C$123,2,1)-VLOOKUP((TRUNC($AN252*3/13,0)+0.99),'Tax scales - NAT 3539'!$A$99:$C$123,3,1)),0)
*13/3,
0),
""))),
""),
"")</f>
        <v/>
      </c>
      <c r="AY252" s="118" t="str">
        <f>IFERROR(
IF(VLOOKUP($C252,'Employee information'!$B:$M,COLUMNS('Employee information'!$B:$M),0)=66,
IF($E$2="Fortnightly",
ROUND(
ROUND((((TRUNC($AN252/2,0)+0.99))*VLOOKUP((TRUNC($AN252/2,0)+0.99),'Tax scales - NAT 3539'!$A$127:$C$154,2,1)-VLOOKUP((TRUNC($AN252/2,0)+0.99),'Tax scales - NAT 3539'!$A$127:$C$154,3,1)),0)
*2,
0),
IF(AND($E$2="Monthly",ROUND($AN252-TRUNC($AN252),2)=0.33),
ROUND(
ROUND(((TRUNC(($AN252+0.01)*3/13,0)+0.99)*VLOOKUP((TRUNC(($AN252+0.01)*3/13,0)+0.99),'Tax scales - NAT 3539'!$A$127:$C$154,2,1)-VLOOKUP((TRUNC(($AN252+0.01)*3/13,0)+0.99),'Tax scales - NAT 3539'!$A$127:$C$154,3,1)),0)
*13/3,
0),
IF($E$2="Monthly",
ROUND(
ROUND(((TRUNC($AN252*3/13,0)+0.99)*VLOOKUP((TRUNC($AN252*3/13,0)+0.99),'Tax scales - NAT 3539'!$A$127:$C$154,2,1)-VLOOKUP((TRUNC($AN252*3/13,0)+0.99),'Tax scales - NAT 3539'!$A$127:$C$154,3,1)),0)
*13/3,
0),
""))),
""),
"")</f>
        <v/>
      </c>
      <c r="AZ252" s="118">
        <f>IFERROR(
HLOOKUP(VLOOKUP($C252,'Employee information'!$B:$M,COLUMNS('Employee information'!$B:$M),0),'PAYG worksheet'!$AO$242:$AY$261,COUNTA($C$243:$C252)+1,0),
0)</f>
        <v>0</v>
      </c>
      <c r="BA252" s="118"/>
      <c r="BB252" s="118">
        <f t="shared" si="263"/>
        <v>0</v>
      </c>
      <c r="BC252" s="119">
        <f>IFERROR(
IF(OR($AE252=1,$AE252=""),SUM($P252,$AA252,$AC252,$AK252)*VLOOKUP($C252,'Employee information'!$B:$Q,COLUMNS('Employee information'!$B:$H),0),
IF($AE252=0,SUM($P252,$AA252,$AK252)*VLOOKUP($C252,'Employee information'!$B:$Q,COLUMNS('Employee information'!$B:$H),0),
0)),
0)</f>
        <v>0</v>
      </c>
      <c r="BE252" s="114">
        <f t="shared" si="248"/>
        <v>0</v>
      </c>
      <c r="BF252" s="114">
        <f t="shared" si="249"/>
        <v>0</v>
      </c>
      <c r="BG252" s="114">
        <f t="shared" si="250"/>
        <v>0</v>
      </c>
      <c r="BH252" s="114">
        <f t="shared" si="251"/>
        <v>0</v>
      </c>
      <c r="BI252" s="114">
        <f t="shared" si="252"/>
        <v>0</v>
      </c>
      <c r="BJ252" s="114">
        <f t="shared" si="253"/>
        <v>0</v>
      </c>
      <c r="BK252" s="114">
        <f t="shared" si="254"/>
        <v>0</v>
      </c>
      <c r="BL252" s="114">
        <f t="shared" si="264"/>
        <v>0</v>
      </c>
      <c r="BM252" s="114">
        <f t="shared" si="255"/>
        <v>0</v>
      </c>
    </row>
    <row r="253" spans="1:65" x14ac:dyDescent="0.25">
      <c r="A253" s="228">
        <f t="shared" si="243"/>
        <v>9</v>
      </c>
      <c r="C253" s="278"/>
      <c r="E253" s="103">
        <f>IF($C253="",0,
IF(AND($E$2="Monthly",$A253&gt;12),0,
IF($E$2="Monthly",VLOOKUP($C253,'Employee information'!$B:$AM,COLUMNS('Employee information'!$B:S),0),
IF($E$2="Fortnightly",VLOOKUP($C253,'Employee information'!$B:$AM,COLUMNS('Employee information'!$B:R),0),
0))))</f>
        <v>0</v>
      </c>
      <c r="F253" s="106"/>
      <c r="G253" s="106"/>
      <c r="H253" s="106"/>
      <c r="I253" s="106"/>
      <c r="J253" s="103">
        <f t="shared" si="256"/>
        <v>0</v>
      </c>
      <c r="L253" s="113">
        <f>IF(AND($E$2="Monthly",$A253&gt;12),"",
IFERROR($J253*VLOOKUP($C253,'Employee information'!$B:$AI,COLUMNS('Employee information'!$B:$P),0),0))</f>
        <v>0</v>
      </c>
      <c r="M253" s="114">
        <f t="shared" si="257"/>
        <v>0</v>
      </c>
      <c r="O253" s="103">
        <f t="shared" si="258"/>
        <v>0</v>
      </c>
      <c r="P253" s="113">
        <f>IFERROR(
IF(AND($E$2="Monthly",$A253&gt;12),0,
$O253*VLOOKUP($C253,'Employee information'!$B:$AI,COLUMNS('Employee information'!$B:$P),0)),
0)</f>
        <v>0</v>
      </c>
      <c r="R253" s="114">
        <f t="shared" si="244"/>
        <v>0</v>
      </c>
      <c r="T253" s="103"/>
      <c r="U253" s="103"/>
      <c r="V253" s="282" t="str">
        <f>IF($C253="","",
IF(AND($E$2="Monthly",$A253&gt;12),"",
$T253*VLOOKUP($C253,'Employee information'!$B:$P,COLUMNS('Employee information'!$B:$P),0)))</f>
        <v/>
      </c>
      <c r="W253" s="282" t="str">
        <f>IF($C253="","",
IF(AND($E$2="Monthly",$A253&gt;12),"",
$U253*VLOOKUP($C253,'Employee information'!$B:$P,COLUMNS('Employee information'!$B:$P),0)))</f>
        <v/>
      </c>
      <c r="X253" s="114">
        <f t="shared" si="245"/>
        <v>0</v>
      </c>
      <c r="Y253" s="114">
        <f t="shared" si="246"/>
        <v>0</v>
      </c>
      <c r="AA253" s="118">
        <f>IFERROR(
IF(OR('Basic payroll data'!$D$12="",'Basic payroll data'!$D$12="No"),0,
$T253*VLOOKUP($C253,'Employee information'!$B:$P,COLUMNS('Employee information'!$B:$P),0)*AL_loading_perc),
0)</f>
        <v>0</v>
      </c>
      <c r="AC253" s="118"/>
      <c r="AD253" s="118"/>
      <c r="AE253" s="283" t="str">
        <f t="shared" si="259"/>
        <v/>
      </c>
      <c r="AF253" s="283" t="str">
        <f t="shared" si="260"/>
        <v/>
      </c>
      <c r="AG253" s="118"/>
      <c r="AH253" s="118"/>
      <c r="AI253" s="283" t="str">
        <f t="shared" si="261"/>
        <v/>
      </c>
      <c r="AJ253" s="118"/>
      <c r="AK253" s="118"/>
      <c r="AM253" s="118">
        <f t="shared" si="262"/>
        <v>0</v>
      </c>
      <c r="AN253" s="118">
        <f t="shared" si="247"/>
        <v>0</v>
      </c>
      <c r="AO253" s="118" t="str">
        <f>IFERROR(
IF(VLOOKUP($C253,'Employee information'!$B:$M,COLUMNS('Employee information'!$B:$M),0)=1,
IF($E$2="Fortnightly",
ROUND(
ROUND((((TRUNC($AN253/2,0)+0.99))*VLOOKUP((TRUNC($AN253/2,0)+0.99),'Tax scales - NAT 1004'!$A$12:$C$18,2,1)-VLOOKUP((TRUNC($AN253/2,0)+0.99),'Tax scales - NAT 1004'!$A$12:$C$18,3,1)),0)
*2,
0),
IF(AND($E$2="Monthly",ROUND($AN253-TRUNC($AN253),2)=0.33),
ROUND(
ROUND(((TRUNC(($AN253+0.01)*3/13,0)+0.99)*VLOOKUP((TRUNC(($AN253+0.01)*3/13,0)+0.99),'Tax scales - NAT 1004'!$A$12:$C$18,2,1)-VLOOKUP((TRUNC(($AN253+0.01)*3/13,0)+0.99),'Tax scales - NAT 1004'!$A$12:$C$18,3,1)),0)
*13/3,
0),
IF($E$2="Monthly",
ROUND(
ROUND(((TRUNC($AN253*3/13,0)+0.99)*VLOOKUP((TRUNC($AN253*3/13,0)+0.99),'Tax scales - NAT 1004'!$A$12:$C$18,2,1)-VLOOKUP((TRUNC($AN253*3/13,0)+0.99),'Tax scales - NAT 1004'!$A$12:$C$18,3,1)),0)
*13/3,
0),
""))),
""),
"")</f>
        <v/>
      </c>
      <c r="AP253" s="118" t="str">
        <f>IFERROR(
IF(VLOOKUP($C253,'Employee information'!$B:$M,COLUMNS('Employee information'!$B:$M),0)=2,
IF($E$2="Fortnightly",
ROUND(
ROUND((((TRUNC($AN253/2,0)+0.99))*VLOOKUP((TRUNC($AN253/2,0)+0.99),'Tax scales - NAT 1004'!$A$25:$C$33,2,1)-VLOOKUP((TRUNC($AN253/2,0)+0.99),'Tax scales - NAT 1004'!$A$25:$C$33,3,1)),0)
*2,
0),
IF(AND($E$2="Monthly",ROUND($AN253-TRUNC($AN253),2)=0.33),
ROUND(
ROUND(((TRUNC(($AN253+0.01)*3/13,0)+0.99)*VLOOKUP((TRUNC(($AN253+0.01)*3/13,0)+0.99),'Tax scales - NAT 1004'!$A$25:$C$33,2,1)-VLOOKUP((TRUNC(($AN253+0.01)*3/13,0)+0.99),'Tax scales - NAT 1004'!$A$25:$C$33,3,1)),0)
*13/3,
0),
IF($E$2="Monthly",
ROUND(
ROUND(((TRUNC($AN253*3/13,0)+0.99)*VLOOKUP((TRUNC($AN253*3/13,0)+0.99),'Tax scales - NAT 1004'!$A$25:$C$33,2,1)-VLOOKUP((TRUNC($AN253*3/13,0)+0.99),'Tax scales - NAT 1004'!$A$25:$C$33,3,1)),0)
*13/3,
0),
""))),
""),
"")</f>
        <v/>
      </c>
      <c r="AQ253" s="118" t="str">
        <f>IFERROR(
IF(VLOOKUP($C253,'Employee information'!$B:$M,COLUMNS('Employee information'!$B:$M),0)=3,
IF($E$2="Fortnightly",
ROUND(
ROUND((((TRUNC($AN253/2,0)+0.99))*VLOOKUP((TRUNC($AN253/2,0)+0.99),'Tax scales - NAT 1004'!$A$39:$C$41,2,1)-VLOOKUP((TRUNC($AN253/2,0)+0.99),'Tax scales - NAT 1004'!$A$39:$C$41,3,1)),0)
*2,
0),
IF(AND($E$2="Monthly",ROUND($AN253-TRUNC($AN253),2)=0.33),
ROUND(
ROUND(((TRUNC(($AN253+0.01)*3/13,0)+0.99)*VLOOKUP((TRUNC(($AN253+0.01)*3/13,0)+0.99),'Tax scales - NAT 1004'!$A$39:$C$41,2,1)-VLOOKUP((TRUNC(($AN253+0.01)*3/13,0)+0.99),'Tax scales - NAT 1004'!$A$39:$C$41,3,1)),0)
*13/3,
0),
IF($E$2="Monthly",
ROUND(
ROUND(((TRUNC($AN253*3/13,0)+0.99)*VLOOKUP((TRUNC($AN253*3/13,0)+0.99),'Tax scales - NAT 1004'!$A$39:$C$41,2,1)-VLOOKUP((TRUNC($AN253*3/13,0)+0.99),'Tax scales - NAT 1004'!$A$39:$C$41,3,1)),0)
*13/3,
0),
""))),
""),
"")</f>
        <v/>
      </c>
      <c r="AR253" s="118" t="str">
        <f>IFERROR(
IF(AND(VLOOKUP($C253,'Employee information'!$B:$M,COLUMNS('Employee information'!$B:$M),0)=4,
VLOOKUP($C253,'Employee information'!$B:$J,COLUMNS('Employee information'!$B:$J),0)="Resident"),
TRUNC(TRUNC($AN253)*'Tax scales - NAT 1004'!$B$47),
IF(AND(VLOOKUP($C253,'Employee information'!$B:$M,COLUMNS('Employee information'!$B:$M),0)=4,
VLOOKUP($C253,'Employee information'!$B:$J,COLUMNS('Employee information'!$B:$J),0)="Foreign resident"),
TRUNC(TRUNC($AN253)*'Tax scales - NAT 1004'!$B$48),
"")),
"")</f>
        <v/>
      </c>
      <c r="AS253" s="118" t="str">
        <f>IFERROR(
IF(VLOOKUP($C253,'Employee information'!$B:$M,COLUMNS('Employee information'!$B:$M),0)=5,
IF($E$2="Fortnightly",
ROUND(
ROUND((((TRUNC($AN253/2,0)+0.99))*VLOOKUP((TRUNC($AN253/2,0)+0.99),'Tax scales - NAT 1004'!$A$53:$C$59,2,1)-VLOOKUP((TRUNC($AN253/2,0)+0.99),'Tax scales - NAT 1004'!$A$53:$C$59,3,1)),0)
*2,
0),
IF(AND($E$2="Monthly",ROUND($AN253-TRUNC($AN253),2)=0.33),
ROUND(
ROUND(((TRUNC(($AN253+0.01)*3/13,0)+0.99)*VLOOKUP((TRUNC(($AN253+0.01)*3/13,0)+0.99),'Tax scales - NAT 1004'!$A$53:$C$59,2,1)-VLOOKUP((TRUNC(($AN253+0.01)*3/13,0)+0.99),'Tax scales - NAT 1004'!$A$53:$C$59,3,1)),0)
*13/3,
0),
IF($E$2="Monthly",
ROUND(
ROUND(((TRUNC($AN253*3/13,0)+0.99)*VLOOKUP((TRUNC($AN253*3/13,0)+0.99),'Tax scales - NAT 1004'!$A$53:$C$59,2,1)-VLOOKUP((TRUNC($AN253*3/13,0)+0.99),'Tax scales - NAT 1004'!$A$53:$C$59,3,1)),0)
*13/3,
0),
""))),
""),
"")</f>
        <v/>
      </c>
      <c r="AT253" s="118" t="str">
        <f>IFERROR(
IF(VLOOKUP($C253,'Employee information'!$B:$M,COLUMNS('Employee information'!$B:$M),0)=6,
IF($E$2="Fortnightly",
ROUND(
ROUND((((TRUNC($AN253/2,0)+0.99))*VLOOKUP((TRUNC($AN253/2,0)+0.99),'Tax scales - NAT 1004'!$A$65:$C$73,2,1)-VLOOKUP((TRUNC($AN253/2,0)+0.99),'Tax scales - NAT 1004'!$A$65:$C$73,3,1)),0)
*2,
0),
IF(AND($E$2="Monthly",ROUND($AN253-TRUNC($AN253),2)=0.33),
ROUND(
ROUND(((TRUNC(($AN253+0.01)*3/13,0)+0.99)*VLOOKUP((TRUNC(($AN253+0.01)*3/13,0)+0.99),'Tax scales - NAT 1004'!$A$65:$C$73,2,1)-VLOOKUP((TRUNC(($AN253+0.01)*3/13,0)+0.99),'Tax scales - NAT 1004'!$A$65:$C$73,3,1)),0)
*13/3,
0),
IF($E$2="Monthly",
ROUND(
ROUND(((TRUNC($AN253*3/13,0)+0.99)*VLOOKUP((TRUNC($AN253*3/13,0)+0.99),'Tax scales - NAT 1004'!$A$65:$C$73,2,1)-VLOOKUP((TRUNC($AN253*3/13,0)+0.99),'Tax scales - NAT 1004'!$A$65:$C$73,3,1)),0)
*13/3,
0),
""))),
""),
"")</f>
        <v/>
      </c>
      <c r="AU253" s="118" t="str">
        <f>IFERROR(
IF(VLOOKUP($C253,'Employee information'!$B:$M,COLUMNS('Employee information'!$B:$M),0)=11,
IF($E$2="Fortnightly",
ROUND(
ROUND((((TRUNC($AN253/2,0)+0.99))*VLOOKUP((TRUNC($AN253/2,0)+0.99),'Tax scales - NAT 3539'!$A$14:$C$38,2,1)-VLOOKUP((TRUNC($AN253/2,0)+0.99),'Tax scales - NAT 3539'!$A$14:$C$38,3,1)),0)
*2,
0),
IF(AND($E$2="Monthly",ROUND($AN253-TRUNC($AN253),2)=0.33),
ROUND(
ROUND(((TRUNC(($AN253+0.01)*3/13,0)+0.99)*VLOOKUP((TRUNC(($AN253+0.01)*3/13,0)+0.99),'Tax scales - NAT 3539'!$A$14:$C$38,2,1)-VLOOKUP((TRUNC(($AN253+0.01)*3/13,0)+0.99),'Tax scales - NAT 3539'!$A$14:$C$38,3,1)),0)
*13/3,
0),
IF($E$2="Monthly",
ROUND(
ROUND(((TRUNC($AN253*3/13,0)+0.99)*VLOOKUP((TRUNC($AN253*3/13,0)+0.99),'Tax scales - NAT 3539'!$A$14:$C$38,2,1)-VLOOKUP((TRUNC($AN253*3/13,0)+0.99),'Tax scales - NAT 3539'!$A$14:$C$38,3,1)),0)
*13/3,
0),
""))),
""),
"")</f>
        <v/>
      </c>
      <c r="AV253" s="118" t="str">
        <f>IFERROR(
IF(VLOOKUP($C253,'Employee information'!$B:$M,COLUMNS('Employee information'!$B:$M),0)=22,
IF($E$2="Fortnightly",
ROUND(
ROUND((((TRUNC($AN253/2,0)+0.99))*VLOOKUP((TRUNC($AN253/2,0)+0.99),'Tax scales - NAT 3539'!$A$43:$C$69,2,1)-VLOOKUP((TRUNC($AN253/2,0)+0.99),'Tax scales - NAT 3539'!$A$43:$C$69,3,1)),0)
*2,
0),
IF(AND($E$2="Monthly",ROUND($AN253-TRUNC($AN253),2)=0.33),
ROUND(
ROUND(((TRUNC(($AN253+0.01)*3/13,0)+0.99)*VLOOKUP((TRUNC(($AN253+0.01)*3/13,0)+0.99),'Tax scales - NAT 3539'!$A$43:$C$69,2,1)-VLOOKUP((TRUNC(($AN253+0.01)*3/13,0)+0.99),'Tax scales - NAT 3539'!$A$43:$C$69,3,1)),0)
*13/3,
0),
IF($E$2="Monthly",
ROUND(
ROUND(((TRUNC($AN253*3/13,0)+0.99)*VLOOKUP((TRUNC($AN253*3/13,0)+0.99),'Tax scales - NAT 3539'!$A$43:$C$69,2,1)-VLOOKUP((TRUNC($AN253*3/13,0)+0.99),'Tax scales - NAT 3539'!$A$43:$C$69,3,1)),0)
*13/3,
0),
""))),
""),
"")</f>
        <v/>
      </c>
      <c r="AW253" s="118" t="str">
        <f>IFERROR(
IF(VLOOKUP($C253,'Employee information'!$B:$M,COLUMNS('Employee information'!$B:$M),0)=33,
IF($E$2="Fortnightly",
ROUND(
ROUND((((TRUNC($AN253/2,0)+0.99))*VLOOKUP((TRUNC($AN253/2,0)+0.99),'Tax scales - NAT 3539'!$A$74:$C$94,2,1)-VLOOKUP((TRUNC($AN253/2,0)+0.99),'Tax scales - NAT 3539'!$A$74:$C$94,3,1)),0)
*2,
0),
IF(AND($E$2="Monthly",ROUND($AN253-TRUNC($AN253),2)=0.33),
ROUND(
ROUND(((TRUNC(($AN253+0.01)*3/13,0)+0.99)*VLOOKUP((TRUNC(($AN253+0.01)*3/13,0)+0.99),'Tax scales - NAT 3539'!$A$74:$C$94,2,1)-VLOOKUP((TRUNC(($AN253+0.01)*3/13,0)+0.99),'Tax scales - NAT 3539'!$A$74:$C$94,3,1)),0)
*13/3,
0),
IF($E$2="Monthly",
ROUND(
ROUND(((TRUNC($AN253*3/13,0)+0.99)*VLOOKUP((TRUNC($AN253*3/13,0)+0.99),'Tax scales - NAT 3539'!$A$74:$C$94,2,1)-VLOOKUP((TRUNC($AN253*3/13,0)+0.99),'Tax scales - NAT 3539'!$A$74:$C$94,3,1)),0)
*13/3,
0),
""))),
""),
"")</f>
        <v/>
      </c>
      <c r="AX253" s="118" t="str">
        <f>IFERROR(
IF(VLOOKUP($C253,'Employee information'!$B:$M,COLUMNS('Employee information'!$B:$M),0)=55,
IF($E$2="Fortnightly",
ROUND(
ROUND((((TRUNC($AN253/2,0)+0.99))*VLOOKUP((TRUNC($AN253/2,0)+0.99),'Tax scales - NAT 3539'!$A$99:$C$123,2,1)-VLOOKUP((TRUNC($AN253/2,0)+0.99),'Tax scales - NAT 3539'!$A$99:$C$123,3,1)),0)
*2,
0),
IF(AND($E$2="Monthly",ROUND($AN253-TRUNC($AN253),2)=0.33),
ROUND(
ROUND(((TRUNC(($AN253+0.01)*3/13,0)+0.99)*VLOOKUP((TRUNC(($AN253+0.01)*3/13,0)+0.99),'Tax scales - NAT 3539'!$A$99:$C$123,2,1)-VLOOKUP((TRUNC(($AN253+0.01)*3/13,0)+0.99),'Tax scales - NAT 3539'!$A$99:$C$123,3,1)),0)
*13/3,
0),
IF($E$2="Monthly",
ROUND(
ROUND(((TRUNC($AN253*3/13,0)+0.99)*VLOOKUP((TRUNC($AN253*3/13,0)+0.99),'Tax scales - NAT 3539'!$A$99:$C$123,2,1)-VLOOKUP((TRUNC($AN253*3/13,0)+0.99),'Tax scales - NAT 3539'!$A$99:$C$123,3,1)),0)
*13/3,
0),
""))),
""),
"")</f>
        <v/>
      </c>
      <c r="AY253" s="118" t="str">
        <f>IFERROR(
IF(VLOOKUP($C253,'Employee information'!$B:$M,COLUMNS('Employee information'!$B:$M),0)=66,
IF($E$2="Fortnightly",
ROUND(
ROUND((((TRUNC($AN253/2,0)+0.99))*VLOOKUP((TRUNC($AN253/2,0)+0.99),'Tax scales - NAT 3539'!$A$127:$C$154,2,1)-VLOOKUP((TRUNC($AN253/2,0)+0.99),'Tax scales - NAT 3539'!$A$127:$C$154,3,1)),0)
*2,
0),
IF(AND($E$2="Monthly",ROUND($AN253-TRUNC($AN253),2)=0.33),
ROUND(
ROUND(((TRUNC(($AN253+0.01)*3/13,0)+0.99)*VLOOKUP((TRUNC(($AN253+0.01)*3/13,0)+0.99),'Tax scales - NAT 3539'!$A$127:$C$154,2,1)-VLOOKUP((TRUNC(($AN253+0.01)*3/13,0)+0.99),'Tax scales - NAT 3539'!$A$127:$C$154,3,1)),0)
*13/3,
0),
IF($E$2="Monthly",
ROUND(
ROUND(((TRUNC($AN253*3/13,0)+0.99)*VLOOKUP((TRUNC($AN253*3/13,0)+0.99),'Tax scales - NAT 3539'!$A$127:$C$154,2,1)-VLOOKUP((TRUNC($AN253*3/13,0)+0.99),'Tax scales - NAT 3539'!$A$127:$C$154,3,1)),0)
*13/3,
0),
""))),
""),
"")</f>
        <v/>
      </c>
      <c r="AZ253" s="118">
        <f>IFERROR(
HLOOKUP(VLOOKUP($C253,'Employee information'!$B:$M,COLUMNS('Employee information'!$B:$M),0),'PAYG worksheet'!$AO$242:$AY$261,COUNTA($C$243:$C253)+1,0),
0)</f>
        <v>0</v>
      </c>
      <c r="BA253" s="118"/>
      <c r="BB253" s="118">
        <f t="shared" si="263"/>
        <v>0</v>
      </c>
      <c r="BC253" s="119">
        <f>IFERROR(
IF(OR($AE253=1,$AE253=""),SUM($P253,$AA253,$AC253,$AK253)*VLOOKUP($C253,'Employee information'!$B:$Q,COLUMNS('Employee information'!$B:$H),0),
IF($AE253=0,SUM($P253,$AA253,$AK253)*VLOOKUP($C253,'Employee information'!$B:$Q,COLUMNS('Employee information'!$B:$H),0),
0)),
0)</f>
        <v>0</v>
      </c>
      <c r="BE253" s="114">
        <f t="shared" si="248"/>
        <v>0</v>
      </c>
      <c r="BF253" s="114">
        <f t="shared" si="249"/>
        <v>0</v>
      </c>
      <c r="BG253" s="114">
        <f t="shared" si="250"/>
        <v>0</v>
      </c>
      <c r="BH253" s="114">
        <f t="shared" si="251"/>
        <v>0</v>
      </c>
      <c r="BI253" s="114">
        <f t="shared" si="252"/>
        <v>0</v>
      </c>
      <c r="BJ253" s="114">
        <f t="shared" si="253"/>
        <v>0</v>
      </c>
      <c r="BK253" s="114">
        <f t="shared" si="254"/>
        <v>0</v>
      </c>
      <c r="BL253" s="114">
        <f t="shared" si="264"/>
        <v>0</v>
      </c>
      <c r="BM253" s="114">
        <f t="shared" si="255"/>
        <v>0</v>
      </c>
    </row>
    <row r="254" spans="1:65" x14ac:dyDescent="0.25">
      <c r="A254" s="228">
        <f t="shared" si="243"/>
        <v>9</v>
      </c>
      <c r="C254" s="278"/>
      <c r="E254" s="103">
        <f>IF($C254="",0,
IF(AND($E$2="Monthly",$A254&gt;12),0,
IF($E$2="Monthly",VLOOKUP($C254,'Employee information'!$B:$AM,COLUMNS('Employee information'!$B:S),0),
IF($E$2="Fortnightly",VLOOKUP($C254,'Employee information'!$B:$AM,COLUMNS('Employee information'!$B:R),0),
0))))</f>
        <v>0</v>
      </c>
      <c r="F254" s="106"/>
      <c r="G254" s="106"/>
      <c r="H254" s="106"/>
      <c r="I254" s="106"/>
      <c r="J254" s="103">
        <f t="shared" si="256"/>
        <v>0</v>
      </c>
      <c r="L254" s="113">
        <f>IF(AND($E$2="Monthly",$A254&gt;12),"",
IFERROR($J254*VLOOKUP($C254,'Employee information'!$B:$AI,COLUMNS('Employee information'!$B:$P),0),0))</f>
        <v>0</v>
      </c>
      <c r="M254" s="114">
        <f t="shared" si="257"/>
        <v>0</v>
      </c>
      <c r="O254" s="103">
        <f t="shared" si="258"/>
        <v>0</v>
      </c>
      <c r="P254" s="113">
        <f>IFERROR(
IF(AND($E$2="Monthly",$A254&gt;12),0,
$O254*VLOOKUP($C254,'Employee information'!$B:$AI,COLUMNS('Employee information'!$B:$P),0)),
0)</f>
        <v>0</v>
      </c>
      <c r="R254" s="114">
        <f t="shared" si="244"/>
        <v>0</v>
      </c>
      <c r="T254" s="103"/>
      <c r="U254" s="103"/>
      <c r="V254" s="282" t="str">
        <f>IF($C254="","",
IF(AND($E$2="Monthly",$A254&gt;12),"",
$T254*VLOOKUP($C254,'Employee information'!$B:$P,COLUMNS('Employee information'!$B:$P),0)))</f>
        <v/>
      </c>
      <c r="W254" s="282" t="str">
        <f>IF($C254="","",
IF(AND($E$2="Monthly",$A254&gt;12),"",
$U254*VLOOKUP($C254,'Employee information'!$B:$P,COLUMNS('Employee information'!$B:$P),0)))</f>
        <v/>
      </c>
      <c r="X254" s="114">
        <f t="shared" si="245"/>
        <v>0</v>
      </c>
      <c r="Y254" s="114">
        <f t="shared" si="246"/>
        <v>0</v>
      </c>
      <c r="AA254" s="118">
        <f>IFERROR(
IF(OR('Basic payroll data'!$D$12="",'Basic payroll data'!$D$12="No"),0,
$T254*VLOOKUP($C254,'Employee information'!$B:$P,COLUMNS('Employee information'!$B:$P),0)*AL_loading_perc),
0)</f>
        <v>0</v>
      </c>
      <c r="AC254" s="118"/>
      <c r="AD254" s="118"/>
      <c r="AE254" s="283" t="str">
        <f t="shared" si="259"/>
        <v/>
      </c>
      <c r="AF254" s="283" t="str">
        <f t="shared" si="260"/>
        <v/>
      </c>
      <c r="AG254" s="118"/>
      <c r="AH254" s="118"/>
      <c r="AI254" s="283" t="str">
        <f t="shared" si="261"/>
        <v/>
      </c>
      <c r="AJ254" s="118"/>
      <c r="AK254" s="118"/>
      <c r="AM254" s="118">
        <f t="shared" si="262"/>
        <v>0</v>
      </c>
      <c r="AN254" s="118">
        <f t="shared" si="247"/>
        <v>0</v>
      </c>
      <c r="AO254" s="118" t="str">
        <f>IFERROR(
IF(VLOOKUP($C254,'Employee information'!$B:$M,COLUMNS('Employee information'!$B:$M),0)=1,
IF($E$2="Fortnightly",
ROUND(
ROUND((((TRUNC($AN254/2,0)+0.99))*VLOOKUP((TRUNC($AN254/2,0)+0.99),'Tax scales - NAT 1004'!$A$12:$C$18,2,1)-VLOOKUP((TRUNC($AN254/2,0)+0.99),'Tax scales - NAT 1004'!$A$12:$C$18,3,1)),0)
*2,
0),
IF(AND($E$2="Monthly",ROUND($AN254-TRUNC($AN254),2)=0.33),
ROUND(
ROUND(((TRUNC(($AN254+0.01)*3/13,0)+0.99)*VLOOKUP((TRUNC(($AN254+0.01)*3/13,0)+0.99),'Tax scales - NAT 1004'!$A$12:$C$18,2,1)-VLOOKUP((TRUNC(($AN254+0.01)*3/13,0)+0.99),'Tax scales - NAT 1004'!$A$12:$C$18,3,1)),0)
*13/3,
0),
IF($E$2="Monthly",
ROUND(
ROUND(((TRUNC($AN254*3/13,0)+0.99)*VLOOKUP((TRUNC($AN254*3/13,0)+0.99),'Tax scales - NAT 1004'!$A$12:$C$18,2,1)-VLOOKUP((TRUNC($AN254*3/13,0)+0.99),'Tax scales - NAT 1004'!$A$12:$C$18,3,1)),0)
*13/3,
0),
""))),
""),
"")</f>
        <v/>
      </c>
      <c r="AP254" s="118" t="str">
        <f>IFERROR(
IF(VLOOKUP($C254,'Employee information'!$B:$M,COLUMNS('Employee information'!$B:$M),0)=2,
IF($E$2="Fortnightly",
ROUND(
ROUND((((TRUNC($AN254/2,0)+0.99))*VLOOKUP((TRUNC($AN254/2,0)+0.99),'Tax scales - NAT 1004'!$A$25:$C$33,2,1)-VLOOKUP((TRUNC($AN254/2,0)+0.99),'Tax scales - NAT 1004'!$A$25:$C$33,3,1)),0)
*2,
0),
IF(AND($E$2="Monthly",ROUND($AN254-TRUNC($AN254),2)=0.33),
ROUND(
ROUND(((TRUNC(($AN254+0.01)*3/13,0)+0.99)*VLOOKUP((TRUNC(($AN254+0.01)*3/13,0)+0.99),'Tax scales - NAT 1004'!$A$25:$C$33,2,1)-VLOOKUP((TRUNC(($AN254+0.01)*3/13,0)+0.99),'Tax scales - NAT 1004'!$A$25:$C$33,3,1)),0)
*13/3,
0),
IF($E$2="Monthly",
ROUND(
ROUND(((TRUNC($AN254*3/13,0)+0.99)*VLOOKUP((TRUNC($AN254*3/13,0)+0.99),'Tax scales - NAT 1004'!$A$25:$C$33,2,1)-VLOOKUP((TRUNC($AN254*3/13,0)+0.99),'Tax scales - NAT 1004'!$A$25:$C$33,3,1)),0)
*13/3,
0),
""))),
""),
"")</f>
        <v/>
      </c>
      <c r="AQ254" s="118" t="str">
        <f>IFERROR(
IF(VLOOKUP($C254,'Employee information'!$B:$M,COLUMNS('Employee information'!$B:$M),0)=3,
IF($E$2="Fortnightly",
ROUND(
ROUND((((TRUNC($AN254/2,0)+0.99))*VLOOKUP((TRUNC($AN254/2,0)+0.99),'Tax scales - NAT 1004'!$A$39:$C$41,2,1)-VLOOKUP((TRUNC($AN254/2,0)+0.99),'Tax scales - NAT 1004'!$A$39:$C$41,3,1)),0)
*2,
0),
IF(AND($E$2="Monthly",ROUND($AN254-TRUNC($AN254),2)=0.33),
ROUND(
ROUND(((TRUNC(($AN254+0.01)*3/13,0)+0.99)*VLOOKUP((TRUNC(($AN254+0.01)*3/13,0)+0.99),'Tax scales - NAT 1004'!$A$39:$C$41,2,1)-VLOOKUP((TRUNC(($AN254+0.01)*3/13,0)+0.99),'Tax scales - NAT 1004'!$A$39:$C$41,3,1)),0)
*13/3,
0),
IF($E$2="Monthly",
ROUND(
ROUND(((TRUNC($AN254*3/13,0)+0.99)*VLOOKUP((TRUNC($AN254*3/13,0)+0.99),'Tax scales - NAT 1004'!$A$39:$C$41,2,1)-VLOOKUP((TRUNC($AN254*3/13,0)+0.99),'Tax scales - NAT 1004'!$A$39:$C$41,3,1)),0)
*13/3,
0),
""))),
""),
"")</f>
        <v/>
      </c>
      <c r="AR254" s="118" t="str">
        <f>IFERROR(
IF(AND(VLOOKUP($C254,'Employee information'!$B:$M,COLUMNS('Employee information'!$B:$M),0)=4,
VLOOKUP($C254,'Employee information'!$B:$J,COLUMNS('Employee information'!$B:$J),0)="Resident"),
TRUNC(TRUNC($AN254)*'Tax scales - NAT 1004'!$B$47),
IF(AND(VLOOKUP($C254,'Employee information'!$B:$M,COLUMNS('Employee information'!$B:$M),0)=4,
VLOOKUP($C254,'Employee information'!$B:$J,COLUMNS('Employee information'!$B:$J),0)="Foreign resident"),
TRUNC(TRUNC($AN254)*'Tax scales - NAT 1004'!$B$48),
"")),
"")</f>
        <v/>
      </c>
      <c r="AS254" s="118" t="str">
        <f>IFERROR(
IF(VLOOKUP($C254,'Employee information'!$B:$M,COLUMNS('Employee information'!$B:$M),0)=5,
IF($E$2="Fortnightly",
ROUND(
ROUND((((TRUNC($AN254/2,0)+0.99))*VLOOKUP((TRUNC($AN254/2,0)+0.99),'Tax scales - NAT 1004'!$A$53:$C$59,2,1)-VLOOKUP((TRUNC($AN254/2,0)+0.99),'Tax scales - NAT 1004'!$A$53:$C$59,3,1)),0)
*2,
0),
IF(AND($E$2="Monthly",ROUND($AN254-TRUNC($AN254),2)=0.33),
ROUND(
ROUND(((TRUNC(($AN254+0.01)*3/13,0)+0.99)*VLOOKUP((TRUNC(($AN254+0.01)*3/13,0)+0.99),'Tax scales - NAT 1004'!$A$53:$C$59,2,1)-VLOOKUP((TRUNC(($AN254+0.01)*3/13,0)+0.99),'Tax scales - NAT 1004'!$A$53:$C$59,3,1)),0)
*13/3,
0),
IF($E$2="Monthly",
ROUND(
ROUND(((TRUNC($AN254*3/13,0)+0.99)*VLOOKUP((TRUNC($AN254*3/13,0)+0.99),'Tax scales - NAT 1004'!$A$53:$C$59,2,1)-VLOOKUP((TRUNC($AN254*3/13,0)+0.99),'Tax scales - NAT 1004'!$A$53:$C$59,3,1)),0)
*13/3,
0),
""))),
""),
"")</f>
        <v/>
      </c>
      <c r="AT254" s="118" t="str">
        <f>IFERROR(
IF(VLOOKUP($C254,'Employee information'!$B:$M,COLUMNS('Employee information'!$B:$M),0)=6,
IF($E$2="Fortnightly",
ROUND(
ROUND((((TRUNC($AN254/2,0)+0.99))*VLOOKUP((TRUNC($AN254/2,0)+0.99),'Tax scales - NAT 1004'!$A$65:$C$73,2,1)-VLOOKUP((TRUNC($AN254/2,0)+0.99),'Tax scales - NAT 1004'!$A$65:$C$73,3,1)),0)
*2,
0),
IF(AND($E$2="Monthly",ROUND($AN254-TRUNC($AN254),2)=0.33),
ROUND(
ROUND(((TRUNC(($AN254+0.01)*3/13,0)+0.99)*VLOOKUP((TRUNC(($AN254+0.01)*3/13,0)+0.99),'Tax scales - NAT 1004'!$A$65:$C$73,2,1)-VLOOKUP((TRUNC(($AN254+0.01)*3/13,0)+0.99),'Tax scales - NAT 1004'!$A$65:$C$73,3,1)),0)
*13/3,
0),
IF($E$2="Monthly",
ROUND(
ROUND(((TRUNC($AN254*3/13,0)+0.99)*VLOOKUP((TRUNC($AN254*3/13,0)+0.99),'Tax scales - NAT 1004'!$A$65:$C$73,2,1)-VLOOKUP((TRUNC($AN254*3/13,0)+0.99),'Tax scales - NAT 1004'!$A$65:$C$73,3,1)),0)
*13/3,
0),
""))),
""),
"")</f>
        <v/>
      </c>
      <c r="AU254" s="118" t="str">
        <f>IFERROR(
IF(VLOOKUP($C254,'Employee information'!$B:$M,COLUMNS('Employee information'!$B:$M),0)=11,
IF($E$2="Fortnightly",
ROUND(
ROUND((((TRUNC($AN254/2,0)+0.99))*VLOOKUP((TRUNC($AN254/2,0)+0.99),'Tax scales - NAT 3539'!$A$14:$C$38,2,1)-VLOOKUP((TRUNC($AN254/2,0)+0.99),'Tax scales - NAT 3539'!$A$14:$C$38,3,1)),0)
*2,
0),
IF(AND($E$2="Monthly",ROUND($AN254-TRUNC($AN254),2)=0.33),
ROUND(
ROUND(((TRUNC(($AN254+0.01)*3/13,0)+0.99)*VLOOKUP((TRUNC(($AN254+0.01)*3/13,0)+0.99),'Tax scales - NAT 3539'!$A$14:$C$38,2,1)-VLOOKUP((TRUNC(($AN254+0.01)*3/13,0)+0.99),'Tax scales - NAT 3539'!$A$14:$C$38,3,1)),0)
*13/3,
0),
IF($E$2="Monthly",
ROUND(
ROUND(((TRUNC($AN254*3/13,0)+0.99)*VLOOKUP((TRUNC($AN254*3/13,0)+0.99),'Tax scales - NAT 3539'!$A$14:$C$38,2,1)-VLOOKUP((TRUNC($AN254*3/13,0)+0.99),'Tax scales - NAT 3539'!$A$14:$C$38,3,1)),0)
*13/3,
0),
""))),
""),
"")</f>
        <v/>
      </c>
      <c r="AV254" s="118" t="str">
        <f>IFERROR(
IF(VLOOKUP($C254,'Employee information'!$B:$M,COLUMNS('Employee information'!$B:$M),0)=22,
IF($E$2="Fortnightly",
ROUND(
ROUND((((TRUNC($AN254/2,0)+0.99))*VLOOKUP((TRUNC($AN254/2,0)+0.99),'Tax scales - NAT 3539'!$A$43:$C$69,2,1)-VLOOKUP((TRUNC($AN254/2,0)+0.99),'Tax scales - NAT 3539'!$A$43:$C$69,3,1)),0)
*2,
0),
IF(AND($E$2="Monthly",ROUND($AN254-TRUNC($AN254),2)=0.33),
ROUND(
ROUND(((TRUNC(($AN254+0.01)*3/13,0)+0.99)*VLOOKUP((TRUNC(($AN254+0.01)*3/13,0)+0.99),'Tax scales - NAT 3539'!$A$43:$C$69,2,1)-VLOOKUP((TRUNC(($AN254+0.01)*3/13,0)+0.99),'Tax scales - NAT 3539'!$A$43:$C$69,3,1)),0)
*13/3,
0),
IF($E$2="Monthly",
ROUND(
ROUND(((TRUNC($AN254*3/13,0)+0.99)*VLOOKUP((TRUNC($AN254*3/13,0)+0.99),'Tax scales - NAT 3539'!$A$43:$C$69,2,1)-VLOOKUP((TRUNC($AN254*3/13,0)+0.99),'Tax scales - NAT 3539'!$A$43:$C$69,3,1)),0)
*13/3,
0),
""))),
""),
"")</f>
        <v/>
      </c>
      <c r="AW254" s="118" t="str">
        <f>IFERROR(
IF(VLOOKUP($C254,'Employee information'!$B:$M,COLUMNS('Employee information'!$B:$M),0)=33,
IF($E$2="Fortnightly",
ROUND(
ROUND((((TRUNC($AN254/2,0)+0.99))*VLOOKUP((TRUNC($AN254/2,0)+0.99),'Tax scales - NAT 3539'!$A$74:$C$94,2,1)-VLOOKUP((TRUNC($AN254/2,0)+0.99),'Tax scales - NAT 3539'!$A$74:$C$94,3,1)),0)
*2,
0),
IF(AND($E$2="Monthly",ROUND($AN254-TRUNC($AN254),2)=0.33),
ROUND(
ROUND(((TRUNC(($AN254+0.01)*3/13,0)+0.99)*VLOOKUP((TRUNC(($AN254+0.01)*3/13,0)+0.99),'Tax scales - NAT 3539'!$A$74:$C$94,2,1)-VLOOKUP((TRUNC(($AN254+0.01)*3/13,0)+0.99),'Tax scales - NAT 3539'!$A$74:$C$94,3,1)),0)
*13/3,
0),
IF($E$2="Monthly",
ROUND(
ROUND(((TRUNC($AN254*3/13,0)+0.99)*VLOOKUP((TRUNC($AN254*3/13,0)+0.99),'Tax scales - NAT 3539'!$A$74:$C$94,2,1)-VLOOKUP((TRUNC($AN254*3/13,0)+0.99),'Tax scales - NAT 3539'!$A$74:$C$94,3,1)),0)
*13/3,
0),
""))),
""),
"")</f>
        <v/>
      </c>
      <c r="AX254" s="118" t="str">
        <f>IFERROR(
IF(VLOOKUP($C254,'Employee information'!$B:$M,COLUMNS('Employee information'!$B:$M),0)=55,
IF($E$2="Fortnightly",
ROUND(
ROUND((((TRUNC($AN254/2,0)+0.99))*VLOOKUP((TRUNC($AN254/2,0)+0.99),'Tax scales - NAT 3539'!$A$99:$C$123,2,1)-VLOOKUP((TRUNC($AN254/2,0)+0.99),'Tax scales - NAT 3539'!$A$99:$C$123,3,1)),0)
*2,
0),
IF(AND($E$2="Monthly",ROUND($AN254-TRUNC($AN254),2)=0.33),
ROUND(
ROUND(((TRUNC(($AN254+0.01)*3/13,0)+0.99)*VLOOKUP((TRUNC(($AN254+0.01)*3/13,0)+0.99),'Tax scales - NAT 3539'!$A$99:$C$123,2,1)-VLOOKUP((TRUNC(($AN254+0.01)*3/13,0)+0.99),'Tax scales - NAT 3539'!$A$99:$C$123,3,1)),0)
*13/3,
0),
IF($E$2="Monthly",
ROUND(
ROUND(((TRUNC($AN254*3/13,0)+0.99)*VLOOKUP((TRUNC($AN254*3/13,0)+0.99),'Tax scales - NAT 3539'!$A$99:$C$123,2,1)-VLOOKUP((TRUNC($AN254*3/13,0)+0.99),'Tax scales - NAT 3539'!$A$99:$C$123,3,1)),0)
*13/3,
0),
""))),
""),
"")</f>
        <v/>
      </c>
      <c r="AY254" s="118" t="str">
        <f>IFERROR(
IF(VLOOKUP($C254,'Employee information'!$B:$M,COLUMNS('Employee information'!$B:$M),0)=66,
IF($E$2="Fortnightly",
ROUND(
ROUND((((TRUNC($AN254/2,0)+0.99))*VLOOKUP((TRUNC($AN254/2,0)+0.99),'Tax scales - NAT 3539'!$A$127:$C$154,2,1)-VLOOKUP((TRUNC($AN254/2,0)+0.99),'Tax scales - NAT 3539'!$A$127:$C$154,3,1)),0)
*2,
0),
IF(AND($E$2="Monthly",ROUND($AN254-TRUNC($AN254),2)=0.33),
ROUND(
ROUND(((TRUNC(($AN254+0.01)*3/13,0)+0.99)*VLOOKUP((TRUNC(($AN254+0.01)*3/13,0)+0.99),'Tax scales - NAT 3539'!$A$127:$C$154,2,1)-VLOOKUP((TRUNC(($AN254+0.01)*3/13,0)+0.99),'Tax scales - NAT 3539'!$A$127:$C$154,3,1)),0)
*13/3,
0),
IF($E$2="Monthly",
ROUND(
ROUND(((TRUNC($AN254*3/13,0)+0.99)*VLOOKUP((TRUNC($AN254*3/13,0)+0.99),'Tax scales - NAT 3539'!$A$127:$C$154,2,1)-VLOOKUP((TRUNC($AN254*3/13,0)+0.99),'Tax scales - NAT 3539'!$A$127:$C$154,3,1)),0)
*13/3,
0),
""))),
""),
"")</f>
        <v/>
      </c>
      <c r="AZ254" s="118">
        <f>IFERROR(
HLOOKUP(VLOOKUP($C254,'Employee information'!$B:$M,COLUMNS('Employee information'!$B:$M),0),'PAYG worksheet'!$AO$242:$AY$261,COUNTA($C$243:$C254)+1,0),
0)</f>
        <v>0</v>
      </c>
      <c r="BA254" s="118"/>
      <c r="BB254" s="118">
        <f t="shared" si="263"/>
        <v>0</v>
      </c>
      <c r="BC254" s="119">
        <f>IFERROR(
IF(OR($AE254=1,$AE254=""),SUM($P254,$AA254,$AC254,$AK254)*VLOOKUP($C254,'Employee information'!$B:$Q,COLUMNS('Employee information'!$B:$H),0),
IF($AE254=0,SUM($P254,$AA254,$AK254)*VLOOKUP($C254,'Employee information'!$B:$Q,COLUMNS('Employee information'!$B:$H),0),
0)),
0)</f>
        <v>0</v>
      </c>
      <c r="BE254" s="114">
        <f t="shared" si="248"/>
        <v>0</v>
      </c>
      <c r="BF254" s="114">
        <f t="shared" si="249"/>
        <v>0</v>
      </c>
      <c r="BG254" s="114">
        <f t="shared" si="250"/>
        <v>0</v>
      </c>
      <c r="BH254" s="114">
        <f t="shared" si="251"/>
        <v>0</v>
      </c>
      <c r="BI254" s="114">
        <f t="shared" si="252"/>
        <v>0</v>
      </c>
      <c r="BJ254" s="114">
        <f t="shared" si="253"/>
        <v>0</v>
      </c>
      <c r="BK254" s="114">
        <f t="shared" si="254"/>
        <v>0</v>
      </c>
      <c r="BL254" s="114">
        <f t="shared" si="264"/>
        <v>0</v>
      </c>
      <c r="BM254" s="114">
        <f t="shared" si="255"/>
        <v>0</v>
      </c>
    </row>
    <row r="255" spans="1:65" x14ac:dyDescent="0.25">
      <c r="A255" s="228">
        <f t="shared" si="243"/>
        <v>9</v>
      </c>
      <c r="C255" s="278"/>
      <c r="E255" s="103">
        <f>IF($C255="",0,
IF(AND($E$2="Monthly",$A255&gt;12),0,
IF($E$2="Monthly",VLOOKUP($C255,'Employee information'!$B:$AM,COLUMNS('Employee information'!$B:S),0),
IF($E$2="Fortnightly",VLOOKUP($C255,'Employee information'!$B:$AM,COLUMNS('Employee information'!$B:R),0),
0))))</f>
        <v>0</v>
      </c>
      <c r="F255" s="106"/>
      <c r="G255" s="106"/>
      <c r="H255" s="106"/>
      <c r="I255" s="106"/>
      <c r="J255" s="103">
        <f t="shared" si="256"/>
        <v>0</v>
      </c>
      <c r="L255" s="113">
        <f>IF(AND($E$2="Monthly",$A255&gt;12),"",
IFERROR($J255*VLOOKUP($C255,'Employee information'!$B:$AI,COLUMNS('Employee information'!$B:$P),0),0))</f>
        <v>0</v>
      </c>
      <c r="M255" s="114">
        <f t="shared" si="257"/>
        <v>0</v>
      </c>
      <c r="O255" s="103">
        <f t="shared" si="258"/>
        <v>0</v>
      </c>
      <c r="P255" s="113">
        <f>IFERROR(
IF(AND($E$2="Monthly",$A255&gt;12),0,
$O255*VLOOKUP($C255,'Employee information'!$B:$AI,COLUMNS('Employee information'!$B:$P),0)),
0)</f>
        <v>0</v>
      </c>
      <c r="R255" s="114">
        <f t="shared" si="244"/>
        <v>0</v>
      </c>
      <c r="T255" s="103"/>
      <c r="U255" s="103"/>
      <c r="V255" s="282" t="str">
        <f>IF($C255="","",
IF(AND($E$2="Monthly",$A255&gt;12),"",
$T255*VLOOKUP($C255,'Employee information'!$B:$P,COLUMNS('Employee information'!$B:$P),0)))</f>
        <v/>
      </c>
      <c r="W255" s="282" t="str">
        <f>IF($C255="","",
IF(AND($E$2="Monthly",$A255&gt;12),"",
$U255*VLOOKUP($C255,'Employee information'!$B:$P,COLUMNS('Employee information'!$B:$P),0)))</f>
        <v/>
      </c>
      <c r="X255" s="114">
        <f t="shared" si="245"/>
        <v>0</v>
      </c>
      <c r="Y255" s="114">
        <f t="shared" si="246"/>
        <v>0</v>
      </c>
      <c r="AA255" s="118">
        <f>IFERROR(
IF(OR('Basic payroll data'!$D$12="",'Basic payroll data'!$D$12="No"),0,
$T255*VLOOKUP($C255,'Employee information'!$B:$P,COLUMNS('Employee information'!$B:$P),0)*AL_loading_perc),
0)</f>
        <v>0</v>
      </c>
      <c r="AC255" s="118"/>
      <c r="AD255" s="118"/>
      <c r="AE255" s="283" t="str">
        <f t="shared" si="259"/>
        <v/>
      </c>
      <c r="AF255" s="283" t="str">
        <f t="shared" si="260"/>
        <v/>
      </c>
      <c r="AG255" s="118"/>
      <c r="AH255" s="118"/>
      <c r="AI255" s="283" t="str">
        <f t="shared" si="261"/>
        <v/>
      </c>
      <c r="AJ255" s="118"/>
      <c r="AK255" s="118"/>
      <c r="AM255" s="118">
        <f t="shared" si="262"/>
        <v>0</v>
      </c>
      <c r="AN255" s="118">
        <f t="shared" si="247"/>
        <v>0</v>
      </c>
      <c r="AO255" s="118" t="str">
        <f>IFERROR(
IF(VLOOKUP($C255,'Employee information'!$B:$M,COLUMNS('Employee information'!$B:$M),0)=1,
IF($E$2="Fortnightly",
ROUND(
ROUND((((TRUNC($AN255/2,0)+0.99))*VLOOKUP((TRUNC($AN255/2,0)+0.99),'Tax scales - NAT 1004'!$A$12:$C$18,2,1)-VLOOKUP((TRUNC($AN255/2,0)+0.99),'Tax scales - NAT 1004'!$A$12:$C$18,3,1)),0)
*2,
0),
IF(AND($E$2="Monthly",ROUND($AN255-TRUNC($AN255),2)=0.33),
ROUND(
ROUND(((TRUNC(($AN255+0.01)*3/13,0)+0.99)*VLOOKUP((TRUNC(($AN255+0.01)*3/13,0)+0.99),'Tax scales - NAT 1004'!$A$12:$C$18,2,1)-VLOOKUP((TRUNC(($AN255+0.01)*3/13,0)+0.99),'Tax scales - NAT 1004'!$A$12:$C$18,3,1)),0)
*13/3,
0),
IF($E$2="Monthly",
ROUND(
ROUND(((TRUNC($AN255*3/13,0)+0.99)*VLOOKUP((TRUNC($AN255*3/13,0)+0.99),'Tax scales - NAT 1004'!$A$12:$C$18,2,1)-VLOOKUP((TRUNC($AN255*3/13,0)+0.99),'Tax scales - NAT 1004'!$A$12:$C$18,3,1)),0)
*13/3,
0),
""))),
""),
"")</f>
        <v/>
      </c>
      <c r="AP255" s="118" t="str">
        <f>IFERROR(
IF(VLOOKUP($C255,'Employee information'!$B:$M,COLUMNS('Employee information'!$B:$M),0)=2,
IF($E$2="Fortnightly",
ROUND(
ROUND((((TRUNC($AN255/2,0)+0.99))*VLOOKUP((TRUNC($AN255/2,0)+0.99),'Tax scales - NAT 1004'!$A$25:$C$33,2,1)-VLOOKUP((TRUNC($AN255/2,0)+0.99),'Tax scales - NAT 1004'!$A$25:$C$33,3,1)),0)
*2,
0),
IF(AND($E$2="Monthly",ROUND($AN255-TRUNC($AN255),2)=0.33),
ROUND(
ROUND(((TRUNC(($AN255+0.01)*3/13,0)+0.99)*VLOOKUP((TRUNC(($AN255+0.01)*3/13,0)+0.99),'Tax scales - NAT 1004'!$A$25:$C$33,2,1)-VLOOKUP((TRUNC(($AN255+0.01)*3/13,0)+0.99),'Tax scales - NAT 1004'!$A$25:$C$33,3,1)),0)
*13/3,
0),
IF($E$2="Monthly",
ROUND(
ROUND(((TRUNC($AN255*3/13,0)+0.99)*VLOOKUP((TRUNC($AN255*3/13,0)+0.99),'Tax scales - NAT 1004'!$A$25:$C$33,2,1)-VLOOKUP((TRUNC($AN255*3/13,0)+0.99),'Tax scales - NAT 1004'!$A$25:$C$33,3,1)),0)
*13/3,
0),
""))),
""),
"")</f>
        <v/>
      </c>
      <c r="AQ255" s="118" t="str">
        <f>IFERROR(
IF(VLOOKUP($C255,'Employee information'!$B:$M,COLUMNS('Employee information'!$B:$M),0)=3,
IF($E$2="Fortnightly",
ROUND(
ROUND((((TRUNC($AN255/2,0)+0.99))*VLOOKUP((TRUNC($AN255/2,0)+0.99),'Tax scales - NAT 1004'!$A$39:$C$41,2,1)-VLOOKUP((TRUNC($AN255/2,0)+0.99),'Tax scales - NAT 1004'!$A$39:$C$41,3,1)),0)
*2,
0),
IF(AND($E$2="Monthly",ROUND($AN255-TRUNC($AN255),2)=0.33),
ROUND(
ROUND(((TRUNC(($AN255+0.01)*3/13,0)+0.99)*VLOOKUP((TRUNC(($AN255+0.01)*3/13,0)+0.99),'Tax scales - NAT 1004'!$A$39:$C$41,2,1)-VLOOKUP((TRUNC(($AN255+0.01)*3/13,0)+0.99),'Tax scales - NAT 1004'!$A$39:$C$41,3,1)),0)
*13/3,
0),
IF($E$2="Monthly",
ROUND(
ROUND(((TRUNC($AN255*3/13,0)+0.99)*VLOOKUP((TRUNC($AN255*3/13,0)+0.99),'Tax scales - NAT 1004'!$A$39:$C$41,2,1)-VLOOKUP((TRUNC($AN255*3/13,0)+0.99),'Tax scales - NAT 1004'!$A$39:$C$41,3,1)),0)
*13/3,
0),
""))),
""),
"")</f>
        <v/>
      </c>
      <c r="AR255" s="118" t="str">
        <f>IFERROR(
IF(AND(VLOOKUP($C255,'Employee information'!$B:$M,COLUMNS('Employee information'!$B:$M),0)=4,
VLOOKUP($C255,'Employee information'!$B:$J,COLUMNS('Employee information'!$B:$J),0)="Resident"),
TRUNC(TRUNC($AN255)*'Tax scales - NAT 1004'!$B$47),
IF(AND(VLOOKUP($C255,'Employee information'!$B:$M,COLUMNS('Employee information'!$B:$M),0)=4,
VLOOKUP($C255,'Employee information'!$B:$J,COLUMNS('Employee information'!$B:$J),0)="Foreign resident"),
TRUNC(TRUNC($AN255)*'Tax scales - NAT 1004'!$B$48),
"")),
"")</f>
        <v/>
      </c>
      <c r="AS255" s="118" t="str">
        <f>IFERROR(
IF(VLOOKUP($C255,'Employee information'!$B:$M,COLUMNS('Employee information'!$B:$M),0)=5,
IF($E$2="Fortnightly",
ROUND(
ROUND((((TRUNC($AN255/2,0)+0.99))*VLOOKUP((TRUNC($AN255/2,0)+0.99),'Tax scales - NAT 1004'!$A$53:$C$59,2,1)-VLOOKUP((TRUNC($AN255/2,0)+0.99),'Tax scales - NAT 1004'!$A$53:$C$59,3,1)),0)
*2,
0),
IF(AND($E$2="Monthly",ROUND($AN255-TRUNC($AN255),2)=0.33),
ROUND(
ROUND(((TRUNC(($AN255+0.01)*3/13,0)+0.99)*VLOOKUP((TRUNC(($AN255+0.01)*3/13,0)+0.99),'Tax scales - NAT 1004'!$A$53:$C$59,2,1)-VLOOKUP((TRUNC(($AN255+0.01)*3/13,0)+0.99),'Tax scales - NAT 1004'!$A$53:$C$59,3,1)),0)
*13/3,
0),
IF($E$2="Monthly",
ROUND(
ROUND(((TRUNC($AN255*3/13,0)+0.99)*VLOOKUP((TRUNC($AN255*3/13,0)+0.99),'Tax scales - NAT 1004'!$A$53:$C$59,2,1)-VLOOKUP((TRUNC($AN255*3/13,0)+0.99),'Tax scales - NAT 1004'!$A$53:$C$59,3,1)),0)
*13/3,
0),
""))),
""),
"")</f>
        <v/>
      </c>
      <c r="AT255" s="118" t="str">
        <f>IFERROR(
IF(VLOOKUP($C255,'Employee information'!$B:$M,COLUMNS('Employee information'!$B:$M),0)=6,
IF($E$2="Fortnightly",
ROUND(
ROUND((((TRUNC($AN255/2,0)+0.99))*VLOOKUP((TRUNC($AN255/2,0)+0.99),'Tax scales - NAT 1004'!$A$65:$C$73,2,1)-VLOOKUP((TRUNC($AN255/2,0)+0.99),'Tax scales - NAT 1004'!$A$65:$C$73,3,1)),0)
*2,
0),
IF(AND($E$2="Monthly",ROUND($AN255-TRUNC($AN255),2)=0.33),
ROUND(
ROUND(((TRUNC(($AN255+0.01)*3/13,0)+0.99)*VLOOKUP((TRUNC(($AN255+0.01)*3/13,0)+0.99),'Tax scales - NAT 1004'!$A$65:$C$73,2,1)-VLOOKUP((TRUNC(($AN255+0.01)*3/13,0)+0.99),'Tax scales - NAT 1004'!$A$65:$C$73,3,1)),0)
*13/3,
0),
IF($E$2="Monthly",
ROUND(
ROUND(((TRUNC($AN255*3/13,0)+0.99)*VLOOKUP((TRUNC($AN255*3/13,0)+0.99),'Tax scales - NAT 1004'!$A$65:$C$73,2,1)-VLOOKUP((TRUNC($AN255*3/13,0)+0.99),'Tax scales - NAT 1004'!$A$65:$C$73,3,1)),0)
*13/3,
0),
""))),
""),
"")</f>
        <v/>
      </c>
      <c r="AU255" s="118" t="str">
        <f>IFERROR(
IF(VLOOKUP($C255,'Employee information'!$B:$M,COLUMNS('Employee information'!$B:$M),0)=11,
IF($E$2="Fortnightly",
ROUND(
ROUND((((TRUNC($AN255/2,0)+0.99))*VLOOKUP((TRUNC($AN255/2,0)+0.99),'Tax scales - NAT 3539'!$A$14:$C$38,2,1)-VLOOKUP((TRUNC($AN255/2,0)+0.99),'Tax scales - NAT 3539'!$A$14:$C$38,3,1)),0)
*2,
0),
IF(AND($E$2="Monthly",ROUND($AN255-TRUNC($AN255),2)=0.33),
ROUND(
ROUND(((TRUNC(($AN255+0.01)*3/13,0)+0.99)*VLOOKUP((TRUNC(($AN255+0.01)*3/13,0)+0.99),'Tax scales - NAT 3539'!$A$14:$C$38,2,1)-VLOOKUP((TRUNC(($AN255+0.01)*3/13,0)+0.99),'Tax scales - NAT 3539'!$A$14:$C$38,3,1)),0)
*13/3,
0),
IF($E$2="Monthly",
ROUND(
ROUND(((TRUNC($AN255*3/13,0)+0.99)*VLOOKUP((TRUNC($AN255*3/13,0)+0.99),'Tax scales - NAT 3539'!$A$14:$C$38,2,1)-VLOOKUP((TRUNC($AN255*3/13,0)+0.99),'Tax scales - NAT 3539'!$A$14:$C$38,3,1)),0)
*13/3,
0),
""))),
""),
"")</f>
        <v/>
      </c>
      <c r="AV255" s="118" t="str">
        <f>IFERROR(
IF(VLOOKUP($C255,'Employee information'!$B:$M,COLUMNS('Employee information'!$B:$M),0)=22,
IF($E$2="Fortnightly",
ROUND(
ROUND((((TRUNC($AN255/2,0)+0.99))*VLOOKUP((TRUNC($AN255/2,0)+0.99),'Tax scales - NAT 3539'!$A$43:$C$69,2,1)-VLOOKUP((TRUNC($AN255/2,0)+0.99),'Tax scales - NAT 3539'!$A$43:$C$69,3,1)),0)
*2,
0),
IF(AND($E$2="Monthly",ROUND($AN255-TRUNC($AN255),2)=0.33),
ROUND(
ROUND(((TRUNC(($AN255+0.01)*3/13,0)+0.99)*VLOOKUP((TRUNC(($AN255+0.01)*3/13,0)+0.99),'Tax scales - NAT 3539'!$A$43:$C$69,2,1)-VLOOKUP((TRUNC(($AN255+0.01)*3/13,0)+0.99),'Tax scales - NAT 3539'!$A$43:$C$69,3,1)),0)
*13/3,
0),
IF($E$2="Monthly",
ROUND(
ROUND(((TRUNC($AN255*3/13,0)+0.99)*VLOOKUP((TRUNC($AN255*3/13,0)+0.99),'Tax scales - NAT 3539'!$A$43:$C$69,2,1)-VLOOKUP((TRUNC($AN255*3/13,0)+0.99),'Tax scales - NAT 3539'!$A$43:$C$69,3,1)),0)
*13/3,
0),
""))),
""),
"")</f>
        <v/>
      </c>
      <c r="AW255" s="118" t="str">
        <f>IFERROR(
IF(VLOOKUP($C255,'Employee information'!$B:$M,COLUMNS('Employee information'!$B:$M),0)=33,
IF($E$2="Fortnightly",
ROUND(
ROUND((((TRUNC($AN255/2,0)+0.99))*VLOOKUP((TRUNC($AN255/2,0)+0.99),'Tax scales - NAT 3539'!$A$74:$C$94,2,1)-VLOOKUP((TRUNC($AN255/2,0)+0.99),'Tax scales - NAT 3539'!$A$74:$C$94,3,1)),0)
*2,
0),
IF(AND($E$2="Monthly",ROUND($AN255-TRUNC($AN255),2)=0.33),
ROUND(
ROUND(((TRUNC(($AN255+0.01)*3/13,0)+0.99)*VLOOKUP((TRUNC(($AN255+0.01)*3/13,0)+0.99),'Tax scales - NAT 3539'!$A$74:$C$94,2,1)-VLOOKUP((TRUNC(($AN255+0.01)*3/13,0)+0.99),'Tax scales - NAT 3539'!$A$74:$C$94,3,1)),0)
*13/3,
0),
IF($E$2="Monthly",
ROUND(
ROUND(((TRUNC($AN255*3/13,0)+0.99)*VLOOKUP((TRUNC($AN255*3/13,0)+0.99),'Tax scales - NAT 3539'!$A$74:$C$94,2,1)-VLOOKUP((TRUNC($AN255*3/13,0)+0.99),'Tax scales - NAT 3539'!$A$74:$C$94,3,1)),0)
*13/3,
0),
""))),
""),
"")</f>
        <v/>
      </c>
      <c r="AX255" s="118" t="str">
        <f>IFERROR(
IF(VLOOKUP($C255,'Employee information'!$B:$M,COLUMNS('Employee information'!$B:$M),0)=55,
IF($E$2="Fortnightly",
ROUND(
ROUND((((TRUNC($AN255/2,0)+0.99))*VLOOKUP((TRUNC($AN255/2,0)+0.99),'Tax scales - NAT 3539'!$A$99:$C$123,2,1)-VLOOKUP((TRUNC($AN255/2,0)+0.99),'Tax scales - NAT 3539'!$A$99:$C$123,3,1)),0)
*2,
0),
IF(AND($E$2="Monthly",ROUND($AN255-TRUNC($AN255),2)=0.33),
ROUND(
ROUND(((TRUNC(($AN255+0.01)*3/13,0)+0.99)*VLOOKUP((TRUNC(($AN255+0.01)*3/13,0)+0.99),'Tax scales - NAT 3539'!$A$99:$C$123,2,1)-VLOOKUP((TRUNC(($AN255+0.01)*3/13,0)+0.99),'Tax scales - NAT 3539'!$A$99:$C$123,3,1)),0)
*13/3,
0),
IF($E$2="Monthly",
ROUND(
ROUND(((TRUNC($AN255*3/13,0)+0.99)*VLOOKUP((TRUNC($AN255*3/13,0)+0.99),'Tax scales - NAT 3539'!$A$99:$C$123,2,1)-VLOOKUP((TRUNC($AN255*3/13,0)+0.99),'Tax scales - NAT 3539'!$A$99:$C$123,3,1)),0)
*13/3,
0),
""))),
""),
"")</f>
        <v/>
      </c>
      <c r="AY255" s="118" t="str">
        <f>IFERROR(
IF(VLOOKUP($C255,'Employee information'!$B:$M,COLUMNS('Employee information'!$B:$M),0)=66,
IF($E$2="Fortnightly",
ROUND(
ROUND((((TRUNC($AN255/2,0)+0.99))*VLOOKUP((TRUNC($AN255/2,0)+0.99),'Tax scales - NAT 3539'!$A$127:$C$154,2,1)-VLOOKUP((TRUNC($AN255/2,0)+0.99),'Tax scales - NAT 3539'!$A$127:$C$154,3,1)),0)
*2,
0),
IF(AND($E$2="Monthly",ROUND($AN255-TRUNC($AN255),2)=0.33),
ROUND(
ROUND(((TRUNC(($AN255+0.01)*3/13,0)+0.99)*VLOOKUP((TRUNC(($AN255+0.01)*3/13,0)+0.99),'Tax scales - NAT 3539'!$A$127:$C$154,2,1)-VLOOKUP((TRUNC(($AN255+0.01)*3/13,0)+0.99),'Tax scales - NAT 3539'!$A$127:$C$154,3,1)),0)
*13/3,
0),
IF($E$2="Monthly",
ROUND(
ROUND(((TRUNC($AN255*3/13,0)+0.99)*VLOOKUP((TRUNC($AN255*3/13,0)+0.99),'Tax scales - NAT 3539'!$A$127:$C$154,2,1)-VLOOKUP((TRUNC($AN255*3/13,0)+0.99),'Tax scales - NAT 3539'!$A$127:$C$154,3,1)),0)
*13/3,
0),
""))),
""),
"")</f>
        <v/>
      </c>
      <c r="AZ255" s="118">
        <f>IFERROR(
HLOOKUP(VLOOKUP($C255,'Employee information'!$B:$M,COLUMNS('Employee information'!$B:$M),0),'PAYG worksheet'!$AO$242:$AY$261,COUNTA($C$243:$C255)+1,0),
0)</f>
        <v>0</v>
      </c>
      <c r="BA255" s="118"/>
      <c r="BB255" s="118">
        <f t="shared" si="263"/>
        <v>0</v>
      </c>
      <c r="BC255" s="119">
        <f>IFERROR(
IF(OR($AE255=1,$AE255=""),SUM($P255,$AA255,$AC255,$AK255)*VLOOKUP($C255,'Employee information'!$B:$Q,COLUMNS('Employee information'!$B:$H),0),
IF($AE255=0,SUM($P255,$AA255,$AK255)*VLOOKUP($C255,'Employee information'!$B:$Q,COLUMNS('Employee information'!$B:$H),0),
0)),
0)</f>
        <v>0</v>
      </c>
      <c r="BE255" s="114">
        <f t="shared" si="248"/>
        <v>0</v>
      </c>
      <c r="BF255" s="114">
        <f t="shared" si="249"/>
        <v>0</v>
      </c>
      <c r="BG255" s="114">
        <f t="shared" si="250"/>
        <v>0</v>
      </c>
      <c r="BH255" s="114">
        <f t="shared" si="251"/>
        <v>0</v>
      </c>
      <c r="BI255" s="114">
        <f t="shared" si="252"/>
        <v>0</v>
      </c>
      <c r="BJ255" s="114">
        <f t="shared" si="253"/>
        <v>0</v>
      </c>
      <c r="BK255" s="114">
        <f t="shared" si="254"/>
        <v>0</v>
      </c>
      <c r="BL255" s="114">
        <f t="shared" si="264"/>
        <v>0</v>
      </c>
      <c r="BM255" s="114">
        <f t="shared" si="255"/>
        <v>0</v>
      </c>
    </row>
    <row r="256" spans="1:65" x14ac:dyDescent="0.25">
      <c r="A256" s="228">
        <f t="shared" si="243"/>
        <v>9</v>
      </c>
      <c r="C256" s="278"/>
      <c r="E256" s="103">
        <f>IF($C256="",0,
IF(AND($E$2="Monthly",$A256&gt;12),0,
IF($E$2="Monthly",VLOOKUP($C256,'Employee information'!$B:$AM,COLUMNS('Employee information'!$B:S),0),
IF($E$2="Fortnightly",VLOOKUP($C256,'Employee information'!$B:$AM,COLUMNS('Employee information'!$B:R),0),
0))))</f>
        <v>0</v>
      </c>
      <c r="F256" s="106"/>
      <c r="G256" s="106"/>
      <c r="H256" s="106"/>
      <c r="I256" s="106"/>
      <c r="J256" s="103">
        <f t="shared" si="256"/>
        <v>0</v>
      </c>
      <c r="L256" s="113">
        <f>IF(AND($E$2="Monthly",$A256&gt;12),"",
IFERROR($J256*VLOOKUP($C256,'Employee information'!$B:$AI,COLUMNS('Employee information'!$B:$P),0),0))</f>
        <v>0</v>
      </c>
      <c r="M256" s="114">
        <f t="shared" si="257"/>
        <v>0</v>
      </c>
      <c r="O256" s="103">
        <f t="shared" si="258"/>
        <v>0</v>
      </c>
      <c r="P256" s="113">
        <f>IFERROR(
IF(AND($E$2="Monthly",$A256&gt;12),0,
$O256*VLOOKUP($C256,'Employee information'!$B:$AI,COLUMNS('Employee information'!$B:$P),0)),
0)</f>
        <v>0</v>
      </c>
      <c r="R256" s="114">
        <f t="shared" si="244"/>
        <v>0</v>
      </c>
      <c r="T256" s="103"/>
      <c r="U256" s="103"/>
      <c r="V256" s="282" t="str">
        <f>IF($C256="","",
IF(AND($E$2="Monthly",$A256&gt;12),"",
$T256*VLOOKUP($C256,'Employee information'!$B:$P,COLUMNS('Employee information'!$B:$P),0)))</f>
        <v/>
      </c>
      <c r="W256" s="282" t="str">
        <f>IF($C256="","",
IF(AND($E$2="Monthly",$A256&gt;12),"",
$U256*VLOOKUP($C256,'Employee information'!$B:$P,COLUMNS('Employee information'!$B:$P),0)))</f>
        <v/>
      </c>
      <c r="X256" s="114">
        <f t="shared" si="245"/>
        <v>0</v>
      </c>
      <c r="Y256" s="114">
        <f t="shared" si="246"/>
        <v>0</v>
      </c>
      <c r="AA256" s="118">
        <f>IFERROR(
IF(OR('Basic payroll data'!$D$12="",'Basic payroll data'!$D$12="No"),0,
$T256*VLOOKUP($C256,'Employee information'!$B:$P,COLUMNS('Employee information'!$B:$P),0)*AL_loading_perc),
0)</f>
        <v>0</v>
      </c>
      <c r="AC256" s="118"/>
      <c r="AD256" s="118"/>
      <c r="AE256" s="283" t="str">
        <f t="shared" si="259"/>
        <v/>
      </c>
      <c r="AF256" s="283" t="str">
        <f t="shared" si="260"/>
        <v/>
      </c>
      <c r="AG256" s="118"/>
      <c r="AH256" s="118"/>
      <c r="AI256" s="283" t="str">
        <f t="shared" si="261"/>
        <v/>
      </c>
      <c r="AJ256" s="118"/>
      <c r="AK256" s="118"/>
      <c r="AM256" s="118">
        <f t="shared" si="262"/>
        <v>0</v>
      </c>
      <c r="AN256" s="118">
        <f t="shared" si="247"/>
        <v>0</v>
      </c>
      <c r="AO256" s="118" t="str">
        <f>IFERROR(
IF(VLOOKUP($C256,'Employee information'!$B:$M,COLUMNS('Employee information'!$B:$M),0)=1,
IF($E$2="Fortnightly",
ROUND(
ROUND((((TRUNC($AN256/2,0)+0.99))*VLOOKUP((TRUNC($AN256/2,0)+0.99),'Tax scales - NAT 1004'!$A$12:$C$18,2,1)-VLOOKUP((TRUNC($AN256/2,0)+0.99),'Tax scales - NAT 1004'!$A$12:$C$18,3,1)),0)
*2,
0),
IF(AND($E$2="Monthly",ROUND($AN256-TRUNC($AN256),2)=0.33),
ROUND(
ROUND(((TRUNC(($AN256+0.01)*3/13,0)+0.99)*VLOOKUP((TRUNC(($AN256+0.01)*3/13,0)+0.99),'Tax scales - NAT 1004'!$A$12:$C$18,2,1)-VLOOKUP((TRUNC(($AN256+0.01)*3/13,0)+0.99),'Tax scales - NAT 1004'!$A$12:$C$18,3,1)),0)
*13/3,
0),
IF($E$2="Monthly",
ROUND(
ROUND(((TRUNC($AN256*3/13,0)+0.99)*VLOOKUP((TRUNC($AN256*3/13,0)+0.99),'Tax scales - NAT 1004'!$A$12:$C$18,2,1)-VLOOKUP((TRUNC($AN256*3/13,0)+0.99),'Tax scales - NAT 1004'!$A$12:$C$18,3,1)),0)
*13/3,
0),
""))),
""),
"")</f>
        <v/>
      </c>
      <c r="AP256" s="118" t="str">
        <f>IFERROR(
IF(VLOOKUP($C256,'Employee information'!$B:$M,COLUMNS('Employee information'!$B:$M),0)=2,
IF($E$2="Fortnightly",
ROUND(
ROUND((((TRUNC($AN256/2,0)+0.99))*VLOOKUP((TRUNC($AN256/2,0)+0.99),'Tax scales - NAT 1004'!$A$25:$C$33,2,1)-VLOOKUP((TRUNC($AN256/2,0)+0.99),'Tax scales - NAT 1004'!$A$25:$C$33,3,1)),0)
*2,
0),
IF(AND($E$2="Monthly",ROUND($AN256-TRUNC($AN256),2)=0.33),
ROUND(
ROUND(((TRUNC(($AN256+0.01)*3/13,0)+0.99)*VLOOKUP((TRUNC(($AN256+0.01)*3/13,0)+0.99),'Tax scales - NAT 1004'!$A$25:$C$33,2,1)-VLOOKUP((TRUNC(($AN256+0.01)*3/13,0)+0.99),'Tax scales - NAT 1004'!$A$25:$C$33,3,1)),0)
*13/3,
0),
IF($E$2="Monthly",
ROUND(
ROUND(((TRUNC($AN256*3/13,0)+0.99)*VLOOKUP((TRUNC($AN256*3/13,0)+0.99),'Tax scales - NAT 1004'!$A$25:$C$33,2,1)-VLOOKUP((TRUNC($AN256*3/13,0)+0.99),'Tax scales - NAT 1004'!$A$25:$C$33,3,1)),0)
*13/3,
0),
""))),
""),
"")</f>
        <v/>
      </c>
      <c r="AQ256" s="118" t="str">
        <f>IFERROR(
IF(VLOOKUP($C256,'Employee information'!$B:$M,COLUMNS('Employee information'!$B:$M),0)=3,
IF($E$2="Fortnightly",
ROUND(
ROUND((((TRUNC($AN256/2,0)+0.99))*VLOOKUP((TRUNC($AN256/2,0)+0.99),'Tax scales - NAT 1004'!$A$39:$C$41,2,1)-VLOOKUP((TRUNC($AN256/2,0)+0.99),'Tax scales - NAT 1004'!$A$39:$C$41,3,1)),0)
*2,
0),
IF(AND($E$2="Monthly",ROUND($AN256-TRUNC($AN256),2)=0.33),
ROUND(
ROUND(((TRUNC(($AN256+0.01)*3/13,0)+0.99)*VLOOKUP((TRUNC(($AN256+0.01)*3/13,0)+0.99),'Tax scales - NAT 1004'!$A$39:$C$41,2,1)-VLOOKUP((TRUNC(($AN256+0.01)*3/13,0)+0.99),'Tax scales - NAT 1004'!$A$39:$C$41,3,1)),0)
*13/3,
0),
IF($E$2="Monthly",
ROUND(
ROUND(((TRUNC($AN256*3/13,0)+0.99)*VLOOKUP((TRUNC($AN256*3/13,0)+0.99),'Tax scales - NAT 1004'!$A$39:$C$41,2,1)-VLOOKUP((TRUNC($AN256*3/13,0)+0.99),'Tax scales - NAT 1004'!$A$39:$C$41,3,1)),0)
*13/3,
0),
""))),
""),
"")</f>
        <v/>
      </c>
      <c r="AR256" s="118" t="str">
        <f>IFERROR(
IF(AND(VLOOKUP($C256,'Employee information'!$B:$M,COLUMNS('Employee information'!$B:$M),0)=4,
VLOOKUP($C256,'Employee information'!$B:$J,COLUMNS('Employee information'!$B:$J),0)="Resident"),
TRUNC(TRUNC($AN256)*'Tax scales - NAT 1004'!$B$47),
IF(AND(VLOOKUP($C256,'Employee information'!$B:$M,COLUMNS('Employee information'!$B:$M),0)=4,
VLOOKUP($C256,'Employee information'!$B:$J,COLUMNS('Employee information'!$B:$J),0)="Foreign resident"),
TRUNC(TRUNC($AN256)*'Tax scales - NAT 1004'!$B$48),
"")),
"")</f>
        <v/>
      </c>
      <c r="AS256" s="118" t="str">
        <f>IFERROR(
IF(VLOOKUP($C256,'Employee information'!$B:$M,COLUMNS('Employee information'!$B:$M),0)=5,
IF($E$2="Fortnightly",
ROUND(
ROUND((((TRUNC($AN256/2,0)+0.99))*VLOOKUP((TRUNC($AN256/2,0)+0.99),'Tax scales - NAT 1004'!$A$53:$C$59,2,1)-VLOOKUP((TRUNC($AN256/2,0)+0.99),'Tax scales - NAT 1004'!$A$53:$C$59,3,1)),0)
*2,
0),
IF(AND($E$2="Monthly",ROUND($AN256-TRUNC($AN256),2)=0.33),
ROUND(
ROUND(((TRUNC(($AN256+0.01)*3/13,0)+0.99)*VLOOKUP((TRUNC(($AN256+0.01)*3/13,0)+0.99),'Tax scales - NAT 1004'!$A$53:$C$59,2,1)-VLOOKUP((TRUNC(($AN256+0.01)*3/13,0)+0.99),'Tax scales - NAT 1004'!$A$53:$C$59,3,1)),0)
*13/3,
0),
IF($E$2="Monthly",
ROUND(
ROUND(((TRUNC($AN256*3/13,0)+0.99)*VLOOKUP((TRUNC($AN256*3/13,0)+0.99),'Tax scales - NAT 1004'!$A$53:$C$59,2,1)-VLOOKUP((TRUNC($AN256*3/13,0)+0.99),'Tax scales - NAT 1004'!$A$53:$C$59,3,1)),0)
*13/3,
0),
""))),
""),
"")</f>
        <v/>
      </c>
      <c r="AT256" s="118" t="str">
        <f>IFERROR(
IF(VLOOKUP($C256,'Employee information'!$B:$M,COLUMNS('Employee information'!$B:$M),0)=6,
IF($E$2="Fortnightly",
ROUND(
ROUND((((TRUNC($AN256/2,0)+0.99))*VLOOKUP((TRUNC($AN256/2,0)+0.99),'Tax scales - NAT 1004'!$A$65:$C$73,2,1)-VLOOKUP((TRUNC($AN256/2,0)+0.99),'Tax scales - NAT 1004'!$A$65:$C$73,3,1)),0)
*2,
0),
IF(AND($E$2="Monthly",ROUND($AN256-TRUNC($AN256),2)=0.33),
ROUND(
ROUND(((TRUNC(($AN256+0.01)*3/13,0)+0.99)*VLOOKUP((TRUNC(($AN256+0.01)*3/13,0)+0.99),'Tax scales - NAT 1004'!$A$65:$C$73,2,1)-VLOOKUP((TRUNC(($AN256+0.01)*3/13,0)+0.99),'Tax scales - NAT 1004'!$A$65:$C$73,3,1)),0)
*13/3,
0),
IF($E$2="Monthly",
ROUND(
ROUND(((TRUNC($AN256*3/13,0)+0.99)*VLOOKUP((TRUNC($AN256*3/13,0)+0.99),'Tax scales - NAT 1004'!$A$65:$C$73,2,1)-VLOOKUP((TRUNC($AN256*3/13,0)+0.99),'Tax scales - NAT 1004'!$A$65:$C$73,3,1)),0)
*13/3,
0),
""))),
""),
"")</f>
        <v/>
      </c>
      <c r="AU256" s="118" t="str">
        <f>IFERROR(
IF(VLOOKUP($C256,'Employee information'!$B:$M,COLUMNS('Employee information'!$B:$M),0)=11,
IF($E$2="Fortnightly",
ROUND(
ROUND((((TRUNC($AN256/2,0)+0.99))*VLOOKUP((TRUNC($AN256/2,0)+0.99),'Tax scales - NAT 3539'!$A$14:$C$38,2,1)-VLOOKUP((TRUNC($AN256/2,0)+0.99),'Tax scales - NAT 3539'!$A$14:$C$38,3,1)),0)
*2,
0),
IF(AND($E$2="Monthly",ROUND($AN256-TRUNC($AN256),2)=0.33),
ROUND(
ROUND(((TRUNC(($AN256+0.01)*3/13,0)+0.99)*VLOOKUP((TRUNC(($AN256+0.01)*3/13,0)+0.99),'Tax scales - NAT 3539'!$A$14:$C$38,2,1)-VLOOKUP((TRUNC(($AN256+0.01)*3/13,0)+0.99),'Tax scales - NAT 3539'!$A$14:$C$38,3,1)),0)
*13/3,
0),
IF($E$2="Monthly",
ROUND(
ROUND(((TRUNC($AN256*3/13,0)+0.99)*VLOOKUP((TRUNC($AN256*3/13,0)+0.99),'Tax scales - NAT 3539'!$A$14:$C$38,2,1)-VLOOKUP((TRUNC($AN256*3/13,0)+0.99),'Tax scales - NAT 3539'!$A$14:$C$38,3,1)),0)
*13/3,
0),
""))),
""),
"")</f>
        <v/>
      </c>
      <c r="AV256" s="118" t="str">
        <f>IFERROR(
IF(VLOOKUP($C256,'Employee information'!$B:$M,COLUMNS('Employee information'!$B:$M),0)=22,
IF($E$2="Fortnightly",
ROUND(
ROUND((((TRUNC($AN256/2,0)+0.99))*VLOOKUP((TRUNC($AN256/2,0)+0.99),'Tax scales - NAT 3539'!$A$43:$C$69,2,1)-VLOOKUP((TRUNC($AN256/2,0)+0.99),'Tax scales - NAT 3539'!$A$43:$C$69,3,1)),0)
*2,
0),
IF(AND($E$2="Monthly",ROUND($AN256-TRUNC($AN256),2)=0.33),
ROUND(
ROUND(((TRUNC(($AN256+0.01)*3/13,0)+0.99)*VLOOKUP((TRUNC(($AN256+0.01)*3/13,0)+0.99),'Tax scales - NAT 3539'!$A$43:$C$69,2,1)-VLOOKUP((TRUNC(($AN256+0.01)*3/13,0)+0.99),'Tax scales - NAT 3539'!$A$43:$C$69,3,1)),0)
*13/3,
0),
IF($E$2="Monthly",
ROUND(
ROUND(((TRUNC($AN256*3/13,0)+0.99)*VLOOKUP((TRUNC($AN256*3/13,0)+0.99),'Tax scales - NAT 3539'!$A$43:$C$69,2,1)-VLOOKUP((TRUNC($AN256*3/13,0)+0.99),'Tax scales - NAT 3539'!$A$43:$C$69,3,1)),0)
*13/3,
0),
""))),
""),
"")</f>
        <v/>
      </c>
      <c r="AW256" s="118" t="str">
        <f>IFERROR(
IF(VLOOKUP($C256,'Employee information'!$B:$M,COLUMNS('Employee information'!$B:$M),0)=33,
IF($E$2="Fortnightly",
ROUND(
ROUND((((TRUNC($AN256/2,0)+0.99))*VLOOKUP((TRUNC($AN256/2,0)+0.99),'Tax scales - NAT 3539'!$A$74:$C$94,2,1)-VLOOKUP((TRUNC($AN256/2,0)+0.99),'Tax scales - NAT 3539'!$A$74:$C$94,3,1)),0)
*2,
0),
IF(AND($E$2="Monthly",ROUND($AN256-TRUNC($AN256),2)=0.33),
ROUND(
ROUND(((TRUNC(($AN256+0.01)*3/13,0)+0.99)*VLOOKUP((TRUNC(($AN256+0.01)*3/13,0)+0.99),'Tax scales - NAT 3539'!$A$74:$C$94,2,1)-VLOOKUP((TRUNC(($AN256+0.01)*3/13,0)+0.99),'Tax scales - NAT 3539'!$A$74:$C$94,3,1)),0)
*13/3,
0),
IF($E$2="Monthly",
ROUND(
ROUND(((TRUNC($AN256*3/13,0)+0.99)*VLOOKUP((TRUNC($AN256*3/13,0)+0.99),'Tax scales - NAT 3539'!$A$74:$C$94,2,1)-VLOOKUP((TRUNC($AN256*3/13,0)+0.99),'Tax scales - NAT 3539'!$A$74:$C$94,3,1)),0)
*13/3,
0),
""))),
""),
"")</f>
        <v/>
      </c>
      <c r="AX256" s="118" t="str">
        <f>IFERROR(
IF(VLOOKUP($C256,'Employee information'!$B:$M,COLUMNS('Employee information'!$B:$M),0)=55,
IF($E$2="Fortnightly",
ROUND(
ROUND((((TRUNC($AN256/2,0)+0.99))*VLOOKUP((TRUNC($AN256/2,0)+0.99),'Tax scales - NAT 3539'!$A$99:$C$123,2,1)-VLOOKUP((TRUNC($AN256/2,0)+0.99),'Tax scales - NAT 3539'!$A$99:$C$123,3,1)),0)
*2,
0),
IF(AND($E$2="Monthly",ROUND($AN256-TRUNC($AN256),2)=0.33),
ROUND(
ROUND(((TRUNC(($AN256+0.01)*3/13,0)+0.99)*VLOOKUP((TRUNC(($AN256+0.01)*3/13,0)+0.99),'Tax scales - NAT 3539'!$A$99:$C$123,2,1)-VLOOKUP((TRUNC(($AN256+0.01)*3/13,0)+0.99),'Tax scales - NAT 3539'!$A$99:$C$123,3,1)),0)
*13/3,
0),
IF($E$2="Monthly",
ROUND(
ROUND(((TRUNC($AN256*3/13,0)+0.99)*VLOOKUP((TRUNC($AN256*3/13,0)+0.99),'Tax scales - NAT 3539'!$A$99:$C$123,2,1)-VLOOKUP((TRUNC($AN256*3/13,0)+0.99),'Tax scales - NAT 3539'!$A$99:$C$123,3,1)),0)
*13/3,
0),
""))),
""),
"")</f>
        <v/>
      </c>
      <c r="AY256" s="118" t="str">
        <f>IFERROR(
IF(VLOOKUP($C256,'Employee information'!$B:$M,COLUMNS('Employee information'!$B:$M),0)=66,
IF($E$2="Fortnightly",
ROUND(
ROUND((((TRUNC($AN256/2,0)+0.99))*VLOOKUP((TRUNC($AN256/2,0)+0.99),'Tax scales - NAT 3539'!$A$127:$C$154,2,1)-VLOOKUP((TRUNC($AN256/2,0)+0.99),'Tax scales - NAT 3539'!$A$127:$C$154,3,1)),0)
*2,
0),
IF(AND($E$2="Monthly",ROUND($AN256-TRUNC($AN256),2)=0.33),
ROUND(
ROUND(((TRUNC(($AN256+0.01)*3/13,0)+0.99)*VLOOKUP((TRUNC(($AN256+0.01)*3/13,0)+0.99),'Tax scales - NAT 3539'!$A$127:$C$154,2,1)-VLOOKUP((TRUNC(($AN256+0.01)*3/13,0)+0.99),'Tax scales - NAT 3539'!$A$127:$C$154,3,1)),0)
*13/3,
0),
IF($E$2="Monthly",
ROUND(
ROUND(((TRUNC($AN256*3/13,0)+0.99)*VLOOKUP((TRUNC($AN256*3/13,0)+0.99),'Tax scales - NAT 3539'!$A$127:$C$154,2,1)-VLOOKUP((TRUNC($AN256*3/13,0)+0.99),'Tax scales - NAT 3539'!$A$127:$C$154,3,1)),0)
*13/3,
0),
""))),
""),
"")</f>
        <v/>
      </c>
      <c r="AZ256" s="118">
        <f>IFERROR(
HLOOKUP(VLOOKUP($C256,'Employee information'!$B:$M,COLUMNS('Employee information'!$B:$M),0),'PAYG worksheet'!$AO$242:$AY$261,COUNTA($C$243:$C256)+1,0),
0)</f>
        <v>0</v>
      </c>
      <c r="BA256" s="118"/>
      <c r="BB256" s="118">
        <f t="shared" si="263"/>
        <v>0</v>
      </c>
      <c r="BC256" s="119">
        <f>IFERROR(
IF(OR($AE256=1,$AE256=""),SUM($P256,$AA256,$AC256,$AK256)*VLOOKUP($C256,'Employee information'!$B:$Q,COLUMNS('Employee information'!$B:$H),0),
IF($AE256=0,SUM($P256,$AA256,$AK256)*VLOOKUP($C256,'Employee information'!$B:$Q,COLUMNS('Employee information'!$B:$H),0),
0)),
0)</f>
        <v>0</v>
      </c>
      <c r="BE256" s="114">
        <f t="shared" si="248"/>
        <v>0</v>
      </c>
      <c r="BF256" s="114">
        <f t="shared" si="249"/>
        <v>0</v>
      </c>
      <c r="BG256" s="114">
        <f t="shared" si="250"/>
        <v>0</v>
      </c>
      <c r="BH256" s="114">
        <f t="shared" si="251"/>
        <v>0</v>
      </c>
      <c r="BI256" s="114">
        <f t="shared" si="252"/>
        <v>0</v>
      </c>
      <c r="BJ256" s="114">
        <f t="shared" si="253"/>
        <v>0</v>
      </c>
      <c r="BK256" s="114">
        <f t="shared" si="254"/>
        <v>0</v>
      </c>
      <c r="BL256" s="114">
        <f t="shared" si="264"/>
        <v>0</v>
      </c>
      <c r="BM256" s="114">
        <f t="shared" si="255"/>
        <v>0</v>
      </c>
    </row>
    <row r="257" spans="1:65" x14ac:dyDescent="0.25">
      <c r="A257" s="228">
        <f t="shared" si="243"/>
        <v>9</v>
      </c>
      <c r="C257" s="278"/>
      <c r="E257" s="103">
        <f>IF($C257="",0,
IF(AND($E$2="Monthly",$A257&gt;12),0,
IF($E$2="Monthly",VLOOKUP($C257,'Employee information'!$B:$AM,COLUMNS('Employee information'!$B:S),0),
IF($E$2="Fortnightly",VLOOKUP($C257,'Employee information'!$B:$AM,COLUMNS('Employee information'!$B:R),0),
0))))</f>
        <v>0</v>
      </c>
      <c r="F257" s="106"/>
      <c r="G257" s="106"/>
      <c r="H257" s="106"/>
      <c r="I257" s="106"/>
      <c r="J257" s="103">
        <f t="shared" si="256"/>
        <v>0</v>
      </c>
      <c r="L257" s="113">
        <f>IF(AND($E$2="Monthly",$A257&gt;12),"",
IFERROR($J257*VLOOKUP($C257,'Employee information'!$B:$AI,COLUMNS('Employee information'!$B:$P),0),0))</f>
        <v>0</v>
      </c>
      <c r="M257" s="114">
        <f t="shared" si="257"/>
        <v>0</v>
      </c>
      <c r="O257" s="103">
        <f t="shared" si="258"/>
        <v>0</v>
      </c>
      <c r="P257" s="113">
        <f>IFERROR(
IF(AND($E$2="Monthly",$A257&gt;12),0,
$O257*VLOOKUP($C257,'Employee information'!$B:$AI,COLUMNS('Employee information'!$B:$P),0)),
0)</f>
        <v>0</v>
      </c>
      <c r="R257" s="114">
        <f t="shared" si="244"/>
        <v>0</v>
      </c>
      <c r="T257" s="103"/>
      <c r="U257" s="103"/>
      <c r="V257" s="282" t="str">
        <f>IF($C257="","",
IF(AND($E$2="Monthly",$A257&gt;12),"",
$T257*VLOOKUP($C257,'Employee information'!$B:$P,COLUMNS('Employee information'!$B:$P),0)))</f>
        <v/>
      </c>
      <c r="W257" s="282" t="str">
        <f>IF($C257="","",
IF(AND($E$2="Monthly",$A257&gt;12),"",
$U257*VLOOKUP($C257,'Employee information'!$B:$P,COLUMNS('Employee information'!$B:$P),0)))</f>
        <v/>
      </c>
      <c r="X257" s="114">
        <f t="shared" si="245"/>
        <v>0</v>
      </c>
      <c r="Y257" s="114">
        <f t="shared" si="246"/>
        <v>0</v>
      </c>
      <c r="AA257" s="118">
        <f>IFERROR(
IF(OR('Basic payroll data'!$D$12="",'Basic payroll data'!$D$12="No"),0,
$T257*VLOOKUP($C257,'Employee information'!$B:$P,COLUMNS('Employee information'!$B:$P),0)*AL_loading_perc),
0)</f>
        <v>0</v>
      </c>
      <c r="AC257" s="118"/>
      <c r="AD257" s="118"/>
      <c r="AE257" s="283" t="str">
        <f t="shared" si="259"/>
        <v/>
      </c>
      <c r="AF257" s="283" t="str">
        <f t="shared" si="260"/>
        <v/>
      </c>
      <c r="AG257" s="118"/>
      <c r="AH257" s="118"/>
      <c r="AI257" s="283" t="str">
        <f t="shared" si="261"/>
        <v/>
      </c>
      <c r="AJ257" s="118"/>
      <c r="AK257" s="118"/>
      <c r="AM257" s="118">
        <f t="shared" si="262"/>
        <v>0</v>
      </c>
      <c r="AN257" s="118">
        <f t="shared" si="247"/>
        <v>0</v>
      </c>
      <c r="AO257" s="118" t="str">
        <f>IFERROR(
IF(VLOOKUP($C257,'Employee information'!$B:$M,COLUMNS('Employee information'!$B:$M),0)=1,
IF($E$2="Fortnightly",
ROUND(
ROUND((((TRUNC($AN257/2,0)+0.99))*VLOOKUP((TRUNC($AN257/2,0)+0.99),'Tax scales - NAT 1004'!$A$12:$C$18,2,1)-VLOOKUP((TRUNC($AN257/2,0)+0.99),'Tax scales - NAT 1004'!$A$12:$C$18,3,1)),0)
*2,
0),
IF(AND($E$2="Monthly",ROUND($AN257-TRUNC($AN257),2)=0.33),
ROUND(
ROUND(((TRUNC(($AN257+0.01)*3/13,0)+0.99)*VLOOKUP((TRUNC(($AN257+0.01)*3/13,0)+0.99),'Tax scales - NAT 1004'!$A$12:$C$18,2,1)-VLOOKUP((TRUNC(($AN257+0.01)*3/13,0)+0.99),'Tax scales - NAT 1004'!$A$12:$C$18,3,1)),0)
*13/3,
0),
IF($E$2="Monthly",
ROUND(
ROUND(((TRUNC($AN257*3/13,0)+0.99)*VLOOKUP((TRUNC($AN257*3/13,0)+0.99),'Tax scales - NAT 1004'!$A$12:$C$18,2,1)-VLOOKUP((TRUNC($AN257*3/13,0)+0.99),'Tax scales - NAT 1004'!$A$12:$C$18,3,1)),0)
*13/3,
0),
""))),
""),
"")</f>
        <v/>
      </c>
      <c r="AP257" s="118" t="str">
        <f>IFERROR(
IF(VLOOKUP($C257,'Employee information'!$B:$M,COLUMNS('Employee information'!$B:$M),0)=2,
IF($E$2="Fortnightly",
ROUND(
ROUND((((TRUNC($AN257/2,0)+0.99))*VLOOKUP((TRUNC($AN257/2,0)+0.99),'Tax scales - NAT 1004'!$A$25:$C$33,2,1)-VLOOKUP((TRUNC($AN257/2,0)+0.99),'Tax scales - NAT 1004'!$A$25:$C$33,3,1)),0)
*2,
0),
IF(AND($E$2="Monthly",ROUND($AN257-TRUNC($AN257),2)=0.33),
ROUND(
ROUND(((TRUNC(($AN257+0.01)*3/13,0)+0.99)*VLOOKUP((TRUNC(($AN257+0.01)*3/13,0)+0.99),'Tax scales - NAT 1004'!$A$25:$C$33,2,1)-VLOOKUP((TRUNC(($AN257+0.01)*3/13,0)+0.99),'Tax scales - NAT 1004'!$A$25:$C$33,3,1)),0)
*13/3,
0),
IF($E$2="Monthly",
ROUND(
ROUND(((TRUNC($AN257*3/13,0)+0.99)*VLOOKUP((TRUNC($AN257*3/13,0)+0.99),'Tax scales - NAT 1004'!$A$25:$C$33,2,1)-VLOOKUP((TRUNC($AN257*3/13,0)+0.99),'Tax scales - NAT 1004'!$A$25:$C$33,3,1)),0)
*13/3,
0),
""))),
""),
"")</f>
        <v/>
      </c>
      <c r="AQ257" s="118" t="str">
        <f>IFERROR(
IF(VLOOKUP($C257,'Employee information'!$B:$M,COLUMNS('Employee information'!$B:$M),0)=3,
IF($E$2="Fortnightly",
ROUND(
ROUND((((TRUNC($AN257/2,0)+0.99))*VLOOKUP((TRUNC($AN257/2,0)+0.99),'Tax scales - NAT 1004'!$A$39:$C$41,2,1)-VLOOKUP((TRUNC($AN257/2,0)+0.99),'Tax scales - NAT 1004'!$A$39:$C$41,3,1)),0)
*2,
0),
IF(AND($E$2="Monthly",ROUND($AN257-TRUNC($AN257),2)=0.33),
ROUND(
ROUND(((TRUNC(($AN257+0.01)*3/13,0)+0.99)*VLOOKUP((TRUNC(($AN257+0.01)*3/13,0)+0.99),'Tax scales - NAT 1004'!$A$39:$C$41,2,1)-VLOOKUP((TRUNC(($AN257+0.01)*3/13,0)+0.99),'Tax scales - NAT 1004'!$A$39:$C$41,3,1)),0)
*13/3,
0),
IF($E$2="Monthly",
ROUND(
ROUND(((TRUNC($AN257*3/13,0)+0.99)*VLOOKUP((TRUNC($AN257*3/13,0)+0.99),'Tax scales - NAT 1004'!$A$39:$C$41,2,1)-VLOOKUP((TRUNC($AN257*3/13,0)+0.99),'Tax scales - NAT 1004'!$A$39:$C$41,3,1)),0)
*13/3,
0),
""))),
""),
"")</f>
        <v/>
      </c>
      <c r="AR257" s="118" t="str">
        <f>IFERROR(
IF(AND(VLOOKUP($C257,'Employee information'!$B:$M,COLUMNS('Employee information'!$B:$M),0)=4,
VLOOKUP($C257,'Employee information'!$B:$J,COLUMNS('Employee information'!$B:$J),0)="Resident"),
TRUNC(TRUNC($AN257)*'Tax scales - NAT 1004'!$B$47),
IF(AND(VLOOKUP($C257,'Employee information'!$B:$M,COLUMNS('Employee information'!$B:$M),0)=4,
VLOOKUP($C257,'Employee information'!$B:$J,COLUMNS('Employee information'!$B:$J),0)="Foreign resident"),
TRUNC(TRUNC($AN257)*'Tax scales - NAT 1004'!$B$48),
"")),
"")</f>
        <v/>
      </c>
      <c r="AS257" s="118" t="str">
        <f>IFERROR(
IF(VLOOKUP($C257,'Employee information'!$B:$M,COLUMNS('Employee information'!$B:$M),0)=5,
IF($E$2="Fortnightly",
ROUND(
ROUND((((TRUNC($AN257/2,0)+0.99))*VLOOKUP((TRUNC($AN257/2,0)+0.99),'Tax scales - NAT 1004'!$A$53:$C$59,2,1)-VLOOKUP((TRUNC($AN257/2,0)+0.99),'Tax scales - NAT 1004'!$A$53:$C$59,3,1)),0)
*2,
0),
IF(AND($E$2="Monthly",ROUND($AN257-TRUNC($AN257),2)=0.33),
ROUND(
ROUND(((TRUNC(($AN257+0.01)*3/13,0)+0.99)*VLOOKUP((TRUNC(($AN257+0.01)*3/13,0)+0.99),'Tax scales - NAT 1004'!$A$53:$C$59,2,1)-VLOOKUP((TRUNC(($AN257+0.01)*3/13,0)+0.99),'Tax scales - NAT 1004'!$A$53:$C$59,3,1)),0)
*13/3,
0),
IF($E$2="Monthly",
ROUND(
ROUND(((TRUNC($AN257*3/13,0)+0.99)*VLOOKUP((TRUNC($AN257*3/13,0)+0.99),'Tax scales - NAT 1004'!$A$53:$C$59,2,1)-VLOOKUP((TRUNC($AN257*3/13,0)+0.99),'Tax scales - NAT 1004'!$A$53:$C$59,3,1)),0)
*13/3,
0),
""))),
""),
"")</f>
        <v/>
      </c>
      <c r="AT257" s="118" t="str">
        <f>IFERROR(
IF(VLOOKUP($C257,'Employee information'!$B:$M,COLUMNS('Employee information'!$B:$M),0)=6,
IF($E$2="Fortnightly",
ROUND(
ROUND((((TRUNC($AN257/2,0)+0.99))*VLOOKUP((TRUNC($AN257/2,0)+0.99),'Tax scales - NAT 1004'!$A$65:$C$73,2,1)-VLOOKUP((TRUNC($AN257/2,0)+0.99),'Tax scales - NAT 1004'!$A$65:$C$73,3,1)),0)
*2,
0),
IF(AND($E$2="Monthly",ROUND($AN257-TRUNC($AN257),2)=0.33),
ROUND(
ROUND(((TRUNC(($AN257+0.01)*3/13,0)+0.99)*VLOOKUP((TRUNC(($AN257+0.01)*3/13,0)+0.99),'Tax scales - NAT 1004'!$A$65:$C$73,2,1)-VLOOKUP((TRUNC(($AN257+0.01)*3/13,0)+0.99),'Tax scales - NAT 1004'!$A$65:$C$73,3,1)),0)
*13/3,
0),
IF($E$2="Monthly",
ROUND(
ROUND(((TRUNC($AN257*3/13,0)+0.99)*VLOOKUP((TRUNC($AN257*3/13,0)+0.99),'Tax scales - NAT 1004'!$A$65:$C$73,2,1)-VLOOKUP((TRUNC($AN257*3/13,0)+0.99),'Tax scales - NAT 1004'!$A$65:$C$73,3,1)),0)
*13/3,
0),
""))),
""),
"")</f>
        <v/>
      </c>
      <c r="AU257" s="118" t="str">
        <f>IFERROR(
IF(VLOOKUP($C257,'Employee information'!$B:$M,COLUMNS('Employee information'!$B:$M),0)=11,
IF($E$2="Fortnightly",
ROUND(
ROUND((((TRUNC($AN257/2,0)+0.99))*VLOOKUP((TRUNC($AN257/2,0)+0.99),'Tax scales - NAT 3539'!$A$14:$C$38,2,1)-VLOOKUP((TRUNC($AN257/2,0)+0.99),'Tax scales - NAT 3539'!$A$14:$C$38,3,1)),0)
*2,
0),
IF(AND($E$2="Monthly",ROUND($AN257-TRUNC($AN257),2)=0.33),
ROUND(
ROUND(((TRUNC(($AN257+0.01)*3/13,0)+0.99)*VLOOKUP((TRUNC(($AN257+0.01)*3/13,0)+0.99),'Tax scales - NAT 3539'!$A$14:$C$38,2,1)-VLOOKUP((TRUNC(($AN257+0.01)*3/13,0)+0.99),'Tax scales - NAT 3539'!$A$14:$C$38,3,1)),0)
*13/3,
0),
IF($E$2="Monthly",
ROUND(
ROUND(((TRUNC($AN257*3/13,0)+0.99)*VLOOKUP((TRUNC($AN257*3/13,0)+0.99),'Tax scales - NAT 3539'!$A$14:$C$38,2,1)-VLOOKUP((TRUNC($AN257*3/13,0)+0.99),'Tax scales - NAT 3539'!$A$14:$C$38,3,1)),0)
*13/3,
0),
""))),
""),
"")</f>
        <v/>
      </c>
      <c r="AV257" s="118" t="str">
        <f>IFERROR(
IF(VLOOKUP($C257,'Employee information'!$B:$M,COLUMNS('Employee information'!$B:$M),0)=22,
IF($E$2="Fortnightly",
ROUND(
ROUND((((TRUNC($AN257/2,0)+0.99))*VLOOKUP((TRUNC($AN257/2,0)+0.99),'Tax scales - NAT 3539'!$A$43:$C$69,2,1)-VLOOKUP((TRUNC($AN257/2,0)+0.99),'Tax scales - NAT 3539'!$A$43:$C$69,3,1)),0)
*2,
0),
IF(AND($E$2="Monthly",ROUND($AN257-TRUNC($AN257),2)=0.33),
ROUND(
ROUND(((TRUNC(($AN257+0.01)*3/13,0)+0.99)*VLOOKUP((TRUNC(($AN257+0.01)*3/13,0)+0.99),'Tax scales - NAT 3539'!$A$43:$C$69,2,1)-VLOOKUP((TRUNC(($AN257+0.01)*3/13,0)+0.99),'Tax scales - NAT 3539'!$A$43:$C$69,3,1)),0)
*13/3,
0),
IF($E$2="Monthly",
ROUND(
ROUND(((TRUNC($AN257*3/13,0)+0.99)*VLOOKUP((TRUNC($AN257*3/13,0)+0.99),'Tax scales - NAT 3539'!$A$43:$C$69,2,1)-VLOOKUP((TRUNC($AN257*3/13,0)+0.99),'Tax scales - NAT 3539'!$A$43:$C$69,3,1)),0)
*13/3,
0),
""))),
""),
"")</f>
        <v/>
      </c>
      <c r="AW257" s="118" t="str">
        <f>IFERROR(
IF(VLOOKUP($C257,'Employee information'!$B:$M,COLUMNS('Employee information'!$B:$M),0)=33,
IF($E$2="Fortnightly",
ROUND(
ROUND((((TRUNC($AN257/2,0)+0.99))*VLOOKUP((TRUNC($AN257/2,0)+0.99),'Tax scales - NAT 3539'!$A$74:$C$94,2,1)-VLOOKUP((TRUNC($AN257/2,0)+0.99),'Tax scales - NAT 3539'!$A$74:$C$94,3,1)),0)
*2,
0),
IF(AND($E$2="Monthly",ROUND($AN257-TRUNC($AN257),2)=0.33),
ROUND(
ROUND(((TRUNC(($AN257+0.01)*3/13,0)+0.99)*VLOOKUP((TRUNC(($AN257+0.01)*3/13,0)+0.99),'Tax scales - NAT 3539'!$A$74:$C$94,2,1)-VLOOKUP((TRUNC(($AN257+0.01)*3/13,0)+0.99),'Tax scales - NAT 3539'!$A$74:$C$94,3,1)),0)
*13/3,
0),
IF($E$2="Monthly",
ROUND(
ROUND(((TRUNC($AN257*3/13,0)+0.99)*VLOOKUP((TRUNC($AN257*3/13,0)+0.99),'Tax scales - NAT 3539'!$A$74:$C$94,2,1)-VLOOKUP((TRUNC($AN257*3/13,0)+0.99),'Tax scales - NAT 3539'!$A$74:$C$94,3,1)),0)
*13/3,
0),
""))),
""),
"")</f>
        <v/>
      </c>
      <c r="AX257" s="118" t="str">
        <f>IFERROR(
IF(VLOOKUP($C257,'Employee information'!$B:$M,COLUMNS('Employee information'!$B:$M),0)=55,
IF($E$2="Fortnightly",
ROUND(
ROUND((((TRUNC($AN257/2,0)+0.99))*VLOOKUP((TRUNC($AN257/2,0)+0.99),'Tax scales - NAT 3539'!$A$99:$C$123,2,1)-VLOOKUP((TRUNC($AN257/2,0)+0.99),'Tax scales - NAT 3539'!$A$99:$C$123,3,1)),0)
*2,
0),
IF(AND($E$2="Monthly",ROUND($AN257-TRUNC($AN257),2)=0.33),
ROUND(
ROUND(((TRUNC(($AN257+0.01)*3/13,0)+0.99)*VLOOKUP((TRUNC(($AN257+0.01)*3/13,0)+0.99),'Tax scales - NAT 3539'!$A$99:$C$123,2,1)-VLOOKUP((TRUNC(($AN257+0.01)*3/13,0)+0.99),'Tax scales - NAT 3539'!$A$99:$C$123,3,1)),0)
*13/3,
0),
IF($E$2="Monthly",
ROUND(
ROUND(((TRUNC($AN257*3/13,0)+0.99)*VLOOKUP((TRUNC($AN257*3/13,0)+0.99),'Tax scales - NAT 3539'!$A$99:$C$123,2,1)-VLOOKUP((TRUNC($AN257*3/13,0)+0.99),'Tax scales - NAT 3539'!$A$99:$C$123,3,1)),0)
*13/3,
0),
""))),
""),
"")</f>
        <v/>
      </c>
      <c r="AY257" s="118" t="str">
        <f>IFERROR(
IF(VLOOKUP($C257,'Employee information'!$B:$M,COLUMNS('Employee information'!$B:$M),0)=66,
IF($E$2="Fortnightly",
ROUND(
ROUND((((TRUNC($AN257/2,0)+0.99))*VLOOKUP((TRUNC($AN257/2,0)+0.99),'Tax scales - NAT 3539'!$A$127:$C$154,2,1)-VLOOKUP((TRUNC($AN257/2,0)+0.99),'Tax scales - NAT 3539'!$A$127:$C$154,3,1)),0)
*2,
0),
IF(AND($E$2="Monthly",ROUND($AN257-TRUNC($AN257),2)=0.33),
ROUND(
ROUND(((TRUNC(($AN257+0.01)*3/13,0)+0.99)*VLOOKUP((TRUNC(($AN257+0.01)*3/13,0)+0.99),'Tax scales - NAT 3539'!$A$127:$C$154,2,1)-VLOOKUP((TRUNC(($AN257+0.01)*3/13,0)+0.99),'Tax scales - NAT 3539'!$A$127:$C$154,3,1)),0)
*13/3,
0),
IF($E$2="Monthly",
ROUND(
ROUND(((TRUNC($AN257*3/13,0)+0.99)*VLOOKUP((TRUNC($AN257*3/13,0)+0.99),'Tax scales - NAT 3539'!$A$127:$C$154,2,1)-VLOOKUP((TRUNC($AN257*3/13,0)+0.99),'Tax scales - NAT 3539'!$A$127:$C$154,3,1)),0)
*13/3,
0),
""))),
""),
"")</f>
        <v/>
      </c>
      <c r="AZ257" s="118">
        <f>IFERROR(
HLOOKUP(VLOOKUP($C257,'Employee information'!$B:$M,COLUMNS('Employee information'!$B:$M),0),'PAYG worksheet'!$AO$242:$AY$261,COUNTA($C$243:$C257)+1,0),
0)</f>
        <v>0</v>
      </c>
      <c r="BA257" s="118"/>
      <c r="BB257" s="118">
        <f t="shared" si="263"/>
        <v>0</v>
      </c>
      <c r="BC257" s="119">
        <f>IFERROR(
IF(OR($AE257=1,$AE257=""),SUM($P257,$AA257,$AC257,$AK257)*VLOOKUP($C257,'Employee information'!$B:$Q,COLUMNS('Employee information'!$B:$H),0),
IF($AE257=0,SUM($P257,$AA257,$AK257)*VLOOKUP($C257,'Employee information'!$B:$Q,COLUMNS('Employee information'!$B:$H),0),
0)),
0)</f>
        <v>0</v>
      </c>
      <c r="BE257" s="114">
        <f t="shared" si="248"/>
        <v>0</v>
      </c>
      <c r="BF257" s="114">
        <f t="shared" si="249"/>
        <v>0</v>
      </c>
      <c r="BG257" s="114">
        <f t="shared" si="250"/>
        <v>0</v>
      </c>
      <c r="BH257" s="114">
        <f t="shared" si="251"/>
        <v>0</v>
      </c>
      <c r="BI257" s="114">
        <f t="shared" si="252"/>
        <v>0</v>
      </c>
      <c r="BJ257" s="114">
        <f t="shared" si="253"/>
        <v>0</v>
      </c>
      <c r="BK257" s="114">
        <f t="shared" si="254"/>
        <v>0</v>
      </c>
      <c r="BL257" s="114">
        <f t="shared" si="264"/>
        <v>0</v>
      </c>
      <c r="BM257" s="114">
        <f t="shared" si="255"/>
        <v>0</v>
      </c>
    </row>
    <row r="258" spans="1:65" x14ac:dyDescent="0.25">
      <c r="A258" s="228">
        <f t="shared" si="243"/>
        <v>9</v>
      </c>
      <c r="C258" s="278"/>
      <c r="E258" s="103">
        <f>IF($C258="",0,
IF(AND($E$2="Monthly",$A258&gt;12),0,
IF($E$2="Monthly",VLOOKUP($C258,'Employee information'!$B:$AM,COLUMNS('Employee information'!$B:S),0),
IF($E$2="Fortnightly",VLOOKUP($C258,'Employee information'!$B:$AM,COLUMNS('Employee information'!$B:R),0),
0))))</f>
        <v>0</v>
      </c>
      <c r="F258" s="106"/>
      <c r="G258" s="106"/>
      <c r="H258" s="106"/>
      <c r="I258" s="106"/>
      <c r="J258" s="103">
        <f t="shared" si="256"/>
        <v>0</v>
      </c>
      <c r="L258" s="113">
        <f>IF(AND($E$2="Monthly",$A258&gt;12),"",
IFERROR($J258*VLOOKUP($C258,'Employee information'!$B:$AI,COLUMNS('Employee information'!$B:$P),0),0))</f>
        <v>0</v>
      </c>
      <c r="M258" s="114">
        <f t="shared" si="257"/>
        <v>0</v>
      </c>
      <c r="O258" s="103">
        <f t="shared" si="258"/>
        <v>0</v>
      </c>
      <c r="P258" s="113">
        <f>IFERROR(
IF(AND($E$2="Monthly",$A258&gt;12),0,
$O258*VLOOKUP($C258,'Employee information'!$B:$AI,COLUMNS('Employee information'!$B:$P),0)),
0)</f>
        <v>0</v>
      </c>
      <c r="R258" s="114">
        <f t="shared" si="244"/>
        <v>0</v>
      </c>
      <c r="T258" s="103"/>
      <c r="U258" s="103"/>
      <c r="V258" s="282" t="str">
        <f>IF($C258="","",
IF(AND($E$2="Monthly",$A258&gt;12),"",
$T258*VLOOKUP($C258,'Employee information'!$B:$P,COLUMNS('Employee information'!$B:$P),0)))</f>
        <v/>
      </c>
      <c r="W258" s="282" t="str">
        <f>IF($C258="","",
IF(AND($E$2="Monthly",$A258&gt;12),"",
$U258*VLOOKUP($C258,'Employee information'!$B:$P,COLUMNS('Employee information'!$B:$P),0)))</f>
        <v/>
      </c>
      <c r="X258" s="114">
        <f t="shared" si="245"/>
        <v>0</v>
      </c>
      <c r="Y258" s="114">
        <f t="shared" si="246"/>
        <v>0</v>
      </c>
      <c r="AA258" s="118">
        <f>IFERROR(
IF(OR('Basic payroll data'!$D$12="",'Basic payroll data'!$D$12="No"),0,
$T258*VLOOKUP($C258,'Employee information'!$B:$P,COLUMNS('Employee information'!$B:$P),0)*AL_loading_perc),
0)</f>
        <v>0</v>
      </c>
      <c r="AC258" s="118"/>
      <c r="AD258" s="118"/>
      <c r="AE258" s="283" t="str">
        <f t="shared" si="259"/>
        <v/>
      </c>
      <c r="AF258" s="283" t="str">
        <f t="shared" si="260"/>
        <v/>
      </c>
      <c r="AG258" s="118"/>
      <c r="AH258" s="118"/>
      <c r="AI258" s="283" t="str">
        <f t="shared" si="261"/>
        <v/>
      </c>
      <c r="AJ258" s="118"/>
      <c r="AK258" s="118"/>
      <c r="AM258" s="118">
        <f t="shared" si="262"/>
        <v>0</v>
      </c>
      <c r="AN258" s="118">
        <f t="shared" si="247"/>
        <v>0</v>
      </c>
      <c r="AO258" s="118" t="str">
        <f>IFERROR(
IF(VLOOKUP($C258,'Employee information'!$B:$M,COLUMNS('Employee information'!$B:$M),0)=1,
IF($E$2="Fortnightly",
ROUND(
ROUND((((TRUNC($AN258/2,0)+0.99))*VLOOKUP((TRUNC($AN258/2,0)+0.99),'Tax scales - NAT 1004'!$A$12:$C$18,2,1)-VLOOKUP((TRUNC($AN258/2,0)+0.99),'Tax scales - NAT 1004'!$A$12:$C$18,3,1)),0)
*2,
0),
IF(AND($E$2="Monthly",ROUND($AN258-TRUNC($AN258),2)=0.33),
ROUND(
ROUND(((TRUNC(($AN258+0.01)*3/13,0)+0.99)*VLOOKUP((TRUNC(($AN258+0.01)*3/13,0)+0.99),'Tax scales - NAT 1004'!$A$12:$C$18,2,1)-VLOOKUP((TRUNC(($AN258+0.01)*3/13,0)+0.99),'Tax scales - NAT 1004'!$A$12:$C$18,3,1)),0)
*13/3,
0),
IF($E$2="Monthly",
ROUND(
ROUND(((TRUNC($AN258*3/13,0)+0.99)*VLOOKUP((TRUNC($AN258*3/13,0)+0.99),'Tax scales - NAT 1004'!$A$12:$C$18,2,1)-VLOOKUP((TRUNC($AN258*3/13,0)+0.99),'Tax scales - NAT 1004'!$A$12:$C$18,3,1)),0)
*13/3,
0),
""))),
""),
"")</f>
        <v/>
      </c>
      <c r="AP258" s="118" t="str">
        <f>IFERROR(
IF(VLOOKUP($C258,'Employee information'!$B:$M,COLUMNS('Employee information'!$B:$M),0)=2,
IF($E$2="Fortnightly",
ROUND(
ROUND((((TRUNC($AN258/2,0)+0.99))*VLOOKUP((TRUNC($AN258/2,0)+0.99),'Tax scales - NAT 1004'!$A$25:$C$33,2,1)-VLOOKUP((TRUNC($AN258/2,0)+0.99),'Tax scales - NAT 1004'!$A$25:$C$33,3,1)),0)
*2,
0),
IF(AND($E$2="Monthly",ROUND($AN258-TRUNC($AN258),2)=0.33),
ROUND(
ROUND(((TRUNC(($AN258+0.01)*3/13,0)+0.99)*VLOOKUP((TRUNC(($AN258+0.01)*3/13,0)+0.99),'Tax scales - NAT 1004'!$A$25:$C$33,2,1)-VLOOKUP((TRUNC(($AN258+0.01)*3/13,0)+0.99),'Tax scales - NAT 1004'!$A$25:$C$33,3,1)),0)
*13/3,
0),
IF($E$2="Monthly",
ROUND(
ROUND(((TRUNC($AN258*3/13,0)+0.99)*VLOOKUP((TRUNC($AN258*3/13,0)+0.99),'Tax scales - NAT 1004'!$A$25:$C$33,2,1)-VLOOKUP((TRUNC($AN258*3/13,0)+0.99),'Tax scales - NAT 1004'!$A$25:$C$33,3,1)),0)
*13/3,
0),
""))),
""),
"")</f>
        <v/>
      </c>
      <c r="AQ258" s="118" t="str">
        <f>IFERROR(
IF(VLOOKUP($C258,'Employee information'!$B:$M,COLUMNS('Employee information'!$B:$M),0)=3,
IF($E$2="Fortnightly",
ROUND(
ROUND((((TRUNC($AN258/2,0)+0.99))*VLOOKUP((TRUNC($AN258/2,0)+0.99),'Tax scales - NAT 1004'!$A$39:$C$41,2,1)-VLOOKUP((TRUNC($AN258/2,0)+0.99),'Tax scales - NAT 1004'!$A$39:$C$41,3,1)),0)
*2,
0),
IF(AND($E$2="Monthly",ROUND($AN258-TRUNC($AN258),2)=0.33),
ROUND(
ROUND(((TRUNC(($AN258+0.01)*3/13,0)+0.99)*VLOOKUP((TRUNC(($AN258+0.01)*3/13,0)+0.99),'Tax scales - NAT 1004'!$A$39:$C$41,2,1)-VLOOKUP((TRUNC(($AN258+0.01)*3/13,0)+0.99),'Tax scales - NAT 1004'!$A$39:$C$41,3,1)),0)
*13/3,
0),
IF($E$2="Monthly",
ROUND(
ROUND(((TRUNC($AN258*3/13,0)+0.99)*VLOOKUP((TRUNC($AN258*3/13,0)+0.99),'Tax scales - NAT 1004'!$A$39:$C$41,2,1)-VLOOKUP((TRUNC($AN258*3/13,0)+0.99),'Tax scales - NAT 1004'!$A$39:$C$41,3,1)),0)
*13/3,
0),
""))),
""),
"")</f>
        <v/>
      </c>
      <c r="AR258" s="118" t="str">
        <f>IFERROR(
IF(AND(VLOOKUP($C258,'Employee information'!$B:$M,COLUMNS('Employee information'!$B:$M),0)=4,
VLOOKUP($C258,'Employee information'!$B:$J,COLUMNS('Employee information'!$B:$J),0)="Resident"),
TRUNC(TRUNC($AN258)*'Tax scales - NAT 1004'!$B$47),
IF(AND(VLOOKUP($C258,'Employee information'!$B:$M,COLUMNS('Employee information'!$B:$M),0)=4,
VLOOKUP($C258,'Employee information'!$B:$J,COLUMNS('Employee information'!$B:$J),0)="Foreign resident"),
TRUNC(TRUNC($AN258)*'Tax scales - NAT 1004'!$B$48),
"")),
"")</f>
        <v/>
      </c>
      <c r="AS258" s="118" t="str">
        <f>IFERROR(
IF(VLOOKUP($C258,'Employee information'!$B:$M,COLUMNS('Employee information'!$B:$M),0)=5,
IF($E$2="Fortnightly",
ROUND(
ROUND((((TRUNC($AN258/2,0)+0.99))*VLOOKUP((TRUNC($AN258/2,0)+0.99),'Tax scales - NAT 1004'!$A$53:$C$59,2,1)-VLOOKUP((TRUNC($AN258/2,0)+0.99),'Tax scales - NAT 1004'!$A$53:$C$59,3,1)),0)
*2,
0),
IF(AND($E$2="Monthly",ROUND($AN258-TRUNC($AN258),2)=0.33),
ROUND(
ROUND(((TRUNC(($AN258+0.01)*3/13,0)+0.99)*VLOOKUP((TRUNC(($AN258+0.01)*3/13,0)+0.99),'Tax scales - NAT 1004'!$A$53:$C$59,2,1)-VLOOKUP((TRUNC(($AN258+0.01)*3/13,0)+0.99),'Tax scales - NAT 1004'!$A$53:$C$59,3,1)),0)
*13/3,
0),
IF($E$2="Monthly",
ROUND(
ROUND(((TRUNC($AN258*3/13,0)+0.99)*VLOOKUP((TRUNC($AN258*3/13,0)+0.99),'Tax scales - NAT 1004'!$A$53:$C$59,2,1)-VLOOKUP((TRUNC($AN258*3/13,0)+0.99),'Tax scales - NAT 1004'!$A$53:$C$59,3,1)),0)
*13/3,
0),
""))),
""),
"")</f>
        <v/>
      </c>
      <c r="AT258" s="118" t="str">
        <f>IFERROR(
IF(VLOOKUP($C258,'Employee information'!$B:$M,COLUMNS('Employee information'!$B:$M),0)=6,
IF($E$2="Fortnightly",
ROUND(
ROUND((((TRUNC($AN258/2,0)+0.99))*VLOOKUP((TRUNC($AN258/2,0)+0.99),'Tax scales - NAT 1004'!$A$65:$C$73,2,1)-VLOOKUP((TRUNC($AN258/2,0)+0.99),'Tax scales - NAT 1004'!$A$65:$C$73,3,1)),0)
*2,
0),
IF(AND($E$2="Monthly",ROUND($AN258-TRUNC($AN258),2)=0.33),
ROUND(
ROUND(((TRUNC(($AN258+0.01)*3/13,0)+0.99)*VLOOKUP((TRUNC(($AN258+0.01)*3/13,0)+0.99),'Tax scales - NAT 1004'!$A$65:$C$73,2,1)-VLOOKUP((TRUNC(($AN258+0.01)*3/13,0)+0.99),'Tax scales - NAT 1004'!$A$65:$C$73,3,1)),0)
*13/3,
0),
IF($E$2="Monthly",
ROUND(
ROUND(((TRUNC($AN258*3/13,0)+0.99)*VLOOKUP((TRUNC($AN258*3/13,0)+0.99),'Tax scales - NAT 1004'!$A$65:$C$73,2,1)-VLOOKUP((TRUNC($AN258*3/13,0)+0.99),'Tax scales - NAT 1004'!$A$65:$C$73,3,1)),0)
*13/3,
0),
""))),
""),
"")</f>
        <v/>
      </c>
      <c r="AU258" s="118" t="str">
        <f>IFERROR(
IF(VLOOKUP($C258,'Employee information'!$B:$M,COLUMNS('Employee information'!$B:$M),0)=11,
IF($E$2="Fortnightly",
ROUND(
ROUND((((TRUNC($AN258/2,0)+0.99))*VLOOKUP((TRUNC($AN258/2,0)+0.99),'Tax scales - NAT 3539'!$A$14:$C$38,2,1)-VLOOKUP((TRUNC($AN258/2,0)+0.99),'Tax scales - NAT 3539'!$A$14:$C$38,3,1)),0)
*2,
0),
IF(AND($E$2="Monthly",ROUND($AN258-TRUNC($AN258),2)=0.33),
ROUND(
ROUND(((TRUNC(($AN258+0.01)*3/13,0)+0.99)*VLOOKUP((TRUNC(($AN258+0.01)*3/13,0)+0.99),'Tax scales - NAT 3539'!$A$14:$C$38,2,1)-VLOOKUP((TRUNC(($AN258+0.01)*3/13,0)+0.99),'Tax scales - NAT 3539'!$A$14:$C$38,3,1)),0)
*13/3,
0),
IF($E$2="Monthly",
ROUND(
ROUND(((TRUNC($AN258*3/13,0)+0.99)*VLOOKUP((TRUNC($AN258*3/13,0)+0.99),'Tax scales - NAT 3539'!$A$14:$C$38,2,1)-VLOOKUP((TRUNC($AN258*3/13,0)+0.99),'Tax scales - NAT 3539'!$A$14:$C$38,3,1)),0)
*13/3,
0),
""))),
""),
"")</f>
        <v/>
      </c>
      <c r="AV258" s="118" t="str">
        <f>IFERROR(
IF(VLOOKUP($C258,'Employee information'!$B:$M,COLUMNS('Employee information'!$B:$M),0)=22,
IF($E$2="Fortnightly",
ROUND(
ROUND((((TRUNC($AN258/2,0)+0.99))*VLOOKUP((TRUNC($AN258/2,0)+0.99),'Tax scales - NAT 3539'!$A$43:$C$69,2,1)-VLOOKUP((TRUNC($AN258/2,0)+0.99),'Tax scales - NAT 3539'!$A$43:$C$69,3,1)),0)
*2,
0),
IF(AND($E$2="Monthly",ROUND($AN258-TRUNC($AN258),2)=0.33),
ROUND(
ROUND(((TRUNC(($AN258+0.01)*3/13,0)+0.99)*VLOOKUP((TRUNC(($AN258+0.01)*3/13,0)+0.99),'Tax scales - NAT 3539'!$A$43:$C$69,2,1)-VLOOKUP((TRUNC(($AN258+0.01)*3/13,0)+0.99),'Tax scales - NAT 3539'!$A$43:$C$69,3,1)),0)
*13/3,
0),
IF($E$2="Monthly",
ROUND(
ROUND(((TRUNC($AN258*3/13,0)+0.99)*VLOOKUP((TRUNC($AN258*3/13,0)+0.99),'Tax scales - NAT 3539'!$A$43:$C$69,2,1)-VLOOKUP((TRUNC($AN258*3/13,0)+0.99),'Tax scales - NAT 3539'!$A$43:$C$69,3,1)),0)
*13/3,
0),
""))),
""),
"")</f>
        <v/>
      </c>
      <c r="AW258" s="118" t="str">
        <f>IFERROR(
IF(VLOOKUP($C258,'Employee information'!$B:$M,COLUMNS('Employee information'!$B:$M),0)=33,
IF($E$2="Fortnightly",
ROUND(
ROUND((((TRUNC($AN258/2,0)+0.99))*VLOOKUP((TRUNC($AN258/2,0)+0.99),'Tax scales - NAT 3539'!$A$74:$C$94,2,1)-VLOOKUP((TRUNC($AN258/2,0)+0.99),'Tax scales - NAT 3539'!$A$74:$C$94,3,1)),0)
*2,
0),
IF(AND($E$2="Monthly",ROUND($AN258-TRUNC($AN258),2)=0.33),
ROUND(
ROUND(((TRUNC(($AN258+0.01)*3/13,0)+0.99)*VLOOKUP((TRUNC(($AN258+0.01)*3/13,0)+0.99),'Tax scales - NAT 3539'!$A$74:$C$94,2,1)-VLOOKUP((TRUNC(($AN258+0.01)*3/13,0)+0.99),'Tax scales - NAT 3539'!$A$74:$C$94,3,1)),0)
*13/3,
0),
IF($E$2="Monthly",
ROUND(
ROUND(((TRUNC($AN258*3/13,0)+0.99)*VLOOKUP((TRUNC($AN258*3/13,0)+0.99),'Tax scales - NAT 3539'!$A$74:$C$94,2,1)-VLOOKUP((TRUNC($AN258*3/13,0)+0.99),'Tax scales - NAT 3539'!$A$74:$C$94,3,1)),0)
*13/3,
0),
""))),
""),
"")</f>
        <v/>
      </c>
      <c r="AX258" s="118" t="str">
        <f>IFERROR(
IF(VLOOKUP($C258,'Employee information'!$B:$M,COLUMNS('Employee information'!$B:$M),0)=55,
IF($E$2="Fortnightly",
ROUND(
ROUND((((TRUNC($AN258/2,0)+0.99))*VLOOKUP((TRUNC($AN258/2,0)+0.99),'Tax scales - NAT 3539'!$A$99:$C$123,2,1)-VLOOKUP((TRUNC($AN258/2,0)+0.99),'Tax scales - NAT 3539'!$A$99:$C$123,3,1)),0)
*2,
0),
IF(AND($E$2="Monthly",ROUND($AN258-TRUNC($AN258),2)=0.33),
ROUND(
ROUND(((TRUNC(($AN258+0.01)*3/13,0)+0.99)*VLOOKUP((TRUNC(($AN258+0.01)*3/13,0)+0.99),'Tax scales - NAT 3539'!$A$99:$C$123,2,1)-VLOOKUP((TRUNC(($AN258+0.01)*3/13,0)+0.99),'Tax scales - NAT 3539'!$A$99:$C$123,3,1)),0)
*13/3,
0),
IF($E$2="Monthly",
ROUND(
ROUND(((TRUNC($AN258*3/13,0)+0.99)*VLOOKUP((TRUNC($AN258*3/13,0)+0.99),'Tax scales - NAT 3539'!$A$99:$C$123,2,1)-VLOOKUP((TRUNC($AN258*3/13,0)+0.99),'Tax scales - NAT 3539'!$A$99:$C$123,3,1)),0)
*13/3,
0),
""))),
""),
"")</f>
        <v/>
      </c>
      <c r="AY258" s="118" t="str">
        <f>IFERROR(
IF(VLOOKUP($C258,'Employee information'!$B:$M,COLUMNS('Employee information'!$B:$M),0)=66,
IF($E$2="Fortnightly",
ROUND(
ROUND((((TRUNC($AN258/2,0)+0.99))*VLOOKUP((TRUNC($AN258/2,0)+0.99),'Tax scales - NAT 3539'!$A$127:$C$154,2,1)-VLOOKUP((TRUNC($AN258/2,0)+0.99),'Tax scales - NAT 3539'!$A$127:$C$154,3,1)),0)
*2,
0),
IF(AND($E$2="Monthly",ROUND($AN258-TRUNC($AN258),2)=0.33),
ROUND(
ROUND(((TRUNC(($AN258+0.01)*3/13,0)+0.99)*VLOOKUP((TRUNC(($AN258+0.01)*3/13,0)+0.99),'Tax scales - NAT 3539'!$A$127:$C$154,2,1)-VLOOKUP((TRUNC(($AN258+0.01)*3/13,0)+0.99),'Tax scales - NAT 3539'!$A$127:$C$154,3,1)),0)
*13/3,
0),
IF($E$2="Monthly",
ROUND(
ROUND(((TRUNC($AN258*3/13,0)+0.99)*VLOOKUP((TRUNC($AN258*3/13,0)+0.99),'Tax scales - NAT 3539'!$A$127:$C$154,2,1)-VLOOKUP((TRUNC($AN258*3/13,0)+0.99),'Tax scales - NAT 3539'!$A$127:$C$154,3,1)),0)
*13/3,
0),
""))),
""),
"")</f>
        <v/>
      </c>
      <c r="AZ258" s="118">
        <f>IFERROR(
HLOOKUP(VLOOKUP($C258,'Employee information'!$B:$M,COLUMNS('Employee information'!$B:$M),0),'PAYG worksheet'!$AO$242:$AY$261,COUNTA($C$243:$C258)+1,0),
0)</f>
        <v>0</v>
      </c>
      <c r="BA258" s="118"/>
      <c r="BB258" s="118">
        <f t="shared" si="263"/>
        <v>0</v>
      </c>
      <c r="BC258" s="119">
        <f>IFERROR(
IF(OR($AE258=1,$AE258=""),SUM($P258,$AA258,$AC258,$AK258)*VLOOKUP($C258,'Employee information'!$B:$Q,COLUMNS('Employee information'!$B:$H),0),
IF($AE258=0,SUM($P258,$AA258,$AK258)*VLOOKUP($C258,'Employee information'!$B:$Q,COLUMNS('Employee information'!$B:$H),0),
0)),
0)</f>
        <v>0</v>
      </c>
      <c r="BE258" s="114">
        <f t="shared" si="248"/>
        <v>0</v>
      </c>
      <c r="BF258" s="114">
        <f t="shared" si="249"/>
        <v>0</v>
      </c>
      <c r="BG258" s="114">
        <f t="shared" si="250"/>
        <v>0</v>
      </c>
      <c r="BH258" s="114">
        <f t="shared" si="251"/>
        <v>0</v>
      </c>
      <c r="BI258" s="114">
        <f t="shared" si="252"/>
        <v>0</v>
      </c>
      <c r="BJ258" s="114">
        <f t="shared" si="253"/>
        <v>0</v>
      </c>
      <c r="BK258" s="114">
        <f t="shared" si="254"/>
        <v>0</v>
      </c>
      <c r="BL258" s="114">
        <f t="shared" si="264"/>
        <v>0</v>
      </c>
      <c r="BM258" s="114">
        <f t="shared" si="255"/>
        <v>0</v>
      </c>
    </row>
    <row r="259" spans="1:65" x14ac:dyDescent="0.25">
      <c r="A259" s="228">
        <f t="shared" si="243"/>
        <v>9</v>
      </c>
      <c r="C259" s="278"/>
      <c r="E259" s="103">
        <f>IF($C259="",0,
IF(AND($E$2="Monthly",$A259&gt;12),0,
IF($E$2="Monthly",VLOOKUP($C259,'Employee information'!$B:$AM,COLUMNS('Employee information'!$B:S),0),
IF($E$2="Fortnightly",VLOOKUP($C259,'Employee information'!$B:$AM,COLUMNS('Employee information'!$B:R),0),
0))))</f>
        <v>0</v>
      </c>
      <c r="F259" s="106"/>
      <c r="G259" s="106"/>
      <c r="H259" s="106"/>
      <c r="I259" s="106"/>
      <c r="J259" s="103">
        <f t="shared" si="256"/>
        <v>0</v>
      </c>
      <c r="L259" s="113">
        <f>IF(AND($E$2="Monthly",$A259&gt;12),"",
IFERROR($J259*VLOOKUP($C259,'Employee information'!$B:$AI,COLUMNS('Employee information'!$B:$P),0),0))</f>
        <v>0</v>
      </c>
      <c r="M259" s="114">
        <f t="shared" si="257"/>
        <v>0</v>
      </c>
      <c r="O259" s="103">
        <f t="shared" si="258"/>
        <v>0</v>
      </c>
      <c r="P259" s="113">
        <f>IFERROR(
IF(AND($E$2="Monthly",$A259&gt;12),0,
$O259*VLOOKUP($C259,'Employee information'!$B:$AI,COLUMNS('Employee information'!$B:$P),0)),
0)</f>
        <v>0</v>
      </c>
      <c r="R259" s="114">
        <f t="shared" si="244"/>
        <v>0</v>
      </c>
      <c r="T259" s="103"/>
      <c r="U259" s="103"/>
      <c r="V259" s="282" t="str">
        <f>IF($C259="","",
IF(AND($E$2="Monthly",$A259&gt;12),"",
$T259*VLOOKUP($C259,'Employee information'!$B:$P,COLUMNS('Employee information'!$B:$P),0)))</f>
        <v/>
      </c>
      <c r="W259" s="282" t="str">
        <f>IF($C259="","",
IF(AND($E$2="Monthly",$A259&gt;12),"",
$U259*VLOOKUP($C259,'Employee information'!$B:$P,COLUMNS('Employee information'!$B:$P),0)))</f>
        <v/>
      </c>
      <c r="X259" s="114">
        <f t="shared" si="245"/>
        <v>0</v>
      </c>
      <c r="Y259" s="114">
        <f t="shared" si="246"/>
        <v>0</v>
      </c>
      <c r="AA259" s="118">
        <f>IFERROR(
IF(OR('Basic payroll data'!$D$12="",'Basic payroll data'!$D$12="No"),0,
$T259*VLOOKUP($C259,'Employee information'!$B:$P,COLUMNS('Employee information'!$B:$P),0)*AL_loading_perc),
0)</f>
        <v>0</v>
      </c>
      <c r="AC259" s="118"/>
      <c r="AD259" s="118"/>
      <c r="AE259" s="283" t="str">
        <f t="shared" si="259"/>
        <v/>
      </c>
      <c r="AF259" s="283" t="str">
        <f t="shared" si="260"/>
        <v/>
      </c>
      <c r="AG259" s="118"/>
      <c r="AH259" s="118"/>
      <c r="AI259" s="283" t="str">
        <f t="shared" si="261"/>
        <v/>
      </c>
      <c r="AJ259" s="118"/>
      <c r="AK259" s="118"/>
      <c r="AM259" s="118">
        <f t="shared" si="262"/>
        <v>0</v>
      </c>
      <c r="AN259" s="118">
        <f t="shared" si="247"/>
        <v>0</v>
      </c>
      <c r="AO259" s="118" t="str">
        <f>IFERROR(
IF(VLOOKUP($C259,'Employee information'!$B:$M,COLUMNS('Employee information'!$B:$M),0)=1,
IF($E$2="Fortnightly",
ROUND(
ROUND((((TRUNC($AN259/2,0)+0.99))*VLOOKUP((TRUNC($AN259/2,0)+0.99),'Tax scales - NAT 1004'!$A$12:$C$18,2,1)-VLOOKUP((TRUNC($AN259/2,0)+0.99),'Tax scales - NAT 1004'!$A$12:$C$18,3,1)),0)
*2,
0),
IF(AND($E$2="Monthly",ROUND($AN259-TRUNC($AN259),2)=0.33),
ROUND(
ROUND(((TRUNC(($AN259+0.01)*3/13,0)+0.99)*VLOOKUP((TRUNC(($AN259+0.01)*3/13,0)+0.99),'Tax scales - NAT 1004'!$A$12:$C$18,2,1)-VLOOKUP((TRUNC(($AN259+0.01)*3/13,0)+0.99),'Tax scales - NAT 1004'!$A$12:$C$18,3,1)),0)
*13/3,
0),
IF($E$2="Monthly",
ROUND(
ROUND(((TRUNC($AN259*3/13,0)+0.99)*VLOOKUP((TRUNC($AN259*3/13,0)+0.99),'Tax scales - NAT 1004'!$A$12:$C$18,2,1)-VLOOKUP((TRUNC($AN259*3/13,0)+0.99),'Tax scales - NAT 1004'!$A$12:$C$18,3,1)),0)
*13/3,
0),
""))),
""),
"")</f>
        <v/>
      </c>
      <c r="AP259" s="118" t="str">
        <f>IFERROR(
IF(VLOOKUP($C259,'Employee information'!$B:$M,COLUMNS('Employee information'!$B:$M),0)=2,
IF($E$2="Fortnightly",
ROUND(
ROUND((((TRUNC($AN259/2,0)+0.99))*VLOOKUP((TRUNC($AN259/2,0)+0.99),'Tax scales - NAT 1004'!$A$25:$C$33,2,1)-VLOOKUP((TRUNC($AN259/2,0)+0.99),'Tax scales - NAT 1004'!$A$25:$C$33,3,1)),0)
*2,
0),
IF(AND($E$2="Monthly",ROUND($AN259-TRUNC($AN259),2)=0.33),
ROUND(
ROUND(((TRUNC(($AN259+0.01)*3/13,0)+0.99)*VLOOKUP((TRUNC(($AN259+0.01)*3/13,0)+0.99),'Tax scales - NAT 1004'!$A$25:$C$33,2,1)-VLOOKUP((TRUNC(($AN259+0.01)*3/13,0)+0.99),'Tax scales - NAT 1004'!$A$25:$C$33,3,1)),0)
*13/3,
0),
IF($E$2="Monthly",
ROUND(
ROUND(((TRUNC($AN259*3/13,0)+0.99)*VLOOKUP((TRUNC($AN259*3/13,0)+0.99),'Tax scales - NAT 1004'!$A$25:$C$33,2,1)-VLOOKUP((TRUNC($AN259*3/13,0)+0.99),'Tax scales - NAT 1004'!$A$25:$C$33,3,1)),0)
*13/3,
0),
""))),
""),
"")</f>
        <v/>
      </c>
      <c r="AQ259" s="118" t="str">
        <f>IFERROR(
IF(VLOOKUP($C259,'Employee information'!$B:$M,COLUMNS('Employee information'!$B:$M),0)=3,
IF($E$2="Fortnightly",
ROUND(
ROUND((((TRUNC($AN259/2,0)+0.99))*VLOOKUP((TRUNC($AN259/2,0)+0.99),'Tax scales - NAT 1004'!$A$39:$C$41,2,1)-VLOOKUP((TRUNC($AN259/2,0)+0.99),'Tax scales - NAT 1004'!$A$39:$C$41,3,1)),0)
*2,
0),
IF(AND($E$2="Monthly",ROUND($AN259-TRUNC($AN259),2)=0.33),
ROUND(
ROUND(((TRUNC(($AN259+0.01)*3/13,0)+0.99)*VLOOKUP((TRUNC(($AN259+0.01)*3/13,0)+0.99),'Tax scales - NAT 1004'!$A$39:$C$41,2,1)-VLOOKUP((TRUNC(($AN259+0.01)*3/13,0)+0.99),'Tax scales - NAT 1004'!$A$39:$C$41,3,1)),0)
*13/3,
0),
IF($E$2="Monthly",
ROUND(
ROUND(((TRUNC($AN259*3/13,0)+0.99)*VLOOKUP((TRUNC($AN259*3/13,0)+0.99),'Tax scales - NAT 1004'!$A$39:$C$41,2,1)-VLOOKUP((TRUNC($AN259*3/13,0)+0.99),'Tax scales - NAT 1004'!$A$39:$C$41,3,1)),0)
*13/3,
0),
""))),
""),
"")</f>
        <v/>
      </c>
      <c r="AR259" s="118" t="str">
        <f>IFERROR(
IF(AND(VLOOKUP($C259,'Employee information'!$B:$M,COLUMNS('Employee information'!$B:$M),0)=4,
VLOOKUP($C259,'Employee information'!$B:$J,COLUMNS('Employee information'!$B:$J),0)="Resident"),
TRUNC(TRUNC($AN259)*'Tax scales - NAT 1004'!$B$47),
IF(AND(VLOOKUP($C259,'Employee information'!$B:$M,COLUMNS('Employee information'!$B:$M),0)=4,
VLOOKUP($C259,'Employee information'!$B:$J,COLUMNS('Employee information'!$B:$J),0)="Foreign resident"),
TRUNC(TRUNC($AN259)*'Tax scales - NAT 1004'!$B$48),
"")),
"")</f>
        <v/>
      </c>
      <c r="AS259" s="118" t="str">
        <f>IFERROR(
IF(VLOOKUP($C259,'Employee information'!$B:$M,COLUMNS('Employee information'!$B:$M),0)=5,
IF($E$2="Fortnightly",
ROUND(
ROUND((((TRUNC($AN259/2,0)+0.99))*VLOOKUP((TRUNC($AN259/2,0)+0.99),'Tax scales - NAT 1004'!$A$53:$C$59,2,1)-VLOOKUP((TRUNC($AN259/2,0)+0.99),'Tax scales - NAT 1004'!$A$53:$C$59,3,1)),0)
*2,
0),
IF(AND($E$2="Monthly",ROUND($AN259-TRUNC($AN259),2)=0.33),
ROUND(
ROUND(((TRUNC(($AN259+0.01)*3/13,0)+0.99)*VLOOKUP((TRUNC(($AN259+0.01)*3/13,0)+0.99),'Tax scales - NAT 1004'!$A$53:$C$59,2,1)-VLOOKUP((TRUNC(($AN259+0.01)*3/13,0)+0.99),'Tax scales - NAT 1004'!$A$53:$C$59,3,1)),0)
*13/3,
0),
IF($E$2="Monthly",
ROUND(
ROUND(((TRUNC($AN259*3/13,0)+0.99)*VLOOKUP((TRUNC($AN259*3/13,0)+0.99),'Tax scales - NAT 1004'!$A$53:$C$59,2,1)-VLOOKUP((TRUNC($AN259*3/13,0)+0.99),'Tax scales - NAT 1004'!$A$53:$C$59,3,1)),0)
*13/3,
0),
""))),
""),
"")</f>
        <v/>
      </c>
      <c r="AT259" s="118" t="str">
        <f>IFERROR(
IF(VLOOKUP($C259,'Employee information'!$B:$M,COLUMNS('Employee information'!$B:$M),0)=6,
IF($E$2="Fortnightly",
ROUND(
ROUND((((TRUNC($AN259/2,0)+0.99))*VLOOKUP((TRUNC($AN259/2,0)+0.99),'Tax scales - NAT 1004'!$A$65:$C$73,2,1)-VLOOKUP((TRUNC($AN259/2,0)+0.99),'Tax scales - NAT 1004'!$A$65:$C$73,3,1)),0)
*2,
0),
IF(AND($E$2="Monthly",ROUND($AN259-TRUNC($AN259),2)=0.33),
ROUND(
ROUND(((TRUNC(($AN259+0.01)*3/13,0)+0.99)*VLOOKUP((TRUNC(($AN259+0.01)*3/13,0)+0.99),'Tax scales - NAT 1004'!$A$65:$C$73,2,1)-VLOOKUP((TRUNC(($AN259+0.01)*3/13,0)+0.99),'Tax scales - NAT 1004'!$A$65:$C$73,3,1)),0)
*13/3,
0),
IF($E$2="Monthly",
ROUND(
ROUND(((TRUNC($AN259*3/13,0)+0.99)*VLOOKUP((TRUNC($AN259*3/13,0)+0.99),'Tax scales - NAT 1004'!$A$65:$C$73,2,1)-VLOOKUP((TRUNC($AN259*3/13,0)+0.99),'Tax scales - NAT 1004'!$A$65:$C$73,3,1)),0)
*13/3,
0),
""))),
""),
"")</f>
        <v/>
      </c>
      <c r="AU259" s="118" t="str">
        <f>IFERROR(
IF(VLOOKUP($C259,'Employee information'!$B:$M,COLUMNS('Employee information'!$B:$M),0)=11,
IF($E$2="Fortnightly",
ROUND(
ROUND((((TRUNC($AN259/2,0)+0.99))*VLOOKUP((TRUNC($AN259/2,0)+0.99),'Tax scales - NAT 3539'!$A$14:$C$38,2,1)-VLOOKUP((TRUNC($AN259/2,0)+0.99),'Tax scales - NAT 3539'!$A$14:$C$38,3,1)),0)
*2,
0),
IF(AND($E$2="Monthly",ROUND($AN259-TRUNC($AN259),2)=0.33),
ROUND(
ROUND(((TRUNC(($AN259+0.01)*3/13,0)+0.99)*VLOOKUP((TRUNC(($AN259+0.01)*3/13,0)+0.99),'Tax scales - NAT 3539'!$A$14:$C$38,2,1)-VLOOKUP((TRUNC(($AN259+0.01)*3/13,0)+0.99),'Tax scales - NAT 3539'!$A$14:$C$38,3,1)),0)
*13/3,
0),
IF($E$2="Monthly",
ROUND(
ROUND(((TRUNC($AN259*3/13,0)+0.99)*VLOOKUP((TRUNC($AN259*3/13,0)+0.99),'Tax scales - NAT 3539'!$A$14:$C$38,2,1)-VLOOKUP((TRUNC($AN259*3/13,0)+0.99),'Tax scales - NAT 3539'!$A$14:$C$38,3,1)),0)
*13/3,
0),
""))),
""),
"")</f>
        <v/>
      </c>
      <c r="AV259" s="118" t="str">
        <f>IFERROR(
IF(VLOOKUP($C259,'Employee information'!$B:$M,COLUMNS('Employee information'!$B:$M),0)=22,
IF($E$2="Fortnightly",
ROUND(
ROUND((((TRUNC($AN259/2,0)+0.99))*VLOOKUP((TRUNC($AN259/2,0)+0.99),'Tax scales - NAT 3539'!$A$43:$C$69,2,1)-VLOOKUP((TRUNC($AN259/2,0)+0.99),'Tax scales - NAT 3539'!$A$43:$C$69,3,1)),0)
*2,
0),
IF(AND($E$2="Monthly",ROUND($AN259-TRUNC($AN259),2)=0.33),
ROUND(
ROUND(((TRUNC(($AN259+0.01)*3/13,0)+0.99)*VLOOKUP((TRUNC(($AN259+0.01)*3/13,0)+0.99),'Tax scales - NAT 3539'!$A$43:$C$69,2,1)-VLOOKUP((TRUNC(($AN259+0.01)*3/13,0)+0.99),'Tax scales - NAT 3539'!$A$43:$C$69,3,1)),0)
*13/3,
0),
IF($E$2="Monthly",
ROUND(
ROUND(((TRUNC($AN259*3/13,0)+0.99)*VLOOKUP((TRUNC($AN259*3/13,0)+0.99),'Tax scales - NAT 3539'!$A$43:$C$69,2,1)-VLOOKUP((TRUNC($AN259*3/13,0)+0.99),'Tax scales - NAT 3539'!$A$43:$C$69,3,1)),0)
*13/3,
0),
""))),
""),
"")</f>
        <v/>
      </c>
      <c r="AW259" s="118" t="str">
        <f>IFERROR(
IF(VLOOKUP($C259,'Employee information'!$B:$M,COLUMNS('Employee information'!$B:$M),0)=33,
IF($E$2="Fortnightly",
ROUND(
ROUND((((TRUNC($AN259/2,0)+0.99))*VLOOKUP((TRUNC($AN259/2,0)+0.99),'Tax scales - NAT 3539'!$A$74:$C$94,2,1)-VLOOKUP((TRUNC($AN259/2,0)+0.99),'Tax scales - NAT 3539'!$A$74:$C$94,3,1)),0)
*2,
0),
IF(AND($E$2="Monthly",ROUND($AN259-TRUNC($AN259),2)=0.33),
ROUND(
ROUND(((TRUNC(($AN259+0.01)*3/13,0)+0.99)*VLOOKUP((TRUNC(($AN259+0.01)*3/13,0)+0.99),'Tax scales - NAT 3539'!$A$74:$C$94,2,1)-VLOOKUP((TRUNC(($AN259+0.01)*3/13,0)+0.99),'Tax scales - NAT 3539'!$A$74:$C$94,3,1)),0)
*13/3,
0),
IF($E$2="Monthly",
ROUND(
ROUND(((TRUNC($AN259*3/13,0)+0.99)*VLOOKUP((TRUNC($AN259*3/13,0)+0.99),'Tax scales - NAT 3539'!$A$74:$C$94,2,1)-VLOOKUP((TRUNC($AN259*3/13,0)+0.99),'Tax scales - NAT 3539'!$A$74:$C$94,3,1)),0)
*13/3,
0),
""))),
""),
"")</f>
        <v/>
      </c>
      <c r="AX259" s="118" t="str">
        <f>IFERROR(
IF(VLOOKUP($C259,'Employee information'!$B:$M,COLUMNS('Employee information'!$B:$M),0)=55,
IF($E$2="Fortnightly",
ROUND(
ROUND((((TRUNC($AN259/2,0)+0.99))*VLOOKUP((TRUNC($AN259/2,0)+0.99),'Tax scales - NAT 3539'!$A$99:$C$123,2,1)-VLOOKUP((TRUNC($AN259/2,0)+0.99),'Tax scales - NAT 3539'!$A$99:$C$123,3,1)),0)
*2,
0),
IF(AND($E$2="Monthly",ROUND($AN259-TRUNC($AN259),2)=0.33),
ROUND(
ROUND(((TRUNC(($AN259+0.01)*3/13,0)+0.99)*VLOOKUP((TRUNC(($AN259+0.01)*3/13,0)+0.99),'Tax scales - NAT 3539'!$A$99:$C$123,2,1)-VLOOKUP((TRUNC(($AN259+0.01)*3/13,0)+0.99),'Tax scales - NAT 3539'!$A$99:$C$123,3,1)),0)
*13/3,
0),
IF($E$2="Monthly",
ROUND(
ROUND(((TRUNC($AN259*3/13,0)+0.99)*VLOOKUP((TRUNC($AN259*3/13,0)+0.99),'Tax scales - NAT 3539'!$A$99:$C$123,2,1)-VLOOKUP((TRUNC($AN259*3/13,0)+0.99),'Tax scales - NAT 3539'!$A$99:$C$123,3,1)),0)
*13/3,
0),
""))),
""),
"")</f>
        <v/>
      </c>
      <c r="AY259" s="118" t="str">
        <f>IFERROR(
IF(VLOOKUP($C259,'Employee information'!$B:$M,COLUMNS('Employee information'!$B:$M),0)=66,
IF($E$2="Fortnightly",
ROUND(
ROUND((((TRUNC($AN259/2,0)+0.99))*VLOOKUP((TRUNC($AN259/2,0)+0.99),'Tax scales - NAT 3539'!$A$127:$C$154,2,1)-VLOOKUP((TRUNC($AN259/2,0)+0.99),'Tax scales - NAT 3539'!$A$127:$C$154,3,1)),0)
*2,
0),
IF(AND($E$2="Monthly",ROUND($AN259-TRUNC($AN259),2)=0.33),
ROUND(
ROUND(((TRUNC(($AN259+0.01)*3/13,0)+0.99)*VLOOKUP((TRUNC(($AN259+0.01)*3/13,0)+0.99),'Tax scales - NAT 3539'!$A$127:$C$154,2,1)-VLOOKUP((TRUNC(($AN259+0.01)*3/13,0)+0.99),'Tax scales - NAT 3539'!$A$127:$C$154,3,1)),0)
*13/3,
0),
IF($E$2="Monthly",
ROUND(
ROUND(((TRUNC($AN259*3/13,0)+0.99)*VLOOKUP((TRUNC($AN259*3/13,0)+0.99),'Tax scales - NAT 3539'!$A$127:$C$154,2,1)-VLOOKUP((TRUNC($AN259*3/13,0)+0.99),'Tax scales - NAT 3539'!$A$127:$C$154,3,1)),0)
*13/3,
0),
""))),
""),
"")</f>
        <v/>
      </c>
      <c r="AZ259" s="118">
        <f>IFERROR(
HLOOKUP(VLOOKUP($C259,'Employee information'!$B:$M,COLUMNS('Employee information'!$B:$M),0),'PAYG worksheet'!$AO$242:$AY$261,COUNTA($C$243:$C259)+1,0),
0)</f>
        <v>0</v>
      </c>
      <c r="BA259" s="118"/>
      <c r="BB259" s="118">
        <f t="shared" si="263"/>
        <v>0</v>
      </c>
      <c r="BC259" s="119">
        <f>IFERROR(
IF(OR($AE259=1,$AE259=""),SUM($P259,$AA259,$AC259,$AK259)*VLOOKUP($C259,'Employee information'!$B:$Q,COLUMNS('Employee information'!$B:$H),0),
IF($AE259=0,SUM($P259,$AA259,$AK259)*VLOOKUP($C259,'Employee information'!$B:$Q,COLUMNS('Employee information'!$B:$H),0),
0)),
0)</f>
        <v>0</v>
      </c>
      <c r="BE259" s="114">
        <f t="shared" si="248"/>
        <v>0</v>
      </c>
      <c r="BF259" s="114">
        <f t="shared" si="249"/>
        <v>0</v>
      </c>
      <c r="BG259" s="114">
        <f t="shared" si="250"/>
        <v>0</v>
      </c>
      <c r="BH259" s="114">
        <f t="shared" si="251"/>
        <v>0</v>
      </c>
      <c r="BI259" s="114">
        <f t="shared" si="252"/>
        <v>0</v>
      </c>
      <c r="BJ259" s="114">
        <f t="shared" si="253"/>
        <v>0</v>
      </c>
      <c r="BK259" s="114">
        <f t="shared" si="254"/>
        <v>0</v>
      </c>
      <c r="BL259" s="114">
        <f t="shared" si="264"/>
        <v>0</v>
      </c>
      <c r="BM259" s="114">
        <f t="shared" si="255"/>
        <v>0</v>
      </c>
    </row>
    <row r="260" spans="1:65" x14ac:dyDescent="0.25">
      <c r="A260" s="228">
        <f t="shared" si="243"/>
        <v>9</v>
      </c>
      <c r="C260" s="278"/>
      <c r="E260" s="103">
        <f>IF($C260="",0,
IF(AND($E$2="Monthly",$A260&gt;12),0,
IF($E$2="Monthly",VLOOKUP($C260,'Employee information'!$B:$AM,COLUMNS('Employee information'!$B:S),0),
IF($E$2="Fortnightly",VLOOKUP($C260,'Employee information'!$B:$AM,COLUMNS('Employee information'!$B:R),0),
0))))</f>
        <v>0</v>
      </c>
      <c r="F260" s="106"/>
      <c r="G260" s="106"/>
      <c r="H260" s="106"/>
      <c r="I260" s="106"/>
      <c r="J260" s="103">
        <f t="shared" si="256"/>
        <v>0</v>
      </c>
      <c r="L260" s="113">
        <f>IF(AND($E$2="Monthly",$A260&gt;12),"",
IFERROR($J260*VLOOKUP($C260,'Employee information'!$B:$AI,COLUMNS('Employee information'!$B:$P),0),0))</f>
        <v>0</v>
      </c>
      <c r="M260" s="114">
        <f t="shared" si="257"/>
        <v>0</v>
      </c>
      <c r="O260" s="103">
        <f t="shared" si="258"/>
        <v>0</v>
      </c>
      <c r="P260" s="113">
        <f>IFERROR(
IF(AND($E$2="Monthly",$A260&gt;12),0,
$O260*VLOOKUP($C260,'Employee information'!$B:$AI,COLUMNS('Employee information'!$B:$P),0)),
0)</f>
        <v>0</v>
      </c>
      <c r="R260" s="114">
        <f t="shared" si="244"/>
        <v>0</v>
      </c>
      <c r="T260" s="103"/>
      <c r="U260" s="103"/>
      <c r="V260" s="282" t="str">
        <f>IF($C260="","",
IF(AND($E$2="Monthly",$A260&gt;12),"",
$T260*VLOOKUP($C260,'Employee information'!$B:$P,COLUMNS('Employee information'!$B:$P),0)))</f>
        <v/>
      </c>
      <c r="W260" s="282" t="str">
        <f>IF($C260="","",
IF(AND($E$2="Monthly",$A260&gt;12),"",
$U260*VLOOKUP($C260,'Employee information'!$B:$P,COLUMNS('Employee information'!$B:$P),0)))</f>
        <v/>
      </c>
      <c r="X260" s="114">
        <f t="shared" si="245"/>
        <v>0</v>
      </c>
      <c r="Y260" s="114">
        <f t="shared" si="246"/>
        <v>0</v>
      </c>
      <c r="AA260" s="118">
        <f>IFERROR(
IF(OR('Basic payroll data'!$D$12="",'Basic payroll data'!$D$12="No"),0,
$T260*VLOOKUP($C260,'Employee information'!$B:$P,COLUMNS('Employee information'!$B:$P),0)*AL_loading_perc),
0)</f>
        <v>0</v>
      </c>
      <c r="AC260" s="118"/>
      <c r="AD260" s="118"/>
      <c r="AE260" s="283" t="str">
        <f t="shared" si="259"/>
        <v/>
      </c>
      <c r="AF260" s="283" t="str">
        <f t="shared" si="260"/>
        <v/>
      </c>
      <c r="AG260" s="118"/>
      <c r="AH260" s="118"/>
      <c r="AI260" s="283" t="str">
        <f t="shared" si="261"/>
        <v/>
      </c>
      <c r="AJ260" s="118"/>
      <c r="AK260" s="118"/>
      <c r="AM260" s="118">
        <f t="shared" si="262"/>
        <v>0</v>
      </c>
      <c r="AN260" s="118">
        <f t="shared" si="247"/>
        <v>0</v>
      </c>
      <c r="AO260" s="118" t="str">
        <f>IFERROR(
IF(VLOOKUP($C260,'Employee information'!$B:$M,COLUMNS('Employee information'!$B:$M),0)=1,
IF($E$2="Fortnightly",
ROUND(
ROUND((((TRUNC($AN260/2,0)+0.99))*VLOOKUP((TRUNC($AN260/2,0)+0.99),'Tax scales - NAT 1004'!$A$12:$C$18,2,1)-VLOOKUP((TRUNC($AN260/2,0)+0.99),'Tax scales - NAT 1004'!$A$12:$C$18,3,1)),0)
*2,
0),
IF(AND($E$2="Monthly",ROUND($AN260-TRUNC($AN260),2)=0.33),
ROUND(
ROUND(((TRUNC(($AN260+0.01)*3/13,0)+0.99)*VLOOKUP((TRUNC(($AN260+0.01)*3/13,0)+0.99),'Tax scales - NAT 1004'!$A$12:$C$18,2,1)-VLOOKUP((TRUNC(($AN260+0.01)*3/13,0)+0.99),'Tax scales - NAT 1004'!$A$12:$C$18,3,1)),0)
*13/3,
0),
IF($E$2="Monthly",
ROUND(
ROUND(((TRUNC($AN260*3/13,0)+0.99)*VLOOKUP((TRUNC($AN260*3/13,0)+0.99),'Tax scales - NAT 1004'!$A$12:$C$18,2,1)-VLOOKUP((TRUNC($AN260*3/13,0)+0.99),'Tax scales - NAT 1004'!$A$12:$C$18,3,1)),0)
*13/3,
0),
""))),
""),
"")</f>
        <v/>
      </c>
      <c r="AP260" s="118" t="str">
        <f>IFERROR(
IF(VLOOKUP($C260,'Employee information'!$B:$M,COLUMNS('Employee information'!$B:$M),0)=2,
IF($E$2="Fortnightly",
ROUND(
ROUND((((TRUNC($AN260/2,0)+0.99))*VLOOKUP((TRUNC($AN260/2,0)+0.99),'Tax scales - NAT 1004'!$A$25:$C$33,2,1)-VLOOKUP((TRUNC($AN260/2,0)+0.99),'Tax scales - NAT 1004'!$A$25:$C$33,3,1)),0)
*2,
0),
IF(AND($E$2="Monthly",ROUND($AN260-TRUNC($AN260),2)=0.33),
ROUND(
ROUND(((TRUNC(($AN260+0.01)*3/13,0)+0.99)*VLOOKUP((TRUNC(($AN260+0.01)*3/13,0)+0.99),'Tax scales - NAT 1004'!$A$25:$C$33,2,1)-VLOOKUP((TRUNC(($AN260+0.01)*3/13,0)+0.99),'Tax scales - NAT 1004'!$A$25:$C$33,3,1)),0)
*13/3,
0),
IF($E$2="Monthly",
ROUND(
ROUND(((TRUNC($AN260*3/13,0)+0.99)*VLOOKUP((TRUNC($AN260*3/13,0)+0.99),'Tax scales - NAT 1004'!$A$25:$C$33,2,1)-VLOOKUP((TRUNC($AN260*3/13,0)+0.99),'Tax scales - NAT 1004'!$A$25:$C$33,3,1)),0)
*13/3,
0),
""))),
""),
"")</f>
        <v/>
      </c>
      <c r="AQ260" s="118" t="str">
        <f>IFERROR(
IF(VLOOKUP($C260,'Employee information'!$B:$M,COLUMNS('Employee information'!$B:$M),0)=3,
IF($E$2="Fortnightly",
ROUND(
ROUND((((TRUNC($AN260/2,0)+0.99))*VLOOKUP((TRUNC($AN260/2,0)+0.99),'Tax scales - NAT 1004'!$A$39:$C$41,2,1)-VLOOKUP((TRUNC($AN260/2,0)+0.99),'Tax scales - NAT 1004'!$A$39:$C$41,3,1)),0)
*2,
0),
IF(AND($E$2="Monthly",ROUND($AN260-TRUNC($AN260),2)=0.33),
ROUND(
ROUND(((TRUNC(($AN260+0.01)*3/13,0)+0.99)*VLOOKUP((TRUNC(($AN260+0.01)*3/13,0)+0.99),'Tax scales - NAT 1004'!$A$39:$C$41,2,1)-VLOOKUP((TRUNC(($AN260+0.01)*3/13,0)+0.99),'Tax scales - NAT 1004'!$A$39:$C$41,3,1)),0)
*13/3,
0),
IF($E$2="Monthly",
ROUND(
ROUND(((TRUNC($AN260*3/13,0)+0.99)*VLOOKUP((TRUNC($AN260*3/13,0)+0.99),'Tax scales - NAT 1004'!$A$39:$C$41,2,1)-VLOOKUP((TRUNC($AN260*3/13,0)+0.99),'Tax scales - NAT 1004'!$A$39:$C$41,3,1)),0)
*13/3,
0),
""))),
""),
"")</f>
        <v/>
      </c>
      <c r="AR260" s="118" t="str">
        <f>IFERROR(
IF(AND(VLOOKUP($C260,'Employee information'!$B:$M,COLUMNS('Employee information'!$B:$M),0)=4,
VLOOKUP($C260,'Employee information'!$B:$J,COLUMNS('Employee information'!$B:$J),0)="Resident"),
TRUNC(TRUNC($AN260)*'Tax scales - NAT 1004'!$B$47),
IF(AND(VLOOKUP($C260,'Employee information'!$B:$M,COLUMNS('Employee information'!$B:$M),0)=4,
VLOOKUP($C260,'Employee information'!$B:$J,COLUMNS('Employee information'!$B:$J),0)="Foreign resident"),
TRUNC(TRUNC($AN260)*'Tax scales - NAT 1004'!$B$48),
"")),
"")</f>
        <v/>
      </c>
      <c r="AS260" s="118" t="str">
        <f>IFERROR(
IF(VLOOKUP($C260,'Employee information'!$B:$M,COLUMNS('Employee information'!$B:$M),0)=5,
IF($E$2="Fortnightly",
ROUND(
ROUND((((TRUNC($AN260/2,0)+0.99))*VLOOKUP((TRUNC($AN260/2,0)+0.99),'Tax scales - NAT 1004'!$A$53:$C$59,2,1)-VLOOKUP((TRUNC($AN260/2,0)+0.99),'Tax scales - NAT 1004'!$A$53:$C$59,3,1)),0)
*2,
0),
IF(AND($E$2="Monthly",ROUND($AN260-TRUNC($AN260),2)=0.33),
ROUND(
ROUND(((TRUNC(($AN260+0.01)*3/13,0)+0.99)*VLOOKUP((TRUNC(($AN260+0.01)*3/13,0)+0.99),'Tax scales - NAT 1004'!$A$53:$C$59,2,1)-VLOOKUP((TRUNC(($AN260+0.01)*3/13,0)+0.99),'Tax scales - NAT 1004'!$A$53:$C$59,3,1)),0)
*13/3,
0),
IF($E$2="Monthly",
ROUND(
ROUND(((TRUNC($AN260*3/13,0)+0.99)*VLOOKUP((TRUNC($AN260*3/13,0)+0.99),'Tax scales - NAT 1004'!$A$53:$C$59,2,1)-VLOOKUP((TRUNC($AN260*3/13,0)+0.99),'Tax scales - NAT 1004'!$A$53:$C$59,3,1)),0)
*13/3,
0),
""))),
""),
"")</f>
        <v/>
      </c>
      <c r="AT260" s="118" t="str">
        <f>IFERROR(
IF(VLOOKUP($C260,'Employee information'!$B:$M,COLUMNS('Employee information'!$B:$M),0)=6,
IF($E$2="Fortnightly",
ROUND(
ROUND((((TRUNC($AN260/2,0)+0.99))*VLOOKUP((TRUNC($AN260/2,0)+0.99),'Tax scales - NAT 1004'!$A$65:$C$73,2,1)-VLOOKUP((TRUNC($AN260/2,0)+0.99),'Tax scales - NAT 1004'!$A$65:$C$73,3,1)),0)
*2,
0),
IF(AND($E$2="Monthly",ROUND($AN260-TRUNC($AN260),2)=0.33),
ROUND(
ROUND(((TRUNC(($AN260+0.01)*3/13,0)+0.99)*VLOOKUP((TRUNC(($AN260+0.01)*3/13,0)+0.99),'Tax scales - NAT 1004'!$A$65:$C$73,2,1)-VLOOKUP((TRUNC(($AN260+0.01)*3/13,0)+0.99),'Tax scales - NAT 1004'!$A$65:$C$73,3,1)),0)
*13/3,
0),
IF($E$2="Monthly",
ROUND(
ROUND(((TRUNC($AN260*3/13,0)+0.99)*VLOOKUP((TRUNC($AN260*3/13,0)+0.99),'Tax scales - NAT 1004'!$A$65:$C$73,2,1)-VLOOKUP((TRUNC($AN260*3/13,0)+0.99),'Tax scales - NAT 1004'!$A$65:$C$73,3,1)),0)
*13/3,
0),
""))),
""),
"")</f>
        <v/>
      </c>
      <c r="AU260" s="118" t="str">
        <f>IFERROR(
IF(VLOOKUP($C260,'Employee information'!$B:$M,COLUMNS('Employee information'!$B:$M),0)=11,
IF($E$2="Fortnightly",
ROUND(
ROUND((((TRUNC($AN260/2,0)+0.99))*VLOOKUP((TRUNC($AN260/2,0)+0.99),'Tax scales - NAT 3539'!$A$14:$C$38,2,1)-VLOOKUP((TRUNC($AN260/2,0)+0.99),'Tax scales - NAT 3539'!$A$14:$C$38,3,1)),0)
*2,
0),
IF(AND($E$2="Monthly",ROUND($AN260-TRUNC($AN260),2)=0.33),
ROUND(
ROUND(((TRUNC(($AN260+0.01)*3/13,0)+0.99)*VLOOKUP((TRUNC(($AN260+0.01)*3/13,0)+0.99),'Tax scales - NAT 3539'!$A$14:$C$38,2,1)-VLOOKUP((TRUNC(($AN260+0.01)*3/13,0)+0.99),'Tax scales - NAT 3539'!$A$14:$C$38,3,1)),0)
*13/3,
0),
IF($E$2="Monthly",
ROUND(
ROUND(((TRUNC($AN260*3/13,0)+0.99)*VLOOKUP((TRUNC($AN260*3/13,0)+0.99),'Tax scales - NAT 3539'!$A$14:$C$38,2,1)-VLOOKUP((TRUNC($AN260*3/13,0)+0.99),'Tax scales - NAT 3539'!$A$14:$C$38,3,1)),0)
*13/3,
0),
""))),
""),
"")</f>
        <v/>
      </c>
      <c r="AV260" s="118" t="str">
        <f>IFERROR(
IF(VLOOKUP($C260,'Employee information'!$B:$M,COLUMNS('Employee information'!$B:$M),0)=22,
IF($E$2="Fortnightly",
ROUND(
ROUND((((TRUNC($AN260/2,0)+0.99))*VLOOKUP((TRUNC($AN260/2,0)+0.99),'Tax scales - NAT 3539'!$A$43:$C$69,2,1)-VLOOKUP((TRUNC($AN260/2,0)+0.99),'Tax scales - NAT 3539'!$A$43:$C$69,3,1)),0)
*2,
0),
IF(AND($E$2="Monthly",ROUND($AN260-TRUNC($AN260),2)=0.33),
ROUND(
ROUND(((TRUNC(($AN260+0.01)*3/13,0)+0.99)*VLOOKUP((TRUNC(($AN260+0.01)*3/13,0)+0.99),'Tax scales - NAT 3539'!$A$43:$C$69,2,1)-VLOOKUP((TRUNC(($AN260+0.01)*3/13,0)+0.99),'Tax scales - NAT 3539'!$A$43:$C$69,3,1)),0)
*13/3,
0),
IF($E$2="Monthly",
ROUND(
ROUND(((TRUNC($AN260*3/13,0)+0.99)*VLOOKUP((TRUNC($AN260*3/13,0)+0.99),'Tax scales - NAT 3539'!$A$43:$C$69,2,1)-VLOOKUP((TRUNC($AN260*3/13,0)+0.99),'Tax scales - NAT 3539'!$A$43:$C$69,3,1)),0)
*13/3,
0),
""))),
""),
"")</f>
        <v/>
      </c>
      <c r="AW260" s="118" t="str">
        <f>IFERROR(
IF(VLOOKUP($C260,'Employee information'!$B:$M,COLUMNS('Employee information'!$B:$M),0)=33,
IF($E$2="Fortnightly",
ROUND(
ROUND((((TRUNC($AN260/2,0)+0.99))*VLOOKUP((TRUNC($AN260/2,0)+0.99),'Tax scales - NAT 3539'!$A$74:$C$94,2,1)-VLOOKUP((TRUNC($AN260/2,0)+0.99),'Tax scales - NAT 3539'!$A$74:$C$94,3,1)),0)
*2,
0),
IF(AND($E$2="Monthly",ROUND($AN260-TRUNC($AN260),2)=0.33),
ROUND(
ROUND(((TRUNC(($AN260+0.01)*3/13,0)+0.99)*VLOOKUP((TRUNC(($AN260+0.01)*3/13,0)+0.99),'Tax scales - NAT 3539'!$A$74:$C$94,2,1)-VLOOKUP((TRUNC(($AN260+0.01)*3/13,0)+0.99),'Tax scales - NAT 3539'!$A$74:$C$94,3,1)),0)
*13/3,
0),
IF($E$2="Monthly",
ROUND(
ROUND(((TRUNC($AN260*3/13,0)+0.99)*VLOOKUP((TRUNC($AN260*3/13,0)+0.99),'Tax scales - NAT 3539'!$A$74:$C$94,2,1)-VLOOKUP((TRUNC($AN260*3/13,0)+0.99),'Tax scales - NAT 3539'!$A$74:$C$94,3,1)),0)
*13/3,
0),
""))),
""),
"")</f>
        <v/>
      </c>
      <c r="AX260" s="118" t="str">
        <f>IFERROR(
IF(VLOOKUP($C260,'Employee information'!$B:$M,COLUMNS('Employee information'!$B:$M),0)=55,
IF($E$2="Fortnightly",
ROUND(
ROUND((((TRUNC($AN260/2,0)+0.99))*VLOOKUP((TRUNC($AN260/2,0)+0.99),'Tax scales - NAT 3539'!$A$99:$C$123,2,1)-VLOOKUP((TRUNC($AN260/2,0)+0.99),'Tax scales - NAT 3539'!$A$99:$C$123,3,1)),0)
*2,
0),
IF(AND($E$2="Monthly",ROUND($AN260-TRUNC($AN260),2)=0.33),
ROUND(
ROUND(((TRUNC(($AN260+0.01)*3/13,0)+0.99)*VLOOKUP((TRUNC(($AN260+0.01)*3/13,0)+0.99),'Tax scales - NAT 3539'!$A$99:$C$123,2,1)-VLOOKUP((TRUNC(($AN260+0.01)*3/13,0)+0.99),'Tax scales - NAT 3539'!$A$99:$C$123,3,1)),0)
*13/3,
0),
IF($E$2="Monthly",
ROUND(
ROUND(((TRUNC($AN260*3/13,0)+0.99)*VLOOKUP((TRUNC($AN260*3/13,0)+0.99),'Tax scales - NAT 3539'!$A$99:$C$123,2,1)-VLOOKUP((TRUNC($AN260*3/13,0)+0.99),'Tax scales - NAT 3539'!$A$99:$C$123,3,1)),0)
*13/3,
0),
""))),
""),
"")</f>
        <v/>
      </c>
      <c r="AY260" s="118" t="str">
        <f>IFERROR(
IF(VLOOKUP($C260,'Employee information'!$B:$M,COLUMNS('Employee information'!$B:$M),0)=66,
IF($E$2="Fortnightly",
ROUND(
ROUND((((TRUNC($AN260/2,0)+0.99))*VLOOKUP((TRUNC($AN260/2,0)+0.99),'Tax scales - NAT 3539'!$A$127:$C$154,2,1)-VLOOKUP((TRUNC($AN260/2,0)+0.99),'Tax scales - NAT 3539'!$A$127:$C$154,3,1)),0)
*2,
0),
IF(AND($E$2="Monthly",ROUND($AN260-TRUNC($AN260),2)=0.33),
ROUND(
ROUND(((TRUNC(($AN260+0.01)*3/13,0)+0.99)*VLOOKUP((TRUNC(($AN260+0.01)*3/13,0)+0.99),'Tax scales - NAT 3539'!$A$127:$C$154,2,1)-VLOOKUP((TRUNC(($AN260+0.01)*3/13,0)+0.99),'Tax scales - NAT 3539'!$A$127:$C$154,3,1)),0)
*13/3,
0),
IF($E$2="Monthly",
ROUND(
ROUND(((TRUNC($AN260*3/13,0)+0.99)*VLOOKUP((TRUNC($AN260*3/13,0)+0.99),'Tax scales - NAT 3539'!$A$127:$C$154,2,1)-VLOOKUP((TRUNC($AN260*3/13,0)+0.99),'Tax scales - NAT 3539'!$A$127:$C$154,3,1)),0)
*13/3,
0),
""))),
""),
"")</f>
        <v/>
      </c>
      <c r="AZ260" s="118">
        <f>IFERROR(
HLOOKUP(VLOOKUP($C260,'Employee information'!$B:$M,COLUMNS('Employee information'!$B:$M),0),'PAYG worksheet'!$AO$242:$AY$261,COUNTA($C$243:$C260)+1,0),
0)</f>
        <v>0</v>
      </c>
      <c r="BA260" s="118"/>
      <c r="BB260" s="118">
        <f t="shared" si="263"/>
        <v>0</v>
      </c>
      <c r="BC260" s="119">
        <f>IFERROR(
IF(OR($AE260=1,$AE260=""),SUM($P260,$AA260,$AC260,$AK260)*VLOOKUP($C260,'Employee information'!$B:$Q,COLUMNS('Employee information'!$B:$H),0),
IF($AE260=0,SUM($P260,$AA260,$AK260)*VLOOKUP($C260,'Employee information'!$B:$Q,COLUMNS('Employee information'!$B:$H),0),
0)),
0)</f>
        <v>0</v>
      </c>
      <c r="BE260" s="114">
        <f t="shared" si="248"/>
        <v>0</v>
      </c>
      <c r="BF260" s="114">
        <f t="shared" si="249"/>
        <v>0</v>
      </c>
      <c r="BG260" s="114">
        <f t="shared" si="250"/>
        <v>0</v>
      </c>
      <c r="BH260" s="114">
        <f t="shared" si="251"/>
        <v>0</v>
      </c>
      <c r="BI260" s="114">
        <f t="shared" si="252"/>
        <v>0</v>
      </c>
      <c r="BJ260" s="114">
        <f t="shared" si="253"/>
        <v>0</v>
      </c>
      <c r="BK260" s="114">
        <f t="shared" si="254"/>
        <v>0</v>
      </c>
      <c r="BL260" s="114">
        <f t="shared" si="264"/>
        <v>0</v>
      </c>
      <c r="BM260" s="114">
        <f t="shared" si="255"/>
        <v>0</v>
      </c>
    </row>
    <row r="261" spans="1:65" x14ac:dyDescent="0.25">
      <c r="A261" s="228">
        <f t="shared" si="243"/>
        <v>9</v>
      </c>
      <c r="C261" s="278"/>
      <c r="E261" s="103">
        <f>IF($C261="",0,
IF(AND($E$2="Monthly",$A261&gt;12),0,
IF($E$2="Monthly",VLOOKUP($C261,'Employee information'!$B:$AM,COLUMNS('Employee information'!$B:S),0),
IF($E$2="Fortnightly",VLOOKUP($C261,'Employee information'!$B:$AM,COLUMNS('Employee information'!$B:R),0),
0))))</f>
        <v>0</v>
      </c>
      <c r="F261" s="106"/>
      <c r="G261" s="106"/>
      <c r="H261" s="106"/>
      <c r="I261" s="106"/>
      <c r="J261" s="103">
        <f t="shared" si="256"/>
        <v>0</v>
      </c>
      <c r="L261" s="113">
        <f>IF(AND($E$2="Monthly",$A261&gt;12),"",
IFERROR($J261*VLOOKUP($C261,'Employee information'!$B:$AI,COLUMNS('Employee information'!$B:$P),0),0))</f>
        <v>0</v>
      </c>
      <c r="M261" s="114">
        <f t="shared" si="257"/>
        <v>0</v>
      </c>
      <c r="O261" s="103">
        <f t="shared" si="258"/>
        <v>0</v>
      </c>
      <c r="P261" s="113">
        <f>IFERROR(
IF(AND($E$2="Monthly",$A261&gt;12),0,
$O261*VLOOKUP($C261,'Employee information'!$B:$AI,COLUMNS('Employee information'!$B:$P),0)),
0)</f>
        <v>0</v>
      </c>
      <c r="R261" s="114">
        <f t="shared" si="244"/>
        <v>0</v>
      </c>
      <c r="T261" s="103"/>
      <c r="U261" s="103"/>
      <c r="V261" s="282" t="str">
        <f>IF($C261="","",
IF(AND($E$2="Monthly",$A261&gt;12),"",
$T261*VLOOKUP($C261,'Employee information'!$B:$P,COLUMNS('Employee information'!$B:$P),0)))</f>
        <v/>
      </c>
      <c r="W261" s="282" t="str">
        <f>IF($C261="","",
IF(AND($E$2="Monthly",$A261&gt;12),"",
$U261*VLOOKUP($C261,'Employee information'!$B:$P,COLUMNS('Employee information'!$B:$P),0)))</f>
        <v/>
      </c>
      <c r="X261" s="114">
        <f t="shared" si="245"/>
        <v>0</v>
      </c>
      <c r="Y261" s="114">
        <f t="shared" si="246"/>
        <v>0</v>
      </c>
      <c r="AA261" s="118">
        <f>IFERROR(
IF(OR('Basic payroll data'!$D$12="",'Basic payroll data'!$D$12="No"),0,
$T261*VLOOKUP($C261,'Employee information'!$B:$P,COLUMNS('Employee information'!$B:$P),0)*AL_loading_perc),
0)</f>
        <v>0</v>
      </c>
      <c r="AC261" s="118"/>
      <c r="AD261" s="118"/>
      <c r="AE261" s="283" t="str">
        <f t="shared" si="259"/>
        <v/>
      </c>
      <c r="AF261" s="283" t="str">
        <f t="shared" si="260"/>
        <v/>
      </c>
      <c r="AG261" s="118"/>
      <c r="AH261" s="118"/>
      <c r="AI261" s="283" t="str">
        <f t="shared" si="261"/>
        <v/>
      </c>
      <c r="AJ261" s="118"/>
      <c r="AK261" s="118"/>
      <c r="AM261" s="118">
        <f t="shared" si="262"/>
        <v>0</v>
      </c>
      <c r="AN261" s="118">
        <f t="shared" si="247"/>
        <v>0</v>
      </c>
      <c r="AO261" s="118" t="str">
        <f>IFERROR(
IF(VLOOKUP($C261,'Employee information'!$B:$M,COLUMNS('Employee information'!$B:$M),0)=1,
IF($E$2="Fortnightly",
ROUND(
ROUND((((TRUNC($AN261/2,0)+0.99))*VLOOKUP((TRUNC($AN261/2,0)+0.99),'Tax scales - NAT 1004'!$A$12:$C$18,2,1)-VLOOKUP((TRUNC($AN261/2,0)+0.99),'Tax scales - NAT 1004'!$A$12:$C$18,3,1)),0)
*2,
0),
IF(AND($E$2="Monthly",ROUND($AN261-TRUNC($AN261),2)=0.33),
ROUND(
ROUND(((TRUNC(($AN261+0.01)*3/13,0)+0.99)*VLOOKUP((TRUNC(($AN261+0.01)*3/13,0)+0.99),'Tax scales - NAT 1004'!$A$12:$C$18,2,1)-VLOOKUP((TRUNC(($AN261+0.01)*3/13,0)+0.99),'Tax scales - NAT 1004'!$A$12:$C$18,3,1)),0)
*13/3,
0),
IF($E$2="Monthly",
ROUND(
ROUND(((TRUNC($AN261*3/13,0)+0.99)*VLOOKUP((TRUNC($AN261*3/13,0)+0.99),'Tax scales - NAT 1004'!$A$12:$C$18,2,1)-VLOOKUP((TRUNC($AN261*3/13,0)+0.99),'Tax scales - NAT 1004'!$A$12:$C$18,3,1)),0)
*13/3,
0),
""))),
""),
"")</f>
        <v/>
      </c>
      <c r="AP261" s="118" t="str">
        <f>IFERROR(
IF(VLOOKUP($C261,'Employee information'!$B:$M,COLUMNS('Employee information'!$B:$M),0)=2,
IF($E$2="Fortnightly",
ROUND(
ROUND((((TRUNC($AN261/2,0)+0.99))*VLOOKUP((TRUNC($AN261/2,0)+0.99),'Tax scales - NAT 1004'!$A$25:$C$33,2,1)-VLOOKUP((TRUNC($AN261/2,0)+0.99),'Tax scales - NAT 1004'!$A$25:$C$33,3,1)),0)
*2,
0),
IF(AND($E$2="Monthly",ROUND($AN261-TRUNC($AN261),2)=0.33),
ROUND(
ROUND(((TRUNC(($AN261+0.01)*3/13,0)+0.99)*VLOOKUP((TRUNC(($AN261+0.01)*3/13,0)+0.99),'Tax scales - NAT 1004'!$A$25:$C$33,2,1)-VLOOKUP((TRUNC(($AN261+0.01)*3/13,0)+0.99),'Tax scales - NAT 1004'!$A$25:$C$33,3,1)),0)
*13/3,
0),
IF($E$2="Monthly",
ROUND(
ROUND(((TRUNC($AN261*3/13,0)+0.99)*VLOOKUP((TRUNC($AN261*3/13,0)+0.99),'Tax scales - NAT 1004'!$A$25:$C$33,2,1)-VLOOKUP((TRUNC($AN261*3/13,0)+0.99),'Tax scales - NAT 1004'!$A$25:$C$33,3,1)),0)
*13/3,
0),
""))),
""),
"")</f>
        <v/>
      </c>
      <c r="AQ261" s="118" t="str">
        <f>IFERROR(
IF(VLOOKUP($C261,'Employee information'!$B:$M,COLUMNS('Employee information'!$B:$M),0)=3,
IF($E$2="Fortnightly",
ROUND(
ROUND((((TRUNC($AN261/2,0)+0.99))*VLOOKUP((TRUNC($AN261/2,0)+0.99),'Tax scales - NAT 1004'!$A$39:$C$41,2,1)-VLOOKUP((TRUNC($AN261/2,0)+0.99),'Tax scales - NAT 1004'!$A$39:$C$41,3,1)),0)
*2,
0),
IF(AND($E$2="Monthly",ROUND($AN261-TRUNC($AN261),2)=0.33),
ROUND(
ROUND(((TRUNC(($AN261+0.01)*3/13,0)+0.99)*VLOOKUP((TRUNC(($AN261+0.01)*3/13,0)+0.99),'Tax scales - NAT 1004'!$A$39:$C$41,2,1)-VLOOKUP((TRUNC(($AN261+0.01)*3/13,0)+0.99),'Tax scales - NAT 1004'!$A$39:$C$41,3,1)),0)
*13/3,
0),
IF($E$2="Monthly",
ROUND(
ROUND(((TRUNC($AN261*3/13,0)+0.99)*VLOOKUP((TRUNC($AN261*3/13,0)+0.99),'Tax scales - NAT 1004'!$A$39:$C$41,2,1)-VLOOKUP((TRUNC($AN261*3/13,0)+0.99),'Tax scales - NAT 1004'!$A$39:$C$41,3,1)),0)
*13/3,
0),
""))),
""),
"")</f>
        <v/>
      </c>
      <c r="AR261" s="118" t="str">
        <f>IFERROR(
IF(AND(VLOOKUP($C261,'Employee information'!$B:$M,COLUMNS('Employee information'!$B:$M),0)=4,
VLOOKUP($C261,'Employee information'!$B:$J,COLUMNS('Employee information'!$B:$J),0)="Resident"),
TRUNC(TRUNC($AN261)*'Tax scales - NAT 1004'!$B$47),
IF(AND(VLOOKUP($C261,'Employee information'!$B:$M,COLUMNS('Employee information'!$B:$M),0)=4,
VLOOKUP($C261,'Employee information'!$B:$J,COLUMNS('Employee information'!$B:$J),0)="Foreign resident"),
TRUNC(TRUNC($AN261)*'Tax scales - NAT 1004'!$B$48),
"")),
"")</f>
        <v/>
      </c>
      <c r="AS261" s="118" t="str">
        <f>IFERROR(
IF(VLOOKUP($C261,'Employee information'!$B:$M,COLUMNS('Employee information'!$B:$M),0)=5,
IF($E$2="Fortnightly",
ROUND(
ROUND((((TRUNC($AN261/2,0)+0.99))*VLOOKUP((TRUNC($AN261/2,0)+0.99),'Tax scales - NAT 1004'!$A$53:$C$59,2,1)-VLOOKUP((TRUNC($AN261/2,0)+0.99),'Tax scales - NAT 1004'!$A$53:$C$59,3,1)),0)
*2,
0),
IF(AND($E$2="Monthly",ROUND($AN261-TRUNC($AN261),2)=0.33),
ROUND(
ROUND(((TRUNC(($AN261+0.01)*3/13,0)+0.99)*VLOOKUP((TRUNC(($AN261+0.01)*3/13,0)+0.99),'Tax scales - NAT 1004'!$A$53:$C$59,2,1)-VLOOKUP((TRUNC(($AN261+0.01)*3/13,0)+0.99),'Tax scales - NAT 1004'!$A$53:$C$59,3,1)),0)
*13/3,
0),
IF($E$2="Monthly",
ROUND(
ROUND(((TRUNC($AN261*3/13,0)+0.99)*VLOOKUP((TRUNC($AN261*3/13,0)+0.99),'Tax scales - NAT 1004'!$A$53:$C$59,2,1)-VLOOKUP((TRUNC($AN261*3/13,0)+0.99),'Tax scales - NAT 1004'!$A$53:$C$59,3,1)),0)
*13/3,
0),
""))),
""),
"")</f>
        <v/>
      </c>
      <c r="AT261" s="118" t="str">
        <f>IFERROR(
IF(VLOOKUP($C261,'Employee information'!$B:$M,COLUMNS('Employee information'!$B:$M),0)=6,
IF($E$2="Fortnightly",
ROUND(
ROUND((((TRUNC($AN261/2,0)+0.99))*VLOOKUP((TRUNC($AN261/2,0)+0.99),'Tax scales - NAT 1004'!$A$65:$C$73,2,1)-VLOOKUP((TRUNC($AN261/2,0)+0.99),'Tax scales - NAT 1004'!$A$65:$C$73,3,1)),0)
*2,
0),
IF(AND($E$2="Monthly",ROUND($AN261-TRUNC($AN261),2)=0.33),
ROUND(
ROUND(((TRUNC(($AN261+0.01)*3/13,0)+0.99)*VLOOKUP((TRUNC(($AN261+0.01)*3/13,0)+0.99),'Tax scales - NAT 1004'!$A$65:$C$73,2,1)-VLOOKUP((TRUNC(($AN261+0.01)*3/13,0)+0.99),'Tax scales - NAT 1004'!$A$65:$C$73,3,1)),0)
*13/3,
0),
IF($E$2="Monthly",
ROUND(
ROUND(((TRUNC($AN261*3/13,0)+0.99)*VLOOKUP((TRUNC($AN261*3/13,0)+0.99),'Tax scales - NAT 1004'!$A$65:$C$73,2,1)-VLOOKUP((TRUNC($AN261*3/13,0)+0.99),'Tax scales - NAT 1004'!$A$65:$C$73,3,1)),0)
*13/3,
0),
""))),
""),
"")</f>
        <v/>
      </c>
      <c r="AU261" s="118" t="str">
        <f>IFERROR(
IF(VLOOKUP($C261,'Employee information'!$B:$M,COLUMNS('Employee information'!$B:$M),0)=11,
IF($E$2="Fortnightly",
ROUND(
ROUND((((TRUNC($AN261/2,0)+0.99))*VLOOKUP((TRUNC($AN261/2,0)+0.99),'Tax scales - NAT 3539'!$A$14:$C$38,2,1)-VLOOKUP((TRUNC($AN261/2,0)+0.99),'Tax scales - NAT 3539'!$A$14:$C$38,3,1)),0)
*2,
0),
IF(AND($E$2="Monthly",ROUND($AN261-TRUNC($AN261),2)=0.33),
ROUND(
ROUND(((TRUNC(($AN261+0.01)*3/13,0)+0.99)*VLOOKUP((TRUNC(($AN261+0.01)*3/13,0)+0.99),'Tax scales - NAT 3539'!$A$14:$C$38,2,1)-VLOOKUP((TRUNC(($AN261+0.01)*3/13,0)+0.99),'Tax scales - NAT 3539'!$A$14:$C$38,3,1)),0)
*13/3,
0),
IF($E$2="Monthly",
ROUND(
ROUND(((TRUNC($AN261*3/13,0)+0.99)*VLOOKUP((TRUNC($AN261*3/13,0)+0.99),'Tax scales - NAT 3539'!$A$14:$C$38,2,1)-VLOOKUP((TRUNC($AN261*3/13,0)+0.99),'Tax scales - NAT 3539'!$A$14:$C$38,3,1)),0)
*13/3,
0),
""))),
""),
"")</f>
        <v/>
      </c>
      <c r="AV261" s="118" t="str">
        <f>IFERROR(
IF(VLOOKUP($C261,'Employee information'!$B:$M,COLUMNS('Employee information'!$B:$M),0)=22,
IF($E$2="Fortnightly",
ROUND(
ROUND((((TRUNC($AN261/2,0)+0.99))*VLOOKUP((TRUNC($AN261/2,0)+0.99),'Tax scales - NAT 3539'!$A$43:$C$69,2,1)-VLOOKUP((TRUNC($AN261/2,0)+0.99),'Tax scales - NAT 3539'!$A$43:$C$69,3,1)),0)
*2,
0),
IF(AND($E$2="Monthly",ROUND($AN261-TRUNC($AN261),2)=0.33),
ROUND(
ROUND(((TRUNC(($AN261+0.01)*3/13,0)+0.99)*VLOOKUP((TRUNC(($AN261+0.01)*3/13,0)+0.99),'Tax scales - NAT 3539'!$A$43:$C$69,2,1)-VLOOKUP((TRUNC(($AN261+0.01)*3/13,0)+0.99),'Tax scales - NAT 3539'!$A$43:$C$69,3,1)),0)
*13/3,
0),
IF($E$2="Monthly",
ROUND(
ROUND(((TRUNC($AN261*3/13,0)+0.99)*VLOOKUP((TRUNC($AN261*3/13,0)+0.99),'Tax scales - NAT 3539'!$A$43:$C$69,2,1)-VLOOKUP((TRUNC($AN261*3/13,0)+0.99),'Tax scales - NAT 3539'!$A$43:$C$69,3,1)),0)
*13/3,
0),
""))),
""),
"")</f>
        <v/>
      </c>
      <c r="AW261" s="118" t="str">
        <f>IFERROR(
IF(VLOOKUP($C261,'Employee information'!$B:$M,COLUMNS('Employee information'!$B:$M),0)=33,
IF($E$2="Fortnightly",
ROUND(
ROUND((((TRUNC($AN261/2,0)+0.99))*VLOOKUP((TRUNC($AN261/2,0)+0.99),'Tax scales - NAT 3539'!$A$74:$C$94,2,1)-VLOOKUP((TRUNC($AN261/2,0)+0.99),'Tax scales - NAT 3539'!$A$74:$C$94,3,1)),0)
*2,
0),
IF(AND($E$2="Monthly",ROUND($AN261-TRUNC($AN261),2)=0.33),
ROUND(
ROUND(((TRUNC(($AN261+0.01)*3/13,0)+0.99)*VLOOKUP((TRUNC(($AN261+0.01)*3/13,0)+0.99),'Tax scales - NAT 3539'!$A$74:$C$94,2,1)-VLOOKUP((TRUNC(($AN261+0.01)*3/13,0)+0.99),'Tax scales - NAT 3539'!$A$74:$C$94,3,1)),0)
*13/3,
0),
IF($E$2="Monthly",
ROUND(
ROUND(((TRUNC($AN261*3/13,0)+0.99)*VLOOKUP((TRUNC($AN261*3/13,0)+0.99),'Tax scales - NAT 3539'!$A$74:$C$94,2,1)-VLOOKUP((TRUNC($AN261*3/13,0)+0.99),'Tax scales - NAT 3539'!$A$74:$C$94,3,1)),0)
*13/3,
0),
""))),
""),
"")</f>
        <v/>
      </c>
      <c r="AX261" s="118" t="str">
        <f>IFERROR(
IF(VLOOKUP($C261,'Employee information'!$B:$M,COLUMNS('Employee information'!$B:$M),0)=55,
IF($E$2="Fortnightly",
ROUND(
ROUND((((TRUNC($AN261/2,0)+0.99))*VLOOKUP((TRUNC($AN261/2,0)+0.99),'Tax scales - NAT 3539'!$A$99:$C$123,2,1)-VLOOKUP((TRUNC($AN261/2,0)+0.99),'Tax scales - NAT 3539'!$A$99:$C$123,3,1)),0)
*2,
0),
IF(AND($E$2="Monthly",ROUND($AN261-TRUNC($AN261),2)=0.33),
ROUND(
ROUND(((TRUNC(($AN261+0.01)*3/13,0)+0.99)*VLOOKUP((TRUNC(($AN261+0.01)*3/13,0)+0.99),'Tax scales - NAT 3539'!$A$99:$C$123,2,1)-VLOOKUP((TRUNC(($AN261+0.01)*3/13,0)+0.99),'Tax scales - NAT 3539'!$A$99:$C$123,3,1)),0)
*13/3,
0),
IF($E$2="Monthly",
ROUND(
ROUND(((TRUNC($AN261*3/13,0)+0.99)*VLOOKUP((TRUNC($AN261*3/13,0)+0.99),'Tax scales - NAT 3539'!$A$99:$C$123,2,1)-VLOOKUP((TRUNC($AN261*3/13,0)+0.99),'Tax scales - NAT 3539'!$A$99:$C$123,3,1)),0)
*13/3,
0),
""))),
""),
"")</f>
        <v/>
      </c>
      <c r="AY261" s="118" t="str">
        <f>IFERROR(
IF(VLOOKUP($C261,'Employee information'!$B:$M,COLUMNS('Employee information'!$B:$M),0)=66,
IF($E$2="Fortnightly",
ROUND(
ROUND((((TRUNC($AN261/2,0)+0.99))*VLOOKUP((TRUNC($AN261/2,0)+0.99),'Tax scales - NAT 3539'!$A$127:$C$154,2,1)-VLOOKUP((TRUNC($AN261/2,0)+0.99),'Tax scales - NAT 3539'!$A$127:$C$154,3,1)),0)
*2,
0),
IF(AND($E$2="Monthly",ROUND($AN261-TRUNC($AN261),2)=0.33),
ROUND(
ROUND(((TRUNC(($AN261+0.01)*3/13,0)+0.99)*VLOOKUP((TRUNC(($AN261+0.01)*3/13,0)+0.99),'Tax scales - NAT 3539'!$A$127:$C$154,2,1)-VLOOKUP((TRUNC(($AN261+0.01)*3/13,0)+0.99),'Tax scales - NAT 3539'!$A$127:$C$154,3,1)),0)
*13/3,
0),
IF($E$2="Monthly",
ROUND(
ROUND(((TRUNC($AN261*3/13,0)+0.99)*VLOOKUP((TRUNC($AN261*3/13,0)+0.99),'Tax scales - NAT 3539'!$A$127:$C$154,2,1)-VLOOKUP((TRUNC($AN261*3/13,0)+0.99),'Tax scales - NAT 3539'!$A$127:$C$154,3,1)),0)
*13/3,
0),
""))),
""),
"")</f>
        <v/>
      </c>
      <c r="AZ261" s="118">
        <f>IFERROR(
HLOOKUP(VLOOKUP($C261,'Employee information'!$B:$M,COLUMNS('Employee information'!$B:$M),0),'PAYG worksheet'!$AO$242:$AY$261,COUNTA($C$243:$C261)+1,0),
0)</f>
        <v>0</v>
      </c>
      <c r="BA261" s="118"/>
      <c r="BB261" s="118">
        <f t="shared" si="263"/>
        <v>0</v>
      </c>
      <c r="BC261" s="119">
        <f>IFERROR(
IF(OR($AE261=1,$AE261=""),SUM($P261,$AA261,$AC261,$AK261)*VLOOKUP($C261,'Employee information'!$B:$Q,COLUMNS('Employee information'!$B:$H),0),
IF($AE261=0,SUM($P261,$AA261,$AK261)*VLOOKUP($C261,'Employee information'!$B:$Q,COLUMNS('Employee information'!$B:$H),0),
0)),
0)</f>
        <v>0</v>
      </c>
      <c r="BE261" s="114">
        <f t="shared" si="248"/>
        <v>0</v>
      </c>
      <c r="BF261" s="114">
        <f t="shared" si="249"/>
        <v>0</v>
      </c>
      <c r="BG261" s="114">
        <f t="shared" si="250"/>
        <v>0</v>
      </c>
      <c r="BH261" s="114">
        <f t="shared" si="251"/>
        <v>0</v>
      </c>
      <c r="BI261" s="114">
        <f t="shared" si="252"/>
        <v>0</v>
      </c>
      <c r="BJ261" s="114">
        <f t="shared" si="253"/>
        <v>0</v>
      </c>
      <c r="BK261" s="114">
        <f t="shared" si="254"/>
        <v>0</v>
      </c>
      <c r="BL261" s="114">
        <f t="shared" si="264"/>
        <v>0</v>
      </c>
      <c r="BM261" s="114">
        <f t="shared" si="255"/>
        <v>0</v>
      </c>
    </row>
    <row r="262" spans="1:65" x14ac:dyDescent="0.25">
      <c r="C262" s="284" t="s">
        <v>39</v>
      </c>
      <c r="D262" s="223"/>
      <c r="E262" s="111">
        <f>SUM(E243:E261)</f>
        <v>345</v>
      </c>
      <c r="F262" s="112">
        <f t="shared" ref="F262:H262" si="265">SUM(F243:F261)</f>
        <v>0</v>
      </c>
      <c r="G262" s="112">
        <f t="shared" si="265"/>
        <v>0</v>
      </c>
      <c r="H262" s="112">
        <f t="shared" si="265"/>
        <v>0</v>
      </c>
      <c r="I262" s="112"/>
      <c r="J262" s="111">
        <f t="shared" ref="J262" si="266">SUM(J243:J261)</f>
        <v>345</v>
      </c>
      <c r="K262" s="223"/>
      <c r="L262" s="115">
        <f>SUM(L243:L261)</f>
        <v>19122.576396206536</v>
      </c>
      <c r="M262" s="115">
        <f>SUM(M243:M261)</f>
        <v>174618.57218124342</v>
      </c>
      <c r="N262" s="223"/>
      <c r="O262" s="116">
        <f>SUM(O243:O261)</f>
        <v>345</v>
      </c>
      <c r="P262" s="117">
        <f>SUM(P243:P261)</f>
        <v>19122.576396206536</v>
      </c>
      <c r="R262" s="117">
        <f>SUM(R243:R261)</f>
        <v>174618.57218124342</v>
      </c>
      <c r="S262" s="223"/>
      <c r="T262" s="116">
        <f>SUM(T243:T261)</f>
        <v>0</v>
      </c>
      <c r="U262" s="116">
        <f t="shared" ref="U262:Y262" si="267">SUM(U243:U261)</f>
        <v>0</v>
      </c>
      <c r="V262" s="285">
        <f t="shared" si="267"/>
        <v>0</v>
      </c>
      <c r="W262" s="285">
        <f t="shared" si="267"/>
        <v>0</v>
      </c>
      <c r="X262" s="285">
        <f t="shared" si="267"/>
        <v>1538.4615384615386</v>
      </c>
      <c r="Y262" s="285">
        <f t="shared" si="267"/>
        <v>801.28205128205127</v>
      </c>
      <c r="Z262" s="223"/>
      <c r="AA262" s="117">
        <f t="shared" ref="AA262" si="268">SUM(AA243:AA261)</f>
        <v>0</v>
      </c>
      <c r="AC262" s="117">
        <f t="shared" ref="AC262" si="269">SUM(AC243:AC261)</f>
        <v>0</v>
      </c>
      <c r="AD262" s="117"/>
      <c r="AE262" s="117"/>
      <c r="AF262" s="117"/>
      <c r="AG262" s="117">
        <f t="shared" ref="AG262" si="270">SUM(AG243:AG261)</f>
        <v>0</v>
      </c>
      <c r="AH262" s="117"/>
      <c r="AI262" s="117"/>
      <c r="AJ262" s="117">
        <f>SUM(AJ243:AJ261)</f>
        <v>0</v>
      </c>
      <c r="AK262" s="117">
        <f>SUM(AK243:AK261)</f>
        <v>0</v>
      </c>
      <c r="AM262" s="117">
        <f t="shared" ref="AM262:AN262" si="271">SUM(AM243:AM261)</f>
        <v>19122.576396206536</v>
      </c>
      <c r="AN262" s="117">
        <f t="shared" si="271"/>
        <v>19122.576396206536</v>
      </c>
      <c r="AO262" s="117"/>
      <c r="AP262" s="117"/>
      <c r="AQ262" s="117"/>
      <c r="AR262" s="117"/>
      <c r="AS262" s="117"/>
      <c r="AT262" s="117"/>
      <c r="AU262" s="117"/>
      <c r="AV262" s="117"/>
      <c r="AW262" s="117"/>
      <c r="AX262" s="117"/>
      <c r="AY262" s="117"/>
      <c r="AZ262" s="117">
        <f>SUM(AZ243:AZ261)</f>
        <v>7481</v>
      </c>
      <c r="BA262" s="117">
        <f>SUM(BA243:BA261)</f>
        <v>0</v>
      </c>
      <c r="BB262" s="117">
        <f>SUM(BB243:BB261)</f>
        <v>11641.576396206534</v>
      </c>
      <c r="BC262" s="117">
        <f t="shared" ref="BC262" si="272">SUM(BC243:BC261)</f>
        <v>1816.6447576396208</v>
      </c>
      <c r="BD262" s="136"/>
      <c r="BE262" s="117">
        <f t="shared" ref="BE262:BM262" si="273">SUM(BE243:BE261)</f>
        <v>174858.57218124342</v>
      </c>
      <c r="BF262" s="117">
        <f t="shared" si="273"/>
        <v>174718.57218124342</v>
      </c>
      <c r="BG262" s="117">
        <f t="shared" si="273"/>
        <v>0</v>
      </c>
      <c r="BH262" s="117">
        <f t="shared" si="273"/>
        <v>140</v>
      </c>
      <c r="BI262" s="117">
        <f t="shared" si="273"/>
        <v>68143</v>
      </c>
      <c r="BJ262" s="117">
        <f t="shared" si="273"/>
        <v>0</v>
      </c>
      <c r="BK262" s="117">
        <f t="shared" si="273"/>
        <v>0</v>
      </c>
      <c r="BL262" s="117">
        <f t="shared" si="273"/>
        <v>100</v>
      </c>
      <c r="BM262" s="117">
        <f t="shared" si="273"/>
        <v>16598.264357218122</v>
      </c>
    </row>
    <row r="264" spans="1:65" x14ac:dyDescent="0.25">
      <c r="B264" s="228">
        <v>10</v>
      </c>
      <c r="C264" s="230" t="s">
        <v>2</v>
      </c>
      <c r="E264" s="232">
        <v>44287</v>
      </c>
      <c r="F264" s="148" t="s">
        <v>91</v>
      </c>
      <c r="L264" s="286"/>
      <c r="T264" s="127"/>
      <c r="U264" s="127"/>
      <c r="V264" s="127"/>
      <c r="W264" s="127"/>
      <c r="X264" s="127"/>
      <c r="Y264" s="127"/>
    </row>
    <row r="265" spans="1:65" x14ac:dyDescent="0.25">
      <c r="C265" s="230" t="s">
        <v>3</v>
      </c>
      <c r="E265" s="232">
        <v>44316</v>
      </c>
      <c r="F265" s="148" t="s">
        <v>90</v>
      </c>
      <c r="G265" s="229"/>
      <c r="H265" s="229"/>
      <c r="I265" s="229"/>
      <c r="J265" s="229"/>
      <c r="L265" s="164"/>
      <c r="T265" s="127"/>
      <c r="U265" s="127"/>
      <c r="V265" s="127"/>
      <c r="W265" s="127"/>
      <c r="X265" s="127"/>
      <c r="Y265" s="127"/>
    </row>
    <row r="266" spans="1:65" x14ac:dyDescent="0.25">
      <c r="C266" s="233"/>
    </row>
    <row r="267" spans="1:65" ht="34.5" customHeight="1" x14ac:dyDescent="0.25">
      <c r="C267" s="234"/>
      <c r="D267" s="235"/>
      <c r="E267" s="441" t="s">
        <v>4</v>
      </c>
      <c r="F267" s="442"/>
      <c r="G267" s="442"/>
      <c r="H267" s="442"/>
      <c r="I267" s="442"/>
      <c r="J267" s="443"/>
      <c r="L267" s="444" t="s">
        <v>253</v>
      </c>
      <c r="M267" s="445"/>
      <c r="N267" s="235"/>
      <c r="O267" s="444" t="s">
        <v>148</v>
      </c>
      <c r="P267" s="445"/>
      <c r="R267" s="235"/>
      <c r="T267" s="446" t="s">
        <v>269</v>
      </c>
      <c r="U267" s="447"/>
      <c r="V267" s="447"/>
      <c r="W267" s="447"/>
      <c r="X267" s="447"/>
      <c r="Y267" s="447"/>
      <c r="Z267" s="447"/>
      <c r="AA267" s="447"/>
      <c r="AC267" s="438" t="s">
        <v>274</v>
      </c>
      <c r="AD267" s="438"/>
      <c r="AE267" s="438"/>
      <c r="AF267" s="438"/>
      <c r="AG267" s="438"/>
      <c r="AH267" s="438"/>
      <c r="AI267" s="438"/>
      <c r="AJ267" s="438"/>
      <c r="AK267" s="438"/>
      <c r="AM267" s="439" t="s">
        <v>270</v>
      </c>
      <c r="AN267" s="439"/>
      <c r="AO267" s="439"/>
      <c r="AP267" s="439"/>
      <c r="AQ267" s="439"/>
      <c r="AR267" s="439"/>
      <c r="AS267" s="439"/>
      <c r="AT267" s="439"/>
      <c r="AU267" s="439"/>
      <c r="AV267" s="439"/>
      <c r="AW267" s="439"/>
      <c r="AX267" s="439"/>
      <c r="AY267" s="439"/>
      <c r="AZ267" s="439"/>
      <c r="BA267" s="439"/>
      <c r="BB267" s="439"/>
      <c r="BC267" s="440"/>
      <c r="BE267" s="439" t="s">
        <v>246</v>
      </c>
      <c r="BF267" s="439"/>
      <c r="BG267" s="439"/>
      <c r="BH267" s="439"/>
      <c r="BI267" s="439"/>
      <c r="BJ267" s="439"/>
      <c r="BK267" s="439"/>
      <c r="BL267" s="439"/>
      <c r="BM267" s="439"/>
    </row>
    <row r="268" spans="1:65" x14ac:dyDescent="0.25">
      <c r="C268" s="236"/>
      <c r="E268" s="229"/>
      <c r="F268" s="229"/>
      <c r="G268" s="229"/>
      <c r="H268" s="229"/>
      <c r="I268" s="229"/>
      <c r="J268" s="229"/>
      <c r="L268" s="164"/>
      <c r="O268" s="229"/>
      <c r="P268" s="164"/>
      <c r="T268" s="127"/>
      <c r="U268" s="127"/>
      <c r="V268" s="127"/>
      <c r="W268" s="127"/>
      <c r="X268" s="127"/>
      <c r="Y268" s="127"/>
      <c r="AA268" s="229"/>
      <c r="AC268" s="229"/>
      <c r="AD268" s="229"/>
      <c r="AE268" s="229"/>
      <c r="AF268" s="229"/>
      <c r="AG268" s="229"/>
      <c r="AH268" s="229"/>
      <c r="AI268" s="229"/>
      <c r="AJ268" s="229"/>
      <c r="AK268" s="127"/>
      <c r="AM268" s="229"/>
      <c r="AN268" s="229"/>
      <c r="AO268" s="229"/>
      <c r="AP268" s="229"/>
      <c r="AQ268" s="229"/>
      <c r="AR268" s="229"/>
      <c r="AS268" s="229"/>
      <c r="AT268" s="229"/>
      <c r="AU268" s="229"/>
      <c r="AV268" s="229"/>
      <c r="AW268" s="229"/>
      <c r="AX268" s="229"/>
      <c r="AY268" s="229"/>
      <c r="AZ268" s="229"/>
      <c r="BA268" s="229"/>
      <c r="BB268" s="229"/>
      <c r="BC268" s="229"/>
    </row>
    <row r="269" spans="1:65" ht="60" x14ac:dyDescent="0.25">
      <c r="C269" s="238" t="s">
        <v>5</v>
      </c>
      <c r="D269" s="239"/>
      <c r="E269" s="240" t="s">
        <v>268</v>
      </c>
      <c r="F269" s="241" t="s">
        <v>271</v>
      </c>
      <c r="G269" s="242" t="s">
        <v>267</v>
      </c>
      <c r="H269" s="243" t="s">
        <v>266</v>
      </c>
      <c r="I269" s="242" t="s">
        <v>265</v>
      </c>
      <c r="J269" s="244" t="s">
        <v>6</v>
      </c>
      <c r="L269" s="245" t="s">
        <v>7</v>
      </c>
      <c r="M269" s="246" t="s">
        <v>254</v>
      </c>
      <c r="N269" s="247"/>
      <c r="O269" s="248" t="s">
        <v>272</v>
      </c>
      <c r="P269" s="249" t="s">
        <v>200</v>
      </c>
      <c r="R269" s="250" t="s">
        <v>151</v>
      </c>
      <c r="T269" s="251" t="s">
        <v>8</v>
      </c>
      <c r="U269" s="252" t="s">
        <v>9</v>
      </c>
      <c r="V269" s="252" t="s">
        <v>120</v>
      </c>
      <c r="W269" s="252" t="s">
        <v>121</v>
      </c>
      <c r="X269" s="253" t="s">
        <v>118</v>
      </c>
      <c r="Y269" s="254" t="s">
        <v>119</v>
      </c>
      <c r="AA269" s="255" t="s">
        <v>84</v>
      </c>
      <c r="AC269" s="256" t="s">
        <v>142</v>
      </c>
      <c r="AD269" s="256" t="s">
        <v>138</v>
      </c>
      <c r="AE269" s="257" t="s">
        <v>147</v>
      </c>
      <c r="AF269" s="257" t="s">
        <v>149</v>
      </c>
      <c r="AG269" s="256" t="s">
        <v>305</v>
      </c>
      <c r="AH269" s="256" t="s">
        <v>306</v>
      </c>
      <c r="AI269" s="257" t="s">
        <v>150</v>
      </c>
      <c r="AJ269" s="258" t="s">
        <v>250</v>
      </c>
      <c r="AK269" s="259" t="s">
        <v>373</v>
      </c>
      <c r="AM269" s="260" t="s">
        <v>256</v>
      </c>
      <c r="AN269" s="261" t="s">
        <v>372</v>
      </c>
      <c r="AO269" s="253" t="s">
        <v>170</v>
      </c>
      <c r="AP269" s="253" t="s">
        <v>171</v>
      </c>
      <c r="AQ269" s="253" t="s">
        <v>172</v>
      </c>
      <c r="AR269" s="253" t="s">
        <v>173</v>
      </c>
      <c r="AS269" s="253" t="s">
        <v>174</v>
      </c>
      <c r="AT269" s="253" t="s">
        <v>175</v>
      </c>
      <c r="AU269" s="262" t="s">
        <v>210</v>
      </c>
      <c r="AV269" s="262" t="s">
        <v>211</v>
      </c>
      <c r="AW269" s="262" t="s">
        <v>212</v>
      </c>
      <c r="AX269" s="262" t="s">
        <v>213</v>
      </c>
      <c r="AY269" s="263" t="s">
        <v>214</v>
      </c>
      <c r="AZ269" s="264" t="s">
        <v>111</v>
      </c>
      <c r="BA269" s="265" t="s">
        <v>199</v>
      </c>
      <c r="BB269" s="252" t="s">
        <v>223</v>
      </c>
      <c r="BC269" s="260" t="s">
        <v>112</v>
      </c>
      <c r="BE269" s="260" t="s">
        <v>257</v>
      </c>
      <c r="BF269" s="266" t="s">
        <v>255</v>
      </c>
      <c r="BG269" s="262" t="s">
        <v>247</v>
      </c>
      <c r="BH269" s="262" t="s">
        <v>248</v>
      </c>
      <c r="BI269" s="260" t="s">
        <v>249</v>
      </c>
      <c r="BJ269" s="253" t="s">
        <v>199</v>
      </c>
      <c r="BK269" s="262" t="s">
        <v>251</v>
      </c>
      <c r="BL269" s="259" t="s">
        <v>373</v>
      </c>
      <c r="BM269" s="260" t="s">
        <v>252</v>
      </c>
    </row>
    <row r="270" spans="1:65" x14ac:dyDescent="0.25">
      <c r="T270" s="120"/>
      <c r="U270" s="120"/>
      <c r="V270" s="120"/>
      <c r="W270" s="120"/>
      <c r="X270" s="120"/>
      <c r="Y270" s="120"/>
      <c r="AM270" s="267" t="s">
        <v>322</v>
      </c>
      <c r="AN270" s="237"/>
      <c r="AO270" s="237"/>
      <c r="AP270" s="237"/>
      <c r="AQ270" s="237"/>
      <c r="AR270" s="237"/>
      <c r="AS270" s="237"/>
      <c r="AT270" s="237"/>
      <c r="AU270" s="237"/>
      <c r="AV270" s="237"/>
      <c r="AW270" s="237"/>
      <c r="AX270" s="237"/>
      <c r="AY270" s="237"/>
      <c r="AZ270" s="436" t="s">
        <v>320</v>
      </c>
      <c r="BA270" s="437"/>
      <c r="BB270" s="237"/>
      <c r="BC270" s="267" t="s">
        <v>321</v>
      </c>
    </row>
    <row r="271" spans="1:65" x14ac:dyDescent="0.25">
      <c r="A271" s="228">
        <f t="shared" ref="A271:A290" si="274">IF($E$265="","",$B$264)</f>
        <v>10</v>
      </c>
      <c r="C271" s="268"/>
      <c r="D271" s="239"/>
      <c r="E271" s="269"/>
      <c r="F271" s="270"/>
      <c r="G271" s="271"/>
      <c r="H271" s="272"/>
      <c r="I271" s="271"/>
      <c r="J271" s="273"/>
      <c r="O271" s="274"/>
      <c r="P271" s="247"/>
      <c r="T271" s="271"/>
      <c r="U271" s="271"/>
      <c r="V271" s="275"/>
      <c r="W271" s="269"/>
      <c r="X271" s="269"/>
      <c r="Y271" s="269"/>
      <c r="AA271" s="271"/>
      <c r="AC271" s="271"/>
      <c r="AD271" s="271"/>
      <c r="AE271" s="271"/>
      <c r="AF271" s="271"/>
      <c r="AG271" s="271"/>
      <c r="AH271" s="271"/>
      <c r="AI271" s="271"/>
      <c r="AJ271" s="271"/>
      <c r="AK271" s="275"/>
      <c r="AM271" s="271"/>
      <c r="AN271" s="271"/>
      <c r="AO271" s="276">
        <v>1</v>
      </c>
      <c r="AP271" s="276">
        <v>2</v>
      </c>
      <c r="AQ271" s="276">
        <v>3</v>
      </c>
      <c r="AR271" s="277">
        <v>4</v>
      </c>
      <c r="AS271" s="276">
        <v>5</v>
      </c>
      <c r="AT271" s="276">
        <v>6</v>
      </c>
      <c r="AU271" s="276">
        <v>11</v>
      </c>
      <c r="AV271" s="276">
        <v>22</v>
      </c>
      <c r="AW271" s="276">
        <v>33</v>
      </c>
      <c r="AX271" s="276">
        <v>55</v>
      </c>
      <c r="AY271" s="276">
        <v>66</v>
      </c>
      <c r="AZ271" s="271"/>
      <c r="BA271" s="271"/>
      <c r="BB271" s="271"/>
      <c r="BC271" s="273"/>
    </row>
    <row r="272" spans="1:65" x14ac:dyDescent="0.25">
      <c r="A272" s="228">
        <f t="shared" si="274"/>
        <v>10</v>
      </c>
      <c r="C272" s="278" t="s">
        <v>12</v>
      </c>
      <c r="E272" s="103">
        <f>IF($C272="",0,
IF(AND($E$2="Monthly",$A272&gt;12),0,
IF($E$2="Monthly",VLOOKUP($C272,'Employee information'!$B:$AM,COLUMNS('Employee information'!$B:S),0),
IF($E$2="Fortnightly",VLOOKUP($C272,'Employee information'!$B:$AM,COLUMNS('Employee information'!$B:R),0),
0))))</f>
        <v>75</v>
      </c>
      <c r="F272" s="279"/>
      <c r="G272" s="106"/>
      <c r="H272" s="280"/>
      <c r="I272" s="106"/>
      <c r="J272" s="103">
        <f>IF($E$2="Monthly",
IF(AND($E$2="Monthly",$H272&lt;&gt;""),$H272,
IF(AND($E$2="Monthly",$E272=0),SUM($F272:$G272),
$E272)),
IF($E$2="Fortnightly",
IF(AND($E$2="Fortnightly",$H272&lt;&gt;""),$H272,
IF(AND($E$2="Fortnightly",$F272&lt;&gt;"",$E272&lt;&gt;0),$F272,
IF(AND($E$2="Fortnightly",$E272=0),SUM($F272:$G272),
$E272)))))</f>
        <v>75</v>
      </c>
      <c r="L272" s="113">
        <f>IF(AND($E$2="Monthly",$A272&gt;12),"",
IFERROR($J272*VLOOKUP($C272,'Employee information'!$B:$AI,COLUMNS('Employee information'!$B:$P),0),0))</f>
        <v>3697.576396206533</v>
      </c>
      <c r="M272" s="114">
        <f>IF(AND($E$2="Monthly",$A272&gt;12),"",
SUMIFS($L:$L,$C:$C,$C272,$A:$A,"&lt;="&amp;$A272)
)</f>
        <v>36975.763962065328</v>
      </c>
      <c r="O272" s="103">
        <f>IF($E$2="Monthly",
IF(AND($E$2="Monthly",$H272&lt;&gt;""),$H272,
IF(AND($E$2="Monthly",$E272=0),$F272,
$E272)),
IF($E$2="Fortnightly",
IF(AND($E$2="Fortnightly",$H272&lt;&gt;""),$H272,
IF(AND($E$2="Fortnightly",$F272&lt;&gt;"",$E272&lt;&gt;0),$F272,
IF(AND($E$2="Fortnightly",$E272=0),$F272,
$E272)))))</f>
        <v>75</v>
      </c>
      <c r="P272" s="113">
        <f>IFERROR(
IF(AND($E$2="Monthly",$A272&gt;12),0,
$O272*VLOOKUP($C272,'Employee information'!$B:$AI,COLUMNS('Employee information'!$B:$P),0)),
0)</f>
        <v>3697.576396206533</v>
      </c>
      <c r="R272" s="114">
        <f t="shared" ref="R272:R290" si="275">IF(AND($E$2="Monthly",$A272&gt;12),"",
SUMIFS($P:$P,$C:$C,$C272,$A:$A,"&lt;="&amp;$A272)
)</f>
        <v>36975.763962065328</v>
      </c>
      <c r="T272" s="281"/>
      <c r="U272" s="103"/>
      <c r="V272" s="282">
        <f>IF($C272="","",
IF(AND($E$2="Monthly",$A272&gt;12),"",
$T272*VLOOKUP($C272,'Employee information'!$B:$P,COLUMNS('Employee information'!$B:$P),0)))</f>
        <v>0</v>
      </c>
      <c r="W272" s="282">
        <f>IF($C272="","",
IF(AND($E$2="Monthly",$A272&gt;12),"",
$U272*VLOOKUP($C272,'Employee information'!$B:$P,COLUMNS('Employee information'!$B:$P),0)))</f>
        <v>0</v>
      </c>
      <c r="X272" s="114">
        <f t="shared" ref="X272:X290" si="276">IF(AND($E$2="Monthly",$A272&gt;12),"",
SUMIFS($V:$V,$C:$C,$C272,$A:$A,"&lt;="&amp;$A272)
)</f>
        <v>0</v>
      </c>
      <c r="Y272" s="114">
        <f t="shared" ref="Y272:Y290" si="277">IF(AND($E$2="Monthly",$A272&gt;12),"",
SUMIFS($W:$W,$C:$C,$C272,$A:$A,"&lt;="&amp;$A272)
)</f>
        <v>0</v>
      </c>
      <c r="AA272" s="118">
        <f>IFERROR(
IF(OR('Basic payroll data'!$D$12="",'Basic payroll data'!$D$12="No"),0,
$T272*VLOOKUP($C272,'Employee information'!$B:$P,COLUMNS('Employee information'!$B:$P),0)*AL_loading_perc),
0)</f>
        <v>0</v>
      </c>
      <c r="AC272" s="118"/>
      <c r="AD272" s="118"/>
      <c r="AE272" s="283" t="str">
        <f>IF(LEFT($AD272,6)="Is OTE",1,
IF(LEFT($AD272,10)="Is not OTE",0,
""))</f>
        <v/>
      </c>
      <c r="AF272" s="283" t="str">
        <f>IF(RIGHT($AD272,12)="tax withheld",1,
IF(RIGHT($AD272,16)="tax not withheld",0,
""))</f>
        <v/>
      </c>
      <c r="AG272" s="118"/>
      <c r="AH272" s="118"/>
      <c r="AI272" s="283" t="str">
        <f>IF($AH272="FBT",0,
IF($AH272="Not FBT",1,
""))</f>
        <v/>
      </c>
      <c r="AJ272" s="118"/>
      <c r="AK272" s="118"/>
      <c r="AM272" s="118">
        <f>SUM($L272,$AA272,$AC272,$AG272,$AK272)-$AJ272</f>
        <v>3697.576396206533</v>
      </c>
      <c r="AN272" s="118">
        <f t="shared" ref="AN272:AN290" si="278">IF(AND(OR($AF272=1,$AF272=""),OR($AI272=1,$AI272="")),SUM($L272,$AA272,$AC272,$AG272,$AK272)-$AJ272,
IF(AND(OR($AF272=1,$AF272=""),$AI272=0),SUM($L272,$AA272,$AC272,$AK272)-$AJ272,
IF(AND($AF272=0,OR($AI272=1,$AI272="")),SUM($L272,$AA272,$AG272,$AK272)-$AJ272,
IF(AND($AF272=0,$AI272=0),SUM($L272,$AA272,$AK272)-$AJ272,
""))))</f>
        <v>3697.576396206533</v>
      </c>
      <c r="AO272" s="118" t="str">
        <f>IFERROR(
IF(VLOOKUP($C272,'Employee information'!$B:$M,COLUMNS('Employee information'!$B:$M),0)=1,
IF($E$2="Fortnightly",
ROUND(
ROUND((((TRUNC($AN272/2,0)+0.99))*VLOOKUP((TRUNC($AN272/2,0)+0.99),'Tax scales - NAT 1004'!$A$12:$C$18,2,1)-VLOOKUP((TRUNC($AN272/2,0)+0.99),'Tax scales - NAT 1004'!$A$12:$C$18,3,1)),0)
*2,
0),
IF(AND($E$2="Monthly",ROUND($AN272-TRUNC($AN272),2)=0.33),
ROUND(
ROUND(((TRUNC(($AN272+0.01)*3/13,0)+0.99)*VLOOKUP((TRUNC(($AN272+0.01)*3/13,0)+0.99),'Tax scales - NAT 1004'!$A$12:$C$18,2,1)-VLOOKUP((TRUNC(($AN272+0.01)*3/13,0)+0.99),'Tax scales - NAT 1004'!$A$12:$C$18,3,1)),0)
*13/3,
0),
IF($E$2="Monthly",
ROUND(
ROUND(((TRUNC($AN272*3/13,0)+0.99)*VLOOKUP((TRUNC($AN272*3/13,0)+0.99),'Tax scales - NAT 1004'!$A$12:$C$18,2,1)-VLOOKUP((TRUNC($AN272*3/13,0)+0.99),'Tax scales - NAT 1004'!$A$12:$C$18,3,1)),0)
*13/3,
0),
""))),
""),
"")</f>
        <v/>
      </c>
      <c r="AP272" s="118" t="str">
        <f>IFERROR(
IF(VLOOKUP($C272,'Employee information'!$B:$M,COLUMNS('Employee information'!$B:$M),0)=2,
IF($E$2="Fortnightly",
ROUND(
ROUND((((TRUNC($AN272/2,0)+0.99))*VLOOKUP((TRUNC($AN272/2,0)+0.99),'Tax scales - NAT 1004'!$A$25:$C$33,2,1)-VLOOKUP((TRUNC($AN272/2,0)+0.99),'Tax scales - NAT 1004'!$A$25:$C$33,3,1)),0)
*2,
0),
IF(AND($E$2="Monthly",ROUND($AN272-TRUNC($AN272),2)=0.33),
ROUND(
ROUND(((TRUNC(($AN272+0.01)*3/13,0)+0.99)*VLOOKUP((TRUNC(($AN272+0.01)*3/13,0)+0.99),'Tax scales - NAT 1004'!$A$25:$C$33,2,1)-VLOOKUP((TRUNC(($AN272+0.01)*3/13,0)+0.99),'Tax scales - NAT 1004'!$A$25:$C$33,3,1)),0)
*13/3,
0),
IF($E$2="Monthly",
ROUND(
ROUND(((TRUNC($AN272*3/13,0)+0.99)*VLOOKUP((TRUNC($AN272*3/13,0)+0.99),'Tax scales - NAT 1004'!$A$25:$C$33,2,1)-VLOOKUP((TRUNC($AN272*3/13,0)+0.99),'Tax scales - NAT 1004'!$A$25:$C$33,3,1)),0)
*13/3,
0),
""))),
""),
"")</f>
        <v/>
      </c>
      <c r="AQ272" s="118" t="str">
        <f>IFERROR(
IF(VLOOKUP($C272,'Employee information'!$B:$M,COLUMNS('Employee information'!$B:$M),0)=3,
IF($E$2="Fortnightly",
ROUND(
ROUND((((TRUNC($AN272/2,0)+0.99))*VLOOKUP((TRUNC($AN272/2,0)+0.99),'Tax scales - NAT 1004'!$A$39:$C$41,2,1)-VLOOKUP((TRUNC($AN272/2,0)+0.99),'Tax scales - NAT 1004'!$A$39:$C$41,3,1)),0)
*2,
0),
IF(AND($E$2="Monthly",ROUND($AN272-TRUNC($AN272),2)=0.33),
ROUND(
ROUND(((TRUNC(($AN272+0.01)*3/13,0)+0.99)*VLOOKUP((TRUNC(($AN272+0.01)*3/13,0)+0.99),'Tax scales - NAT 1004'!$A$39:$C$41,2,1)-VLOOKUP((TRUNC(($AN272+0.01)*3/13,0)+0.99),'Tax scales - NAT 1004'!$A$39:$C$41,3,1)),0)
*13/3,
0),
IF($E$2="Monthly",
ROUND(
ROUND(((TRUNC($AN272*3/13,0)+0.99)*VLOOKUP((TRUNC($AN272*3/13,0)+0.99),'Tax scales - NAT 1004'!$A$39:$C$41,2,1)-VLOOKUP((TRUNC($AN272*3/13,0)+0.99),'Tax scales - NAT 1004'!$A$39:$C$41,3,1)),0)
*13/3,
0),
""))),
""),
"")</f>
        <v/>
      </c>
      <c r="AR272" s="118" t="str">
        <f>IFERROR(
IF(AND(VLOOKUP($C272,'Employee information'!$B:$M,COLUMNS('Employee information'!$B:$M),0)=4,
VLOOKUP($C272,'Employee information'!$B:$J,COLUMNS('Employee information'!$B:$J),0)="Resident"),
TRUNC(TRUNC($AN272)*'Tax scales - NAT 1004'!$B$47),
IF(AND(VLOOKUP($C272,'Employee information'!$B:$M,COLUMNS('Employee information'!$B:$M),0)=4,
VLOOKUP($C272,'Employee information'!$B:$J,COLUMNS('Employee information'!$B:$J),0)="Foreign resident"),
TRUNC(TRUNC($AN272)*'Tax scales - NAT 1004'!$B$48),
"")),
"")</f>
        <v/>
      </c>
      <c r="AS272" s="118" t="str">
        <f>IFERROR(
IF(VLOOKUP($C272,'Employee information'!$B:$M,COLUMNS('Employee information'!$B:$M),0)=5,
IF($E$2="Fortnightly",
ROUND(
ROUND((((TRUNC($AN272/2,0)+0.99))*VLOOKUP((TRUNC($AN272/2,0)+0.99),'Tax scales - NAT 1004'!$A$53:$C$59,2,1)-VLOOKUP((TRUNC($AN272/2,0)+0.99),'Tax scales - NAT 1004'!$A$53:$C$59,3,1)),0)
*2,
0),
IF(AND($E$2="Monthly",ROUND($AN272-TRUNC($AN272),2)=0.33),
ROUND(
ROUND(((TRUNC(($AN272+0.01)*3/13,0)+0.99)*VLOOKUP((TRUNC(($AN272+0.01)*3/13,0)+0.99),'Tax scales - NAT 1004'!$A$53:$C$59,2,1)-VLOOKUP((TRUNC(($AN272+0.01)*3/13,0)+0.99),'Tax scales - NAT 1004'!$A$53:$C$59,3,1)),0)
*13/3,
0),
IF($E$2="Monthly",
ROUND(
ROUND(((TRUNC($AN272*3/13,0)+0.99)*VLOOKUP((TRUNC($AN272*3/13,0)+0.99),'Tax scales - NAT 1004'!$A$53:$C$59,2,1)-VLOOKUP((TRUNC($AN272*3/13,0)+0.99),'Tax scales - NAT 1004'!$A$53:$C$59,3,1)),0)
*13/3,
0),
""))),
""),
"")</f>
        <v/>
      </c>
      <c r="AT272" s="118" t="str">
        <f>IFERROR(
IF(VLOOKUP($C272,'Employee information'!$B:$M,COLUMNS('Employee information'!$B:$M),0)=6,
IF($E$2="Fortnightly",
ROUND(
ROUND((((TRUNC($AN272/2,0)+0.99))*VLOOKUP((TRUNC($AN272/2,0)+0.99),'Tax scales - NAT 1004'!$A$65:$C$73,2,1)-VLOOKUP((TRUNC($AN272/2,0)+0.99),'Tax scales - NAT 1004'!$A$65:$C$73,3,1)),0)
*2,
0),
IF(AND($E$2="Monthly",ROUND($AN272-TRUNC($AN272),2)=0.33),
ROUND(
ROUND(((TRUNC(($AN272+0.01)*3/13,0)+0.99)*VLOOKUP((TRUNC(($AN272+0.01)*3/13,0)+0.99),'Tax scales - NAT 1004'!$A$65:$C$73,2,1)-VLOOKUP((TRUNC(($AN272+0.01)*3/13,0)+0.99),'Tax scales - NAT 1004'!$A$65:$C$73,3,1)),0)
*13/3,
0),
IF($E$2="Monthly",
ROUND(
ROUND(((TRUNC($AN272*3/13,0)+0.99)*VLOOKUP((TRUNC($AN272*3/13,0)+0.99),'Tax scales - NAT 1004'!$A$65:$C$73,2,1)-VLOOKUP((TRUNC($AN272*3/13,0)+0.99),'Tax scales - NAT 1004'!$A$65:$C$73,3,1)),0)
*13/3,
0),
""))),
""),
"")</f>
        <v/>
      </c>
      <c r="AU272" s="118">
        <f>IFERROR(
IF(VLOOKUP($C272,'Employee information'!$B:$M,COLUMNS('Employee information'!$B:$M),0)=11,
IF($E$2="Fortnightly",
ROUND(
ROUND((((TRUNC($AN272/2,0)+0.99))*VLOOKUP((TRUNC($AN272/2,0)+0.99),'Tax scales - NAT 3539'!$A$14:$C$38,2,1)-VLOOKUP((TRUNC($AN272/2,0)+0.99),'Tax scales - NAT 3539'!$A$14:$C$38,3,1)),0)
*2,
0),
IF(AND($E$2="Monthly",ROUND($AN272-TRUNC($AN272),2)=0.33),
ROUND(
ROUND(((TRUNC(($AN272+0.01)*3/13,0)+0.99)*VLOOKUP((TRUNC(($AN272+0.01)*3/13,0)+0.99),'Tax scales - NAT 3539'!$A$14:$C$38,2,1)-VLOOKUP((TRUNC(($AN272+0.01)*3/13,0)+0.99),'Tax scales - NAT 3539'!$A$14:$C$38,3,1)),0)
*13/3,
0),
IF($E$2="Monthly",
ROUND(
ROUND(((TRUNC($AN272*3/13,0)+0.99)*VLOOKUP((TRUNC($AN272*3/13,0)+0.99),'Tax scales - NAT 3539'!$A$14:$C$38,2,1)-VLOOKUP((TRUNC($AN272*3/13,0)+0.99),'Tax scales - NAT 3539'!$A$14:$C$38,3,1)),0)
*13/3,
0),
""))),
""),
"")</f>
        <v>1448</v>
      </c>
      <c r="AV272" s="118" t="str">
        <f>IFERROR(
IF(VLOOKUP($C272,'Employee information'!$B:$M,COLUMNS('Employee information'!$B:$M),0)=22,
IF($E$2="Fortnightly",
ROUND(
ROUND((((TRUNC($AN272/2,0)+0.99))*VLOOKUP((TRUNC($AN272/2,0)+0.99),'Tax scales - NAT 3539'!$A$43:$C$69,2,1)-VLOOKUP((TRUNC($AN272/2,0)+0.99),'Tax scales - NAT 3539'!$A$43:$C$69,3,1)),0)
*2,
0),
IF(AND($E$2="Monthly",ROUND($AN272-TRUNC($AN272),2)=0.33),
ROUND(
ROUND(((TRUNC(($AN272+0.01)*3/13,0)+0.99)*VLOOKUP((TRUNC(($AN272+0.01)*3/13,0)+0.99),'Tax scales - NAT 3539'!$A$43:$C$69,2,1)-VLOOKUP((TRUNC(($AN272+0.01)*3/13,0)+0.99),'Tax scales - NAT 3539'!$A$43:$C$69,3,1)),0)
*13/3,
0),
IF($E$2="Monthly",
ROUND(
ROUND(((TRUNC($AN272*3/13,0)+0.99)*VLOOKUP((TRUNC($AN272*3/13,0)+0.99),'Tax scales - NAT 3539'!$A$43:$C$69,2,1)-VLOOKUP((TRUNC($AN272*3/13,0)+0.99),'Tax scales - NAT 3539'!$A$43:$C$69,3,1)),0)
*13/3,
0),
""))),
""),
"")</f>
        <v/>
      </c>
      <c r="AW272" s="118" t="str">
        <f>IFERROR(
IF(VLOOKUP($C272,'Employee information'!$B:$M,COLUMNS('Employee information'!$B:$M),0)=33,
IF($E$2="Fortnightly",
ROUND(
ROUND((((TRUNC($AN272/2,0)+0.99))*VLOOKUP((TRUNC($AN272/2,0)+0.99),'Tax scales - NAT 3539'!$A$74:$C$94,2,1)-VLOOKUP((TRUNC($AN272/2,0)+0.99),'Tax scales - NAT 3539'!$A$74:$C$94,3,1)),0)
*2,
0),
IF(AND($E$2="Monthly",ROUND($AN272-TRUNC($AN272),2)=0.33),
ROUND(
ROUND(((TRUNC(($AN272+0.01)*3/13,0)+0.99)*VLOOKUP((TRUNC(($AN272+0.01)*3/13,0)+0.99),'Tax scales - NAT 3539'!$A$74:$C$94,2,1)-VLOOKUP((TRUNC(($AN272+0.01)*3/13,0)+0.99),'Tax scales - NAT 3539'!$A$74:$C$94,3,1)),0)
*13/3,
0),
IF($E$2="Monthly",
ROUND(
ROUND(((TRUNC($AN272*3/13,0)+0.99)*VLOOKUP((TRUNC($AN272*3/13,0)+0.99),'Tax scales - NAT 3539'!$A$74:$C$94,2,1)-VLOOKUP((TRUNC($AN272*3/13,0)+0.99),'Tax scales - NAT 3539'!$A$74:$C$94,3,1)),0)
*13/3,
0),
""))),
""),
"")</f>
        <v/>
      </c>
      <c r="AX272" s="118" t="str">
        <f>IFERROR(
IF(VLOOKUP($C272,'Employee information'!$B:$M,COLUMNS('Employee information'!$B:$M),0)=55,
IF($E$2="Fortnightly",
ROUND(
ROUND((((TRUNC($AN272/2,0)+0.99))*VLOOKUP((TRUNC($AN272/2,0)+0.99),'Tax scales - NAT 3539'!$A$99:$C$123,2,1)-VLOOKUP((TRUNC($AN272/2,0)+0.99),'Tax scales - NAT 3539'!$A$99:$C$123,3,1)),0)
*2,
0),
IF(AND($E$2="Monthly",ROUND($AN272-TRUNC($AN272),2)=0.33),
ROUND(
ROUND(((TRUNC(($AN272+0.01)*3/13,0)+0.99)*VLOOKUP((TRUNC(($AN272+0.01)*3/13,0)+0.99),'Tax scales - NAT 3539'!$A$99:$C$123,2,1)-VLOOKUP((TRUNC(($AN272+0.01)*3/13,0)+0.99),'Tax scales - NAT 3539'!$A$99:$C$123,3,1)),0)
*13/3,
0),
IF($E$2="Monthly",
ROUND(
ROUND(((TRUNC($AN272*3/13,0)+0.99)*VLOOKUP((TRUNC($AN272*3/13,0)+0.99),'Tax scales - NAT 3539'!$A$99:$C$123,2,1)-VLOOKUP((TRUNC($AN272*3/13,0)+0.99),'Tax scales - NAT 3539'!$A$99:$C$123,3,1)),0)
*13/3,
0),
""))),
""),
"")</f>
        <v/>
      </c>
      <c r="AY272" s="118" t="str">
        <f>IFERROR(
IF(VLOOKUP($C272,'Employee information'!$B:$M,COLUMNS('Employee information'!$B:$M),0)=66,
IF($E$2="Fortnightly",
ROUND(
ROUND((((TRUNC($AN272/2,0)+0.99))*VLOOKUP((TRUNC($AN272/2,0)+0.99),'Tax scales - NAT 3539'!$A$127:$C$154,2,1)-VLOOKUP((TRUNC($AN272/2,0)+0.99),'Tax scales - NAT 3539'!$A$127:$C$154,3,1)),0)
*2,
0),
IF(AND($E$2="Monthly",ROUND($AN272-TRUNC($AN272),2)=0.33),
ROUND(
ROUND(((TRUNC(($AN272+0.01)*3/13,0)+0.99)*VLOOKUP((TRUNC(($AN272+0.01)*3/13,0)+0.99),'Tax scales - NAT 3539'!$A$127:$C$154,2,1)-VLOOKUP((TRUNC(($AN272+0.01)*3/13,0)+0.99),'Tax scales - NAT 3539'!$A$127:$C$154,3,1)),0)
*13/3,
0),
IF($E$2="Monthly",
ROUND(
ROUND(((TRUNC($AN272*3/13,0)+0.99)*VLOOKUP((TRUNC($AN272*3/13,0)+0.99),'Tax scales - NAT 3539'!$A$127:$C$154,2,1)-VLOOKUP((TRUNC($AN272*3/13,0)+0.99),'Tax scales - NAT 3539'!$A$127:$C$154,3,1)),0)
*13/3,
0),
""))),
""),
"")</f>
        <v/>
      </c>
      <c r="AZ272" s="118">
        <f>IFERROR(
HLOOKUP(VLOOKUP($C272,'Employee information'!$B:$M,COLUMNS('Employee information'!$B:$M),0),'PAYG worksheet'!$AO$271:$AY$290,COUNTA($C$272:$C272)+1,0),
0)</f>
        <v>1448</v>
      </c>
      <c r="BA272" s="118"/>
      <c r="BB272" s="118">
        <f>IFERROR($AM272-$AZ272-$BA272,"")</f>
        <v>2249.576396206533</v>
      </c>
      <c r="BC272" s="119">
        <f>IFERROR(
IF(OR($AE272=1,$AE272=""),SUM($P272,$AA272,$AC272,$AK272)*VLOOKUP($C272,'Employee information'!$B:$Q,COLUMNS('Employee information'!$B:$H),0),
IF($AE272=0,SUM($P272,$AA272,$AK272)*VLOOKUP($C272,'Employee information'!$B:$Q,COLUMNS('Employee information'!$B:$H),0),
0)),
0)</f>
        <v>351.26975763962065</v>
      </c>
      <c r="BE272" s="114">
        <f t="shared" ref="BE272:BE290" si="279">IF(AND($E$2="Monthly",$A272&gt;12),"",
SUMIFS($AM:$AM,$C:$C,$C272,$A:$A,"&lt;="&amp;$A272)
)</f>
        <v>36975.763962065328</v>
      </c>
      <c r="BF272" s="114">
        <f t="shared" ref="BF272:BF290" si="280">IF(AND($E$2="Monthly",$A272&gt;12),"",
SUMIFS($AN:$AN,$C:$C,$C272,$A:$A,"&lt;="&amp;$A272)
)</f>
        <v>36975.763962065328</v>
      </c>
      <c r="BG272" s="114">
        <f t="shared" ref="BG272:BG290" si="281">IF(AND($E$2="Monthly",$A272&gt;12),"",
SUMIFS($AC:$AC,$C:$C,$C272,$A:$A,"&lt;="&amp;$A272)
)</f>
        <v>0</v>
      </c>
      <c r="BH272" s="114">
        <f t="shared" ref="BH272:BH290" si="282">IF(AND($E$2="Monthly",$A272&gt;12),"",
SUMIFS($AG:$AG,$C:$C,$C272,$A:$A,"&lt;="&amp;$A272)
)</f>
        <v>0</v>
      </c>
      <c r="BI272" s="114">
        <f t="shared" ref="BI272:BI290" si="283">IF(AND($E$2="Monthly",$A272&gt;12),"",
SUMIFS($AZ:$AZ,$C:$C,$C272,$A:$A,"&lt;="&amp;$A272)
)</f>
        <v>14480</v>
      </c>
      <c r="BJ272" s="114">
        <f t="shared" ref="BJ272:BJ290" si="284">IF(AND($E$2="Monthly",$A272&gt;12),"",
SUMIFS($BA:$BA,$C:$C,$C272,$A:$A,"&lt;="&amp;$A272)
)</f>
        <v>0</v>
      </c>
      <c r="BK272" s="114">
        <f t="shared" ref="BK272:BK290" si="285">IF(AND($E$2="Monthly",$A272&gt;12),"",
SUMIFS($AJ:$AJ,$C:$C,$C272,$A:$A,"&lt;="&amp;$A272)
)</f>
        <v>0</v>
      </c>
      <c r="BL272" s="114">
        <f>IF(AND($E$2="Monthly",$A272&gt;12),"",
SUMIFS($AK:$AK,$C:$C,$C272,$A:$A,"&lt;="&amp;$A272)
)</f>
        <v>0</v>
      </c>
      <c r="BM272" s="114">
        <f t="shared" ref="BM272:BM290" si="286">IF(AND($E$2="Monthly",$A272&gt;12),"",
SUMIFS($BC:$BC,$C:$C,$C272,$A:$A,"&lt;="&amp;$A272)
)</f>
        <v>3512.6975763962073</v>
      </c>
    </row>
    <row r="273" spans="1:65" x14ac:dyDescent="0.25">
      <c r="A273" s="228">
        <f t="shared" si="274"/>
        <v>10</v>
      </c>
      <c r="C273" s="278" t="s">
        <v>13</v>
      </c>
      <c r="E273" s="103">
        <f>IF($C273="",0,
IF(AND($E$2="Monthly",$A273&gt;12),0,
IF($E$2="Monthly",VLOOKUP($C273,'Employee information'!$B:$AM,COLUMNS('Employee information'!$B:S),0),
IF($E$2="Fortnightly",VLOOKUP($C273,'Employee information'!$B:$AM,COLUMNS('Employee information'!$B:R),0),
0))))</f>
        <v>0</v>
      </c>
      <c r="F273" s="106"/>
      <c r="G273" s="106"/>
      <c r="H273" s="106"/>
      <c r="I273" s="106"/>
      <c r="J273" s="103">
        <f t="shared" ref="J273:J290" si="287">IF($E$2="Monthly",
IF(AND($E$2="Monthly",$H273&lt;&gt;""),$H273,
IF(AND($E$2="Monthly",$E273=0),SUM($F273:$G273),
$E273)),
IF($E$2="Fortnightly",
IF(AND($E$2="Fortnightly",$H273&lt;&gt;""),$H273,
IF(AND($E$2="Fortnightly",$F273&lt;&gt;"",$E273&lt;&gt;0),$F273,
IF(AND($E$2="Fortnightly",$E273=0),SUM($F273:$G273),
$E273)))))</f>
        <v>0</v>
      </c>
      <c r="L273" s="113">
        <f>IF(AND($E$2="Monthly",$A273&gt;12),"",
IFERROR($J273*VLOOKUP($C273,'Employee information'!$B:$AI,COLUMNS('Employee information'!$B:$P),0),0))</f>
        <v>0</v>
      </c>
      <c r="M273" s="114">
        <f t="shared" ref="M273:M290" si="288">IF(AND($E$2="Monthly",$A273&gt;12),"",
SUMIFS($L:$L,$C:$C,$C273,$A:$A,"&lt;="&amp;$A273)
)</f>
        <v>1615.3846153846152</v>
      </c>
      <c r="O273" s="103">
        <f t="shared" ref="O273:O290" si="289">IF($E$2="Monthly",
IF(AND($E$2="Monthly",$H273&lt;&gt;""),$H273,
IF(AND($E$2="Monthly",$E273=0),$F273,
$E273)),
IF($E$2="Fortnightly",
IF(AND($E$2="Fortnightly",$H273&lt;&gt;""),$H273,
IF(AND($E$2="Fortnightly",$F273&lt;&gt;"",$E273&lt;&gt;0),$F273,
IF(AND($E$2="Fortnightly",$E273=0),$F273,
$E273)))))</f>
        <v>0</v>
      </c>
      <c r="P273" s="113">
        <f>IFERROR(
IF(AND($E$2="Monthly",$A273&gt;12),0,
$O273*VLOOKUP($C273,'Employee information'!$B:$AI,COLUMNS('Employee information'!$B:$P),0)),
0)</f>
        <v>0</v>
      </c>
      <c r="R273" s="114">
        <f t="shared" si="275"/>
        <v>1615.3846153846152</v>
      </c>
      <c r="T273" s="103"/>
      <c r="U273" s="103"/>
      <c r="V273" s="282">
        <f>IF($C273="","",
IF(AND($E$2="Monthly",$A273&gt;12),"",
$T273*VLOOKUP($C273,'Employee information'!$B:$P,COLUMNS('Employee information'!$B:$P),0)))</f>
        <v>0</v>
      </c>
      <c r="W273" s="282">
        <f>IF($C273="","",
IF(AND($E$2="Monthly",$A273&gt;12),"",
$U273*VLOOKUP($C273,'Employee information'!$B:$P,COLUMNS('Employee information'!$B:$P),0)))</f>
        <v>0</v>
      </c>
      <c r="X273" s="114">
        <f t="shared" si="276"/>
        <v>0</v>
      </c>
      <c r="Y273" s="114">
        <f t="shared" si="277"/>
        <v>288.46153846153845</v>
      </c>
      <c r="AA273" s="118">
        <f>IFERROR(
IF(OR('Basic payroll data'!$D$12="",'Basic payroll data'!$D$12="No"),0,
$T273*VLOOKUP($C273,'Employee information'!$B:$P,COLUMNS('Employee information'!$B:$P),0)*AL_loading_perc),
0)</f>
        <v>0</v>
      </c>
      <c r="AC273" s="118"/>
      <c r="AD273" s="118"/>
      <c r="AE273" s="283" t="str">
        <f t="shared" ref="AE273:AE290" si="290">IF(LEFT($AD273,6)="Is OTE",1,
IF(LEFT($AD273,10)="Is not OTE",0,
""))</f>
        <v/>
      </c>
      <c r="AF273" s="283" t="str">
        <f t="shared" ref="AF273:AF290" si="291">IF(RIGHT($AD273,12)="tax withheld",1,
IF(RIGHT($AD273,16)="tax not withheld",0,
""))</f>
        <v/>
      </c>
      <c r="AG273" s="118"/>
      <c r="AH273" s="118"/>
      <c r="AI273" s="283" t="str">
        <f t="shared" ref="AI273:AI290" si="292">IF($AH273="FBT",0,
IF($AH273="Not FBT",1,
""))</f>
        <v/>
      </c>
      <c r="AJ273" s="118"/>
      <c r="AK273" s="118"/>
      <c r="AM273" s="118">
        <f t="shared" ref="AM273:AM290" si="293">SUM($L273,$AA273,$AC273,$AG273,$AK273)-$AJ273</f>
        <v>0</v>
      </c>
      <c r="AN273" s="118">
        <f t="shared" si="278"/>
        <v>0</v>
      </c>
      <c r="AO273" s="118" t="str">
        <f>IFERROR(
IF(VLOOKUP($C273,'Employee information'!$B:$M,COLUMNS('Employee information'!$B:$M),0)=1,
IF($E$2="Fortnightly",
ROUND(
ROUND((((TRUNC($AN273/2,0)+0.99))*VLOOKUP((TRUNC($AN273/2,0)+0.99),'Tax scales - NAT 1004'!$A$12:$C$18,2,1)-VLOOKUP((TRUNC($AN273/2,0)+0.99),'Tax scales - NAT 1004'!$A$12:$C$18,3,1)),0)
*2,
0),
IF(AND($E$2="Monthly",ROUND($AN273-TRUNC($AN273),2)=0.33),
ROUND(
ROUND(((TRUNC(($AN273+0.01)*3/13,0)+0.99)*VLOOKUP((TRUNC(($AN273+0.01)*3/13,0)+0.99),'Tax scales - NAT 1004'!$A$12:$C$18,2,1)-VLOOKUP((TRUNC(($AN273+0.01)*3/13,0)+0.99),'Tax scales - NAT 1004'!$A$12:$C$18,3,1)),0)
*13/3,
0),
IF($E$2="Monthly",
ROUND(
ROUND(((TRUNC($AN273*3/13,0)+0.99)*VLOOKUP((TRUNC($AN273*3/13,0)+0.99),'Tax scales - NAT 1004'!$A$12:$C$18,2,1)-VLOOKUP((TRUNC($AN273*3/13,0)+0.99),'Tax scales - NAT 1004'!$A$12:$C$18,3,1)),0)
*13/3,
0),
""))),
""),
"")</f>
        <v/>
      </c>
      <c r="AP273" s="118" t="str">
        <f>IFERROR(
IF(VLOOKUP($C273,'Employee information'!$B:$M,COLUMNS('Employee information'!$B:$M),0)=2,
IF($E$2="Fortnightly",
ROUND(
ROUND((((TRUNC($AN273/2,0)+0.99))*VLOOKUP((TRUNC($AN273/2,0)+0.99),'Tax scales - NAT 1004'!$A$25:$C$33,2,1)-VLOOKUP((TRUNC($AN273/2,0)+0.99),'Tax scales - NAT 1004'!$A$25:$C$33,3,1)),0)
*2,
0),
IF(AND($E$2="Monthly",ROUND($AN273-TRUNC($AN273),2)=0.33),
ROUND(
ROUND(((TRUNC(($AN273+0.01)*3/13,0)+0.99)*VLOOKUP((TRUNC(($AN273+0.01)*3/13,0)+0.99),'Tax scales - NAT 1004'!$A$25:$C$33,2,1)-VLOOKUP((TRUNC(($AN273+0.01)*3/13,0)+0.99),'Tax scales - NAT 1004'!$A$25:$C$33,3,1)),0)
*13/3,
0),
IF($E$2="Monthly",
ROUND(
ROUND(((TRUNC($AN273*3/13,0)+0.99)*VLOOKUP((TRUNC($AN273*3/13,0)+0.99),'Tax scales - NAT 1004'!$A$25:$C$33,2,1)-VLOOKUP((TRUNC($AN273*3/13,0)+0.99),'Tax scales - NAT 1004'!$A$25:$C$33,3,1)),0)
*13/3,
0),
""))),
""),
"")</f>
        <v/>
      </c>
      <c r="AQ273" s="118" t="str">
        <f>IFERROR(
IF(VLOOKUP($C273,'Employee information'!$B:$M,COLUMNS('Employee information'!$B:$M),0)=3,
IF($E$2="Fortnightly",
ROUND(
ROUND((((TRUNC($AN273/2,0)+0.99))*VLOOKUP((TRUNC($AN273/2,0)+0.99),'Tax scales - NAT 1004'!$A$39:$C$41,2,1)-VLOOKUP((TRUNC($AN273/2,0)+0.99),'Tax scales - NAT 1004'!$A$39:$C$41,3,1)),0)
*2,
0),
IF(AND($E$2="Monthly",ROUND($AN273-TRUNC($AN273),2)=0.33),
ROUND(
ROUND(((TRUNC(($AN273+0.01)*3/13,0)+0.99)*VLOOKUP((TRUNC(($AN273+0.01)*3/13,0)+0.99),'Tax scales - NAT 1004'!$A$39:$C$41,2,1)-VLOOKUP((TRUNC(($AN273+0.01)*3/13,0)+0.99),'Tax scales - NAT 1004'!$A$39:$C$41,3,1)),0)
*13/3,
0),
IF($E$2="Monthly",
ROUND(
ROUND(((TRUNC($AN273*3/13,0)+0.99)*VLOOKUP((TRUNC($AN273*3/13,0)+0.99),'Tax scales - NAT 1004'!$A$39:$C$41,2,1)-VLOOKUP((TRUNC($AN273*3/13,0)+0.99),'Tax scales - NAT 1004'!$A$39:$C$41,3,1)),0)
*13/3,
0),
""))),
""),
"")</f>
        <v/>
      </c>
      <c r="AR273" s="118" t="str">
        <f>IFERROR(
IF(AND(VLOOKUP($C273,'Employee information'!$B:$M,COLUMNS('Employee information'!$B:$M),0)=4,
VLOOKUP($C273,'Employee information'!$B:$J,COLUMNS('Employee information'!$B:$J),0)="Resident"),
TRUNC(TRUNC($AN273)*'Tax scales - NAT 1004'!$B$47),
IF(AND(VLOOKUP($C273,'Employee information'!$B:$M,COLUMNS('Employee information'!$B:$M),0)=4,
VLOOKUP($C273,'Employee information'!$B:$J,COLUMNS('Employee information'!$B:$J),0)="Foreign resident"),
TRUNC(TRUNC($AN273)*'Tax scales - NAT 1004'!$B$48),
"")),
"")</f>
        <v/>
      </c>
      <c r="AS273" s="118" t="str">
        <f>IFERROR(
IF(VLOOKUP($C273,'Employee information'!$B:$M,COLUMNS('Employee information'!$B:$M),0)=5,
IF($E$2="Fortnightly",
ROUND(
ROUND((((TRUNC($AN273/2,0)+0.99))*VLOOKUP((TRUNC($AN273/2,0)+0.99),'Tax scales - NAT 1004'!$A$53:$C$59,2,1)-VLOOKUP((TRUNC($AN273/2,0)+0.99),'Tax scales - NAT 1004'!$A$53:$C$59,3,1)),0)
*2,
0),
IF(AND($E$2="Monthly",ROUND($AN273-TRUNC($AN273),2)=0.33),
ROUND(
ROUND(((TRUNC(($AN273+0.01)*3/13,0)+0.99)*VLOOKUP((TRUNC(($AN273+0.01)*3/13,0)+0.99),'Tax scales - NAT 1004'!$A$53:$C$59,2,1)-VLOOKUP((TRUNC(($AN273+0.01)*3/13,0)+0.99),'Tax scales - NAT 1004'!$A$53:$C$59,3,1)),0)
*13/3,
0),
IF($E$2="Monthly",
ROUND(
ROUND(((TRUNC($AN273*3/13,0)+0.99)*VLOOKUP((TRUNC($AN273*3/13,0)+0.99),'Tax scales - NAT 1004'!$A$53:$C$59,2,1)-VLOOKUP((TRUNC($AN273*3/13,0)+0.99),'Tax scales - NAT 1004'!$A$53:$C$59,3,1)),0)
*13/3,
0),
""))),
""),
"")</f>
        <v/>
      </c>
      <c r="AT273" s="118" t="str">
        <f>IFERROR(
IF(VLOOKUP($C273,'Employee information'!$B:$M,COLUMNS('Employee information'!$B:$M),0)=6,
IF($E$2="Fortnightly",
ROUND(
ROUND((((TRUNC($AN273/2,0)+0.99))*VLOOKUP((TRUNC($AN273/2,0)+0.99),'Tax scales - NAT 1004'!$A$65:$C$73,2,1)-VLOOKUP((TRUNC($AN273/2,0)+0.99),'Tax scales - NAT 1004'!$A$65:$C$73,3,1)),0)
*2,
0),
IF(AND($E$2="Monthly",ROUND($AN273-TRUNC($AN273),2)=0.33),
ROUND(
ROUND(((TRUNC(($AN273+0.01)*3/13,0)+0.99)*VLOOKUP((TRUNC(($AN273+0.01)*3/13,0)+0.99),'Tax scales - NAT 1004'!$A$65:$C$73,2,1)-VLOOKUP((TRUNC(($AN273+0.01)*3/13,0)+0.99),'Tax scales - NAT 1004'!$A$65:$C$73,3,1)),0)
*13/3,
0),
IF($E$2="Monthly",
ROUND(
ROUND(((TRUNC($AN273*3/13,0)+0.99)*VLOOKUP((TRUNC($AN273*3/13,0)+0.99),'Tax scales - NAT 1004'!$A$65:$C$73,2,1)-VLOOKUP((TRUNC($AN273*3/13,0)+0.99),'Tax scales - NAT 1004'!$A$65:$C$73,3,1)),0)
*13/3,
0),
""))),
""),
"")</f>
        <v/>
      </c>
      <c r="AU273" s="118">
        <f>IFERROR(
IF(VLOOKUP($C273,'Employee information'!$B:$M,COLUMNS('Employee information'!$B:$M),0)=11,
IF($E$2="Fortnightly",
ROUND(
ROUND((((TRUNC($AN273/2,0)+0.99))*VLOOKUP((TRUNC($AN273/2,0)+0.99),'Tax scales - NAT 3539'!$A$14:$C$38,2,1)-VLOOKUP((TRUNC($AN273/2,0)+0.99),'Tax scales - NAT 3539'!$A$14:$C$38,3,1)),0)
*2,
0),
IF(AND($E$2="Monthly",ROUND($AN273-TRUNC($AN273),2)=0.33),
ROUND(
ROUND(((TRUNC(($AN273+0.01)*3/13,0)+0.99)*VLOOKUP((TRUNC(($AN273+0.01)*3/13,0)+0.99),'Tax scales - NAT 3539'!$A$14:$C$38,2,1)-VLOOKUP((TRUNC(($AN273+0.01)*3/13,0)+0.99),'Tax scales - NAT 3539'!$A$14:$C$38,3,1)),0)
*13/3,
0),
IF($E$2="Monthly",
ROUND(
ROUND(((TRUNC($AN273*3/13,0)+0.99)*VLOOKUP((TRUNC($AN273*3/13,0)+0.99),'Tax scales - NAT 3539'!$A$14:$C$38,2,1)-VLOOKUP((TRUNC($AN273*3/13,0)+0.99),'Tax scales - NAT 3539'!$A$14:$C$38,3,1)),0)
*13/3,
0),
""))),
""),
"")</f>
        <v>0</v>
      </c>
      <c r="AV273" s="118" t="str">
        <f>IFERROR(
IF(VLOOKUP($C273,'Employee information'!$B:$M,COLUMNS('Employee information'!$B:$M),0)=22,
IF($E$2="Fortnightly",
ROUND(
ROUND((((TRUNC($AN273/2,0)+0.99))*VLOOKUP((TRUNC($AN273/2,0)+0.99),'Tax scales - NAT 3539'!$A$43:$C$69,2,1)-VLOOKUP((TRUNC($AN273/2,0)+0.99),'Tax scales - NAT 3539'!$A$43:$C$69,3,1)),0)
*2,
0),
IF(AND($E$2="Monthly",ROUND($AN273-TRUNC($AN273),2)=0.33),
ROUND(
ROUND(((TRUNC(($AN273+0.01)*3/13,0)+0.99)*VLOOKUP((TRUNC(($AN273+0.01)*3/13,0)+0.99),'Tax scales - NAT 3539'!$A$43:$C$69,2,1)-VLOOKUP((TRUNC(($AN273+0.01)*3/13,0)+0.99),'Tax scales - NAT 3539'!$A$43:$C$69,3,1)),0)
*13/3,
0),
IF($E$2="Monthly",
ROUND(
ROUND(((TRUNC($AN273*3/13,0)+0.99)*VLOOKUP((TRUNC($AN273*3/13,0)+0.99),'Tax scales - NAT 3539'!$A$43:$C$69,2,1)-VLOOKUP((TRUNC($AN273*3/13,0)+0.99),'Tax scales - NAT 3539'!$A$43:$C$69,3,1)),0)
*13/3,
0),
""))),
""),
"")</f>
        <v/>
      </c>
      <c r="AW273" s="118" t="str">
        <f>IFERROR(
IF(VLOOKUP($C273,'Employee information'!$B:$M,COLUMNS('Employee information'!$B:$M),0)=33,
IF($E$2="Fortnightly",
ROUND(
ROUND((((TRUNC($AN273/2,0)+0.99))*VLOOKUP((TRUNC($AN273/2,0)+0.99),'Tax scales - NAT 3539'!$A$74:$C$94,2,1)-VLOOKUP((TRUNC($AN273/2,0)+0.99),'Tax scales - NAT 3539'!$A$74:$C$94,3,1)),0)
*2,
0),
IF(AND($E$2="Monthly",ROUND($AN273-TRUNC($AN273),2)=0.33),
ROUND(
ROUND(((TRUNC(($AN273+0.01)*3/13,0)+0.99)*VLOOKUP((TRUNC(($AN273+0.01)*3/13,0)+0.99),'Tax scales - NAT 3539'!$A$74:$C$94,2,1)-VLOOKUP((TRUNC(($AN273+0.01)*3/13,0)+0.99),'Tax scales - NAT 3539'!$A$74:$C$94,3,1)),0)
*13/3,
0),
IF($E$2="Monthly",
ROUND(
ROUND(((TRUNC($AN273*3/13,0)+0.99)*VLOOKUP((TRUNC($AN273*3/13,0)+0.99),'Tax scales - NAT 3539'!$A$74:$C$94,2,1)-VLOOKUP((TRUNC($AN273*3/13,0)+0.99),'Tax scales - NAT 3539'!$A$74:$C$94,3,1)),0)
*13/3,
0),
""))),
""),
"")</f>
        <v/>
      </c>
      <c r="AX273" s="118" t="str">
        <f>IFERROR(
IF(VLOOKUP($C273,'Employee information'!$B:$M,COLUMNS('Employee information'!$B:$M),0)=55,
IF($E$2="Fortnightly",
ROUND(
ROUND((((TRUNC($AN273/2,0)+0.99))*VLOOKUP((TRUNC($AN273/2,0)+0.99),'Tax scales - NAT 3539'!$A$99:$C$123,2,1)-VLOOKUP((TRUNC($AN273/2,0)+0.99),'Tax scales - NAT 3539'!$A$99:$C$123,3,1)),0)
*2,
0),
IF(AND($E$2="Monthly",ROUND($AN273-TRUNC($AN273),2)=0.33),
ROUND(
ROUND(((TRUNC(($AN273+0.01)*3/13,0)+0.99)*VLOOKUP((TRUNC(($AN273+0.01)*3/13,0)+0.99),'Tax scales - NAT 3539'!$A$99:$C$123,2,1)-VLOOKUP((TRUNC(($AN273+0.01)*3/13,0)+0.99),'Tax scales - NAT 3539'!$A$99:$C$123,3,1)),0)
*13/3,
0),
IF($E$2="Monthly",
ROUND(
ROUND(((TRUNC($AN273*3/13,0)+0.99)*VLOOKUP((TRUNC($AN273*3/13,0)+0.99),'Tax scales - NAT 3539'!$A$99:$C$123,2,1)-VLOOKUP((TRUNC($AN273*3/13,0)+0.99),'Tax scales - NAT 3539'!$A$99:$C$123,3,1)),0)
*13/3,
0),
""))),
""),
"")</f>
        <v/>
      </c>
      <c r="AY273" s="118" t="str">
        <f>IFERROR(
IF(VLOOKUP($C273,'Employee information'!$B:$M,COLUMNS('Employee information'!$B:$M),0)=66,
IF($E$2="Fortnightly",
ROUND(
ROUND((((TRUNC($AN273/2,0)+0.99))*VLOOKUP((TRUNC($AN273/2,0)+0.99),'Tax scales - NAT 3539'!$A$127:$C$154,2,1)-VLOOKUP((TRUNC($AN273/2,0)+0.99),'Tax scales - NAT 3539'!$A$127:$C$154,3,1)),0)
*2,
0),
IF(AND($E$2="Monthly",ROUND($AN273-TRUNC($AN273),2)=0.33),
ROUND(
ROUND(((TRUNC(($AN273+0.01)*3/13,0)+0.99)*VLOOKUP((TRUNC(($AN273+0.01)*3/13,0)+0.99),'Tax scales - NAT 3539'!$A$127:$C$154,2,1)-VLOOKUP((TRUNC(($AN273+0.01)*3/13,0)+0.99),'Tax scales - NAT 3539'!$A$127:$C$154,3,1)),0)
*13/3,
0),
IF($E$2="Monthly",
ROUND(
ROUND(((TRUNC($AN273*3/13,0)+0.99)*VLOOKUP((TRUNC($AN273*3/13,0)+0.99),'Tax scales - NAT 3539'!$A$127:$C$154,2,1)-VLOOKUP((TRUNC($AN273*3/13,0)+0.99),'Tax scales - NAT 3539'!$A$127:$C$154,3,1)),0)
*13/3,
0),
""))),
""),
"")</f>
        <v/>
      </c>
      <c r="AZ273" s="118">
        <f>IFERROR(
HLOOKUP(VLOOKUP($C273,'Employee information'!$B:$M,COLUMNS('Employee information'!$B:$M),0),'PAYG worksheet'!$AO$271:$AY$290,COUNTA($C$272:$C273)+1,0),
0)</f>
        <v>0</v>
      </c>
      <c r="BA273" s="118"/>
      <c r="BB273" s="118">
        <f t="shared" ref="BB273:BB290" si="294">IFERROR($AM273-$AZ273-$BA273,"")</f>
        <v>0</v>
      </c>
      <c r="BC273" s="119">
        <f>IFERROR(
IF(OR($AE273=1,$AE273=""),SUM($P273,$AA273,$AC273,$AK273)*VLOOKUP($C273,'Employee information'!$B:$Q,COLUMNS('Employee information'!$B:$H),0),
IF($AE273=0,SUM($P273,$AA273,$AK273)*VLOOKUP($C273,'Employee information'!$B:$Q,COLUMNS('Employee information'!$B:$H),0),
0)),
0)</f>
        <v>0</v>
      </c>
      <c r="BE273" s="114">
        <f t="shared" si="279"/>
        <v>1615.3846153846152</v>
      </c>
      <c r="BF273" s="114">
        <f t="shared" si="280"/>
        <v>1615.3846153846152</v>
      </c>
      <c r="BG273" s="114">
        <f t="shared" si="281"/>
        <v>0</v>
      </c>
      <c r="BH273" s="114">
        <f t="shared" si="282"/>
        <v>0</v>
      </c>
      <c r="BI273" s="114">
        <f t="shared" si="283"/>
        <v>474</v>
      </c>
      <c r="BJ273" s="114">
        <f t="shared" si="284"/>
        <v>0</v>
      </c>
      <c r="BK273" s="114">
        <f t="shared" si="285"/>
        <v>0</v>
      </c>
      <c r="BL273" s="114">
        <f t="shared" ref="BL273:BL290" si="295">IF(AND($E$2="Monthly",$A273&gt;12),"",
SUMIFS($AK:$AK,$C:$C,$C273,$A:$A,"&lt;="&amp;$A273)
)</f>
        <v>0</v>
      </c>
      <c r="BM273" s="114">
        <f t="shared" si="286"/>
        <v>153.46153846153845</v>
      </c>
    </row>
    <row r="274" spans="1:65" x14ac:dyDescent="0.25">
      <c r="A274" s="228">
        <f t="shared" si="274"/>
        <v>10</v>
      </c>
      <c r="C274" s="278" t="s">
        <v>14</v>
      </c>
      <c r="E274" s="103">
        <f>IF($C274="",0,
IF(AND($E$2="Monthly",$A274&gt;12),0,
IF($E$2="Monthly",VLOOKUP($C274,'Employee information'!$B:$AM,COLUMNS('Employee information'!$B:S),0),
IF($E$2="Fortnightly",VLOOKUP($C274,'Employee information'!$B:$AM,COLUMNS('Employee information'!$B:R),0),
0))))</f>
        <v>0</v>
      </c>
      <c r="F274" s="106"/>
      <c r="G274" s="106"/>
      <c r="H274" s="106"/>
      <c r="I274" s="106"/>
      <c r="J274" s="103">
        <f t="shared" si="287"/>
        <v>0</v>
      </c>
      <c r="L274" s="113">
        <f>IF(AND($E$2="Monthly",$A274&gt;12),"",
IFERROR($J274*VLOOKUP($C274,'Employee information'!$B:$AI,COLUMNS('Employee information'!$B:$P),0),0))</f>
        <v>0</v>
      </c>
      <c r="M274" s="114">
        <f t="shared" si="288"/>
        <v>900</v>
      </c>
      <c r="O274" s="103">
        <f t="shared" si="289"/>
        <v>0</v>
      </c>
      <c r="P274" s="113">
        <f>IFERROR(
IF(AND($E$2="Monthly",$A274&gt;12),0,
$O274*VLOOKUP($C274,'Employee information'!$B:$AI,COLUMNS('Employee information'!$B:$P),0)),
0)</f>
        <v>0</v>
      </c>
      <c r="R274" s="114">
        <f t="shared" si="275"/>
        <v>900</v>
      </c>
      <c r="T274" s="103"/>
      <c r="U274" s="103"/>
      <c r="V274" s="282">
        <f>IF($C274="","",
IF(AND($E$2="Monthly",$A274&gt;12),"",
$T274*VLOOKUP($C274,'Employee information'!$B:$P,COLUMNS('Employee information'!$B:$P),0)))</f>
        <v>0</v>
      </c>
      <c r="W274" s="282">
        <f>IF($C274="","",
IF(AND($E$2="Monthly",$A274&gt;12),"",
$U274*VLOOKUP($C274,'Employee information'!$B:$P,COLUMNS('Employee information'!$B:$P),0)))</f>
        <v>0</v>
      </c>
      <c r="X274" s="114">
        <f t="shared" si="276"/>
        <v>0</v>
      </c>
      <c r="Y274" s="114">
        <f t="shared" si="277"/>
        <v>0</v>
      </c>
      <c r="AA274" s="118">
        <f>IFERROR(
IF(OR('Basic payroll data'!$D$12="",'Basic payroll data'!$D$12="No"),0,
$T274*VLOOKUP($C274,'Employee information'!$B:$P,COLUMNS('Employee information'!$B:$P),0)*AL_loading_perc),
0)</f>
        <v>0</v>
      </c>
      <c r="AC274" s="118"/>
      <c r="AD274" s="118"/>
      <c r="AE274" s="283" t="str">
        <f t="shared" si="290"/>
        <v/>
      </c>
      <c r="AF274" s="283" t="str">
        <f t="shared" si="291"/>
        <v/>
      </c>
      <c r="AG274" s="118"/>
      <c r="AH274" s="118"/>
      <c r="AI274" s="283" t="str">
        <f t="shared" si="292"/>
        <v/>
      </c>
      <c r="AJ274" s="118"/>
      <c r="AK274" s="118"/>
      <c r="AM274" s="118">
        <f t="shared" si="293"/>
        <v>0</v>
      </c>
      <c r="AN274" s="118">
        <f t="shared" si="278"/>
        <v>0</v>
      </c>
      <c r="AO274" s="118" t="str">
        <f>IFERROR(
IF(VLOOKUP($C274,'Employee information'!$B:$M,COLUMNS('Employee information'!$B:$M),0)=1,
IF($E$2="Fortnightly",
ROUND(
ROUND((((TRUNC($AN274/2,0)+0.99))*VLOOKUP((TRUNC($AN274/2,0)+0.99),'Tax scales - NAT 1004'!$A$12:$C$18,2,1)-VLOOKUP((TRUNC($AN274/2,0)+0.99),'Tax scales - NAT 1004'!$A$12:$C$18,3,1)),0)
*2,
0),
IF(AND($E$2="Monthly",ROUND($AN274-TRUNC($AN274),2)=0.33),
ROUND(
ROUND(((TRUNC(($AN274+0.01)*3/13,0)+0.99)*VLOOKUP((TRUNC(($AN274+0.01)*3/13,0)+0.99),'Tax scales - NAT 1004'!$A$12:$C$18,2,1)-VLOOKUP((TRUNC(($AN274+0.01)*3/13,0)+0.99),'Tax scales - NAT 1004'!$A$12:$C$18,3,1)),0)
*13/3,
0),
IF($E$2="Monthly",
ROUND(
ROUND(((TRUNC($AN274*3/13,0)+0.99)*VLOOKUP((TRUNC($AN274*3/13,0)+0.99),'Tax scales - NAT 1004'!$A$12:$C$18,2,1)-VLOOKUP((TRUNC($AN274*3/13,0)+0.99),'Tax scales - NAT 1004'!$A$12:$C$18,3,1)),0)
*13/3,
0),
""))),
""),
"")</f>
        <v/>
      </c>
      <c r="AP274" s="118" t="str">
        <f>IFERROR(
IF(VLOOKUP($C274,'Employee information'!$B:$M,COLUMNS('Employee information'!$B:$M),0)=2,
IF($E$2="Fortnightly",
ROUND(
ROUND((((TRUNC($AN274/2,0)+0.99))*VLOOKUP((TRUNC($AN274/2,0)+0.99),'Tax scales - NAT 1004'!$A$25:$C$33,2,1)-VLOOKUP((TRUNC($AN274/2,0)+0.99),'Tax scales - NAT 1004'!$A$25:$C$33,3,1)),0)
*2,
0),
IF(AND($E$2="Monthly",ROUND($AN274-TRUNC($AN274),2)=0.33),
ROUND(
ROUND(((TRUNC(($AN274+0.01)*3/13,0)+0.99)*VLOOKUP((TRUNC(($AN274+0.01)*3/13,0)+0.99),'Tax scales - NAT 1004'!$A$25:$C$33,2,1)-VLOOKUP((TRUNC(($AN274+0.01)*3/13,0)+0.99),'Tax scales - NAT 1004'!$A$25:$C$33,3,1)),0)
*13/3,
0),
IF($E$2="Monthly",
ROUND(
ROUND(((TRUNC($AN274*3/13,0)+0.99)*VLOOKUP((TRUNC($AN274*3/13,0)+0.99),'Tax scales - NAT 1004'!$A$25:$C$33,2,1)-VLOOKUP((TRUNC($AN274*3/13,0)+0.99),'Tax scales - NAT 1004'!$A$25:$C$33,3,1)),0)
*13/3,
0),
""))),
""),
"")</f>
        <v/>
      </c>
      <c r="AQ274" s="118" t="str">
        <f>IFERROR(
IF(VLOOKUP($C274,'Employee information'!$B:$M,COLUMNS('Employee information'!$B:$M),0)=3,
IF($E$2="Fortnightly",
ROUND(
ROUND((((TRUNC($AN274/2,0)+0.99))*VLOOKUP((TRUNC($AN274/2,0)+0.99),'Tax scales - NAT 1004'!$A$39:$C$41,2,1)-VLOOKUP((TRUNC($AN274/2,0)+0.99),'Tax scales - NAT 1004'!$A$39:$C$41,3,1)),0)
*2,
0),
IF(AND($E$2="Monthly",ROUND($AN274-TRUNC($AN274),2)=0.33),
ROUND(
ROUND(((TRUNC(($AN274+0.01)*3/13,0)+0.99)*VLOOKUP((TRUNC(($AN274+0.01)*3/13,0)+0.99),'Tax scales - NAT 1004'!$A$39:$C$41,2,1)-VLOOKUP((TRUNC(($AN274+0.01)*3/13,0)+0.99),'Tax scales - NAT 1004'!$A$39:$C$41,3,1)),0)
*13/3,
0),
IF($E$2="Monthly",
ROUND(
ROUND(((TRUNC($AN274*3/13,0)+0.99)*VLOOKUP((TRUNC($AN274*3/13,0)+0.99),'Tax scales - NAT 1004'!$A$39:$C$41,2,1)-VLOOKUP((TRUNC($AN274*3/13,0)+0.99),'Tax scales - NAT 1004'!$A$39:$C$41,3,1)),0)
*13/3,
0),
""))),
""),
"")</f>
        <v/>
      </c>
      <c r="AR274" s="118" t="str">
        <f>IFERROR(
IF(AND(VLOOKUP($C274,'Employee information'!$B:$M,COLUMNS('Employee information'!$B:$M),0)=4,
VLOOKUP($C274,'Employee information'!$B:$J,COLUMNS('Employee information'!$B:$J),0)="Resident"),
TRUNC(TRUNC($AN274)*'Tax scales - NAT 1004'!$B$47),
IF(AND(VLOOKUP($C274,'Employee information'!$B:$M,COLUMNS('Employee information'!$B:$M),0)=4,
VLOOKUP($C274,'Employee information'!$B:$J,COLUMNS('Employee information'!$B:$J),0)="Foreign resident"),
TRUNC(TRUNC($AN274)*'Tax scales - NAT 1004'!$B$48),
"")),
"")</f>
        <v/>
      </c>
      <c r="AS274" s="118" t="str">
        <f>IFERROR(
IF(VLOOKUP($C274,'Employee information'!$B:$M,COLUMNS('Employee information'!$B:$M),0)=5,
IF($E$2="Fortnightly",
ROUND(
ROUND((((TRUNC($AN274/2,0)+0.99))*VLOOKUP((TRUNC($AN274/2,0)+0.99),'Tax scales - NAT 1004'!$A$53:$C$59,2,1)-VLOOKUP((TRUNC($AN274/2,0)+0.99),'Tax scales - NAT 1004'!$A$53:$C$59,3,1)),0)
*2,
0),
IF(AND($E$2="Monthly",ROUND($AN274-TRUNC($AN274),2)=0.33),
ROUND(
ROUND(((TRUNC(($AN274+0.01)*3/13,0)+0.99)*VLOOKUP((TRUNC(($AN274+0.01)*3/13,0)+0.99),'Tax scales - NAT 1004'!$A$53:$C$59,2,1)-VLOOKUP((TRUNC(($AN274+0.01)*3/13,0)+0.99),'Tax scales - NAT 1004'!$A$53:$C$59,3,1)),0)
*13/3,
0),
IF($E$2="Monthly",
ROUND(
ROUND(((TRUNC($AN274*3/13,0)+0.99)*VLOOKUP((TRUNC($AN274*3/13,0)+0.99),'Tax scales - NAT 1004'!$A$53:$C$59,2,1)-VLOOKUP((TRUNC($AN274*3/13,0)+0.99),'Tax scales - NAT 1004'!$A$53:$C$59,3,1)),0)
*13/3,
0),
""))),
""),
"")</f>
        <v/>
      </c>
      <c r="AT274" s="118" t="str">
        <f>IFERROR(
IF(VLOOKUP($C274,'Employee information'!$B:$M,COLUMNS('Employee information'!$B:$M),0)=6,
IF($E$2="Fortnightly",
ROUND(
ROUND((((TRUNC($AN274/2,0)+0.99))*VLOOKUP((TRUNC($AN274/2,0)+0.99),'Tax scales - NAT 1004'!$A$65:$C$73,2,1)-VLOOKUP((TRUNC($AN274/2,0)+0.99),'Tax scales - NAT 1004'!$A$65:$C$73,3,1)),0)
*2,
0),
IF(AND($E$2="Monthly",ROUND($AN274-TRUNC($AN274),2)=0.33),
ROUND(
ROUND(((TRUNC(($AN274+0.01)*3/13,0)+0.99)*VLOOKUP((TRUNC(($AN274+0.01)*3/13,0)+0.99),'Tax scales - NAT 1004'!$A$65:$C$73,2,1)-VLOOKUP((TRUNC(($AN274+0.01)*3/13,0)+0.99),'Tax scales - NAT 1004'!$A$65:$C$73,3,1)),0)
*13/3,
0),
IF($E$2="Monthly",
ROUND(
ROUND(((TRUNC($AN274*3/13,0)+0.99)*VLOOKUP((TRUNC($AN274*3/13,0)+0.99),'Tax scales - NAT 1004'!$A$65:$C$73,2,1)-VLOOKUP((TRUNC($AN274*3/13,0)+0.99),'Tax scales - NAT 1004'!$A$65:$C$73,3,1)),0)
*13/3,
0),
""))),
""),
"")</f>
        <v/>
      </c>
      <c r="AU274" s="118" t="str">
        <f>IFERROR(
IF(VLOOKUP($C274,'Employee information'!$B:$M,COLUMNS('Employee information'!$B:$M),0)=11,
IF($E$2="Fortnightly",
ROUND(
ROUND((((TRUNC($AN274/2,0)+0.99))*VLOOKUP((TRUNC($AN274/2,0)+0.99),'Tax scales - NAT 3539'!$A$14:$C$38,2,1)-VLOOKUP((TRUNC($AN274/2,0)+0.99),'Tax scales - NAT 3539'!$A$14:$C$38,3,1)),0)
*2,
0),
IF(AND($E$2="Monthly",ROUND($AN274-TRUNC($AN274),2)=0.33),
ROUND(
ROUND(((TRUNC(($AN274+0.01)*3/13,0)+0.99)*VLOOKUP((TRUNC(($AN274+0.01)*3/13,0)+0.99),'Tax scales - NAT 3539'!$A$14:$C$38,2,1)-VLOOKUP((TRUNC(($AN274+0.01)*3/13,0)+0.99),'Tax scales - NAT 3539'!$A$14:$C$38,3,1)),0)
*13/3,
0),
IF($E$2="Monthly",
ROUND(
ROUND(((TRUNC($AN274*3/13,0)+0.99)*VLOOKUP((TRUNC($AN274*3/13,0)+0.99),'Tax scales - NAT 3539'!$A$14:$C$38,2,1)-VLOOKUP((TRUNC($AN274*3/13,0)+0.99),'Tax scales - NAT 3539'!$A$14:$C$38,3,1)),0)
*13/3,
0),
""))),
""),
"")</f>
        <v/>
      </c>
      <c r="AV274" s="118" t="str">
        <f>IFERROR(
IF(VLOOKUP($C274,'Employee information'!$B:$M,COLUMNS('Employee information'!$B:$M),0)=22,
IF($E$2="Fortnightly",
ROUND(
ROUND((((TRUNC($AN274/2,0)+0.99))*VLOOKUP((TRUNC($AN274/2,0)+0.99),'Tax scales - NAT 3539'!$A$43:$C$69,2,1)-VLOOKUP((TRUNC($AN274/2,0)+0.99),'Tax scales - NAT 3539'!$A$43:$C$69,3,1)),0)
*2,
0),
IF(AND($E$2="Monthly",ROUND($AN274-TRUNC($AN274),2)=0.33),
ROUND(
ROUND(((TRUNC(($AN274+0.01)*3/13,0)+0.99)*VLOOKUP((TRUNC(($AN274+0.01)*3/13,0)+0.99),'Tax scales - NAT 3539'!$A$43:$C$69,2,1)-VLOOKUP((TRUNC(($AN274+0.01)*3/13,0)+0.99),'Tax scales - NAT 3539'!$A$43:$C$69,3,1)),0)
*13/3,
0),
IF($E$2="Monthly",
ROUND(
ROUND(((TRUNC($AN274*3/13,0)+0.99)*VLOOKUP((TRUNC($AN274*3/13,0)+0.99),'Tax scales - NAT 3539'!$A$43:$C$69,2,1)-VLOOKUP((TRUNC($AN274*3/13,0)+0.99),'Tax scales - NAT 3539'!$A$43:$C$69,3,1)),0)
*13/3,
0),
""))),
""),
"")</f>
        <v/>
      </c>
      <c r="AW274" s="118">
        <f>IFERROR(
IF(VLOOKUP($C274,'Employee information'!$B:$M,COLUMNS('Employee information'!$B:$M),0)=33,
IF($E$2="Fortnightly",
ROUND(
ROUND((((TRUNC($AN274/2,0)+0.99))*VLOOKUP((TRUNC($AN274/2,0)+0.99),'Tax scales - NAT 3539'!$A$74:$C$94,2,1)-VLOOKUP((TRUNC($AN274/2,0)+0.99),'Tax scales - NAT 3539'!$A$74:$C$94,3,1)),0)
*2,
0),
IF(AND($E$2="Monthly",ROUND($AN274-TRUNC($AN274),2)=0.33),
ROUND(
ROUND(((TRUNC(($AN274+0.01)*3/13,0)+0.99)*VLOOKUP((TRUNC(($AN274+0.01)*3/13,0)+0.99),'Tax scales - NAT 3539'!$A$74:$C$94,2,1)-VLOOKUP((TRUNC(($AN274+0.01)*3/13,0)+0.99),'Tax scales - NAT 3539'!$A$74:$C$94,3,1)),0)
*13/3,
0),
IF($E$2="Monthly",
ROUND(
ROUND(((TRUNC($AN274*3/13,0)+0.99)*VLOOKUP((TRUNC($AN274*3/13,0)+0.99),'Tax scales - NAT 3539'!$A$74:$C$94,2,1)-VLOOKUP((TRUNC($AN274*3/13,0)+0.99),'Tax scales - NAT 3539'!$A$74:$C$94,3,1)),0)
*13/3,
0),
""))),
""),
"")</f>
        <v>0</v>
      </c>
      <c r="AX274" s="118" t="str">
        <f>IFERROR(
IF(VLOOKUP($C274,'Employee information'!$B:$M,COLUMNS('Employee information'!$B:$M),0)=55,
IF($E$2="Fortnightly",
ROUND(
ROUND((((TRUNC($AN274/2,0)+0.99))*VLOOKUP((TRUNC($AN274/2,0)+0.99),'Tax scales - NAT 3539'!$A$99:$C$123,2,1)-VLOOKUP((TRUNC($AN274/2,0)+0.99),'Tax scales - NAT 3539'!$A$99:$C$123,3,1)),0)
*2,
0),
IF(AND($E$2="Monthly",ROUND($AN274-TRUNC($AN274),2)=0.33),
ROUND(
ROUND(((TRUNC(($AN274+0.01)*3/13,0)+0.99)*VLOOKUP((TRUNC(($AN274+0.01)*3/13,0)+0.99),'Tax scales - NAT 3539'!$A$99:$C$123,2,1)-VLOOKUP((TRUNC(($AN274+0.01)*3/13,0)+0.99),'Tax scales - NAT 3539'!$A$99:$C$123,3,1)),0)
*13/3,
0),
IF($E$2="Monthly",
ROUND(
ROUND(((TRUNC($AN274*3/13,0)+0.99)*VLOOKUP((TRUNC($AN274*3/13,0)+0.99),'Tax scales - NAT 3539'!$A$99:$C$123,2,1)-VLOOKUP((TRUNC($AN274*3/13,0)+0.99),'Tax scales - NAT 3539'!$A$99:$C$123,3,1)),0)
*13/3,
0),
""))),
""),
"")</f>
        <v/>
      </c>
      <c r="AY274" s="118" t="str">
        <f>IFERROR(
IF(VLOOKUP($C274,'Employee information'!$B:$M,COLUMNS('Employee information'!$B:$M),0)=66,
IF($E$2="Fortnightly",
ROUND(
ROUND((((TRUNC($AN274/2,0)+0.99))*VLOOKUP((TRUNC($AN274/2,0)+0.99),'Tax scales - NAT 3539'!$A$127:$C$154,2,1)-VLOOKUP((TRUNC($AN274/2,0)+0.99),'Tax scales - NAT 3539'!$A$127:$C$154,3,1)),0)
*2,
0),
IF(AND($E$2="Monthly",ROUND($AN274-TRUNC($AN274),2)=0.33),
ROUND(
ROUND(((TRUNC(($AN274+0.01)*3/13,0)+0.99)*VLOOKUP((TRUNC(($AN274+0.01)*3/13,0)+0.99),'Tax scales - NAT 3539'!$A$127:$C$154,2,1)-VLOOKUP((TRUNC(($AN274+0.01)*3/13,0)+0.99),'Tax scales - NAT 3539'!$A$127:$C$154,3,1)),0)
*13/3,
0),
IF($E$2="Monthly",
ROUND(
ROUND(((TRUNC($AN274*3/13,0)+0.99)*VLOOKUP((TRUNC($AN274*3/13,0)+0.99),'Tax scales - NAT 3539'!$A$127:$C$154,2,1)-VLOOKUP((TRUNC($AN274*3/13,0)+0.99),'Tax scales - NAT 3539'!$A$127:$C$154,3,1)),0)
*13/3,
0),
""))),
""),
"")</f>
        <v/>
      </c>
      <c r="AZ274" s="118">
        <f>IFERROR(
HLOOKUP(VLOOKUP($C274,'Employee information'!$B:$M,COLUMNS('Employee information'!$B:$M),0),'PAYG worksheet'!$AO$271:$AY$290,COUNTA($C$272:$C274)+1,0),
0)</f>
        <v>0</v>
      </c>
      <c r="BA274" s="118"/>
      <c r="BB274" s="118">
        <f t="shared" si="294"/>
        <v>0</v>
      </c>
      <c r="BC274" s="119">
        <f>IFERROR(
IF(OR($AE274=1,$AE274=""),SUM($P274,$AA274,$AC274,$AK274)*VLOOKUP($C274,'Employee information'!$B:$Q,COLUMNS('Employee information'!$B:$H),0),
IF($AE274=0,SUM($P274,$AA274,$AK274)*VLOOKUP($C274,'Employee information'!$B:$Q,COLUMNS('Employee information'!$B:$H),0),
0)),
0)</f>
        <v>0</v>
      </c>
      <c r="BE274" s="114">
        <f t="shared" si="279"/>
        <v>900</v>
      </c>
      <c r="BF274" s="114">
        <f t="shared" si="280"/>
        <v>900</v>
      </c>
      <c r="BG274" s="114">
        <f t="shared" si="281"/>
        <v>0</v>
      </c>
      <c r="BH274" s="114">
        <f t="shared" si="282"/>
        <v>0</v>
      </c>
      <c r="BI274" s="114">
        <f t="shared" si="283"/>
        <v>292</v>
      </c>
      <c r="BJ274" s="114">
        <f t="shared" si="284"/>
        <v>0</v>
      </c>
      <c r="BK274" s="114">
        <f t="shared" si="285"/>
        <v>0</v>
      </c>
      <c r="BL274" s="114">
        <f t="shared" si="295"/>
        <v>0</v>
      </c>
      <c r="BM274" s="114">
        <f t="shared" si="286"/>
        <v>85.5</v>
      </c>
    </row>
    <row r="275" spans="1:65" x14ac:dyDescent="0.25">
      <c r="A275" s="228">
        <f t="shared" si="274"/>
        <v>10</v>
      </c>
      <c r="C275" s="278" t="s">
        <v>15</v>
      </c>
      <c r="E275" s="103">
        <f>IF($C275="",0,
IF(AND($E$2="Monthly",$A275&gt;12),0,
IF($E$2="Monthly",VLOOKUP($C275,'Employee information'!$B:$AM,COLUMNS('Employee information'!$B:S),0),
IF($E$2="Fortnightly",VLOOKUP($C275,'Employee information'!$B:$AM,COLUMNS('Employee information'!$B:R),0),
0))))</f>
        <v>75</v>
      </c>
      <c r="F275" s="106"/>
      <c r="G275" s="106"/>
      <c r="H275" s="106"/>
      <c r="I275" s="106"/>
      <c r="J275" s="103">
        <f t="shared" si="287"/>
        <v>75</v>
      </c>
      <c r="L275" s="113">
        <f>IF(AND($E$2="Monthly",$A275&gt;12),"",
IFERROR($J275*VLOOKUP($C275,'Employee information'!$B:$AI,COLUMNS('Employee information'!$B:$P),0),0))</f>
        <v>7692.3076923076924</v>
      </c>
      <c r="M275" s="114">
        <f t="shared" si="288"/>
        <v>76923.076923076922</v>
      </c>
      <c r="O275" s="103">
        <f t="shared" si="289"/>
        <v>75</v>
      </c>
      <c r="P275" s="113">
        <f>IFERROR(
IF(AND($E$2="Monthly",$A275&gt;12),0,
$O275*VLOOKUP($C275,'Employee information'!$B:$AI,COLUMNS('Employee information'!$B:$P),0)),
0)</f>
        <v>7692.3076923076924</v>
      </c>
      <c r="R275" s="114">
        <f t="shared" si="275"/>
        <v>76923.076923076922</v>
      </c>
      <c r="T275" s="103"/>
      <c r="U275" s="103"/>
      <c r="V275" s="282">
        <f>IF($C275="","",
IF(AND($E$2="Monthly",$A275&gt;12),"",
$T275*VLOOKUP($C275,'Employee information'!$B:$P,COLUMNS('Employee information'!$B:$P),0)))</f>
        <v>0</v>
      </c>
      <c r="W275" s="282">
        <f>IF($C275="","",
IF(AND($E$2="Monthly",$A275&gt;12),"",
$U275*VLOOKUP($C275,'Employee information'!$B:$P,COLUMNS('Employee information'!$B:$P),0)))</f>
        <v>0</v>
      </c>
      <c r="X275" s="114">
        <f t="shared" si="276"/>
        <v>1538.4615384615386</v>
      </c>
      <c r="Y275" s="114">
        <f t="shared" si="277"/>
        <v>512.82051282051282</v>
      </c>
      <c r="AA275" s="118">
        <f>IFERROR(
IF(OR('Basic payroll data'!$D$12="",'Basic payroll data'!$D$12="No"),0,
$T275*VLOOKUP($C275,'Employee information'!$B:$P,COLUMNS('Employee information'!$B:$P),0)*AL_loading_perc),
0)</f>
        <v>0</v>
      </c>
      <c r="AC275" s="118"/>
      <c r="AD275" s="118"/>
      <c r="AE275" s="283" t="str">
        <f t="shared" si="290"/>
        <v/>
      </c>
      <c r="AF275" s="283" t="str">
        <f t="shared" si="291"/>
        <v/>
      </c>
      <c r="AG275" s="118"/>
      <c r="AH275" s="118"/>
      <c r="AI275" s="283" t="str">
        <f t="shared" si="292"/>
        <v/>
      </c>
      <c r="AJ275" s="118"/>
      <c r="AK275" s="118"/>
      <c r="AM275" s="118">
        <f t="shared" si="293"/>
        <v>7692.3076923076924</v>
      </c>
      <c r="AN275" s="118">
        <f t="shared" si="278"/>
        <v>7692.3076923076924</v>
      </c>
      <c r="AO275" s="118" t="str">
        <f>IFERROR(
IF(VLOOKUP($C275,'Employee information'!$B:$M,COLUMNS('Employee information'!$B:$M),0)=1,
IF($E$2="Fortnightly",
ROUND(
ROUND((((TRUNC($AN275/2,0)+0.99))*VLOOKUP((TRUNC($AN275/2,0)+0.99),'Tax scales - NAT 1004'!$A$12:$C$18,2,1)-VLOOKUP((TRUNC($AN275/2,0)+0.99),'Tax scales - NAT 1004'!$A$12:$C$18,3,1)),0)
*2,
0),
IF(AND($E$2="Monthly",ROUND($AN275-TRUNC($AN275),2)=0.33),
ROUND(
ROUND(((TRUNC(($AN275+0.01)*3/13,0)+0.99)*VLOOKUP((TRUNC(($AN275+0.01)*3/13,0)+0.99),'Tax scales - NAT 1004'!$A$12:$C$18,2,1)-VLOOKUP((TRUNC(($AN275+0.01)*3/13,0)+0.99),'Tax scales - NAT 1004'!$A$12:$C$18,3,1)),0)
*13/3,
0),
IF($E$2="Monthly",
ROUND(
ROUND(((TRUNC($AN275*3/13,0)+0.99)*VLOOKUP((TRUNC($AN275*3/13,0)+0.99),'Tax scales - NAT 1004'!$A$12:$C$18,2,1)-VLOOKUP((TRUNC($AN275*3/13,0)+0.99),'Tax scales - NAT 1004'!$A$12:$C$18,3,1)),0)
*13/3,
0),
""))),
""),
"")</f>
        <v/>
      </c>
      <c r="AP275" s="118" t="str">
        <f>IFERROR(
IF(VLOOKUP($C275,'Employee information'!$B:$M,COLUMNS('Employee information'!$B:$M),0)=2,
IF($E$2="Fortnightly",
ROUND(
ROUND((((TRUNC($AN275/2,0)+0.99))*VLOOKUP((TRUNC($AN275/2,0)+0.99),'Tax scales - NAT 1004'!$A$25:$C$33,2,1)-VLOOKUP((TRUNC($AN275/2,0)+0.99),'Tax scales - NAT 1004'!$A$25:$C$33,3,1)),0)
*2,
0),
IF(AND($E$2="Monthly",ROUND($AN275-TRUNC($AN275),2)=0.33),
ROUND(
ROUND(((TRUNC(($AN275+0.01)*3/13,0)+0.99)*VLOOKUP((TRUNC(($AN275+0.01)*3/13,0)+0.99),'Tax scales - NAT 1004'!$A$25:$C$33,2,1)-VLOOKUP((TRUNC(($AN275+0.01)*3/13,0)+0.99),'Tax scales - NAT 1004'!$A$25:$C$33,3,1)),0)
*13/3,
0),
IF($E$2="Monthly",
ROUND(
ROUND(((TRUNC($AN275*3/13,0)+0.99)*VLOOKUP((TRUNC($AN275*3/13,0)+0.99),'Tax scales - NAT 1004'!$A$25:$C$33,2,1)-VLOOKUP((TRUNC($AN275*3/13,0)+0.99),'Tax scales - NAT 1004'!$A$25:$C$33,3,1)),0)
*13/3,
0),
""))),
""),
"")</f>
        <v/>
      </c>
      <c r="AQ275" s="118" t="str">
        <f>IFERROR(
IF(VLOOKUP($C275,'Employee information'!$B:$M,COLUMNS('Employee information'!$B:$M),0)=3,
IF($E$2="Fortnightly",
ROUND(
ROUND((((TRUNC($AN275/2,0)+0.99))*VLOOKUP((TRUNC($AN275/2,0)+0.99),'Tax scales - NAT 1004'!$A$39:$C$41,2,1)-VLOOKUP((TRUNC($AN275/2,0)+0.99),'Tax scales - NAT 1004'!$A$39:$C$41,3,1)),0)
*2,
0),
IF(AND($E$2="Monthly",ROUND($AN275-TRUNC($AN275),2)=0.33),
ROUND(
ROUND(((TRUNC(($AN275+0.01)*3/13,0)+0.99)*VLOOKUP((TRUNC(($AN275+0.01)*3/13,0)+0.99),'Tax scales - NAT 1004'!$A$39:$C$41,2,1)-VLOOKUP((TRUNC(($AN275+0.01)*3/13,0)+0.99),'Tax scales - NAT 1004'!$A$39:$C$41,3,1)),0)
*13/3,
0),
IF($E$2="Monthly",
ROUND(
ROUND(((TRUNC($AN275*3/13,0)+0.99)*VLOOKUP((TRUNC($AN275*3/13,0)+0.99),'Tax scales - NAT 1004'!$A$39:$C$41,2,1)-VLOOKUP((TRUNC($AN275*3/13,0)+0.99),'Tax scales - NAT 1004'!$A$39:$C$41,3,1)),0)
*13/3,
0),
""))),
""),
"")</f>
        <v/>
      </c>
      <c r="AR275" s="118" t="str">
        <f>IFERROR(
IF(AND(VLOOKUP($C275,'Employee information'!$B:$M,COLUMNS('Employee information'!$B:$M),0)=4,
VLOOKUP($C275,'Employee information'!$B:$J,COLUMNS('Employee information'!$B:$J),0)="Resident"),
TRUNC(TRUNC($AN275)*'Tax scales - NAT 1004'!$B$47),
IF(AND(VLOOKUP($C275,'Employee information'!$B:$M,COLUMNS('Employee information'!$B:$M),0)=4,
VLOOKUP($C275,'Employee information'!$B:$J,COLUMNS('Employee information'!$B:$J),0)="Foreign resident"),
TRUNC(TRUNC($AN275)*'Tax scales - NAT 1004'!$B$48),
"")),
"")</f>
        <v/>
      </c>
      <c r="AS275" s="118" t="str">
        <f>IFERROR(
IF(VLOOKUP($C275,'Employee information'!$B:$M,COLUMNS('Employee information'!$B:$M),0)=5,
IF($E$2="Fortnightly",
ROUND(
ROUND((((TRUNC($AN275/2,0)+0.99))*VLOOKUP((TRUNC($AN275/2,0)+0.99),'Tax scales - NAT 1004'!$A$53:$C$59,2,1)-VLOOKUP((TRUNC($AN275/2,0)+0.99),'Tax scales - NAT 1004'!$A$53:$C$59,3,1)),0)
*2,
0),
IF(AND($E$2="Monthly",ROUND($AN275-TRUNC($AN275),2)=0.33),
ROUND(
ROUND(((TRUNC(($AN275+0.01)*3/13,0)+0.99)*VLOOKUP((TRUNC(($AN275+0.01)*3/13,0)+0.99),'Tax scales - NAT 1004'!$A$53:$C$59,2,1)-VLOOKUP((TRUNC(($AN275+0.01)*3/13,0)+0.99),'Tax scales - NAT 1004'!$A$53:$C$59,3,1)),0)
*13/3,
0),
IF($E$2="Monthly",
ROUND(
ROUND(((TRUNC($AN275*3/13,0)+0.99)*VLOOKUP((TRUNC($AN275*3/13,0)+0.99),'Tax scales - NAT 1004'!$A$53:$C$59,2,1)-VLOOKUP((TRUNC($AN275*3/13,0)+0.99),'Tax scales - NAT 1004'!$A$53:$C$59,3,1)),0)
*13/3,
0),
""))),
""),
"")</f>
        <v/>
      </c>
      <c r="AT275" s="118" t="str">
        <f>IFERROR(
IF(VLOOKUP($C275,'Employee information'!$B:$M,COLUMNS('Employee information'!$B:$M),0)=6,
IF($E$2="Fortnightly",
ROUND(
ROUND((((TRUNC($AN275/2,0)+0.99))*VLOOKUP((TRUNC($AN275/2,0)+0.99),'Tax scales - NAT 1004'!$A$65:$C$73,2,1)-VLOOKUP((TRUNC($AN275/2,0)+0.99),'Tax scales - NAT 1004'!$A$65:$C$73,3,1)),0)
*2,
0),
IF(AND($E$2="Monthly",ROUND($AN275-TRUNC($AN275),2)=0.33),
ROUND(
ROUND(((TRUNC(($AN275+0.01)*3/13,0)+0.99)*VLOOKUP((TRUNC(($AN275+0.01)*3/13,0)+0.99),'Tax scales - NAT 1004'!$A$65:$C$73,2,1)-VLOOKUP((TRUNC(($AN275+0.01)*3/13,0)+0.99),'Tax scales - NAT 1004'!$A$65:$C$73,3,1)),0)
*13/3,
0),
IF($E$2="Monthly",
ROUND(
ROUND(((TRUNC($AN275*3/13,0)+0.99)*VLOOKUP((TRUNC($AN275*3/13,0)+0.99),'Tax scales - NAT 1004'!$A$65:$C$73,2,1)-VLOOKUP((TRUNC($AN275*3/13,0)+0.99),'Tax scales - NAT 1004'!$A$65:$C$73,3,1)),0)
*13/3,
0),
""))),
""),
"")</f>
        <v/>
      </c>
      <c r="AU275" s="118" t="str">
        <f>IFERROR(
IF(VLOOKUP($C275,'Employee information'!$B:$M,COLUMNS('Employee information'!$B:$M),0)=11,
IF($E$2="Fortnightly",
ROUND(
ROUND((((TRUNC($AN275/2,0)+0.99))*VLOOKUP((TRUNC($AN275/2,0)+0.99),'Tax scales - NAT 3539'!$A$14:$C$38,2,1)-VLOOKUP((TRUNC($AN275/2,0)+0.99),'Tax scales - NAT 3539'!$A$14:$C$38,3,1)),0)
*2,
0),
IF(AND($E$2="Monthly",ROUND($AN275-TRUNC($AN275),2)=0.33),
ROUND(
ROUND(((TRUNC(($AN275+0.01)*3/13,0)+0.99)*VLOOKUP((TRUNC(($AN275+0.01)*3/13,0)+0.99),'Tax scales - NAT 3539'!$A$14:$C$38,2,1)-VLOOKUP((TRUNC(($AN275+0.01)*3/13,0)+0.99),'Tax scales - NAT 3539'!$A$14:$C$38,3,1)),0)
*13/3,
0),
IF($E$2="Monthly",
ROUND(
ROUND(((TRUNC($AN275*3/13,0)+0.99)*VLOOKUP((TRUNC($AN275*3/13,0)+0.99),'Tax scales - NAT 3539'!$A$14:$C$38,2,1)-VLOOKUP((TRUNC($AN275*3/13,0)+0.99),'Tax scales - NAT 3539'!$A$14:$C$38,3,1)),0)
*13/3,
0),
""))),
""),
"")</f>
        <v/>
      </c>
      <c r="AV275" s="118" t="str">
        <f>IFERROR(
IF(VLOOKUP($C275,'Employee information'!$B:$M,COLUMNS('Employee information'!$B:$M),0)=22,
IF($E$2="Fortnightly",
ROUND(
ROUND((((TRUNC($AN275/2,0)+0.99))*VLOOKUP((TRUNC($AN275/2,0)+0.99),'Tax scales - NAT 3539'!$A$43:$C$69,2,1)-VLOOKUP((TRUNC($AN275/2,0)+0.99),'Tax scales - NAT 3539'!$A$43:$C$69,3,1)),0)
*2,
0),
IF(AND($E$2="Monthly",ROUND($AN275-TRUNC($AN275),2)=0.33),
ROUND(
ROUND(((TRUNC(($AN275+0.01)*3/13,0)+0.99)*VLOOKUP((TRUNC(($AN275+0.01)*3/13,0)+0.99),'Tax scales - NAT 3539'!$A$43:$C$69,2,1)-VLOOKUP((TRUNC(($AN275+0.01)*3/13,0)+0.99),'Tax scales - NAT 3539'!$A$43:$C$69,3,1)),0)
*13/3,
0),
IF($E$2="Monthly",
ROUND(
ROUND(((TRUNC($AN275*3/13,0)+0.99)*VLOOKUP((TRUNC($AN275*3/13,0)+0.99),'Tax scales - NAT 3539'!$A$43:$C$69,2,1)-VLOOKUP((TRUNC($AN275*3/13,0)+0.99),'Tax scales - NAT 3539'!$A$43:$C$69,3,1)),0)
*13/3,
0),
""))),
""),
"")</f>
        <v/>
      </c>
      <c r="AW275" s="118" t="str">
        <f>IFERROR(
IF(VLOOKUP($C275,'Employee information'!$B:$M,COLUMNS('Employee information'!$B:$M),0)=33,
IF($E$2="Fortnightly",
ROUND(
ROUND((((TRUNC($AN275/2,0)+0.99))*VLOOKUP((TRUNC($AN275/2,0)+0.99),'Tax scales - NAT 3539'!$A$74:$C$94,2,1)-VLOOKUP((TRUNC($AN275/2,0)+0.99),'Tax scales - NAT 3539'!$A$74:$C$94,3,1)),0)
*2,
0),
IF(AND($E$2="Monthly",ROUND($AN275-TRUNC($AN275),2)=0.33),
ROUND(
ROUND(((TRUNC(($AN275+0.01)*3/13,0)+0.99)*VLOOKUP((TRUNC(($AN275+0.01)*3/13,0)+0.99),'Tax scales - NAT 3539'!$A$74:$C$94,2,1)-VLOOKUP((TRUNC(($AN275+0.01)*3/13,0)+0.99),'Tax scales - NAT 3539'!$A$74:$C$94,3,1)),0)
*13/3,
0),
IF($E$2="Monthly",
ROUND(
ROUND(((TRUNC($AN275*3/13,0)+0.99)*VLOOKUP((TRUNC($AN275*3/13,0)+0.99),'Tax scales - NAT 3539'!$A$74:$C$94,2,1)-VLOOKUP((TRUNC($AN275*3/13,0)+0.99),'Tax scales - NAT 3539'!$A$74:$C$94,3,1)),0)
*13/3,
0),
""))),
""),
"")</f>
        <v/>
      </c>
      <c r="AX275" s="118">
        <f>IFERROR(
IF(VLOOKUP($C275,'Employee information'!$B:$M,COLUMNS('Employee information'!$B:$M),0)=55,
IF($E$2="Fortnightly",
ROUND(
ROUND((((TRUNC($AN275/2,0)+0.99))*VLOOKUP((TRUNC($AN275/2,0)+0.99),'Tax scales - NAT 3539'!$A$99:$C$123,2,1)-VLOOKUP((TRUNC($AN275/2,0)+0.99),'Tax scales - NAT 3539'!$A$99:$C$123,3,1)),0)
*2,
0),
IF(AND($E$2="Monthly",ROUND($AN275-TRUNC($AN275),2)=0.33),
ROUND(
ROUND(((TRUNC(($AN275+0.01)*3/13,0)+0.99)*VLOOKUP((TRUNC(($AN275+0.01)*3/13,0)+0.99),'Tax scales - NAT 3539'!$A$99:$C$123,2,1)-VLOOKUP((TRUNC(($AN275+0.01)*3/13,0)+0.99),'Tax scales - NAT 3539'!$A$99:$C$123,3,1)),0)
*13/3,
0),
IF($E$2="Monthly",
ROUND(
ROUND(((TRUNC($AN275*3/13,0)+0.99)*VLOOKUP((TRUNC($AN275*3/13,0)+0.99),'Tax scales - NAT 3539'!$A$99:$C$123,2,1)-VLOOKUP((TRUNC($AN275*3/13,0)+0.99),'Tax scales - NAT 3539'!$A$99:$C$123,3,1)),0)
*13/3,
0),
""))),
""),
"")</f>
        <v>3104</v>
      </c>
      <c r="AY275" s="118" t="str">
        <f>IFERROR(
IF(VLOOKUP($C275,'Employee information'!$B:$M,COLUMNS('Employee information'!$B:$M),0)=66,
IF($E$2="Fortnightly",
ROUND(
ROUND((((TRUNC($AN275/2,0)+0.99))*VLOOKUP((TRUNC($AN275/2,0)+0.99),'Tax scales - NAT 3539'!$A$127:$C$154,2,1)-VLOOKUP((TRUNC($AN275/2,0)+0.99),'Tax scales - NAT 3539'!$A$127:$C$154,3,1)),0)
*2,
0),
IF(AND($E$2="Monthly",ROUND($AN275-TRUNC($AN275),2)=0.33),
ROUND(
ROUND(((TRUNC(($AN275+0.01)*3/13,0)+0.99)*VLOOKUP((TRUNC(($AN275+0.01)*3/13,0)+0.99),'Tax scales - NAT 3539'!$A$127:$C$154,2,1)-VLOOKUP((TRUNC(($AN275+0.01)*3/13,0)+0.99),'Tax scales - NAT 3539'!$A$127:$C$154,3,1)),0)
*13/3,
0),
IF($E$2="Monthly",
ROUND(
ROUND(((TRUNC($AN275*3/13,0)+0.99)*VLOOKUP((TRUNC($AN275*3/13,0)+0.99),'Tax scales - NAT 3539'!$A$127:$C$154,2,1)-VLOOKUP((TRUNC($AN275*3/13,0)+0.99),'Tax scales - NAT 3539'!$A$127:$C$154,3,1)),0)
*13/3,
0),
""))),
""),
"")</f>
        <v/>
      </c>
      <c r="AZ275" s="118">
        <f>IFERROR(
HLOOKUP(VLOOKUP($C275,'Employee information'!$B:$M,COLUMNS('Employee information'!$B:$M),0),'PAYG worksheet'!$AO$271:$AY$290,COUNTA($C$272:$C275)+1,0),
0)</f>
        <v>3104</v>
      </c>
      <c r="BA275" s="118"/>
      <c r="BB275" s="118">
        <f t="shared" si="294"/>
        <v>4588.3076923076924</v>
      </c>
      <c r="BC275" s="119">
        <f>IFERROR(
IF(OR($AE275=1,$AE275=""),SUM($P275,$AA275,$AC275,$AK275)*VLOOKUP($C275,'Employee information'!$B:$Q,COLUMNS('Employee information'!$B:$H),0),
IF($AE275=0,SUM($P275,$AA275,$AK275)*VLOOKUP($C275,'Employee information'!$B:$Q,COLUMNS('Employee information'!$B:$H),0),
0)),
0)</f>
        <v>730.76923076923083</v>
      </c>
      <c r="BE275" s="114">
        <f t="shared" si="279"/>
        <v>77063.076923076922</v>
      </c>
      <c r="BF275" s="114">
        <f t="shared" si="280"/>
        <v>76923.076923076922</v>
      </c>
      <c r="BG275" s="114">
        <f t="shared" si="281"/>
        <v>0</v>
      </c>
      <c r="BH275" s="114">
        <f t="shared" si="282"/>
        <v>140</v>
      </c>
      <c r="BI275" s="114">
        <f t="shared" si="283"/>
        <v>31040</v>
      </c>
      <c r="BJ275" s="114">
        <f t="shared" si="284"/>
        <v>0</v>
      </c>
      <c r="BK275" s="114">
        <f t="shared" si="285"/>
        <v>0</v>
      </c>
      <c r="BL275" s="114">
        <f t="shared" si="295"/>
        <v>0</v>
      </c>
      <c r="BM275" s="114">
        <f t="shared" si="286"/>
        <v>7307.6923076923067</v>
      </c>
    </row>
    <row r="276" spans="1:65" x14ac:dyDescent="0.25">
      <c r="A276" s="228">
        <f t="shared" si="274"/>
        <v>10</v>
      </c>
      <c r="C276" s="278" t="s">
        <v>16</v>
      </c>
      <c r="E276" s="103">
        <f>IF($C276="",0,
IF(AND($E$2="Monthly",$A276&gt;12),0,
IF($E$2="Monthly",VLOOKUP($C276,'Employee information'!$B:$AM,COLUMNS('Employee information'!$B:S),0),
IF($E$2="Fortnightly",VLOOKUP($C276,'Employee information'!$B:$AM,COLUMNS('Employee information'!$B:R),0),
0))))</f>
        <v>75</v>
      </c>
      <c r="F276" s="106"/>
      <c r="G276" s="106"/>
      <c r="H276" s="106"/>
      <c r="I276" s="106"/>
      <c r="J276" s="103">
        <f t="shared" si="287"/>
        <v>75</v>
      </c>
      <c r="L276" s="113">
        <f>IF(AND($E$2="Monthly",$A276&gt;12),"",
IFERROR($J276*VLOOKUP($C276,'Employee information'!$B:$AI,COLUMNS('Employee information'!$B:$P),0),0))</f>
        <v>4125</v>
      </c>
      <c r="M276" s="114">
        <f t="shared" si="288"/>
        <v>41250</v>
      </c>
      <c r="O276" s="103">
        <f t="shared" si="289"/>
        <v>75</v>
      </c>
      <c r="P276" s="113">
        <f>IFERROR(
IF(AND($E$2="Monthly",$A276&gt;12),0,
$O276*VLOOKUP($C276,'Employee information'!$B:$AI,COLUMNS('Employee information'!$B:$P),0)),
0)</f>
        <v>4125</v>
      </c>
      <c r="R276" s="114">
        <f t="shared" si="275"/>
        <v>41250</v>
      </c>
      <c r="T276" s="103"/>
      <c r="U276" s="103"/>
      <c r="V276" s="282">
        <f>IF($C276="","",
IF(AND($E$2="Monthly",$A276&gt;12),"",
$T276*VLOOKUP($C276,'Employee information'!$B:$P,COLUMNS('Employee information'!$B:$P),0)))</f>
        <v>0</v>
      </c>
      <c r="W276" s="282">
        <f>IF($C276="","",
IF(AND($E$2="Monthly",$A276&gt;12),"",
$U276*VLOOKUP($C276,'Employee information'!$B:$P,COLUMNS('Employee information'!$B:$P),0)))</f>
        <v>0</v>
      </c>
      <c r="X276" s="114">
        <f t="shared" si="276"/>
        <v>0</v>
      </c>
      <c r="Y276" s="114">
        <f t="shared" si="277"/>
        <v>0</v>
      </c>
      <c r="AA276" s="118">
        <f>IFERROR(
IF(OR('Basic payroll data'!$D$12="",'Basic payroll data'!$D$12="No"),0,
$T276*VLOOKUP($C276,'Employee information'!$B:$P,COLUMNS('Employee information'!$B:$P),0)*AL_loading_perc),
0)</f>
        <v>0</v>
      </c>
      <c r="AC276" s="118"/>
      <c r="AD276" s="118"/>
      <c r="AE276" s="283" t="str">
        <f t="shared" si="290"/>
        <v/>
      </c>
      <c r="AF276" s="283" t="str">
        <f t="shared" si="291"/>
        <v/>
      </c>
      <c r="AG276" s="118"/>
      <c r="AH276" s="118"/>
      <c r="AI276" s="283" t="str">
        <f t="shared" si="292"/>
        <v/>
      </c>
      <c r="AJ276" s="118"/>
      <c r="AK276" s="118"/>
      <c r="AM276" s="118">
        <f t="shared" si="293"/>
        <v>4125</v>
      </c>
      <c r="AN276" s="118">
        <f t="shared" si="278"/>
        <v>4125</v>
      </c>
      <c r="AO276" s="118" t="str">
        <f>IFERROR(
IF(VLOOKUP($C276,'Employee information'!$B:$M,COLUMNS('Employee information'!$B:$M),0)=1,
IF($E$2="Fortnightly",
ROUND(
ROUND((((TRUNC($AN276/2,0)+0.99))*VLOOKUP((TRUNC($AN276/2,0)+0.99),'Tax scales - NAT 1004'!$A$12:$C$18,2,1)-VLOOKUP((TRUNC($AN276/2,0)+0.99),'Tax scales - NAT 1004'!$A$12:$C$18,3,1)),0)
*2,
0),
IF(AND($E$2="Monthly",ROUND($AN276-TRUNC($AN276),2)=0.33),
ROUND(
ROUND(((TRUNC(($AN276+0.01)*3/13,0)+0.99)*VLOOKUP((TRUNC(($AN276+0.01)*3/13,0)+0.99),'Tax scales - NAT 1004'!$A$12:$C$18,2,1)-VLOOKUP((TRUNC(($AN276+0.01)*3/13,0)+0.99),'Tax scales - NAT 1004'!$A$12:$C$18,3,1)),0)
*13/3,
0),
IF($E$2="Monthly",
ROUND(
ROUND(((TRUNC($AN276*3/13,0)+0.99)*VLOOKUP((TRUNC($AN276*3/13,0)+0.99),'Tax scales - NAT 1004'!$A$12:$C$18,2,1)-VLOOKUP((TRUNC($AN276*3/13,0)+0.99),'Tax scales - NAT 1004'!$A$12:$C$18,3,1)),0)
*13/3,
0),
""))),
""),
"")</f>
        <v/>
      </c>
      <c r="AP276" s="118" t="str">
        <f>IFERROR(
IF(VLOOKUP($C276,'Employee information'!$B:$M,COLUMNS('Employee information'!$B:$M),0)=2,
IF($E$2="Fortnightly",
ROUND(
ROUND((((TRUNC($AN276/2,0)+0.99))*VLOOKUP((TRUNC($AN276/2,0)+0.99),'Tax scales - NAT 1004'!$A$25:$C$33,2,1)-VLOOKUP((TRUNC($AN276/2,0)+0.99),'Tax scales - NAT 1004'!$A$25:$C$33,3,1)),0)
*2,
0),
IF(AND($E$2="Monthly",ROUND($AN276-TRUNC($AN276),2)=0.33),
ROUND(
ROUND(((TRUNC(($AN276+0.01)*3/13,0)+0.99)*VLOOKUP((TRUNC(($AN276+0.01)*3/13,0)+0.99),'Tax scales - NAT 1004'!$A$25:$C$33,2,1)-VLOOKUP((TRUNC(($AN276+0.01)*3/13,0)+0.99),'Tax scales - NAT 1004'!$A$25:$C$33,3,1)),0)
*13/3,
0),
IF($E$2="Monthly",
ROUND(
ROUND(((TRUNC($AN276*3/13,0)+0.99)*VLOOKUP((TRUNC($AN276*3/13,0)+0.99),'Tax scales - NAT 1004'!$A$25:$C$33,2,1)-VLOOKUP((TRUNC($AN276*3/13,0)+0.99),'Tax scales - NAT 1004'!$A$25:$C$33,3,1)),0)
*13/3,
0),
""))),
""),
"")</f>
        <v/>
      </c>
      <c r="AQ276" s="118" t="str">
        <f>IFERROR(
IF(VLOOKUP($C276,'Employee information'!$B:$M,COLUMNS('Employee information'!$B:$M),0)=3,
IF($E$2="Fortnightly",
ROUND(
ROUND((((TRUNC($AN276/2,0)+0.99))*VLOOKUP((TRUNC($AN276/2,0)+0.99),'Tax scales - NAT 1004'!$A$39:$C$41,2,1)-VLOOKUP((TRUNC($AN276/2,0)+0.99),'Tax scales - NAT 1004'!$A$39:$C$41,3,1)),0)
*2,
0),
IF(AND($E$2="Monthly",ROUND($AN276-TRUNC($AN276),2)=0.33),
ROUND(
ROUND(((TRUNC(($AN276+0.01)*3/13,0)+0.99)*VLOOKUP((TRUNC(($AN276+0.01)*3/13,0)+0.99),'Tax scales - NAT 1004'!$A$39:$C$41,2,1)-VLOOKUP((TRUNC(($AN276+0.01)*3/13,0)+0.99),'Tax scales - NAT 1004'!$A$39:$C$41,3,1)),0)
*13/3,
0),
IF($E$2="Monthly",
ROUND(
ROUND(((TRUNC($AN276*3/13,0)+0.99)*VLOOKUP((TRUNC($AN276*3/13,0)+0.99),'Tax scales - NAT 1004'!$A$39:$C$41,2,1)-VLOOKUP((TRUNC($AN276*3/13,0)+0.99),'Tax scales - NAT 1004'!$A$39:$C$41,3,1)),0)
*13/3,
0),
""))),
""),
"")</f>
        <v/>
      </c>
      <c r="AR276" s="118" t="str">
        <f>IFERROR(
IF(AND(VLOOKUP($C276,'Employee information'!$B:$M,COLUMNS('Employee information'!$B:$M),0)=4,
VLOOKUP($C276,'Employee information'!$B:$J,COLUMNS('Employee information'!$B:$J),0)="Resident"),
TRUNC(TRUNC($AN276)*'Tax scales - NAT 1004'!$B$47),
IF(AND(VLOOKUP($C276,'Employee information'!$B:$M,COLUMNS('Employee information'!$B:$M),0)=4,
VLOOKUP($C276,'Employee information'!$B:$J,COLUMNS('Employee information'!$B:$J),0)="Foreign resident"),
TRUNC(TRUNC($AN276)*'Tax scales - NAT 1004'!$B$48),
"")),
"")</f>
        <v/>
      </c>
      <c r="AS276" s="118" t="str">
        <f>IFERROR(
IF(VLOOKUP($C276,'Employee information'!$B:$M,COLUMNS('Employee information'!$B:$M),0)=5,
IF($E$2="Fortnightly",
ROUND(
ROUND((((TRUNC($AN276/2,0)+0.99))*VLOOKUP((TRUNC($AN276/2,0)+0.99),'Tax scales - NAT 1004'!$A$53:$C$59,2,1)-VLOOKUP((TRUNC($AN276/2,0)+0.99),'Tax scales - NAT 1004'!$A$53:$C$59,3,1)),0)
*2,
0),
IF(AND($E$2="Monthly",ROUND($AN276-TRUNC($AN276),2)=0.33),
ROUND(
ROUND(((TRUNC(($AN276+0.01)*3/13,0)+0.99)*VLOOKUP((TRUNC(($AN276+0.01)*3/13,0)+0.99),'Tax scales - NAT 1004'!$A$53:$C$59,2,1)-VLOOKUP((TRUNC(($AN276+0.01)*3/13,0)+0.99),'Tax scales - NAT 1004'!$A$53:$C$59,3,1)),0)
*13/3,
0),
IF($E$2="Monthly",
ROUND(
ROUND(((TRUNC($AN276*3/13,0)+0.99)*VLOOKUP((TRUNC($AN276*3/13,0)+0.99),'Tax scales - NAT 1004'!$A$53:$C$59,2,1)-VLOOKUP((TRUNC($AN276*3/13,0)+0.99),'Tax scales - NAT 1004'!$A$53:$C$59,3,1)),0)
*13/3,
0),
""))),
""),
"")</f>
        <v/>
      </c>
      <c r="AT276" s="118" t="str">
        <f>IFERROR(
IF(VLOOKUP($C276,'Employee information'!$B:$M,COLUMNS('Employee information'!$B:$M),0)=6,
IF($E$2="Fortnightly",
ROUND(
ROUND((((TRUNC($AN276/2,0)+0.99))*VLOOKUP((TRUNC($AN276/2,0)+0.99),'Tax scales - NAT 1004'!$A$65:$C$73,2,1)-VLOOKUP((TRUNC($AN276/2,0)+0.99),'Tax scales - NAT 1004'!$A$65:$C$73,3,1)),0)
*2,
0),
IF(AND($E$2="Monthly",ROUND($AN276-TRUNC($AN276),2)=0.33),
ROUND(
ROUND(((TRUNC(($AN276+0.01)*3/13,0)+0.99)*VLOOKUP((TRUNC(($AN276+0.01)*3/13,0)+0.99),'Tax scales - NAT 1004'!$A$65:$C$73,2,1)-VLOOKUP((TRUNC(($AN276+0.01)*3/13,0)+0.99),'Tax scales - NAT 1004'!$A$65:$C$73,3,1)),0)
*13/3,
0),
IF($E$2="Monthly",
ROUND(
ROUND(((TRUNC($AN276*3/13,0)+0.99)*VLOOKUP((TRUNC($AN276*3/13,0)+0.99),'Tax scales - NAT 1004'!$A$65:$C$73,2,1)-VLOOKUP((TRUNC($AN276*3/13,0)+0.99),'Tax scales - NAT 1004'!$A$65:$C$73,3,1)),0)
*13/3,
0),
""))),
""),
"")</f>
        <v/>
      </c>
      <c r="AU276" s="118">
        <f>IFERROR(
IF(VLOOKUP($C276,'Employee information'!$B:$M,COLUMNS('Employee information'!$B:$M),0)=11,
IF($E$2="Fortnightly",
ROUND(
ROUND((((TRUNC($AN276/2,0)+0.99))*VLOOKUP((TRUNC($AN276/2,0)+0.99),'Tax scales - NAT 3539'!$A$14:$C$38,2,1)-VLOOKUP((TRUNC($AN276/2,0)+0.99),'Tax scales - NAT 3539'!$A$14:$C$38,3,1)),0)
*2,
0),
IF(AND($E$2="Monthly",ROUND($AN276-TRUNC($AN276),2)=0.33),
ROUND(
ROUND(((TRUNC(($AN276+0.01)*3/13,0)+0.99)*VLOOKUP((TRUNC(($AN276+0.01)*3/13,0)+0.99),'Tax scales - NAT 3539'!$A$14:$C$38,2,1)-VLOOKUP((TRUNC(($AN276+0.01)*3/13,0)+0.99),'Tax scales - NAT 3539'!$A$14:$C$38,3,1)),0)
*13/3,
0),
IF($E$2="Monthly",
ROUND(
ROUND(((TRUNC($AN276*3/13,0)+0.99)*VLOOKUP((TRUNC($AN276*3/13,0)+0.99),'Tax scales - NAT 3539'!$A$14:$C$38,2,1)-VLOOKUP((TRUNC($AN276*3/13,0)+0.99),'Tax scales - NAT 3539'!$A$14:$C$38,3,1)),0)
*13/3,
0),
""))),
""),
"")</f>
        <v>1680</v>
      </c>
      <c r="AV276" s="118" t="str">
        <f>IFERROR(
IF(VLOOKUP($C276,'Employee information'!$B:$M,COLUMNS('Employee information'!$B:$M),0)=22,
IF($E$2="Fortnightly",
ROUND(
ROUND((((TRUNC($AN276/2,0)+0.99))*VLOOKUP((TRUNC($AN276/2,0)+0.99),'Tax scales - NAT 3539'!$A$43:$C$69,2,1)-VLOOKUP((TRUNC($AN276/2,0)+0.99),'Tax scales - NAT 3539'!$A$43:$C$69,3,1)),0)
*2,
0),
IF(AND($E$2="Monthly",ROUND($AN276-TRUNC($AN276),2)=0.33),
ROUND(
ROUND(((TRUNC(($AN276+0.01)*3/13,0)+0.99)*VLOOKUP((TRUNC(($AN276+0.01)*3/13,0)+0.99),'Tax scales - NAT 3539'!$A$43:$C$69,2,1)-VLOOKUP((TRUNC(($AN276+0.01)*3/13,0)+0.99),'Tax scales - NAT 3539'!$A$43:$C$69,3,1)),0)
*13/3,
0),
IF($E$2="Monthly",
ROUND(
ROUND(((TRUNC($AN276*3/13,0)+0.99)*VLOOKUP((TRUNC($AN276*3/13,0)+0.99),'Tax scales - NAT 3539'!$A$43:$C$69,2,1)-VLOOKUP((TRUNC($AN276*3/13,0)+0.99),'Tax scales - NAT 3539'!$A$43:$C$69,3,1)),0)
*13/3,
0),
""))),
""),
"")</f>
        <v/>
      </c>
      <c r="AW276" s="118" t="str">
        <f>IFERROR(
IF(VLOOKUP($C276,'Employee information'!$B:$M,COLUMNS('Employee information'!$B:$M),0)=33,
IF($E$2="Fortnightly",
ROUND(
ROUND((((TRUNC($AN276/2,0)+0.99))*VLOOKUP((TRUNC($AN276/2,0)+0.99),'Tax scales - NAT 3539'!$A$74:$C$94,2,1)-VLOOKUP((TRUNC($AN276/2,0)+0.99),'Tax scales - NAT 3539'!$A$74:$C$94,3,1)),0)
*2,
0),
IF(AND($E$2="Monthly",ROUND($AN276-TRUNC($AN276),2)=0.33),
ROUND(
ROUND(((TRUNC(($AN276+0.01)*3/13,0)+0.99)*VLOOKUP((TRUNC(($AN276+0.01)*3/13,0)+0.99),'Tax scales - NAT 3539'!$A$74:$C$94,2,1)-VLOOKUP((TRUNC(($AN276+0.01)*3/13,0)+0.99),'Tax scales - NAT 3539'!$A$74:$C$94,3,1)),0)
*13/3,
0),
IF($E$2="Monthly",
ROUND(
ROUND(((TRUNC($AN276*3/13,0)+0.99)*VLOOKUP((TRUNC($AN276*3/13,0)+0.99),'Tax scales - NAT 3539'!$A$74:$C$94,2,1)-VLOOKUP((TRUNC($AN276*3/13,0)+0.99),'Tax scales - NAT 3539'!$A$74:$C$94,3,1)),0)
*13/3,
0),
""))),
""),
"")</f>
        <v/>
      </c>
      <c r="AX276" s="118" t="str">
        <f>IFERROR(
IF(VLOOKUP($C276,'Employee information'!$B:$M,COLUMNS('Employee information'!$B:$M),0)=55,
IF($E$2="Fortnightly",
ROUND(
ROUND((((TRUNC($AN276/2,0)+0.99))*VLOOKUP((TRUNC($AN276/2,0)+0.99),'Tax scales - NAT 3539'!$A$99:$C$123,2,1)-VLOOKUP((TRUNC($AN276/2,0)+0.99),'Tax scales - NAT 3539'!$A$99:$C$123,3,1)),0)
*2,
0),
IF(AND($E$2="Monthly",ROUND($AN276-TRUNC($AN276),2)=0.33),
ROUND(
ROUND(((TRUNC(($AN276+0.01)*3/13,0)+0.99)*VLOOKUP((TRUNC(($AN276+0.01)*3/13,0)+0.99),'Tax scales - NAT 3539'!$A$99:$C$123,2,1)-VLOOKUP((TRUNC(($AN276+0.01)*3/13,0)+0.99),'Tax scales - NAT 3539'!$A$99:$C$123,3,1)),0)
*13/3,
0),
IF($E$2="Monthly",
ROUND(
ROUND(((TRUNC($AN276*3/13,0)+0.99)*VLOOKUP((TRUNC($AN276*3/13,0)+0.99),'Tax scales - NAT 3539'!$A$99:$C$123,2,1)-VLOOKUP((TRUNC($AN276*3/13,0)+0.99),'Tax scales - NAT 3539'!$A$99:$C$123,3,1)),0)
*13/3,
0),
""))),
""),
"")</f>
        <v/>
      </c>
      <c r="AY276" s="118" t="str">
        <f>IFERROR(
IF(VLOOKUP($C276,'Employee information'!$B:$M,COLUMNS('Employee information'!$B:$M),0)=66,
IF($E$2="Fortnightly",
ROUND(
ROUND((((TRUNC($AN276/2,0)+0.99))*VLOOKUP((TRUNC($AN276/2,0)+0.99),'Tax scales - NAT 3539'!$A$127:$C$154,2,1)-VLOOKUP((TRUNC($AN276/2,0)+0.99),'Tax scales - NAT 3539'!$A$127:$C$154,3,1)),0)
*2,
0),
IF(AND($E$2="Monthly",ROUND($AN276-TRUNC($AN276),2)=0.33),
ROUND(
ROUND(((TRUNC(($AN276+0.01)*3/13,0)+0.99)*VLOOKUP((TRUNC(($AN276+0.01)*3/13,0)+0.99),'Tax scales - NAT 3539'!$A$127:$C$154,2,1)-VLOOKUP((TRUNC(($AN276+0.01)*3/13,0)+0.99),'Tax scales - NAT 3539'!$A$127:$C$154,3,1)),0)
*13/3,
0),
IF($E$2="Monthly",
ROUND(
ROUND(((TRUNC($AN276*3/13,0)+0.99)*VLOOKUP((TRUNC($AN276*3/13,0)+0.99),'Tax scales - NAT 3539'!$A$127:$C$154,2,1)-VLOOKUP((TRUNC($AN276*3/13,0)+0.99),'Tax scales - NAT 3539'!$A$127:$C$154,3,1)),0)
*13/3,
0),
""))),
""),
"")</f>
        <v/>
      </c>
      <c r="AZ276" s="118">
        <f>IFERROR(
HLOOKUP(VLOOKUP($C276,'Employee information'!$B:$M,COLUMNS('Employee information'!$B:$M),0),'PAYG worksheet'!$AO$271:$AY$290,COUNTA($C$272:$C276)+1,0),
0)</f>
        <v>1680</v>
      </c>
      <c r="BA276" s="118"/>
      <c r="BB276" s="118">
        <f t="shared" si="294"/>
        <v>2445</v>
      </c>
      <c r="BC276" s="119">
        <f>IFERROR(
IF(OR($AE276=1,$AE276=""),SUM($P276,$AA276,$AC276,$AK276)*VLOOKUP($C276,'Employee information'!$B:$Q,COLUMNS('Employee information'!$B:$H),0),
IF($AE276=0,SUM($P276,$AA276,$AK276)*VLOOKUP($C276,'Employee information'!$B:$Q,COLUMNS('Employee information'!$B:$H),0),
0)),
0)</f>
        <v>391.875</v>
      </c>
      <c r="BE276" s="114">
        <f t="shared" si="279"/>
        <v>41350</v>
      </c>
      <c r="BF276" s="114">
        <f t="shared" si="280"/>
        <v>41350</v>
      </c>
      <c r="BG276" s="114">
        <f t="shared" si="281"/>
        <v>0</v>
      </c>
      <c r="BH276" s="114">
        <f t="shared" si="282"/>
        <v>0</v>
      </c>
      <c r="BI276" s="114">
        <f t="shared" si="283"/>
        <v>16848</v>
      </c>
      <c r="BJ276" s="114">
        <f t="shared" si="284"/>
        <v>0</v>
      </c>
      <c r="BK276" s="114">
        <f t="shared" si="285"/>
        <v>0</v>
      </c>
      <c r="BL276" s="114">
        <f t="shared" si="295"/>
        <v>100</v>
      </c>
      <c r="BM276" s="114">
        <f t="shared" si="286"/>
        <v>3928.25</v>
      </c>
    </row>
    <row r="277" spans="1:65" x14ac:dyDescent="0.25">
      <c r="A277" s="228">
        <f t="shared" si="274"/>
        <v>10</v>
      </c>
      <c r="C277" s="278" t="s">
        <v>17</v>
      </c>
      <c r="E277" s="103">
        <f>IF($C277="",0,
IF(AND($E$2="Monthly",$A277&gt;12),0,
IF($E$2="Monthly",VLOOKUP($C277,'Employee information'!$B:$AM,COLUMNS('Employee information'!$B:S),0),
IF($E$2="Fortnightly",VLOOKUP($C277,'Employee information'!$B:$AM,COLUMNS('Employee information'!$B:R),0),
0))))</f>
        <v>75</v>
      </c>
      <c r="F277" s="106"/>
      <c r="G277" s="106"/>
      <c r="H277" s="106"/>
      <c r="I277" s="106"/>
      <c r="J277" s="103">
        <f t="shared" si="287"/>
        <v>75</v>
      </c>
      <c r="L277" s="113">
        <f>IF(AND($E$2="Monthly",$A277&gt;12),"",
IFERROR($J277*VLOOKUP($C277,'Employee information'!$B:$AI,COLUMNS('Employee information'!$B:$P),0),0))</f>
        <v>2500</v>
      </c>
      <c r="M277" s="114">
        <f t="shared" si="288"/>
        <v>25000</v>
      </c>
      <c r="O277" s="103">
        <f t="shared" si="289"/>
        <v>75</v>
      </c>
      <c r="P277" s="113">
        <f>IFERROR(
IF(AND($E$2="Monthly",$A277&gt;12),0,
$O277*VLOOKUP($C277,'Employee information'!$B:$AI,COLUMNS('Employee information'!$B:$P),0)),
0)</f>
        <v>2500</v>
      </c>
      <c r="R277" s="114">
        <f t="shared" si="275"/>
        <v>25000</v>
      </c>
      <c r="T277" s="103"/>
      <c r="U277" s="103"/>
      <c r="V277" s="282">
        <f>IF($C277="","",
IF(AND($E$2="Monthly",$A277&gt;12),"",
$T277*VLOOKUP($C277,'Employee information'!$B:$P,COLUMNS('Employee information'!$B:$P),0)))</f>
        <v>0</v>
      </c>
      <c r="W277" s="282">
        <f>IF($C277="","",
IF(AND($E$2="Monthly",$A277&gt;12),"",
$U277*VLOOKUP($C277,'Employee information'!$B:$P,COLUMNS('Employee information'!$B:$P),0)))</f>
        <v>0</v>
      </c>
      <c r="X277" s="114">
        <f t="shared" si="276"/>
        <v>0</v>
      </c>
      <c r="Y277" s="114">
        <f t="shared" si="277"/>
        <v>0</v>
      </c>
      <c r="AA277" s="118">
        <f>IFERROR(
IF(OR('Basic payroll data'!$D$12="",'Basic payroll data'!$D$12="No"),0,
$T277*VLOOKUP($C277,'Employee information'!$B:$P,COLUMNS('Employee information'!$B:$P),0)*AL_loading_perc),
0)</f>
        <v>0</v>
      </c>
      <c r="AC277" s="118"/>
      <c r="AD277" s="118"/>
      <c r="AE277" s="283" t="str">
        <f t="shared" si="290"/>
        <v/>
      </c>
      <c r="AF277" s="283" t="str">
        <f t="shared" si="291"/>
        <v/>
      </c>
      <c r="AG277" s="118"/>
      <c r="AH277" s="118"/>
      <c r="AI277" s="283" t="str">
        <f t="shared" si="292"/>
        <v/>
      </c>
      <c r="AJ277" s="118"/>
      <c r="AK277" s="118"/>
      <c r="AM277" s="118">
        <f t="shared" si="293"/>
        <v>2500</v>
      </c>
      <c r="AN277" s="118">
        <f t="shared" si="278"/>
        <v>2500</v>
      </c>
      <c r="AO277" s="118" t="str">
        <f>IFERROR(
IF(VLOOKUP($C277,'Employee information'!$B:$M,COLUMNS('Employee information'!$B:$M),0)=1,
IF($E$2="Fortnightly",
ROUND(
ROUND((((TRUNC($AN277/2,0)+0.99))*VLOOKUP((TRUNC($AN277/2,0)+0.99),'Tax scales - NAT 1004'!$A$12:$C$18,2,1)-VLOOKUP((TRUNC($AN277/2,0)+0.99),'Tax scales - NAT 1004'!$A$12:$C$18,3,1)),0)
*2,
0),
IF(AND($E$2="Monthly",ROUND($AN277-TRUNC($AN277),2)=0.33),
ROUND(
ROUND(((TRUNC(($AN277+0.01)*3/13,0)+0.99)*VLOOKUP((TRUNC(($AN277+0.01)*3/13,0)+0.99),'Tax scales - NAT 1004'!$A$12:$C$18,2,1)-VLOOKUP((TRUNC(($AN277+0.01)*3/13,0)+0.99),'Tax scales - NAT 1004'!$A$12:$C$18,3,1)),0)
*13/3,
0),
IF($E$2="Monthly",
ROUND(
ROUND(((TRUNC($AN277*3/13,0)+0.99)*VLOOKUP((TRUNC($AN277*3/13,0)+0.99),'Tax scales - NAT 1004'!$A$12:$C$18,2,1)-VLOOKUP((TRUNC($AN277*3/13,0)+0.99),'Tax scales - NAT 1004'!$A$12:$C$18,3,1)),0)
*13/3,
0),
""))),
""),
"")</f>
        <v/>
      </c>
      <c r="AP277" s="118" t="str">
        <f>IFERROR(
IF(VLOOKUP($C277,'Employee information'!$B:$M,COLUMNS('Employee information'!$B:$M),0)=2,
IF($E$2="Fortnightly",
ROUND(
ROUND((((TRUNC($AN277/2,0)+0.99))*VLOOKUP((TRUNC($AN277/2,0)+0.99),'Tax scales - NAT 1004'!$A$25:$C$33,2,1)-VLOOKUP((TRUNC($AN277/2,0)+0.99),'Tax scales - NAT 1004'!$A$25:$C$33,3,1)),0)
*2,
0),
IF(AND($E$2="Monthly",ROUND($AN277-TRUNC($AN277),2)=0.33),
ROUND(
ROUND(((TRUNC(($AN277+0.01)*3/13,0)+0.99)*VLOOKUP((TRUNC(($AN277+0.01)*3/13,0)+0.99),'Tax scales - NAT 1004'!$A$25:$C$33,2,1)-VLOOKUP((TRUNC(($AN277+0.01)*3/13,0)+0.99),'Tax scales - NAT 1004'!$A$25:$C$33,3,1)),0)
*13/3,
0),
IF($E$2="Monthly",
ROUND(
ROUND(((TRUNC($AN277*3/13,0)+0.99)*VLOOKUP((TRUNC($AN277*3/13,0)+0.99),'Tax scales - NAT 1004'!$A$25:$C$33,2,1)-VLOOKUP((TRUNC($AN277*3/13,0)+0.99),'Tax scales - NAT 1004'!$A$25:$C$33,3,1)),0)
*13/3,
0),
""))),
""),
"")</f>
        <v/>
      </c>
      <c r="AQ277" s="118" t="str">
        <f>IFERROR(
IF(VLOOKUP($C277,'Employee information'!$B:$M,COLUMNS('Employee information'!$B:$M),0)=3,
IF($E$2="Fortnightly",
ROUND(
ROUND((((TRUNC($AN277/2,0)+0.99))*VLOOKUP((TRUNC($AN277/2,0)+0.99),'Tax scales - NAT 1004'!$A$39:$C$41,2,1)-VLOOKUP((TRUNC($AN277/2,0)+0.99),'Tax scales - NAT 1004'!$A$39:$C$41,3,1)),0)
*2,
0),
IF(AND($E$2="Monthly",ROUND($AN277-TRUNC($AN277),2)=0.33),
ROUND(
ROUND(((TRUNC(($AN277+0.01)*3/13,0)+0.99)*VLOOKUP((TRUNC(($AN277+0.01)*3/13,0)+0.99),'Tax scales - NAT 1004'!$A$39:$C$41,2,1)-VLOOKUP((TRUNC(($AN277+0.01)*3/13,0)+0.99),'Tax scales - NAT 1004'!$A$39:$C$41,3,1)),0)
*13/3,
0),
IF($E$2="Monthly",
ROUND(
ROUND(((TRUNC($AN277*3/13,0)+0.99)*VLOOKUP((TRUNC($AN277*3/13,0)+0.99),'Tax scales - NAT 1004'!$A$39:$C$41,2,1)-VLOOKUP((TRUNC($AN277*3/13,0)+0.99),'Tax scales - NAT 1004'!$A$39:$C$41,3,1)),0)
*13/3,
0),
""))),
""),
"")</f>
        <v/>
      </c>
      <c r="AR277" s="118">
        <f>IFERROR(
IF(AND(VLOOKUP($C277,'Employee information'!$B:$M,COLUMNS('Employee information'!$B:$M),0)=4,
VLOOKUP($C277,'Employee information'!$B:$J,COLUMNS('Employee information'!$B:$J),0)="Resident"),
TRUNC(TRUNC($AN277)*'Tax scales - NAT 1004'!$B$47),
IF(AND(VLOOKUP($C277,'Employee information'!$B:$M,COLUMNS('Employee information'!$B:$M),0)=4,
VLOOKUP($C277,'Employee information'!$B:$J,COLUMNS('Employee information'!$B:$J),0)="Foreign resident"),
TRUNC(TRUNC($AN277)*'Tax scales - NAT 1004'!$B$48),
"")),
"")</f>
        <v>1175</v>
      </c>
      <c r="AS277" s="118" t="str">
        <f>IFERROR(
IF(VLOOKUP($C277,'Employee information'!$B:$M,COLUMNS('Employee information'!$B:$M),0)=5,
IF($E$2="Fortnightly",
ROUND(
ROUND((((TRUNC($AN277/2,0)+0.99))*VLOOKUP((TRUNC($AN277/2,0)+0.99),'Tax scales - NAT 1004'!$A$53:$C$59,2,1)-VLOOKUP((TRUNC($AN277/2,0)+0.99),'Tax scales - NAT 1004'!$A$53:$C$59,3,1)),0)
*2,
0),
IF(AND($E$2="Monthly",ROUND($AN277-TRUNC($AN277),2)=0.33),
ROUND(
ROUND(((TRUNC(($AN277+0.01)*3/13,0)+0.99)*VLOOKUP((TRUNC(($AN277+0.01)*3/13,0)+0.99),'Tax scales - NAT 1004'!$A$53:$C$59,2,1)-VLOOKUP((TRUNC(($AN277+0.01)*3/13,0)+0.99),'Tax scales - NAT 1004'!$A$53:$C$59,3,1)),0)
*13/3,
0),
IF($E$2="Monthly",
ROUND(
ROUND(((TRUNC($AN277*3/13,0)+0.99)*VLOOKUP((TRUNC($AN277*3/13,0)+0.99),'Tax scales - NAT 1004'!$A$53:$C$59,2,1)-VLOOKUP((TRUNC($AN277*3/13,0)+0.99),'Tax scales - NAT 1004'!$A$53:$C$59,3,1)),0)
*13/3,
0),
""))),
""),
"")</f>
        <v/>
      </c>
      <c r="AT277" s="118" t="str">
        <f>IFERROR(
IF(VLOOKUP($C277,'Employee information'!$B:$M,COLUMNS('Employee information'!$B:$M),0)=6,
IF($E$2="Fortnightly",
ROUND(
ROUND((((TRUNC($AN277/2,0)+0.99))*VLOOKUP((TRUNC($AN277/2,0)+0.99),'Tax scales - NAT 1004'!$A$65:$C$73,2,1)-VLOOKUP((TRUNC($AN277/2,0)+0.99),'Tax scales - NAT 1004'!$A$65:$C$73,3,1)),0)
*2,
0),
IF(AND($E$2="Monthly",ROUND($AN277-TRUNC($AN277),2)=0.33),
ROUND(
ROUND(((TRUNC(($AN277+0.01)*3/13,0)+0.99)*VLOOKUP((TRUNC(($AN277+0.01)*3/13,0)+0.99),'Tax scales - NAT 1004'!$A$65:$C$73,2,1)-VLOOKUP((TRUNC(($AN277+0.01)*3/13,0)+0.99),'Tax scales - NAT 1004'!$A$65:$C$73,3,1)),0)
*13/3,
0),
IF($E$2="Monthly",
ROUND(
ROUND(((TRUNC($AN277*3/13,0)+0.99)*VLOOKUP((TRUNC($AN277*3/13,0)+0.99),'Tax scales - NAT 1004'!$A$65:$C$73,2,1)-VLOOKUP((TRUNC($AN277*3/13,0)+0.99),'Tax scales - NAT 1004'!$A$65:$C$73,3,1)),0)
*13/3,
0),
""))),
""),
"")</f>
        <v/>
      </c>
      <c r="AU277" s="118" t="str">
        <f>IFERROR(
IF(VLOOKUP($C277,'Employee information'!$B:$M,COLUMNS('Employee information'!$B:$M),0)=11,
IF($E$2="Fortnightly",
ROUND(
ROUND((((TRUNC($AN277/2,0)+0.99))*VLOOKUP((TRUNC($AN277/2,0)+0.99),'Tax scales - NAT 3539'!$A$14:$C$38,2,1)-VLOOKUP((TRUNC($AN277/2,0)+0.99),'Tax scales - NAT 3539'!$A$14:$C$38,3,1)),0)
*2,
0),
IF(AND($E$2="Monthly",ROUND($AN277-TRUNC($AN277),2)=0.33),
ROUND(
ROUND(((TRUNC(($AN277+0.01)*3/13,0)+0.99)*VLOOKUP((TRUNC(($AN277+0.01)*3/13,0)+0.99),'Tax scales - NAT 3539'!$A$14:$C$38,2,1)-VLOOKUP((TRUNC(($AN277+0.01)*3/13,0)+0.99),'Tax scales - NAT 3539'!$A$14:$C$38,3,1)),0)
*13/3,
0),
IF($E$2="Monthly",
ROUND(
ROUND(((TRUNC($AN277*3/13,0)+0.99)*VLOOKUP((TRUNC($AN277*3/13,0)+0.99),'Tax scales - NAT 3539'!$A$14:$C$38,2,1)-VLOOKUP((TRUNC($AN277*3/13,0)+0.99),'Tax scales - NAT 3539'!$A$14:$C$38,3,1)),0)
*13/3,
0),
""))),
""),
"")</f>
        <v/>
      </c>
      <c r="AV277" s="118" t="str">
        <f>IFERROR(
IF(VLOOKUP($C277,'Employee information'!$B:$M,COLUMNS('Employee information'!$B:$M),0)=22,
IF($E$2="Fortnightly",
ROUND(
ROUND((((TRUNC($AN277/2,0)+0.99))*VLOOKUP((TRUNC($AN277/2,0)+0.99),'Tax scales - NAT 3539'!$A$43:$C$69,2,1)-VLOOKUP((TRUNC($AN277/2,0)+0.99),'Tax scales - NAT 3539'!$A$43:$C$69,3,1)),0)
*2,
0),
IF(AND($E$2="Monthly",ROUND($AN277-TRUNC($AN277),2)=0.33),
ROUND(
ROUND(((TRUNC(($AN277+0.01)*3/13,0)+0.99)*VLOOKUP((TRUNC(($AN277+0.01)*3/13,0)+0.99),'Tax scales - NAT 3539'!$A$43:$C$69,2,1)-VLOOKUP((TRUNC(($AN277+0.01)*3/13,0)+0.99),'Tax scales - NAT 3539'!$A$43:$C$69,3,1)),0)
*13/3,
0),
IF($E$2="Monthly",
ROUND(
ROUND(((TRUNC($AN277*3/13,0)+0.99)*VLOOKUP((TRUNC($AN277*3/13,0)+0.99),'Tax scales - NAT 3539'!$A$43:$C$69,2,1)-VLOOKUP((TRUNC($AN277*3/13,0)+0.99),'Tax scales - NAT 3539'!$A$43:$C$69,3,1)),0)
*13/3,
0),
""))),
""),
"")</f>
        <v/>
      </c>
      <c r="AW277" s="118" t="str">
        <f>IFERROR(
IF(VLOOKUP($C277,'Employee information'!$B:$M,COLUMNS('Employee information'!$B:$M),0)=33,
IF($E$2="Fortnightly",
ROUND(
ROUND((((TRUNC($AN277/2,0)+0.99))*VLOOKUP((TRUNC($AN277/2,0)+0.99),'Tax scales - NAT 3539'!$A$74:$C$94,2,1)-VLOOKUP((TRUNC($AN277/2,0)+0.99),'Tax scales - NAT 3539'!$A$74:$C$94,3,1)),0)
*2,
0),
IF(AND($E$2="Monthly",ROUND($AN277-TRUNC($AN277),2)=0.33),
ROUND(
ROUND(((TRUNC(($AN277+0.01)*3/13,0)+0.99)*VLOOKUP((TRUNC(($AN277+0.01)*3/13,0)+0.99),'Tax scales - NAT 3539'!$A$74:$C$94,2,1)-VLOOKUP((TRUNC(($AN277+0.01)*3/13,0)+0.99),'Tax scales - NAT 3539'!$A$74:$C$94,3,1)),0)
*13/3,
0),
IF($E$2="Monthly",
ROUND(
ROUND(((TRUNC($AN277*3/13,0)+0.99)*VLOOKUP((TRUNC($AN277*3/13,0)+0.99),'Tax scales - NAT 3539'!$A$74:$C$94,2,1)-VLOOKUP((TRUNC($AN277*3/13,0)+0.99),'Tax scales - NAT 3539'!$A$74:$C$94,3,1)),0)
*13/3,
0),
""))),
""),
"")</f>
        <v/>
      </c>
      <c r="AX277" s="118" t="str">
        <f>IFERROR(
IF(VLOOKUP($C277,'Employee information'!$B:$M,COLUMNS('Employee information'!$B:$M),0)=55,
IF($E$2="Fortnightly",
ROUND(
ROUND((((TRUNC($AN277/2,0)+0.99))*VLOOKUP((TRUNC($AN277/2,0)+0.99),'Tax scales - NAT 3539'!$A$99:$C$123,2,1)-VLOOKUP((TRUNC($AN277/2,0)+0.99),'Tax scales - NAT 3539'!$A$99:$C$123,3,1)),0)
*2,
0),
IF(AND($E$2="Monthly",ROUND($AN277-TRUNC($AN277),2)=0.33),
ROUND(
ROUND(((TRUNC(($AN277+0.01)*3/13,0)+0.99)*VLOOKUP((TRUNC(($AN277+0.01)*3/13,0)+0.99),'Tax scales - NAT 3539'!$A$99:$C$123,2,1)-VLOOKUP((TRUNC(($AN277+0.01)*3/13,0)+0.99),'Tax scales - NAT 3539'!$A$99:$C$123,3,1)),0)
*13/3,
0),
IF($E$2="Monthly",
ROUND(
ROUND(((TRUNC($AN277*3/13,0)+0.99)*VLOOKUP((TRUNC($AN277*3/13,0)+0.99),'Tax scales - NAT 3539'!$A$99:$C$123,2,1)-VLOOKUP((TRUNC($AN277*3/13,0)+0.99),'Tax scales - NAT 3539'!$A$99:$C$123,3,1)),0)
*13/3,
0),
""))),
""),
"")</f>
        <v/>
      </c>
      <c r="AY277" s="118" t="str">
        <f>IFERROR(
IF(VLOOKUP($C277,'Employee information'!$B:$M,COLUMNS('Employee information'!$B:$M),0)=66,
IF($E$2="Fortnightly",
ROUND(
ROUND((((TRUNC($AN277/2,0)+0.99))*VLOOKUP((TRUNC($AN277/2,0)+0.99),'Tax scales - NAT 3539'!$A$127:$C$154,2,1)-VLOOKUP((TRUNC($AN277/2,0)+0.99),'Tax scales - NAT 3539'!$A$127:$C$154,3,1)),0)
*2,
0),
IF(AND($E$2="Monthly",ROUND($AN277-TRUNC($AN277),2)=0.33),
ROUND(
ROUND(((TRUNC(($AN277+0.01)*3/13,0)+0.99)*VLOOKUP((TRUNC(($AN277+0.01)*3/13,0)+0.99),'Tax scales - NAT 3539'!$A$127:$C$154,2,1)-VLOOKUP((TRUNC(($AN277+0.01)*3/13,0)+0.99),'Tax scales - NAT 3539'!$A$127:$C$154,3,1)),0)
*13/3,
0),
IF($E$2="Monthly",
ROUND(
ROUND(((TRUNC($AN277*3/13,0)+0.99)*VLOOKUP((TRUNC($AN277*3/13,0)+0.99),'Tax scales - NAT 3539'!$A$127:$C$154,2,1)-VLOOKUP((TRUNC($AN277*3/13,0)+0.99),'Tax scales - NAT 3539'!$A$127:$C$154,3,1)),0)
*13/3,
0),
""))),
""),
"")</f>
        <v/>
      </c>
      <c r="AZ277" s="118">
        <f>IFERROR(
HLOOKUP(VLOOKUP($C277,'Employee information'!$B:$M,COLUMNS('Employee information'!$B:$M),0),'PAYG worksheet'!$AO$271:$AY$290,COUNTA($C$272:$C277)+1,0),
0)</f>
        <v>1175</v>
      </c>
      <c r="BA277" s="118"/>
      <c r="BB277" s="118">
        <f t="shared" si="294"/>
        <v>1325</v>
      </c>
      <c r="BC277" s="119">
        <f>IFERROR(
IF(OR($AE277=1,$AE277=""),SUM($P277,$AA277,$AC277,$AK277)*VLOOKUP($C277,'Employee information'!$B:$Q,COLUMNS('Employee information'!$B:$H),0),
IF($AE277=0,SUM($P277,$AA277,$AK277)*VLOOKUP($C277,'Employee information'!$B:$Q,COLUMNS('Employee information'!$B:$H),0),
0)),
0)</f>
        <v>237.5</v>
      </c>
      <c r="BE277" s="114">
        <f t="shared" si="279"/>
        <v>25000</v>
      </c>
      <c r="BF277" s="114">
        <f t="shared" si="280"/>
        <v>25000</v>
      </c>
      <c r="BG277" s="114">
        <f t="shared" si="281"/>
        <v>0</v>
      </c>
      <c r="BH277" s="114">
        <f t="shared" si="282"/>
        <v>0</v>
      </c>
      <c r="BI277" s="114">
        <f t="shared" si="283"/>
        <v>11750</v>
      </c>
      <c r="BJ277" s="114">
        <f t="shared" si="284"/>
        <v>0</v>
      </c>
      <c r="BK277" s="114">
        <f t="shared" si="285"/>
        <v>0</v>
      </c>
      <c r="BL277" s="114">
        <f t="shared" si="295"/>
        <v>0</v>
      </c>
      <c r="BM277" s="114">
        <f t="shared" si="286"/>
        <v>2375</v>
      </c>
    </row>
    <row r="278" spans="1:65" x14ac:dyDescent="0.25">
      <c r="A278" s="228">
        <f t="shared" si="274"/>
        <v>10</v>
      </c>
      <c r="C278" s="278" t="s">
        <v>95</v>
      </c>
      <c r="E278" s="103">
        <f>IF($C278="",0,
IF(AND($E$2="Monthly",$A278&gt;12),0,
IF($E$2="Monthly",VLOOKUP($C278,'Employee information'!$B:$AM,COLUMNS('Employee information'!$B:S),0),
IF($E$2="Fortnightly",VLOOKUP($C278,'Employee information'!$B:$AM,COLUMNS('Employee information'!$B:R),0),
0))))</f>
        <v>45</v>
      </c>
      <c r="F278" s="106"/>
      <c r="G278" s="106"/>
      <c r="H278" s="106"/>
      <c r="I278" s="106"/>
      <c r="J278" s="103">
        <f t="shared" si="287"/>
        <v>45</v>
      </c>
      <c r="L278" s="113">
        <f>IF(AND($E$2="Monthly",$A278&gt;12),"",
IFERROR($J278*VLOOKUP($C278,'Employee information'!$B:$AI,COLUMNS('Employee information'!$B:$P),0),0))</f>
        <v>1107.6923076923078</v>
      </c>
      <c r="M278" s="114">
        <f t="shared" si="288"/>
        <v>11076.92307692308</v>
      </c>
      <c r="O278" s="103">
        <f t="shared" si="289"/>
        <v>45</v>
      </c>
      <c r="P278" s="113">
        <f>IFERROR(
IF(AND($E$2="Monthly",$A278&gt;12),0,
$O278*VLOOKUP($C278,'Employee information'!$B:$AI,COLUMNS('Employee information'!$B:$P),0)),
0)</f>
        <v>1107.6923076923078</v>
      </c>
      <c r="R278" s="114">
        <f t="shared" si="275"/>
        <v>11076.92307692308</v>
      </c>
      <c r="T278" s="103"/>
      <c r="U278" s="103"/>
      <c r="V278" s="282">
        <f>IF($C278="","",
IF(AND($E$2="Monthly",$A278&gt;12),"",
$T278*VLOOKUP($C278,'Employee information'!$B:$P,COLUMNS('Employee information'!$B:$P),0)))</f>
        <v>0</v>
      </c>
      <c r="W278" s="282">
        <f>IF($C278="","",
IF(AND($E$2="Monthly",$A278&gt;12),"",
$U278*VLOOKUP($C278,'Employee information'!$B:$P,COLUMNS('Employee information'!$B:$P),0)))</f>
        <v>0</v>
      </c>
      <c r="X278" s="114">
        <f t="shared" si="276"/>
        <v>0</v>
      </c>
      <c r="Y278" s="114">
        <f t="shared" si="277"/>
        <v>0</v>
      </c>
      <c r="AA278" s="118">
        <f>IFERROR(
IF(OR('Basic payroll data'!$D$12="",'Basic payroll data'!$D$12="No"),0,
$T278*VLOOKUP($C278,'Employee information'!$B:$P,COLUMNS('Employee information'!$B:$P),0)*AL_loading_perc),
0)</f>
        <v>0</v>
      </c>
      <c r="AC278" s="118"/>
      <c r="AD278" s="118"/>
      <c r="AE278" s="283" t="str">
        <f t="shared" si="290"/>
        <v/>
      </c>
      <c r="AF278" s="283" t="str">
        <f t="shared" si="291"/>
        <v/>
      </c>
      <c r="AG278" s="118"/>
      <c r="AH278" s="118"/>
      <c r="AI278" s="283" t="str">
        <f t="shared" si="292"/>
        <v/>
      </c>
      <c r="AJ278" s="118"/>
      <c r="AK278" s="118"/>
      <c r="AM278" s="118">
        <f t="shared" si="293"/>
        <v>1107.6923076923078</v>
      </c>
      <c r="AN278" s="118">
        <f t="shared" si="278"/>
        <v>1107.6923076923078</v>
      </c>
      <c r="AO278" s="118" t="str">
        <f>IFERROR(
IF(VLOOKUP($C278,'Employee information'!$B:$M,COLUMNS('Employee information'!$B:$M),0)=1,
IF($E$2="Fortnightly",
ROUND(
ROUND((((TRUNC($AN278/2,0)+0.99))*VLOOKUP((TRUNC($AN278/2,0)+0.99),'Tax scales - NAT 1004'!$A$12:$C$18,2,1)-VLOOKUP((TRUNC($AN278/2,0)+0.99),'Tax scales - NAT 1004'!$A$12:$C$18,3,1)),0)
*2,
0),
IF(AND($E$2="Monthly",ROUND($AN278-TRUNC($AN278),2)=0.33),
ROUND(
ROUND(((TRUNC(($AN278+0.01)*3/13,0)+0.99)*VLOOKUP((TRUNC(($AN278+0.01)*3/13,0)+0.99),'Tax scales - NAT 1004'!$A$12:$C$18,2,1)-VLOOKUP((TRUNC(($AN278+0.01)*3/13,0)+0.99),'Tax scales - NAT 1004'!$A$12:$C$18,3,1)),0)
*13/3,
0),
IF($E$2="Monthly",
ROUND(
ROUND(((TRUNC($AN278*3/13,0)+0.99)*VLOOKUP((TRUNC($AN278*3/13,0)+0.99),'Tax scales - NAT 1004'!$A$12:$C$18,2,1)-VLOOKUP((TRUNC($AN278*3/13,0)+0.99),'Tax scales - NAT 1004'!$A$12:$C$18,3,1)),0)
*13/3,
0),
""))),
""),
"")</f>
        <v/>
      </c>
      <c r="AP278" s="118" t="str">
        <f>IFERROR(
IF(VLOOKUP($C278,'Employee information'!$B:$M,COLUMNS('Employee information'!$B:$M),0)=2,
IF($E$2="Fortnightly",
ROUND(
ROUND((((TRUNC($AN278/2,0)+0.99))*VLOOKUP((TRUNC($AN278/2,0)+0.99),'Tax scales - NAT 1004'!$A$25:$C$33,2,1)-VLOOKUP((TRUNC($AN278/2,0)+0.99),'Tax scales - NAT 1004'!$A$25:$C$33,3,1)),0)
*2,
0),
IF(AND($E$2="Monthly",ROUND($AN278-TRUNC($AN278),2)=0.33),
ROUND(
ROUND(((TRUNC(($AN278+0.01)*3/13,0)+0.99)*VLOOKUP((TRUNC(($AN278+0.01)*3/13,0)+0.99),'Tax scales - NAT 1004'!$A$25:$C$33,2,1)-VLOOKUP((TRUNC(($AN278+0.01)*3/13,0)+0.99),'Tax scales - NAT 1004'!$A$25:$C$33,3,1)),0)
*13/3,
0),
IF($E$2="Monthly",
ROUND(
ROUND(((TRUNC($AN278*3/13,0)+0.99)*VLOOKUP((TRUNC($AN278*3/13,0)+0.99),'Tax scales - NAT 1004'!$A$25:$C$33,2,1)-VLOOKUP((TRUNC($AN278*3/13,0)+0.99),'Tax scales - NAT 1004'!$A$25:$C$33,3,1)),0)
*13/3,
0),
""))),
""),
"")</f>
        <v/>
      </c>
      <c r="AQ278" s="118" t="str">
        <f>IFERROR(
IF(VLOOKUP($C278,'Employee information'!$B:$M,COLUMNS('Employee information'!$B:$M),0)=3,
IF($E$2="Fortnightly",
ROUND(
ROUND((((TRUNC($AN278/2,0)+0.99))*VLOOKUP((TRUNC($AN278/2,0)+0.99),'Tax scales - NAT 1004'!$A$39:$C$41,2,1)-VLOOKUP((TRUNC($AN278/2,0)+0.99),'Tax scales - NAT 1004'!$A$39:$C$41,3,1)),0)
*2,
0),
IF(AND($E$2="Monthly",ROUND($AN278-TRUNC($AN278),2)=0.33),
ROUND(
ROUND(((TRUNC(($AN278+0.01)*3/13,0)+0.99)*VLOOKUP((TRUNC(($AN278+0.01)*3/13,0)+0.99),'Tax scales - NAT 1004'!$A$39:$C$41,2,1)-VLOOKUP((TRUNC(($AN278+0.01)*3/13,0)+0.99),'Tax scales - NAT 1004'!$A$39:$C$41,3,1)),0)
*13/3,
0),
IF($E$2="Monthly",
ROUND(
ROUND(((TRUNC($AN278*3/13,0)+0.99)*VLOOKUP((TRUNC($AN278*3/13,0)+0.99),'Tax scales - NAT 1004'!$A$39:$C$41,2,1)-VLOOKUP((TRUNC($AN278*3/13,0)+0.99),'Tax scales - NAT 1004'!$A$39:$C$41,3,1)),0)
*13/3,
0),
""))),
""),
"")</f>
        <v/>
      </c>
      <c r="AR278" s="118" t="str">
        <f>IFERROR(
IF(AND(VLOOKUP($C278,'Employee information'!$B:$M,COLUMNS('Employee information'!$B:$M),0)=4,
VLOOKUP($C278,'Employee information'!$B:$J,COLUMNS('Employee information'!$B:$J),0)="Resident"),
TRUNC(TRUNC($AN278)*'Tax scales - NAT 1004'!$B$47),
IF(AND(VLOOKUP($C278,'Employee information'!$B:$M,COLUMNS('Employee information'!$B:$M),0)=4,
VLOOKUP($C278,'Employee information'!$B:$J,COLUMNS('Employee information'!$B:$J),0)="Foreign resident"),
TRUNC(TRUNC($AN278)*'Tax scales - NAT 1004'!$B$48),
"")),
"")</f>
        <v/>
      </c>
      <c r="AS278" s="118" t="str">
        <f>IFERROR(
IF(VLOOKUP($C278,'Employee information'!$B:$M,COLUMNS('Employee information'!$B:$M),0)=5,
IF($E$2="Fortnightly",
ROUND(
ROUND((((TRUNC($AN278/2,0)+0.99))*VLOOKUP((TRUNC($AN278/2,0)+0.99),'Tax scales - NAT 1004'!$A$53:$C$59,2,1)-VLOOKUP((TRUNC($AN278/2,0)+0.99),'Tax scales - NAT 1004'!$A$53:$C$59,3,1)),0)
*2,
0),
IF(AND($E$2="Monthly",ROUND($AN278-TRUNC($AN278),2)=0.33),
ROUND(
ROUND(((TRUNC(($AN278+0.01)*3/13,0)+0.99)*VLOOKUP((TRUNC(($AN278+0.01)*3/13,0)+0.99),'Tax scales - NAT 1004'!$A$53:$C$59,2,1)-VLOOKUP((TRUNC(($AN278+0.01)*3/13,0)+0.99),'Tax scales - NAT 1004'!$A$53:$C$59,3,1)),0)
*13/3,
0),
IF($E$2="Monthly",
ROUND(
ROUND(((TRUNC($AN278*3/13,0)+0.99)*VLOOKUP((TRUNC($AN278*3/13,0)+0.99),'Tax scales - NAT 1004'!$A$53:$C$59,2,1)-VLOOKUP((TRUNC($AN278*3/13,0)+0.99),'Tax scales - NAT 1004'!$A$53:$C$59,3,1)),0)
*13/3,
0),
""))),
""),
"")</f>
        <v/>
      </c>
      <c r="AT278" s="118" t="str">
        <f>IFERROR(
IF(VLOOKUP($C278,'Employee information'!$B:$M,COLUMNS('Employee information'!$B:$M),0)=6,
IF($E$2="Fortnightly",
ROUND(
ROUND((((TRUNC($AN278/2,0)+0.99))*VLOOKUP((TRUNC($AN278/2,0)+0.99),'Tax scales - NAT 1004'!$A$65:$C$73,2,1)-VLOOKUP((TRUNC($AN278/2,0)+0.99),'Tax scales - NAT 1004'!$A$65:$C$73,3,1)),0)
*2,
0),
IF(AND($E$2="Monthly",ROUND($AN278-TRUNC($AN278),2)=0.33),
ROUND(
ROUND(((TRUNC(($AN278+0.01)*3/13,0)+0.99)*VLOOKUP((TRUNC(($AN278+0.01)*3/13,0)+0.99),'Tax scales - NAT 1004'!$A$65:$C$73,2,1)-VLOOKUP((TRUNC(($AN278+0.01)*3/13,0)+0.99),'Tax scales - NAT 1004'!$A$65:$C$73,3,1)),0)
*13/3,
0),
IF($E$2="Monthly",
ROUND(
ROUND(((TRUNC($AN278*3/13,0)+0.99)*VLOOKUP((TRUNC($AN278*3/13,0)+0.99),'Tax scales - NAT 1004'!$A$65:$C$73,2,1)-VLOOKUP((TRUNC($AN278*3/13,0)+0.99),'Tax scales - NAT 1004'!$A$65:$C$73,3,1)),0)
*13/3,
0),
""))),
""),
"")</f>
        <v/>
      </c>
      <c r="AU278" s="118" t="str">
        <f>IFERROR(
IF(VLOOKUP($C278,'Employee information'!$B:$M,COLUMNS('Employee information'!$B:$M),0)=11,
IF($E$2="Fortnightly",
ROUND(
ROUND((((TRUNC($AN278/2,0)+0.99))*VLOOKUP((TRUNC($AN278/2,0)+0.99),'Tax scales - NAT 3539'!$A$14:$C$38,2,1)-VLOOKUP((TRUNC($AN278/2,0)+0.99),'Tax scales - NAT 3539'!$A$14:$C$38,3,1)),0)
*2,
0),
IF(AND($E$2="Monthly",ROUND($AN278-TRUNC($AN278),2)=0.33),
ROUND(
ROUND(((TRUNC(($AN278+0.01)*3/13,0)+0.99)*VLOOKUP((TRUNC(($AN278+0.01)*3/13,0)+0.99),'Tax scales - NAT 3539'!$A$14:$C$38,2,1)-VLOOKUP((TRUNC(($AN278+0.01)*3/13,0)+0.99),'Tax scales - NAT 3539'!$A$14:$C$38,3,1)),0)
*13/3,
0),
IF($E$2="Monthly",
ROUND(
ROUND(((TRUNC($AN278*3/13,0)+0.99)*VLOOKUP((TRUNC($AN278*3/13,0)+0.99),'Tax scales - NAT 3539'!$A$14:$C$38,2,1)-VLOOKUP((TRUNC($AN278*3/13,0)+0.99),'Tax scales - NAT 3539'!$A$14:$C$38,3,1)),0)
*13/3,
0),
""))),
""),
"")</f>
        <v/>
      </c>
      <c r="AV278" s="118" t="str">
        <f>IFERROR(
IF(VLOOKUP($C278,'Employee information'!$B:$M,COLUMNS('Employee information'!$B:$M),0)=22,
IF($E$2="Fortnightly",
ROUND(
ROUND((((TRUNC($AN278/2,0)+0.99))*VLOOKUP((TRUNC($AN278/2,0)+0.99),'Tax scales - NAT 3539'!$A$43:$C$69,2,1)-VLOOKUP((TRUNC($AN278/2,0)+0.99),'Tax scales - NAT 3539'!$A$43:$C$69,3,1)),0)
*2,
0),
IF(AND($E$2="Monthly",ROUND($AN278-TRUNC($AN278),2)=0.33),
ROUND(
ROUND(((TRUNC(($AN278+0.01)*3/13,0)+0.99)*VLOOKUP((TRUNC(($AN278+0.01)*3/13,0)+0.99),'Tax scales - NAT 3539'!$A$43:$C$69,2,1)-VLOOKUP((TRUNC(($AN278+0.01)*3/13,0)+0.99),'Tax scales - NAT 3539'!$A$43:$C$69,3,1)),0)
*13/3,
0),
IF($E$2="Monthly",
ROUND(
ROUND(((TRUNC($AN278*3/13,0)+0.99)*VLOOKUP((TRUNC($AN278*3/13,0)+0.99),'Tax scales - NAT 3539'!$A$43:$C$69,2,1)-VLOOKUP((TRUNC($AN278*3/13,0)+0.99),'Tax scales - NAT 3539'!$A$43:$C$69,3,1)),0)
*13/3,
0),
""))),
""),
"")</f>
        <v/>
      </c>
      <c r="AW278" s="118" t="str">
        <f>IFERROR(
IF(VLOOKUP($C278,'Employee information'!$B:$M,COLUMNS('Employee information'!$B:$M),0)=33,
IF($E$2="Fortnightly",
ROUND(
ROUND((((TRUNC($AN278/2,0)+0.99))*VLOOKUP((TRUNC($AN278/2,0)+0.99),'Tax scales - NAT 3539'!$A$74:$C$94,2,1)-VLOOKUP((TRUNC($AN278/2,0)+0.99),'Tax scales - NAT 3539'!$A$74:$C$94,3,1)),0)
*2,
0),
IF(AND($E$2="Monthly",ROUND($AN278-TRUNC($AN278),2)=0.33),
ROUND(
ROUND(((TRUNC(($AN278+0.01)*3/13,0)+0.99)*VLOOKUP((TRUNC(($AN278+0.01)*3/13,0)+0.99),'Tax scales - NAT 3539'!$A$74:$C$94,2,1)-VLOOKUP((TRUNC(($AN278+0.01)*3/13,0)+0.99),'Tax scales - NAT 3539'!$A$74:$C$94,3,1)),0)
*13/3,
0),
IF($E$2="Monthly",
ROUND(
ROUND(((TRUNC($AN278*3/13,0)+0.99)*VLOOKUP((TRUNC($AN278*3/13,0)+0.99),'Tax scales - NAT 3539'!$A$74:$C$94,2,1)-VLOOKUP((TRUNC($AN278*3/13,0)+0.99),'Tax scales - NAT 3539'!$A$74:$C$94,3,1)),0)
*13/3,
0),
""))),
""),
"")</f>
        <v/>
      </c>
      <c r="AX278" s="118" t="str">
        <f>IFERROR(
IF(VLOOKUP($C278,'Employee information'!$B:$M,COLUMNS('Employee information'!$B:$M),0)=55,
IF($E$2="Fortnightly",
ROUND(
ROUND((((TRUNC($AN278/2,0)+0.99))*VLOOKUP((TRUNC($AN278/2,0)+0.99),'Tax scales - NAT 3539'!$A$99:$C$123,2,1)-VLOOKUP((TRUNC($AN278/2,0)+0.99),'Tax scales - NAT 3539'!$A$99:$C$123,3,1)),0)
*2,
0),
IF(AND($E$2="Monthly",ROUND($AN278-TRUNC($AN278),2)=0.33),
ROUND(
ROUND(((TRUNC(($AN278+0.01)*3/13,0)+0.99)*VLOOKUP((TRUNC(($AN278+0.01)*3/13,0)+0.99),'Tax scales - NAT 3539'!$A$99:$C$123,2,1)-VLOOKUP((TRUNC(($AN278+0.01)*3/13,0)+0.99),'Tax scales - NAT 3539'!$A$99:$C$123,3,1)),0)
*13/3,
0),
IF($E$2="Monthly",
ROUND(
ROUND(((TRUNC($AN278*3/13,0)+0.99)*VLOOKUP((TRUNC($AN278*3/13,0)+0.99),'Tax scales - NAT 3539'!$A$99:$C$123,2,1)-VLOOKUP((TRUNC($AN278*3/13,0)+0.99),'Tax scales - NAT 3539'!$A$99:$C$123,3,1)),0)
*13/3,
0),
""))),
""),
"")</f>
        <v/>
      </c>
      <c r="AY278" s="118">
        <f>IFERROR(
IF(VLOOKUP($C278,'Employee information'!$B:$M,COLUMNS('Employee information'!$B:$M),0)=66,
IF($E$2="Fortnightly",
ROUND(
ROUND((((TRUNC($AN278/2,0)+0.99))*VLOOKUP((TRUNC($AN278/2,0)+0.99),'Tax scales - NAT 3539'!$A$127:$C$154,2,1)-VLOOKUP((TRUNC($AN278/2,0)+0.99),'Tax scales - NAT 3539'!$A$127:$C$154,3,1)),0)
*2,
0),
IF(AND($E$2="Monthly",ROUND($AN278-TRUNC($AN278),2)=0.33),
ROUND(
ROUND(((TRUNC(($AN278+0.01)*3/13,0)+0.99)*VLOOKUP((TRUNC(($AN278+0.01)*3/13,0)+0.99),'Tax scales - NAT 3539'!$A$127:$C$154,2,1)-VLOOKUP((TRUNC(($AN278+0.01)*3/13,0)+0.99),'Tax scales - NAT 3539'!$A$127:$C$154,3,1)),0)
*13/3,
0),
IF($E$2="Monthly",
ROUND(
ROUND(((TRUNC($AN278*3/13,0)+0.99)*VLOOKUP((TRUNC($AN278*3/13,0)+0.99),'Tax scales - NAT 3539'!$A$127:$C$154,2,1)-VLOOKUP((TRUNC($AN278*3/13,0)+0.99),'Tax scales - NAT 3539'!$A$127:$C$154,3,1)),0)
*13/3,
0),
""))),
""),
"")</f>
        <v>74</v>
      </c>
      <c r="AZ278" s="118">
        <f>IFERROR(
HLOOKUP(VLOOKUP($C278,'Employee information'!$B:$M,COLUMNS('Employee information'!$B:$M),0),'PAYG worksheet'!$AO$271:$AY$290,COUNTA($C$272:$C278)+1,0),
0)</f>
        <v>74</v>
      </c>
      <c r="BA278" s="118"/>
      <c r="BB278" s="118">
        <f t="shared" si="294"/>
        <v>1033.6923076923078</v>
      </c>
      <c r="BC278" s="119">
        <f>IFERROR(
IF(OR($AE278=1,$AE278=""),SUM($P278,$AA278,$AC278,$AK278)*VLOOKUP($C278,'Employee information'!$B:$Q,COLUMNS('Employee information'!$B:$H),0),
IF($AE278=0,SUM($P278,$AA278,$AK278)*VLOOKUP($C278,'Employee information'!$B:$Q,COLUMNS('Employee information'!$B:$H),0),
0)),
0)</f>
        <v>105.23076923076924</v>
      </c>
      <c r="BE278" s="114">
        <f t="shared" si="279"/>
        <v>11076.92307692308</v>
      </c>
      <c r="BF278" s="114">
        <f t="shared" si="280"/>
        <v>11076.92307692308</v>
      </c>
      <c r="BG278" s="114">
        <f t="shared" si="281"/>
        <v>0</v>
      </c>
      <c r="BH278" s="114">
        <f t="shared" si="282"/>
        <v>0</v>
      </c>
      <c r="BI278" s="114">
        <f t="shared" si="283"/>
        <v>740</v>
      </c>
      <c r="BJ278" s="114">
        <f t="shared" si="284"/>
        <v>0</v>
      </c>
      <c r="BK278" s="114">
        <f t="shared" si="285"/>
        <v>0</v>
      </c>
      <c r="BL278" s="114">
        <f t="shared" si="295"/>
        <v>0</v>
      </c>
      <c r="BM278" s="114">
        <f t="shared" si="286"/>
        <v>1052.3076923076926</v>
      </c>
    </row>
    <row r="279" spans="1:65" x14ac:dyDescent="0.25">
      <c r="A279" s="228">
        <f t="shared" si="274"/>
        <v>10</v>
      </c>
      <c r="C279" s="278"/>
      <c r="E279" s="103">
        <f>IF($C279="",0,
IF(AND($E$2="Monthly",$A279&gt;12),0,
IF($E$2="Monthly",VLOOKUP($C279,'Employee information'!$B:$AM,COLUMNS('Employee information'!$B:S),0),
IF($E$2="Fortnightly",VLOOKUP($C279,'Employee information'!$B:$AM,COLUMNS('Employee information'!$B:R),0),
0))))</f>
        <v>0</v>
      </c>
      <c r="F279" s="106"/>
      <c r="G279" s="106"/>
      <c r="H279" s="106"/>
      <c r="I279" s="106"/>
      <c r="J279" s="103">
        <f>IF($E$2="Monthly",
IF(AND($E$2="Monthly",$H279&lt;&gt;""),$H279,
IF(AND($E$2="Monthly",$E279=0),SUM($F279:$G279),
$E279)),
IF($E$2="Fortnightly",
IF(AND($E$2="Fortnightly",$H279&lt;&gt;""),$H279,
IF(AND($E$2="Fortnightly",$F279&lt;&gt;"",$E279&lt;&gt;0),$F279,
IF(AND($E$2="Fortnightly",$E279=0),SUM($F279:$G279),
$E279)))))</f>
        <v>0</v>
      </c>
      <c r="L279" s="113">
        <f>IF(AND($E$2="Monthly",$A279&gt;12),"",
IFERROR($J279*VLOOKUP($C279,'Employee information'!$B:$AI,COLUMNS('Employee information'!$B:$P),0),0))</f>
        <v>0</v>
      </c>
      <c r="M279" s="114">
        <f t="shared" si="288"/>
        <v>0</v>
      </c>
      <c r="O279" s="103">
        <f t="shared" si="289"/>
        <v>0</v>
      </c>
      <c r="P279" s="113">
        <f>IFERROR(
IF(AND($E$2="Monthly",$A279&gt;12),0,
$O279*VLOOKUP($C279,'Employee information'!$B:$AI,COLUMNS('Employee information'!$B:$P),0)),
0)</f>
        <v>0</v>
      </c>
      <c r="R279" s="114">
        <f t="shared" si="275"/>
        <v>0</v>
      </c>
      <c r="T279" s="103"/>
      <c r="U279" s="103"/>
      <c r="V279" s="282" t="str">
        <f>IF($C279="","",
IF(AND($E$2="Monthly",$A279&gt;12),"",
$T279*VLOOKUP($C279,'Employee information'!$B:$P,COLUMNS('Employee information'!$B:$P),0)))</f>
        <v/>
      </c>
      <c r="W279" s="282" t="str">
        <f>IF($C279="","",
IF(AND($E$2="Monthly",$A279&gt;12),"",
$U279*VLOOKUP($C279,'Employee information'!$B:$P,COLUMNS('Employee information'!$B:$P),0)))</f>
        <v/>
      </c>
      <c r="X279" s="114">
        <f t="shared" si="276"/>
        <v>0</v>
      </c>
      <c r="Y279" s="114">
        <f t="shared" si="277"/>
        <v>0</v>
      </c>
      <c r="AA279" s="118">
        <f>IFERROR(
IF(OR('Basic payroll data'!$D$12="",'Basic payroll data'!$D$12="No"),0,
$T279*VLOOKUP($C279,'Employee information'!$B:$P,COLUMNS('Employee information'!$B:$P),0)*AL_loading_perc),
0)</f>
        <v>0</v>
      </c>
      <c r="AC279" s="118"/>
      <c r="AD279" s="118"/>
      <c r="AE279" s="283" t="str">
        <f t="shared" si="290"/>
        <v/>
      </c>
      <c r="AF279" s="283" t="str">
        <f t="shared" si="291"/>
        <v/>
      </c>
      <c r="AG279" s="118"/>
      <c r="AH279" s="118"/>
      <c r="AI279" s="283" t="str">
        <f t="shared" si="292"/>
        <v/>
      </c>
      <c r="AJ279" s="118"/>
      <c r="AK279" s="118"/>
      <c r="AM279" s="118">
        <f t="shared" si="293"/>
        <v>0</v>
      </c>
      <c r="AN279" s="118">
        <f t="shared" si="278"/>
        <v>0</v>
      </c>
      <c r="AO279" s="118" t="str">
        <f>IFERROR(
IF(VLOOKUP($C279,'Employee information'!$B:$M,COLUMNS('Employee information'!$B:$M),0)=1,
IF($E$2="Fortnightly",
ROUND(
ROUND((((TRUNC($AN279/2,0)+0.99))*VLOOKUP((TRUNC($AN279/2,0)+0.99),'Tax scales - NAT 1004'!$A$12:$C$18,2,1)-VLOOKUP((TRUNC($AN279/2,0)+0.99),'Tax scales - NAT 1004'!$A$12:$C$18,3,1)),0)
*2,
0),
IF(AND($E$2="Monthly",ROUND($AN279-TRUNC($AN279),2)=0.33),
ROUND(
ROUND(((TRUNC(($AN279+0.01)*3/13,0)+0.99)*VLOOKUP((TRUNC(($AN279+0.01)*3/13,0)+0.99),'Tax scales - NAT 1004'!$A$12:$C$18,2,1)-VLOOKUP((TRUNC(($AN279+0.01)*3/13,0)+0.99),'Tax scales - NAT 1004'!$A$12:$C$18,3,1)),0)
*13/3,
0),
IF($E$2="Monthly",
ROUND(
ROUND(((TRUNC($AN279*3/13,0)+0.99)*VLOOKUP((TRUNC($AN279*3/13,0)+0.99),'Tax scales - NAT 1004'!$A$12:$C$18,2,1)-VLOOKUP((TRUNC($AN279*3/13,0)+0.99),'Tax scales - NAT 1004'!$A$12:$C$18,3,1)),0)
*13/3,
0),
""))),
""),
"")</f>
        <v/>
      </c>
      <c r="AP279" s="118" t="str">
        <f>IFERROR(
IF(VLOOKUP($C279,'Employee information'!$B:$M,COLUMNS('Employee information'!$B:$M),0)=2,
IF($E$2="Fortnightly",
ROUND(
ROUND((((TRUNC($AN279/2,0)+0.99))*VLOOKUP((TRUNC($AN279/2,0)+0.99),'Tax scales - NAT 1004'!$A$25:$C$33,2,1)-VLOOKUP((TRUNC($AN279/2,0)+0.99),'Tax scales - NAT 1004'!$A$25:$C$33,3,1)),0)
*2,
0),
IF(AND($E$2="Monthly",ROUND($AN279-TRUNC($AN279),2)=0.33),
ROUND(
ROUND(((TRUNC(($AN279+0.01)*3/13,0)+0.99)*VLOOKUP((TRUNC(($AN279+0.01)*3/13,0)+0.99),'Tax scales - NAT 1004'!$A$25:$C$33,2,1)-VLOOKUP((TRUNC(($AN279+0.01)*3/13,0)+0.99),'Tax scales - NAT 1004'!$A$25:$C$33,3,1)),0)
*13/3,
0),
IF($E$2="Monthly",
ROUND(
ROUND(((TRUNC($AN279*3/13,0)+0.99)*VLOOKUP((TRUNC($AN279*3/13,0)+0.99),'Tax scales - NAT 1004'!$A$25:$C$33,2,1)-VLOOKUP((TRUNC($AN279*3/13,0)+0.99),'Tax scales - NAT 1004'!$A$25:$C$33,3,1)),0)
*13/3,
0),
""))),
""),
"")</f>
        <v/>
      </c>
      <c r="AQ279" s="118" t="str">
        <f>IFERROR(
IF(VLOOKUP($C279,'Employee information'!$B:$M,COLUMNS('Employee information'!$B:$M),0)=3,
IF($E$2="Fortnightly",
ROUND(
ROUND((((TRUNC($AN279/2,0)+0.99))*VLOOKUP((TRUNC($AN279/2,0)+0.99),'Tax scales - NAT 1004'!$A$39:$C$41,2,1)-VLOOKUP((TRUNC($AN279/2,0)+0.99),'Tax scales - NAT 1004'!$A$39:$C$41,3,1)),0)
*2,
0),
IF(AND($E$2="Monthly",ROUND($AN279-TRUNC($AN279),2)=0.33),
ROUND(
ROUND(((TRUNC(($AN279+0.01)*3/13,0)+0.99)*VLOOKUP((TRUNC(($AN279+0.01)*3/13,0)+0.99),'Tax scales - NAT 1004'!$A$39:$C$41,2,1)-VLOOKUP((TRUNC(($AN279+0.01)*3/13,0)+0.99),'Tax scales - NAT 1004'!$A$39:$C$41,3,1)),0)
*13/3,
0),
IF($E$2="Monthly",
ROUND(
ROUND(((TRUNC($AN279*3/13,0)+0.99)*VLOOKUP((TRUNC($AN279*3/13,0)+0.99),'Tax scales - NAT 1004'!$A$39:$C$41,2,1)-VLOOKUP((TRUNC($AN279*3/13,0)+0.99),'Tax scales - NAT 1004'!$A$39:$C$41,3,1)),0)
*13/3,
0),
""))),
""),
"")</f>
        <v/>
      </c>
      <c r="AR279" s="118" t="str">
        <f>IFERROR(
IF(AND(VLOOKUP($C279,'Employee information'!$B:$M,COLUMNS('Employee information'!$B:$M),0)=4,
VLOOKUP($C279,'Employee information'!$B:$J,COLUMNS('Employee information'!$B:$J),0)="Resident"),
TRUNC(TRUNC($AN279)*'Tax scales - NAT 1004'!$B$47),
IF(AND(VLOOKUP($C279,'Employee information'!$B:$M,COLUMNS('Employee information'!$B:$M),0)=4,
VLOOKUP($C279,'Employee information'!$B:$J,COLUMNS('Employee information'!$B:$J),0)="Foreign resident"),
TRUNC(TRUNC($AN279)*'Tax scales - NAT 1004'!$B$48),
"")),
"")</f>
        <v/>
      </c>
      <c r="AS279" s="118" t="str">
        <f>IFERROR(
IF(VLOOKUP($C279,'Employee information'!$B:$M,COLUMNS('Employee information'!$B:$M),0)=5,
IF($E$2="Fortnightly",
ROUND(
ROUND((((TRUNC($AN279/2,0)+0.99))*VLOOKUP((TRUNC($AN279/2,0)+0.99),'Tax scales - NAT 1004'!$A$53:$C$59,2,1)-VLOOKUP((TRUNC($AN279/2,0)+0.99),'Tax scales - NAT 1004'!$A$53:$C$59,3,1)),0)
*2,
0),
IF(AND($E$2="Monthly",ROUND($AN279-TRUNC($AN279),2)=0.33),
ROUND(
ROUND(((TRUNC(($AN279+0.01)*3/13,0)+0.99)*VLOOKUP((TRUNC(($AN279+0.01)*3/13,0)+0.99),'Tax scales - NAT 1004'!$A$53:$C$59,2,1)-VLOOKUP((TRUNC(($AN279+0.01)*3/13,0)+0.99),'Tax scales - NAT 1004'!$A$53:$C$59,3,1)),0)
*13/3,
0),
IF($E$2="Monthly",
ROUND(
ROUND(((TRUNC($AN279*3/13,0)+0.99)*VLOOKUP((TRUNC($AN279*3/13,0)+0.99),'Tax scales - NAT 1004'!$A$53:$C$59,2,1)-VLOOKUP((TRUNC($AN279*3/13,0)+0.99),'Tax scales - NAT 1004'!$A$53:$C$59,3,1)),0)
*13/3,
0),
""))),
""),
"")</f>
        <v/>
      </c>
      <c r="AT279" s="118" t="str">
        <f>IFERROR(
IF(VLOOKUP($C279,'Employee information'!$B:$M,COLUMNS('Employee information'!$B:$M),0)=6,
IF($E$2="Fortnightly",
ROUND(
ROUND((((TRUNC($AN279/2,0)+0.99))*VLOOKUP((TRUNC($AN279/2,0)+0.99),'Tax scales - NAT 1004'!$A$65:$C$73,2,1)-VLOOKUP((TRUNC($AN279/2,0)+0.99),'Tax scales - NAT 1004'!$A$65:$C$73,3,1)),0)
*2,
0),
IF(AND($E$2="Monthly",ROUND($AN279-TRUNC($AN279),2)=0.33),
ROUND(
ROUND(((TRUNC(($AN279+0.01)*3/13,0)+0.99)*VLOOKUP((TRUNC(($AN279+0.01)*3/13,0)+0.99),'Tax scales - NAT 1004'!$A$65:$C$73,2,1)-VLOOKUP((TRUNC(($AN279+0.01)*3/13,0)+0.99),'Tax scales - NAT 1004'!$A$65:$C$73,3,1)),0)
*13/3,
0),
IF($E$2="Monthly",
ROUND(
ROUND(((TRUNC($AN279*3/13,0)+0.99)*VLOOKUP((TRUNC($AN279*3/13,0)+0.99),'Tax scales - NAT 1004'!$A$65:$C$73,2,1)-VLOOKUP((TRUNC($AN279*3/13,0)+0.99),'Tax scales - NAT 1004'!$A$65:$C$73,3,1)),0)
*13/3,
0),
""))),
""),
"")</f>
        <v/>
      </c>
      <c r="AU279" s="118" t="str">
        <f>IFERROR(
IF(VLOOKUP($C279,'Employee information'!$B:$M,COLUMNS('Employee information'!$B:$M),0)=11,
IF($E$2="Fortnightly",
ROUND(
ROUND((((TRUNC($AN279/2,0)+0.99))*VLOOKUP((TRUNC($AN279/2,0)+0.99),'Tax scales - NAT 3539'!$A$14:$C$38,2,1)-VLOOKUP((TRUNC($AN279/2,0)+0.99),'Tax scales - NAT 3539'!$A$14:$C$38,3,1)),0)
*2,
0),
IF(AND($E$2="Monthly",ROUND($AN279-TRUNC($AN279),2)=0.33),
ROUND(
ROUND(((TRUNC(($AN279+0.01)*3/13,0)+0.99)*VLOOKUP((TRUNC(($AN279+0.01)*3/13,0)+0.99),'Tax scales - NAT 3539'!$A$14:$C$38,2,1)-VLOOKUP((TRUNC(($AN279+0.01)*3/13,0)+0.99),'Tax scales - NAT 3539'!$A$14:$C$38,3,1)),0)
*13/3,
0),
IF($E$2="Monthly",
ROUND(
ROUND(((TRUNC($AN279*3/13,0)+0.99)*VLOOKUP((TRUNC($AN279*3/13,0)+0.99),'Tax scales - NAT 3539'!$A$14:$C$38,2,1)-VLOOKUP((TRUNC($AN279*3/13,0)+0.99),'Tax scales - NAT 3539'!$A$14:$C$38,3,1)),0)
*13/3,
0),
""))),
""),
"")</f>
        <v/>
      </c>
      <c r="AV279" s="118" t="str">
        <f>IFERROR(
IF(VLOOKUP($C279,'Employee information'!$B:$M,COLUMNS('Employee information'!$B:$M),0)=22,
IF($E$2="Fortnightly",
ROUND(
ROUND((((TRUNC($AN279/2,0)+0.99))*VLOOKUP((TRUNC($AN279/2,0)+0.99),'Tax scales - NAT 3539'!$A$43:$C$69,2,1)-VLOOKUP((TRUNC($AN279/2,0)+0.99),'Tax scales - NAT 3539'!$A$43:$C$69,3,1)),0)
*2,
0),
IF(AND($E$2="Monthly",ROUND($AN279-TRUNC($AN279),2)=0.33),
ROUND(
ROUND(((TRUNC(($AN279+0.01)*3/13,0)+0.99)*VLOOKUP((TRUNC(($AN279+0.01)*3/13,0)+0.99),'Tax scales - NAT 3539'!$A$43:$C$69,2,1)-VLOOKUP((TRUNC(($AN279+0.01)*3/13,0)+0.99),'Tax scales - NAT 3539'!$A$43:$C$69,3,1)),0)
*13/3,
0),
IF($E$2="Monthly",
ROUND(
ROUND(((TRUNC($AN279*3/13,0)+0.99)*VLOOKUP((TRUNC($AN279*3/13,0)+0.99),'Tax scales - NAT 3539'!$A$43:$C$69,2,1)-VLOOKUP((TRUNC($AN279*3/13,0)+0.99),'Tax scales - NAT 3539'!$A$43:$C$69,3,1)),0)
*13/3,
0),
""))),
""),
"")</f>
        <v/>
      </c>
      <c r="AW279" s="118" t="str">
        <f>IFERROR(
IF(VLOOKUP($C279,'Employee information'!$B:$M,COLUMNS('Employee information'!$B:$M),0)=33,
IF($E$2="Fortnightly",
ROUND(
ROUND((((TRUNC($AN279/2,0)+0.99))*VLOOKUP((TRUNC($AN279/2,0)+0.99),'Tax scales - NAT 3539'!$A$74:$C$94,2,1)-VLOOKUP((TRUNC($AN279/2,0)+0.99),'Tax scales - NAT 3539'!$A$74:$C$94,3,1)),0)
*2,
0),
IF(AND($E$2="Monthly",ROUND($AN279-TRUNC($AN279),2)=0.33),
ROUND(
ROUND(((TRUNC(($AN279+0.01)*3/13,0)+0.99)*VLOOKUP((TRUNC(($AN279+0.01)*3/13,0)+0.99),'Tax scales - NAT 3539'!$A$74:$C$94,2,1)-VLOOKUP((TRUNC(($AN279+0.01)*3/13,0)+0.99),'Tax scales - NAT 3539'!$A$74:$C$94,3,1)),0)
*13/3,
0),
IF($E$2="Monthly",
ROUND(
ROUND(((TRUNC($AN279*3/13,0)+0.99)*VLOOKUP((TRUNC($AN279*3/13,0)+0.99),'Tax scales - NAT 3539'!$A$74:$C$94,2,1)-VLOOKUP((TRUNC($AN279*3/13,0)+0.99),'Tax scales - NAT 3539'!$A$74:$C$94,3,1)),0)
*13/3,
0),
""))),
""),
"")</f>
        <v/>
      </c>
      <c r="AX279" s="118" t="str">
        <f>IFERROR(
IF(VLOOKUP($C279,'Employee information'!$B:$M,COLUMNS('Employee information'!$B:$M),0)=55,
IF($E$2="Fortnightly",
ROUND(
ROUND((((TRUNC($AN279/2,0)+0.99))*VLOOKUP((TRUNC($AN279/2,0)+0.99),'Tax scales - NAT 3539'!$A$99:$C$123,2,1)-VLOOKUP((TRUNC($AN279/2,0)+0.99),'Tax scales - NAT 3539'!$A$99:$C$123,3,1)),0)
*2,
0),
IF(AND($E$2="Monthly",ROUND($AN279-TRUNC($AN279),2)=0.33),
ROUND(
ROUND(((TRUNC(($AN279+0.01)*3/13,0)+0.99)*VLOOKUP((TRUNC(($AN279+0.01)*3/13,0)+0.99),'Tax scales - NAT 3539'!$A$99:$C$123,2,1)-VLOOKUP((TRUNC(($AN279+0.01)*3/13,0)+0.99),'Tax scales - NAT 3539'!$A$99:$C$123,3,1)),0)
*13/3,
0),
IF($E$2="Monthly",
ROUND(
ROUND(((TRUNC($AN279*3/13,0)+0.99)*VLOOKUP((TRUNC($AN279*3/13,0)+0.99),'Tax scales - NAT 3539'!$A$99:$C$123,2,1)-VLOOKUP((TRUNC($AN279*3/13,0)+0.99),'Tax scales - NAT 3539'!$A$99:$C$123,3,1)),0)
*13/3,
0),
""))),
""),
"")</f>
        <v/>
      </c>
      <c r="AY279" s="118" t="str">
        <f>IFERROR(
IF(VLOOKUP($C279,'Employee information'!$B:$M,COLUMNS('Employee information'!$B:$M),0)=66,
IF($E$2="Fortnightly",
ROUND(
ROUND((((TRUNC($AN279/2,0)+0.99))*VLOOKUP((TRUNC($AN279/2,0)+0.99),'Tax scales - NAT 3539'!$A$127:$C$154,2,1)-VLOOKUP((TRUNC($AN279/2,0)+0.99),'Tax scales - NAT 3539'!$A$127:$C$154,3,1)),0)
*2,
0),
IF(AND($E$2="Monthly",ROUND($AN279-TRUNC($AN279),2)=0.33),
ROUND(
ROUND(((TRUNC(($AN279+0.01)*3/13,0)+0.99)*VLOOKUP((TRUNC(($AN279+0.01)*3/13,0)+0.99),'Tax scales - NAT 3539'!$A$127:$C$154,2,1)-VLOOKUP((TRUNC(($AN279+0.01)*3/13,0)+0.99),'Tax scales - NAT 3539'!$A$127:$C$154,3,1)),0)
*13/3,
0),
IF($E$2="Monthly",
ROUND(
ROUND(((TRUNC($AN279*3/13,0)+0.99)*VLOOKUP((TRUNC($AN279*3/13,0)+0.99),'Tax scales - NAT 3539'!$A$127:$C$154,2,1)-VLOOKUP((TRUNC($AN279*3/13,0)+0.99),'Tax scales - NAT 3539'!$A$127:$C$154,3,1)),0)
*13/3,
0),
""))),
""),
"")</f>
        <v/>
      </c>
      <c r="AZ279" s="118">
        <f>IFERROR(
HLOOKUP(VLOOKUP($C279,'Employee information'!$B:$M,COLUMNS('Employee information'!$B:$M),0),'PAYG worksheet'!$AO$271:$AY$290,COUNTA($C$272:$C279)+1,0),
0)</f>
        <v>0</v>
      </c>
      <c r="BA279" s="118"/>
      <c r="BB279" s="118">
        <f t="shared" si="294"/>
        <v>0</v>
      </c>
      <c r="BC279" s="119">
        <f>IFERROR(
IF(OR($AE279=1,$AE279=""),SUM($P279,$AA279,$AC279,$AK279)*VLOOKUP($C279,'Employee information'!$B:$Q,COLUMNS('Employee information'!$B:$H),0),
IF($AE279=0,SUM($P279,$AA279,$AK279)*VLOOKUP($C279,'Employee information'!$B:$Q,COLUMNS('Employee information'!$B:$H),0),
0)),
0)</f>
        <v>0</v>
      </c>
      <c r="BE279" s="114">
        <f t="shared" si="279"/>
        <v>0</v>
      </c>
      <c r="BF279" s="114">
        <f t="shared" si="280"/>
        <v>0</v>
      </c>
      <c r="BG279" s="114">
        <f t="shared" si="281"/>
        <v>0</v>
      </c>
      <c r="BH279" s="114">
        <f t="shared" si="282"/>
        <v>0</v>
      </c>
      <c r="BI279" s="114">
        <f t="shared" si="283"/>
        <v>0</v>
      </c>
      <c r="BJ279" s="114">
        <f t="shared" si="284"/>
        <v>0</v>
      </c>
      <c r="BK279" s="114">
        <f t="shared" si="285"/>
        <v>0</v>
      </c>
      <c r="BL279" s="114">
        <f t="shared" si="295"/>
        <v>0</v>
      </c>
      <c r="BM279" s="114">
        <f t="shared" si="286"/>
        <v>0</v>
      </c>
    </row>
    <row r="280" spans="1:65" x14ac:dyDescent="0.25">
      <c r="A280" s="228">
        <f t="shared" si="274"/>
        <v>10</v>
      </c>
      <c r="C280" s="278"/>
      <c r="E280" s="103">
        <f>IF($C280="",0,
IF(AND($E$2="Monthly",$A280&gt;12),0,
IF($E$2="Monthly",VLOOKUP($C280,'Employee information'!$B:$AM,COLUMNS('Employee information'!$B:S),0),
IF($E$2="Fortnightly",VLOOKUP($C280,'Employee information'!$B:$AM,COLUMNS('Employee information'!$B:R),0),
0))))</f>
        <v>0</v>
      </c>
      <c r="F280" s="106"/>
      <c r="G280" s="106"/>
      <c r="H280" s="106"/>
      <c r="I280" s="106"/>
      <c r="J280" s="103">
        <f t="shared" si="287"/>
        <v>0</v>
      </c>
      <c r="L280" s="113">
        <f>IF(AND($E$2="Monthly",$A280&gt;12),"",
IFERROR($J280*VLOOKUP($C280,'Employee information'!$B:$AI,COLUMNS('Employee information'!$B:$P),0),0))</f>
        <v>0</v>
      </c>
      <c r="M280" s="114">
        <f t="shared" si="288"/>
        <v>0</v>
      </c>
      <c r="O280" s="103">
        <f t="shared" si="289"/>
        <v>0</v>
      </c>
      <c r="P280" s="113">
        <f>IFERROR(
IF(AND($E$2="Monthly",$A280&gt;12),0,
$O280*VLOOKUP($C280,'Employee information'!$B:$AI,COLUMNS('Employee information'!$B:$P),0)),
0)</f>
        <v>0</v>
      </c>
      <c r="R280" s="114">
        <f t="shared" si="275"/>
        <v>0</v>
      </c>
      <c r="T280" s="103"/>
      <c r="U280" s="103"/>
      <c r="V280" s="282" t="str">
        <f>IF($C280="","",
IF(AND($E$2="Monthly",$A280&gt;12),"",
$T280*VLOOKUP($C280,'Employee information'!$B:$P,COLUMNS('Employee information'!$B:$P),0)))</f>
        <v/>
      </c>
      <c r="W280" s="282" t="str">
        <f>IF($C280="","",
IF(AND($E$2="Monthly",$A280&gt;12),"",
$U280*VLOOKUP($C280,'Employee information'!$B:$P,COLUMNS('Employee information'!$B:$P),0)))</f>
        <v/>
      </c>
      <c r="X280" s="114">
        <f t="shared" si="276"/>
        <v>0</v>
      </c>
      <c r="Y280" s="114">
        <f t="shared" si="277"/>
        <v>0</v>
      </c>
      <c r="AA280" s="118">
        <f>IFERROR(
IF(OR('Basic payroll data'!$D$12="",'Basic payroll data'!$D$12="No"),0,
$T280*VLOOKUP($C280,'Employee information'!$B:$P,COLUMNS('Employee information'!$B:$P),0)*AL_loading_perc),
0)</f>
        <v>0</v>
      </c>
      <c r="AC280" s="118"/>
      <c r="AD280" s="118"/>
      <c r="AE280" s="283" t="str">
        <f t="shared" si="290"/>
        <v/>
      </c>
      <c r="AF280" s="283" t="str">
        <f t="shared" si="291"/>
        <v/>
      </c>
      <c r="AG280" s="118"/>
      <c r="AH280" s="118"/>
      <c r="AI280" s="283" t="str">
        <f t="shared" si="292"/>
        <v/>
      </c>
      <c r="AJ280" s="118"/>
      <c r="AK280" s="118"/>
      <c r="AM280" s="118">
        <f t="shared" si="293"/>
        <v>0</v>
      </c>
      <c r="AN280" s="118">
        <f t="shared" si="278"/>
        <v>0</v>
      </c>
      <c r="AO280" s="118" t="str">
        <f>IFERROR(
IF(VLOOKUP($C280,'Employee information'!$B:$M,COLUMNS('Employee information'!$B:$M),0)=1,
IF($E$2="Fortnightly",
ROUND(
ROUND((((TRUNC($AN280/2,0)+0.99))*VLOOKUP((TRUNC($AN280/2,0)+0.99),'Tax scales - NAT 1004'!$A$12:$C$18,2,1)-VLOOKUP((TRUNC($AN280/2,0)+0.99),'Tax scales - NAT 1004'!$A$12:$C$18,3,1)),0)
*2,
0),
IF(AND($E$2="Monthly",ROUND($AN280-TRUNC($AN280),2)=0.33),
ROUND(
ROUND(((TRUNC(($AN280+0.01)*3/13,0)+0.99)*VLOOKUP((TRUNC(($AN280+0.01)*3/13,0)+0.99),'Tax scales - NAT 1004'!$A$12:$C$18,2,1)-VLOOKUP((TRUNC(($AN280+0.01)*3/13,0)+0.99),'Tax scales - NAT 1004'!$A$12:$C$18,3,1)),0)
*13/3,
0),
IF($E$2="Monthly",
ROUND(
ROUND(((TRUNC($AN280*3/13,0)+0.99)*VLOOKUP((TRUNC($AN280*3/13,0)+0.99),'Tax scales - NAT 1004'!$A$12:$C$18,2,1)-VLOOKUP((TRUNC($AN280*3/13,0)+0.99),'Tax scales - NAT 1004'!$A$12:$C$18,3,1)),0)
*13/3,
0),
""))),
""),
"")</f>
        <v/>
      </c>
      <c r="AP280" s="118" t="str">
        <f>IFERROR(
IF(VLOOKUP($C280,'Employee information'!$B:$M,COLUMNS('Employee information'!$B:$M),0)=2,
IF($E$2="Fortnightly",
ROUND(
ROUND((((TRUNC($AN280/2,0)+0.99))*VLOOKUP((TRUNC($AN280/2,0)+0.99),'Tax scales - NAT 1004'!$A$25:$C$33,2,1)-VLOOKUP((TRUNC($AN280/2,0)+0.99),'Tax scales - NAT 1004'!$A$25:$C$33,3,1)),0)
*2,
0),
IF(AND($E$2="Monthly",ROUND($AN280-TRUNC($AN280),2)=0.33),
ROUND(
ROUND(((TRUNC(($AN280+0.01)*3/13,0)+0.99)*VLOOKUP((TRUNC(($AN280+0.01)*3/13,0)+0.99),'Tax scales - NAT 1004'!$A$25:$C$33,2,1)-VLOOKUP((TRUNC(($AN280+0.01)*3/13,0)+0.99),'Tax scales - NAT 1004'!$A$25:$C$33,3,1)),0)
*13/3,
0),
IF($E$2="Monthly",
ROUND(
ROUND(((TRUNC($AN280*3/13,0)+0.99)*VLOOKUP((TRUNC($AN280*3/13,0)+0.99),'Tax scales - NAT 1004'!$A$25:$C$33,2,1)-VLOOKUP((TRUNC($AN280*3/13,0)+0.99),'Tax scales - NAT 1004'!$A$25:$C$33,3,1)),0)
*13/3,
0),
""))),
""),
"")</f>
        <v/>
      </c>
      <c r="AQ280" s="118" t="str">
        <f>IFERROR(
IF(VLOOKUP($C280,'Employee information'!$B:$M,COLUMNS('Employee information'!$B:$M),0)=3,
IF($E$2="Fortnightly",
ROUND(
ROUND((((TRUNC($AN280/2,0)+0.99))*VLOOKUP((TRUNC($AN280/2,0)+0.99),'Tax scales - NAT 1004'!$A$39:$C$41,2,1)-VLOOKUP((TRUNC($AN280/2,0)+0.99),'Tax scales - NAT 1004'!$A$39:$C$41,3,1)),0)
*2,
0),
IF(AND($E$2="Monthly",ROUND($AN280-TRUNC($AN280),2)=0.33),
ROUND(
ROUND(((TRUNC(($AN280+0.01)*3/13,0)+0.99)*VLOOKUP((TRUNC(($AN280+0.01)*3/13,0)+0.99),'Tax scales - NAT 1004'!$A$39:$C$41,2,1)-VLOOKUP((TRUNC(($AN280+0.01)*3/13,0)+0.99),'Tax scales - NAT 1004'!$A$39:$C$41,3,1)),0)
*13/3,
0),
IF($E$2="Monthly",
ROUND(
ROUND(((TRUNC($AN280*3/13,0)+0.99)*VLOOKUP((TRUNC($AN280*3/13,0)+0.99),'Tax scales - NAT 1004'!$A$39:$C$41,2,1)-VLOOKUP((TRUNC($AN280*3/13,0)+0.99),'Tax scales - NAT 1004'!$A$39:$C$41,3,1)),0)
*13/3,
0),
""))),
""),
"")</f>
        <v/>
      </c>
      <c r="AR280" s="118" t="str">
        <f>IFERROR(
IF(AND(VLOOKUP($C280,'Employee information'!$B:$M,COLUMNS('Employee information'!$B:$M),0)=4,
VLOOKUP($C280,'Employee information'!$B:$J,COLUMNS('Employee information'!$B:$J),0)="Resident"),
TRUNC(TRUNC($AN280)*'Tax scales - NAT 1004'!$B$47),
IF(AND(VLOOKUP($C280,'Employee information'!$B:$M,COLUMNS('Employee information'!$B:$M),0)=4,
VLOOKUP($C280,'Employee information'!$B:$J,COLUMNS('Employee information'!$B:$J),0)="Foreign resident"),
TRUNC(TRUNC($AN280)*'Tax scales - NAT 1004'!$B$48),
"")),
"")</f>
        <v/>
      </c>
      <c r="AS280" s="118" t="str">
        <f>IFERROR(
IF(VLOOKUP($C280,'Employee information'!$B:$M,COLUMNS('Employee information'!$B:$M),0)=5,
IF($E$2="Fortnightly",
ROUND(
ROUND((((TRUNC($AN280/2,0)+0.99))*VLOOKUP((TRUNC($AN280/2,0)+0.99),'Tax scales - NAT 1004'!$A$53:$C$59,2,1)-VLOOKUP((TRUNC($AN280/2,0)+0.99),'Tax scales - NAT 1004'!$A$53:$C$59,3,1)),0)
*2,
0),
IF(AND($E$2="Monthly",ROUND($AN280-TRUNC($AN280),2)=0.33),
ROUND(
ROUND(((TRUNC(($AN280+0.01)*3/13,0)+0.99)*VLOOKUP((TRUNC(($AN280+0.01)*3/13,0)+0.99),'Tax scales - NAT 1004'!$A$53:$C$59,2,1)-VLOOKUP((TRUNC(($AN280+0.01)*3/13,0)+0.99),'Tax scales - NAT 1004'!$A$53:$C$59,3,1)),0)
*13/3,
0),
IF($E$2="Monthly",
ROUND(
ROUND(((TRUNC($AN280*3/13,0)+0.99)*VLOOKUP((TRUNC($AN280*3/13,0)+0.99),'Tax scales - NAT 1004'!$A$53:$C$59,2,1)-VLOOKUP((TRUNC($AN280*3/13,0)+0.99),'Tax scales - NAT 1004'!$A$53:$C$59,3,1)),0)
*13/3,
0),
""))),
""),
"")</f>
        <v/>
      </c>
      <c r="AT280" s="118" t="str">
        <f>IFERROR(
IF(VLOOKUP($C280,'Employee information'!$B:$M,COLUMNS('Employee information'!$B:$M),0)=6,
IF($E$2="Fortnightly",
ROUND(
ROUND((((TRUNC($AN280/2,0)+0.99))*VLOOKUP((TRUNC($AN280/2,0)+0.99),'Tax scales - NAT 1004'!$A$65:$C$73,2,1)-VLOOKUP((TRUNC($AN280/2,0)+0.99),'Tax scales - NAT 1004'!$A$65:$C$73,3,1)),0)
*2,
0),
IF(AND($E$2="Monthly",ROUND($AN280-TRUNC($AN280),2)=0.33),
ROUND(
ROUND(((TRUNC(($AN280+0.01)*3/13,0)+0.99)*VLOOKUP((TRUNC(($AN280+0.01)*3/13,0)+0.99),'Tax scales - NAT 1004'!$A$65:$C$73,2,1)-VLOOKUP((TRUNC(($AN280+0.01)*3/13,0)+0.99),'Tax scales - NAT 1004'!$A$65:$C$73,3,1)),0)
*13/3,
0),
IF($E$2="Monthly",
ROUND(
ROUND(((TRUNC($AN280*3/13,0)+0.99)*VLOOKUP((TRUNC($AN280*3/13,0)+0.99),'Tax scales - NAT 1004'!$A$65:$C$73,2,1)-VLOOKUP((TRUNC($AN280*3/13,0)+0.99),'Tax scales - NAT 1004'!$A$65:$C$73,3,1)),0)
*13/3,
0),
""))),
""),
"")</f>
        <v/>
      </c>
      <c r="AU280" s="118" t="str">
        <f>IFERROR(
IF(VLOOKUP($C280,'Employee information'!$B:$M,COLUMNS('Employee information'!$B:$M),0)=11,
IF($E$2="Fortnightly",
ROUND(
ROUND((((TRUNC($AN280/2,0)+0.99))*VLOOKUP((TRUNC($AN280/2,0)+0.99),'Tax scales - NAT 3539'!$A$14:$C$38,2,1)-VLOOKUP((TRUNC($AN280/2,0)+0.99),'Tax scales - NAT 3539'!$A$14:$C$38,3,1)),0)
*2,
0),
IF(AND($E$2="Monthly",ROUND($AN280-TRUNC($AN280),2)=0.33),
ROUND(
ROUND(((TRUNC(($AN280+0.01)*3/13,0)+0.99)*VLOOKUP((TRUNC(($AN280+0.01)*3/13,0)+0.99),'Tax scales - NAT 3539'!$A$14:$C$38,2,1)-VLOOKUP((TRUNC(($AN280+0.01)*3/13,0)+0.99),'Tax scales - NAT 3539'!$A$14:$C$38,3,1)),0)
*13/3,
0),
IF($E$2="Monthly",
ROUND(
ROUND(((TRUNC($AN280*3/13,0)+0.99)*VLOOKUP((TRUNC($AN280*3/13,0)+0.99),'Tax scales - NAT 3539'!$A$14:$C$38,2,1)-VLOOKUP((TRUNC($AN280*3/13,0)+0.99),'Tax scales - NAT 3539'!$A$14:$C$38,3,1)),0)
*13/3,
0),
""))),
""),
"")</f>
        <v/>
      </c>
      <c r="AV280" s="118" t="str">
        <f>IFERROR(
IF(VLOOKUP($C280,'Employee information'!$B:$M,COLUMNS('Employee information'!$B:$M),0)=22,
IF($E$2="Fortnightly",
ROUND(
ROUND((((TRUNC($AN280/2,0)+0.99))*VLOOKUP((TRUNC($AN280/2,0)+0.99),'Tax scales - NAT 3539'!$A$43:$C$69,2,1)-VLOOKUP((TRUNC($AN280/2,0)+0.99),'Tax scales - NAT 3539'!$A$43:$C$69,3,1)),0)
*2,
0),
IF(AND($E$2="Monthly",ROUND($AN280-TRUNC($AN280),2)=0.33),
ROUND(
ROUND(((TRUNC(($AN280+0.01)*3/13,0)+0.99)*VLOOKUP((TRUNC(($AN280+0.01)*3/13,0)+0.99),'Tax scales - NAT 3539'!$A$43:$C$69,2,1)-VLOOKUP((TRUNC(($AN280+0.01)*3/13,0)+0.99),'Tax scales - NAT 3539'!$A$43:$C$69,3,1)),0)
*13/3,
0),
IF($E$2="Monthly",
ROUND(
ROUND(((TRUNC($AN280*3/13,0)+0.99)*VLOOKUP((TRUNC($AN280*3/13,0)+0.99),'Tax scales - NAT 3539'!$A$43:$C$69,2,1)-VLOOKUP((TRUNC($AN280*3/13,0)+0.99),'Tax scales - NAT 3539'!$A$43:$C$69,3,1)),0)
*13/3,
0),
""))),
""),
"")</f>
        <v/>
      </c>
      <c r="AW280" s="118" t="str">
        <f>IFERROR(
IF(VLOOKUP($C280,'Employee information'!$B:$M,COLUMNS('Employee information'!$B:$M),0)=33,
IF($E$2="Fortnightly",
ROUND(
ROUND((((TRUNC($AN280/2,0)+0.99))*VLOOKUP((TRUNC($AN280/2,0)+0.99),'Tax scales - NAT 3539'!$A$74:$C$94,2,1)-VLOOKUP((TRUNC($AN280/2,0)+0.99),'Tax scales - NAT 3539'!$A$74:$C$94,3,1)),0)
*2,
0),
IF(AND($E$2="Monthly",ROUND($AN280-TRUNC($AN280),2)=0.33),
ROUND(
ROUND(((TRUNC(($AN280+0.01)*3/13,0)+0.99)*VLOOKUP((TRUNC(($AN280+0.01)*3/13,0)+0.99),'Tax scales - NAT 3539'!$A$74:$C$94,2,1)-VLOOKUP((TRUNC(($AN280+0.01)*3/13,0)+0.99),'Tax scales - NAT 3539'!$A$74:$C$94,3,1)),0)
*13/3,
0),
IF($E$2="Monthly",
ROUND(
ROUND(((TRUNC($AN280*3/13,0)+0.99)*VLOOKUP((TRUNC($AN280*3/13,0)+0.99),'Tax scales - NAT 3539'!$A$74:$C$94,2,1)-VLOOKUP((TRUNC($AN280*3/13,0)+0.99),'Tax scales - NAT 3539'!$A$74:$C$94,3,1)),0)
*13/3,
0),
""))),
""),
"")</f>
        <v/>
      </c>
      <c r="AX280" s="118" t="str">
        <f>IFERROR(
IF(VLOOKUP($C280,'Employee information'!$B:$M,COLUMNS('Employee information'!$B:$M),0)=55,
IF($E$2="Fortnightly",
ROUND(
ROUND((((TRUNC($AN280/2,0)+0.99))*VLOOKUP((TRUNC($AN280/2,0)+0.99),'Tax scales - NAT 3539'!$A$99:$C$123,2,1)-VLOOKUP((TRUNC($AN280/2,0)+0.99),'Tax scales - NAT 3539'!$A$99:$C$123,3,1)),0)
*2,
0),
IF(AND($E$2="Monthly",ROUND($AN280-TRUNC($AN280),2)=0.33),
ROUND(
ROUND(((TRUNC(($AN280+0.01)*3/13,0)+0.99)*VLOOKUP((TRUNC(($AN280+0.01)*3/13,0)+0.99),'Tax scales - NAT 3539'!$A$99:$C$123,2,1)-VLOOKUP((TRUNC(($AN280+0.01)*3/13,0)+0.99),'Tax scales - NAT 3539'!$A$99:$C$123,3,1)),0)
*13/3,
0),
IF($E$2="Monthly",
ROUND(
ROUND(((TRUNC($AN280*3/13,0)+0.99)*VLOOKUP((TRUNC($AN280*3/13,0)+0.99),'Tax scales - NAT 3539'!$A$99:$C$123,2,1)-VLOOKUP((TRUNC($AN280*3/13,0)+0.99),'Tax scales - NAT 3539'!$A$99:$C$123,3,1)),0)
*13/3,
0),
""))),
""),
"")</f>
        <v/>
      </c>
      <c r="AY280" s="118" t="str">
        <f>IFERROR(
IF(VLOOKUP($C280,'Employee information'!$B:$M,COLUMNS('Employee information'!$B:$M),0)=66,
IF($E$2="Fortnightly",
ROUND(
ROUND((((TRUNC($AN280/2,0)+0.99))*VLOOKUP((TRUNC($AN280/2,0)+0.99),'Tax scales - NAT 3539'!$A$127:$C$154,2,1)-VLOOKUP((TRUNC($AN280/2,0)+0.99),'Tax scales - NAT 3539'!$A$127:$C$154,3,1)),0)
*2,
0),
IF(AND($E$2="Monthly",ROUND($AN280-TRUNC($AN280),2)=0.33),
ROUND(
ROUND(((TRUNC(($AN280+0.01)*3/13,0)+0.99)*VLOOKUP((TRUNC(($AN280+0.01)*3/13,0)+0.99),'Tax scales - NAT 3539'!$A$127:$C$154,2,1)-VLOOKUP((TRUNC(($AN280+0.01)*3/13,0)+0.99),'Tax scales - NAT 3539'!$A$127:$C$154,3,1)),0)
*13/3,
0),
IF($E$2="Monthly",
ROUND(
ROUND(((TRUNC($AN280*3/13,0)+0.99)*VLOOKUP((TRUNC($AN280*3/13,0)+0.99),'Tax scales - NAT 3539'!$A$127:$C$154,2,1)-VLOOKUP((TRUNC($AN280*3/13,0)+0.99),'Tax scales - NAT 3539'!$A$127:$C$154,3,1)),0)
*13/3,
0),
""))),
""),
"")</f>
        <v/>
      </c>
      <c r="AZ280" s="118">
        <f>IFERROR(
HLOOKUP(VLOOKUP($C280,'Employee information'!$B:$M,COLUMNS('Employee information'!$B:$M),0),'PAYG worksheet'!$AO$271:$AY$290,COUNTA($C$272:$C280)+1,0),
0)</f>
        <v>0</v>
      </c>
      <c r="BA280" s="118"/>
      <c r="BB280" s="118">
        <f t="shared" si="294"/>
        <v>0</v>
      </c>
      <c r="BC280" s="119">
        <f>IFERROR(
IF(OR($AE280=1,$AE280=""),SUM($P280,$AA280,$AC280,$AK280)*VLOOKUP($C280,'Employee information'!$B:$Q,COLUMNS('Employee information'!$B:$H),0),
IF($AE280=0,SUM($P280,$AA280,$AK280)*VLOOKUP($C280,'Employee information'!$B:$Q,COLUMNS('Employee information'!$B:$H),0),
0)),
0)</f>
        <v>0</v>
      </c>
      <c r="BE280" s="114">
        <f t="shared" si="279"/>
        <v>0</v>
      </c>
      <c r="BF280" s="114">
        <f t="shared" si="280"/>
        <v>0</v>
      </c>
      <c r="BG280" s="114">
        <f t="shared" si="281"/>
        <v>0</v>
      </c>
      <c r="BH280" s="114">
        <f t="shared" si="282"/>
        <v>0</v>
      </c>
      <c r="BI280" s="114">
        <f t="shared" si="283"/>
        <v>0</v>
      </c>
      <c r="BJ280" s="114">
        <f t="shared" si="284"/>
        <v>0</v>
      </c>
      <c r="BK280" s="114">
        <f t="shared" si="285"/>
        <v>0</v>
      </c>
      <c r="BL280" s="114">
        <f t="shared" si="295"/>
        <v>0</v>
      </c>
      <c r="BM280" s="114">
        <f t="shared" si="286"/>
        <v>0</v>
      </c>
    </row>
    <row r="281" spans="1:65" x14ac:dyDescent="0.25">
      <c r="A281" s="228">
        <f t="shared" si="274"/>
        <v>10</v>
      </c>
      <c r="C281" s="278"/>
      <c r="E281" s="103">
        <f>IF($C281="",0,
IF(AND($E$2="Monthly",$A281&gt;12),0,
IF($E$2="Monthly",VLOOKUP($C281,'Employee information'!$B:$AM,COLUMNS('Employee information'!$B:S),0),
IF($E$2="Fortnightly",VLOOKUP($C281,'Employee information'!$B:$AM,COLUMNS('Employee information'!$B:R),0),
0))))</f>
        <v>0</v>
      </c>
      <c r="F281" s="106"/>
      <c r="G281" s="106"/>
      <c r="H281" s="106"/>
      <c r="I281" s="106"/>
      <c r="J281" s="103">
        <f t="shared" si="287"/>
        <v>0</v>
      </c>
      <c r="L281" s="113">
        <f>IF(AND($E$2="Monthly",$A281&gt;12),"",
IFERROR($J281*VLOOKUP($C281,'Employee information'!$B:$AI,COLUMNS('Employee information'!$B:$P),0),0))</f>
        <v>0</v>
      </c>
      <c r="M281" s="114">
        <f t="shared" si="288"/>
        <v>0</v>
      </c>
      <c r="O281" s="103">
        <f>IF($E$2="Monthly",
IF(AND($E$2="Monthly",$H281&lt;&gt;""),$H281,
IF(AND($E$2="Monthly",$E281=0),$F281,
$E281)),
IF($E$2="Fortnightly",
IF(AND($E$2="Fortnightly",$H281&lt;&gt;""),$H281,
IF(AND($E$2="Fortnightly",$F281&lt;&gt;"",$E281&lt;&gt;0),$F281,
IF(AND($E$2="Fortnightly",$E281=0),$F281,
$E281)))))</f>
        <v>0</v>
      </c>
      <c r="P281" s="113">
        <f>IFERROR(
IF(AND($E$2="Monthly",$A281&gt;12),0,
$O281*VLOOKUP($C281,'Employee information'!$B:$AI,COLUMNS('Employee information'!$B:$P),0)),
0)</f>
        <v>0</v>
      </c>
      <c r="R281" s="114">
        <f t="shared" si="275"/>
        <v>0</v>
      </c>
      <c r="T281" s="103"/>
      <c r="U281" s="103"/>
      <c r="V281" s="282" t="str">
        <f>IF($C281="","",
IF(AND($E$2="Monthly",$A281&gt;12),"",
$T281*VLOOKUP($C281,'Employee information'!$B:$P,COLUMNS('Employee information'!$B:$P),0)))</f>
        <v/>
      </c>
      <c r="W281" s="282" t="str">
        <f>IF($C281="","",
IF(AND($E$2="Monthly",$A281&gt;12),"",
$U281*VLOOKUP($C281,'Employee information'!$B:$P,COLUMNS('Employee information'!$B:$P),0)))</f>
        <v/>
      </c>
      <c r="X281" s="114">
        <f t="shared" si="276"/>
        <v>0</v>
      </c>
      <c r="Y281" s="114">
        <f t="shared" si="277"/>
        <v>0</v>
      </c>
      <c r="AA281" s="118">
        <f>IFERROR(
IF(OR('Basic payroll data'!$D$12="",'Basic payroll data'!$D$12="No"),0,
$T281*VLOOKUP($C281,'Employee information'!$B:$P,COLUMNS('Employee information'!$B:$P),0)*AL_loading_perc),
0)</f>
        <v>0</v>
      </c>
      <c r="AC281" s="118"/>
      <c r="AD281" s="118"/>
      <c r="AE281" s="283" t="str">
        <f t="shared" si="290"/>
        <v/>
      </c>
      <c r="AF281" s="283" t="str">
        <f t="shared" si="291"/>
        <v/>
      </c>
      <c r="AG281" s="118"/>
      <c r="AH281" s="118"/>
      <c r="AI281" s="283" t="str">
        <f t="shared" si="292"/>
        <v/>
      </c>
      <c r="AJ281" s="118"/>
      <c r="AK281" s="118"/>
      <c r="AM281" s="118">
        <f t="shared" si="293"/>
        <v>0</v>
      </c>
      <c r="AN281" s="118">
        <f t="shared" si="278"/>
        <v>0</v>
      </c>
      <c r="AO281" s="118" t="str">
        <f>IFERROR(
IF(VLOOKUP($C281,'Employee information'!$B:$M,COLUMNS('Employee information'!$B:$M),0)=1,
IF($E$2="Fortnightly",
ROUND(
ROUND((((TRUNC($AN281/2,0)+0.99))*VLOOKUP((TRUNC($AN281/2,0)+0.99),'Tax scales - NAT 1004'!$A$12:$C$18,2,1)-VLOOKUP((TRUNC($AN281/2,0)+0.99),'Tax scales - NAT 1004'!$A$12:$C$18,3,1)),0)
*2,
0),
IF(AND($E$2="Monthly",ROUND($AN281-TRUNC($AN281),2)=0.33),
ROUND(
ROUND(((TRUNC(($AN281+0.01)*3/13,0)+0.99)*VLOOKUP((TRUNC(($AN281+0.01)*3/13,0)+0.99),'Tax scales - NAT 1004'!$A$12:$C$18,2,1)-VLOOKUP((TRUNC(($AN281+0.01)*3/13,0)+0.99),'Tax scales - NAT 1004'!$A$12:$C$18,3,1)),0)
*13/3,
0),
IF($E$2="Monthly",
ROUND(
ROUND(((TRUNC($AN281*3/13,0)+0.99)*VLOOKUP((TRUNC($AN281*3/13,0)+0.99),'Tax scales - NAT 1004'!$A$12:$C$18,2,1)-VLOOKUP((TRUNC($AN281*3/13,0)+0.99),'Tax scales - NAT 1004'!$A$12:$C$18,3,1)),0)
*13/3,
0),
""))),
""),
"")</f>
        <v/>
      </c>
      <c r="AP281" s="118" t="str">
        <f>IFERROR(
IF(VLOOKUP($C281,'Employee information'!$B:$M,COLUMNS('Employee information'!$B:$M),0)=2,
IF($E$2="Fortnightly",
ROUND(
ROUND((((TRUNC($AN281/2,0)+0.99))*VLOOKUP((TRUNC($AN281/2,0)+0.99),'Tax scales - NAT 1004'!$A$25:$C$33,2,1)-VLOOKUP((TRUNC($AN281/2,0)+0.99),'Tax scales - NAT 1004'!$A$25:$C$33,3,1)),0)
*2,
0),
IF(AND($E$2="Monthly",ROUND($AN281-TRUNC($AN281),2)=0.33),
ROUND(
ROUND(((TRUNC(($AN281+0.01)*3/13,0)+0.99)*VLOOKUP((TRUNC(($AN281+0.01)*3/13,0)+0.99),'Tax scales - NAT 1004'!$A$25:$C$33,2,1)-VLOOKUP((TRUNC(($AN281+0.01)*3/13,0)+0.99),'Tax scales - NAT 1004'!$A$25:$C$33,3,1)),0)
*13/3,
0),
IF($E$2="Monthly",
ROUND(
ROUND(((TRUNC($AN281*3/13,0)+0.99)*VLOOKUP((TRUNC($AN281*3/13,0)+0.99),'Tax scales - NAT 1004'!$A$25:$C$33,2,1)-VLOOKUP((TRUNC($AN281*3/13,0)+0.99),'Tax scales - NAT 1004'!$A$25:$C$33,3,1)),0)
*13/3,
0),
""))),
""),
"")</f>
        <v/>
      </c>
      <c r="AQ281" s="118" t="str">
        <f>IFERROR(
IF(VLOOKUP($C281,'Employee information'!$B:$M,COLUMNS('Employee information'!$B:$M),0)=3,
IF($E$2="Fortnightly",
ROUND(
ROUND((((TRUNC($AN281/2,0)+0.99))*VLOOKUP((TRUNC($AN281/2,0)+0.99),'Tax scales - NAT 1004'!$A$39:$C$41,2,1)-VLOOKUP((TRUNC($AN281/2,0)+0.99),'Tax scales - NAT 1004'!$A$39:$C$41,3,1)),0)
*2,
0),
IF(AND($E$2="Monthly",ROUND($AN281-TRUNC($AN281),2)=0.33),
ROUND(
ROUND(((TRUNC(($AN281+0.01)*3/13,0)+0.99)*VLOOKUP((TRUNC(($AN281+0.01)*3/13,0)+0.99),'Tax scales - NAT 1004'!$A$39:$C$41,2,1)-VLOOKUP((TRUNC(($AN281+0.01)*3/13,0)+0.99),'Tax scales - NAT 1004'!$A$39:$C$41,3,1)),0)
*13/3,
0),
IF($E$2="Monthly",
ROUND(
ROUND(((TRUNC($AN281*3/13,0)+0.99)*VLOOKUP((TRUNC($AN281*3/13,0)+0.99),'Tax scales - NAT 1004'!$A$39:$C$41,2,1)-VLOOKUP((TRUNC($AN281*3/13,0)+0.99),'Tax scales - NAT 1004'!$A$39:$C$41,3,1)),0)
*13/3,
0),
""))),
""),
"")</f>
        <v/>
      </c>
      <c r="AR281" s="118" t="str">
        <f>IFERROR(
IF(AND(VLOOKUP($C281,'Employee information'!$B:$M,COLUMNS('Employee information'!$B:$M),0)=4,
VLOOKUP($C281,'Employee information'!$B:$J,COLUMNS('Employee information'!$B:$J),0)="Resident"),
TRUNC(TRUNC($AN281)*'Tax scales - NAT 1004'!$B$47),
IF(AND(VLOOKUP($C281,'Employee information'!$B:$M,COLUMNS('Employee information'!$B:$M),0)=4,
VLOOKUP($C281,'Employee information'!$B:$J,COLUMNS('Employee information'!$B:$J),0)="Foreign resident"),
TRUNC(TRUNC($AN281)*'Tax scales - NAT 1004'!$B$48),
"")),
"")</f>
        <v/>
      </c>
      <c r="AS281" s="118" t="str">
        <f>IFERROR(
IF(VLOOKUP($C281,'Employee information'!$B:$M,COLUMNS('Employee information'!$B:$M),0)=5,
IF($E$2="Fortnightly",
ROUND(
ROUND((((TRUNC($AN281/2,0)+0.99))*VLOOKUP((TRUNC($AN281/2,0)+0.99),'Tax scales - NAT 1004'!$A$53:$C$59,2,1)-VLOOKUP((TRUNC($AN281/2,0)+0.99),'Tax scales - NAT 1004'!$A$53:$C$59,3,1)),0)
*2,
0),
IF(AND($E$2="Monthly",ROUND($AN281-TRUNC($AN281),2)=0.33),
ROUND(
ROUND(((TRUNC(($AN281+0.01)*3/13,0)+0.99)*VLOOKUP((TRUNC(($AN281+0.01)*3/13,0)+0.99),'Tax scales - NAT 1004'!$A$53:$C$59,2,1)-VLOOKUP((TRUNC(($AN281+0.01)*3/13,0)+0.99),'Tax scales - NAT 1004'!$A$53:$C$59,3,1)),0)
*13/3,
0),
IF($E$2="Monthly",
ROUND(
ROUND(((TRUNC($AN281*3/13,0)+0.99)*VLOOKUP((TRUNC($AN281*3/13,0)+0.99),'Tax scales - NAT 1004'!$A$53:$C$59,2,1)-VLOOKUP((TRUNC($AN281*3/13,0)+0.99),'Tax scales - NAT 1004'!$A$53:$C$59,3,1)),0)
*13/3,
0),
""))),
""),
"")</f>
        <v/>
      </c>
      <c r="AT281" s="118" t="str">
        <f>IFERROR(
IF(VLOOKUP($C281,'Employee information'!$B:$M,COLUMNS('Employee information'!$B:$M),0)=6,
IF($E$2="Fortnightly",
ROUND(
ROUND((((TRUNC($AN281/2,0)+0.99))*VLOOKUP((TRUNC($AN281/2,0)+0.99),'Tax scales - NAT 1004'!$A$65:$C$73,2,1)-VLOOKUP((TRUNC($AN281/2,0)+0.99),'Tax scales - NAT 1004'!$A$65:$C$73,3,1)),0)
*2,
0),
IF(AND($E$2="Monthly",ROUND($AN281-TRUNC($AN281),2)=0.33),
ROUND(
ROUND(((TRUNC(($AN281+0.01)*3/13,0)+0.99)*VLOOKUP((TRUNC(($AN281+0.01)*3/13,0)+0.99),'Tax scales - NAT 1004'!$A$65:$C$73,2,1)-VLOOKUP((TRUNC(($AN281+0.01)*3/13,0)+0.99),'Tax scales - NAT 1004'!$A$65:$C$73,3,1)),0)
*13/3,
0),
IF($E$2="Monthly",
ROUND(
ROUND(((TRUNC($AN281*3/13,0)+0.99)*VLOOKUP((TRUNC($AN281*3/13,0)+0.99),'Tax scales - NAT 1004'!$A$65:$C$73,2,1)-VLOOKUP((TRUNC($AN281*3/13,0)+0.99),'Tax scales - NAT 1004'!$A$65:$C$73,3,1)),0)
*13/3,
0),
""))),
""),
"")</f>
        <v/>
      </c>
      <c r="AU281" s="118" t="str">
        <f>IFERROR(
IF(VLOOKUP($C281,'Employee information'!$B:$M,COLUMNS('Employee information'!$B:$M),0)=11,
IF($E$2="Fortnightly",
ROUND(
ROUND((((TRUNC($AN281/2,0)+0.99))*VLOOKUP((TRUNC($AN281/2,0)+0.99),'Tax scales - NAT 3539'!$A$14:$C$38,2,1)-VLOOKUP((TRUNC($AN281/2,0)+0.99),'Tax scales - NAT 3539'!$A$14:$C$38,3,1)),0)
*2,
0),
IF(AND($E$2="Monthly",ROUND($AN281-TRUNC($AN281),2)=0.33),
ROUND(
ROUND(((TRUNC(($AN281+0.01)*3/13,0)+0.99)*VLOOKUP((TRUNC(($AN281+0.01)*3/13,0)+0.99),'Tax scales - NAT 3539'!$A$14:$C$38,2,1)-VLOOKUP((TRUNC(($AN281+0.01)*3/13,0)+0.99),'Tax scales - NAT 3539'!$A$14:$C$38,3,1)),0)
*13/3,
0),
IF($E$2="Monthly",
ROUND(
ROUND(((TRUNC($AN281*3/13,0)+0.99)*VLOOKUP((TRUNC($AN281*3/13,0)+0.99),'Tax scales - NAT 3539'!$A$14:$C$38,2,1)-VLOOKUP((TRUNC($AN281*3/13,0)+0.99),'Tax scales - NAT 3539'!$A$14:$C$38,3,1)),0)
*13/3,
0),
""))),
""),
"")</f>
        <v/>
      </c>
      <c r="AV281" s="118" t="str">
        <f>IFERROR(
IF(VLOOKUP($C281,'Employee information'!$B:$M,COLUMNS('Employee information'!$B:$M),0)=22,
IF($E$2="Fortnightly",
ROUND(
ROUND((((TRUNC($AN281/2,0)+0.99))*VLOOKUP((TRUNC($AN281/2,0)+0.99),'Tax scales - NAT 3539'!$A$43:$C$69,2,1)-VLOOKUP((TRUNC($AN281/2,0)+0.99),'Tax scales - NAT 3539'!$A$43:$C$69,3,1)),0)
*2,
0),
IF(AND($E$2="Monthly",ROUND($AN281-TRUNC($AN281),2)=0.33),
ROUND(
ROUND(((TRUNC(($AN281+0.01)*3/13,0)+0.99)*VLOOKUP((TRUNC(($AN281+0.01)*3/13,0)+0.99),'Tax scales - NAT 3539'!$A$43:$C$69,2,1)-VLOOKUP((TRUNC(($AN281+0.01)*3/13,0)+0.99),'Tax scales - NAT 3539'!$A$43:$C$69,3,1)),0)
*13/3,
0),
IF($E$2="Monthly",
ROUND(
ROUND(((TRUNC($AN281*3/13,0)+0.99)*VLOOKUP((TRUNC($AN281*3/13,0)+0.99),'Tax scales - NAT 3539'!$A$43:$C$69,2,1)-VLOOKUP((TRUNC($AN281*3/13,0)+0.99),'Tax scales - NAT 3539'!$A$43:$C$69,3,1)),0)
*13/3,
0),
""))),
""),
"")</f>
        <v/>
      </c>
      <c r="AW281" s="118" t="str">
        <f>IFERROR(
IF(VLOOKUP($C281,'Employee information'!$B:$M,COLUMNS('Employee information'!$B:$M),0)=33,
IF($E$2="Fortnightly",
ROUND(
ROUND((((TRUNC($AN281/2,0)+0.99))*VLOOKUP((TRUNC($AN281/2,0)+0.99),'Tax scales - NAT 3539'!$A$74:$C$94,2,1)-VLOOKUP((TRUNC($AN281/2,0)+0.99),'Tax scales - NAT 3539'!$A$74:$C$94,3,1)),0)
*2,
0),
IF(AND($E$2="Monthly",ROUND($AN281-TRUNC($AN281),2)=0.33),
ROUND(
ROUND(((TRUNC(($AN281+0.01)*3/13,0)+0.99)*VLOOKUP((TRUNC(($AN281+0.01)*3/13,0)+0.99),'Tax scales - NAT 3539'!$A$74:$C$94,2,1)-VLOOKUP((TRUNC(($AN281+0.01)*3/13,0)+0.99),'Tax scales - NAT 3539'!$A$74:$C$94,3,1)),0)
*13/3,
0),
IF($E$2="Monthly",
ROUND(
ROUND(((TRUNC($AN281*3/13,0)+0.99)*VLOOKUP((TRUNC($AN281*3/13,0)+0.99),'Tax scales - NAT 3539'!$A$74:$C$94,2,1)-VLOOKUP((TRUNC($AN281*3/13,0)+0.99),'Tax scales - NAT 3539'!$A$74:$C$94,3,1)),0)
*13/3,
0),
""))),
""),
"")</f>
        <v/>
      </c>
      <c r="AX281" s="118" t="str">
        <f>IFERROR(
IF(VLOOKUP($C281,'Employee information'!$B:$M,COLUMNS('Employee information'!$B:$M),0)=55,
IF($E$2="Fortnightly",
ROUND(
ROUND((((TRUNC($AN281/2,0)+0.99))*VLOOKUP((TRUNC($AN281/2,0)+0.99),'Tax scales - NAT 3539'!$A$99:$C$123,2,1)-VLOOKUP((TRUNC($AN281/2,0)+0.99),'Tax scales - NAT 3539'!$A$99:$C$123,3,1)),0)
*2,
0),
IF(AND($E$2="Monthly",ROUND($AN281-TRUNC($AN281),2)=0.33),
ROUND(
ROUND(((TRUNC(($AN281+0.01)*3/13,0)+0.99)*VLOOKUP((TRUNC(($AN281+0.01)*3/13,0)+0.99),'Tax scales - NAT 3539'!$A$99:$C$123,2,1)-VLOOKUP((TRUNC(($AN281+0.01)*3/13,0)+0.99),'Tax scales - NAT 3539'!$A$99:$C$123,3,1)),0)
*13/3,
0),
IF($E$2="Monthly",
ROUND(
ROUND(((TRUNC($AN281*3/13,0)+0.99)*VLOOKUP((TRUNC($AN281*3/13,0)+0.99),'Tax scales - NAT 3539'!$A$99:$C$123,2,1)-VLOOKUP((TRUNC($AN281*3/13,0)+0.99),'Tax scales - NAT 3539'!$A$99:$C$123,3,1)),0)
*13/3,
0),
""))),
""),
"")</f>
        <v/>
      </c>
      <c r="AY281" s="118" t="str">
        <f>IFERROR(
IF(VLOOKUP($C281,'Employee information'!$B:$M,COLUMNS('Employee information'!$B:$M),0)=66,
IF($E$2="Fortnightly",
ROUND(
ROUND((((TRUNC($AN281/2,0)+0.99))*VLOOKUP((TRUNC($AN281/2,0)+0.99),'Tax scales - NAT 3539'!$A$127:$C$154,2,1)-VLOOKUP((TRUNC($AN281/2,0)+0.99),'Tax scales - NAT 3539'!$A$127:$C$154,3,1)),0)
*2,
0),
IF(AND($E$2="Monthly",ROUND($AN281-TRUNC($AN281),2)=0.33),
ROUND(
ROUND(((TRUNC(($AN281+0.01)*3/13,0)+0.99)*VLOOKUP((TRUNC(($AN281+0.01)*3/13,0)+0.99),'Tax scales - NAT 3539'!$A$127:$C$154,2,1)-VLOOKUP((TRUNC(($AN281+0.01)*3/13,0)+0.99),'Tax scales - NAT 3539'!$A$127:$C$154,3,1)),0)
*13/3,
0),
IF($E$2="Monthly",
ROUND(
ROUND(((TRUNC($AN281*3/13,0)+0.99)*VLOOKUP((TRUNC($AN281*3/13,0)+0.99),'Tax scales - NAT 3539'!$A$127:$C$154,2,1)-VLOOKUP((TRUNC($AN281*3/13,0)+0.99),'Tax scales - NAT 3539'!$A$127:$C$154,3,1)),0)
*13/3,
0),
""))),
""),
"")</f>
        <v/>
      </c>
      <c r="AZ281" s="118">
        <f>IFERROR(
HLOOKUP(VLOOKUP($C281,'Employee information'!$B:$M,COLUMNS('Employee information'!$B:$M),0),'PAYG worksheet'!$AO$271:$AY$290,COUNTA($C$272:$C281)+1,0),
0)</f>
        <v>0</v>
      </c>
      <c r="BA281" s="118"/>
      <c r="BB281" s="118">
        <f t="shared" si="294"/>
        <v>0</v>
      </c>
      <c r="BC281" s="119">
        <f>IFERROR(
IF(OR($AE281=1,$AE281=""),SUM($P281,$AA281,$AC281,$AK281)*VLOOKUP($C281,'Employee information'!$B:$Q,COLUMNS('Employee information'!$B:$H),0),
IF($AE281=0,SUM($P281,$AA281,$AK281)*VLOOKUP($C281,'Employee information'!$B:$Q,COLUMNS('Employee information'!$B:$H),0),
0)),
0)</f>
        <v>0</v>
      </c>
      <c r="BE281" s="114">
        <f t="shared" si="279"/>
        <v>0</v>
      </c>
      <c r="BF281" s="114">
        <f t="shared" si="280"/>
        <v>0</v>
      </c>
      <c r="BG281" s="114">
        <f t="shared" si="281"/>
        <v>0</v>
      </c>
      <c r="BH281" s="114">
        <f t="shared" si="282"/>
        <v>0</v>
      </c>
      <c r="BI281" s="114">
        <f t="shared" si="283"/>
        <v>0</v>
      </c>
      <c r="BJ281" s="114">
        <f t="shared" si="284"/>
        <v>0</v>
      </c>
      <c r="BK281" s="114">
        <f t="shared" si="285"/>
        <v>0</v>
      </c>
      <c r="BL281" s="114">
        <f t="shared" si="295"/>
        <v>0</v>
      </c>
      <c r="BM281" s="114">
        <f t="shared" si="286"/>
        <v>0</v>
      </c>
    </row>
    <row r="282" spans="1:65" x14ac:dyDescent="0.25">
      <c r="A282" s="228">
        <f t="shared" si="274"/>
        <v>10</v>
      </c>
      <c r="C282" s="278"/>
      <c r="E282" s="103">
        <f>IF($C282="",0,
IF(AND($E$2="Monthly",$A282&gt;12),0,
IF($E$2="Monthly",VLOOKUP($C282,'Employee information'!$B:$AM,COLUMNS('Employee information'!$B:S),0),
IF($E$2="Fortnightly",VLOOKUP($C282,'Employee information'!$B:$AM,COLUMNS('Employee information'!$B:R),0),
0))))</f>
        <v>0</v>
      </c>
      <c r="F282" s="106"/>
      <c r="G282" s="106"/>
      <c r="H282" s="106"/>
      <c r="I282" s="106"/>
      <c r="J282" s="103">
        <f t="shared" si="287"/>
        <v>0</v>
      </c>
      <c r="L282" s="113">
        <f>IF(AND($E$2="Monthly",$A282&gt;12),"",
IFERROR($J282*VLOOKUP($C282,'Employee information'!$B:$AI,COLUMNS('Employee information'!$B:$P),0),0))</f>
        <v>0</v>
      </c>
      <c r="M282" s="114">
        <f t="shared" si="288"/>
        <v>0</v>
      </c>
      <c r="O282" s="103">
        <f t="shared" si="289"/>
        <v>0</v>
      </c>
      <c r="P282" s="113">
        <f>IFERROR(
IF(AND($E$2="Monthly",$A282&gt;12),0,
$O282*VLOOKUP($C282,'Employee information'!$B:$AI,COLUMNS('Employee information'!$B:$P),0)),
0)</f>
        <v>0</v>
      </c>
      <c r="R282" s="114">
        <f t="shared" si="275"/>
        <v>0</v>
      </c>
      <c r="T282" s="103"/>
      <c r="U282" s="103"/>
      <c r="V282" s="282" t="str">
        <f>IF($C282="","",
IF(AND($E$2="Monthly",$A282&gt;12),"",
$T282*VLOOKUP($C282,'Employee information'!$B:$P,COLUMNS('Employee information'!$B:$P),0)))</f>
        <v/>
      </c>
      <c r="W282" s="282" t="str">
        <f>IF($C282="","",
IF(AND($E$2="Monthly",$A282&gt;12),"",
$U282*VLOOKUP($C282,'Employee information'!$B:$P,COLUMNS('Employee information'!$B:$P),0)))</f>
        <v/>
      </c>
      <c r="X282" s="114">
        <f t="shared" si="276"/>
        <v>0</v>
      </c>
      <c r="Y282" s="114">
        <f t="shared" si="277"/>
        <v>0</v>
      </c>
      <c r="AA282" s="118">
        <f>IFERROR(
IF(OR('Basic payroll data'!$D$12="",'Basic payroll data'!$D$12="No"),0,
$T282*VLOOKUP($C282,'Employee information'!$B:$P,COLUMNS('Employee information'!$B:$P),0)*AL_loading_perc),
0)</f>
        <v>0</v>
      </c>
      <c r="AC282" s="118"/>
      <c r="AD282" s="118"/>
      <c r="AE282" s="283" t="str">
        <f t="shared" si="290"/>
        <v/>
      </c>
      <c r="AF282" s="283" t="str">
        <f t="shared" si="291"/>
        <v/>
      </c>
      <c r="AG282" s="118"/>
      <c r="AH282" s="118"/>
      <c r="AI282" s="283" t="str">
        <f t="shared" si="292"/>
        <v/>
      </c>
      <c r="AJ282" s="118"/>
      <c r="AK282" s="118"/>
      <c r="AM282" s="118">
        <f t="shared" si="293"/>
        <v>0</v>
      </c>
      <c r="AN282" s="118">
        <f t="shared" si="278"/>
        <v>0</v>
      </c>
      <c r="AO282" s="118" t="str">
        <f>IFERROR(
IF(VLOOKUP($C282,'Employee information'!$B:$M,COLUMNS('Employee information'!$B:$M),0)=1,
IF($E$2="Fortnightly",
ROUND(
ROUND((((TRUNC($AN282/2,0)+0.99))*VLOOKUP((TRUNC($AN282/2,0)+0.99),'Tax scales - NAT 1004'!$A$12:$C$18,2,1)-VLOOKUP((TRUNC($AN282/2,0)+0.99),'Tax scales - NAT 1004'!$A$12:$C$18,3,1)),0)
*2,
0),
IF(AND($E$2="Monthly",ROUND($AN282-TRUNC($AN282),2)=0.33),
ROUND(
ROUND(((TRUNC(($AN282+0.01)*3/13,0)+0.99)*VLOOKUP((TRUNC(($AN282+0.01)*3/13,0)+0.99),'Tax scales - NAT 1004'!$A$12:$C$18,2,1)-VLOOKUP((TRUNC(($AN282+0.01)*3/13,0)+0.99),'Tax scales - NAT 1004'!$A$12:$C$18,3,1)),0)
*13/3,
0),
IF($E$2="Monthly",
ROUND(
ROUND(((TRUNC($AN282*3/13,0)+0.99)*VLOOKUP((TRUNC($AN282*3/13,0)+0.99),'Tax scales - NAT 1004'!$A$12:$C$18,2,1)-VLOOKUP((TRUNC($AN282*3/13,0)+0.99),'Tax scales - NAT 1004'!$A$12:$C$18,3,1)),0)
*13/3,
0),
""))),
""),
"")</f>
        <v/>
      </c>
      <c r="AP282" s="118" t="str">
        <f>IFERROR(
IF(VLOOKUP($C282,'Employee information'!$B:$M,COLUMNS('Employee information'!$B:$M),0)=2,
IF($E$2="Fortnightly",
ROUND(
ROUND((((TRUNC($AN282/2,0)+0.99))*VLOOKUP((TRUNC($AN282/2,0)+0.99),'Tax scales - NAT 1004'!$A$25:$C$33,2,1)-VLOOKUP((TRUNC($AN282/2,0)+0.99),'Tax scales - NAT 1004'!$A$25:$C$33,3,1)),0)
*2,
0),
IF(AND($E$2="Monthly",ROUND($AN282-TRUNC($AN282),2)=0.33),
ROUND(
ROUND(((TRUNC(($AN282+0.01)*3/13,0)+0.99)*VLOOKUP((TRUNC(($AN282+0.01)*3/13,0)+0.99),'Tax scales - NAT 1004'!$A$25:$C$33,2,1)-VLOOKUP((TRUNC(($AN282+0.01)*3/13,0)+0.99),'Tax scales - NAT 1004'!$A$25:$C$33,3,1)),0)
*13/3,
0),
IF($E$2="Monthly",
ROUND(
ROUND(((TRUNC($AN282*3/13,0)+0.99)*VLOOKUP((TRUNC($AN282*3/13,0)+0.99),'Tax scales - NAT 1004'!$A$25:$C$33,2,1)-VLOOKUP((TRUNC($AN282*3/13,0)+0.99),'Tax scales - NAT 1004'!$A$25:$C$33,3,1)),0)
*13/3,
0),
""))),
""),
"")</f>
        <v/>
      </c>
      <c r="AQ282" s="118" t="str">
        <f>IFERROR(
IF(VLOOKUP($C282,'Employee information'!$B:$M,COLUMNS('Employee information'!$B:$M),0)=3,
IF($E$2="Fortnightly",
ROUND(
ROUND((((TRUNC($AN282/2,0)+0.99))*VLOOKUP((TRUNC($AN282/2,0)+0.99),'Tax scales - NAT 1004'!$A$39:$C$41,2,1)-VLOOKUP((TRUNC($AN282/2,0)+0.99),'Tax scales - NAT 1004'!$A$39:$C$41,3,1)),0)
*2,
0),
IF(AND($E$2="Monthly",ROUND($AN282-TRUNC($AN282),2)=0.33),
ROUND(
ROUND(((TRUNC(($AN282+0.01)*3/13,0)+0.99)*VLOOKUP((TRUNC(($AN282+0.01)*3/13,0)+0.99),'Tax scales - NAT 1004'!$A$39:$C$41,2,1)-VLOOKUP((TRUNC(($AN282+0.01)*3/13,0)+0.99),'Tax scales - NAT 1004'!$A$39:$C$41,3,1)),0)
*13/3,
0),
IF($E$2="Monthly",
ROUND(
ROUND(((TRUNC($AN282*3/13,0)+0.99)*VLOOKUP((TRUNC($AN282*3/13,0)+0.99),'Tax scales - NAT 1004'!$A$39:$C$41,2,1)-VLOOKUP((TRUNC($AN282*3/13,0)+0.99),'Tax scales - NAT 1004'!$A$39:$C$41,3,1)),0)
*13/3,
0),
""))),
""),
"")</f>
        <v/>
      </c>
      <c r="AR282" s="118" t="str">
        <f>IFERROR(
IF(AND(VLOOKUP($C282,'Employee information'!$B:$M,COLUMNS('Employee information'!$B:$M),0)=4,
VLOOKUP($C282,'Employee information'!$B:$J,COLUMNS('Employee information'!$B:$J),0)="Resident"),
TRUNC(TRUNC($AN282)*'Tax scales - NAT 1004'!$B$47),
IF(AND(VLOOKUP($C282,'Employee information'!$B:$M,COLUMNS('Employee information'!$B:$M),0)=4,
VLOOKUP($C282,'Employee information'!$B:$J,COLUMNS('Employee information'!$B:$J),0)="Foreign resident"),
TRUNC(TRUNC($AN282)*'Tax scales - NAT 1004'!$B$48),
"")),
"")</f>
        <v/>
      </c>
      <c r="AS282" s="118" t="str">
        <f>IFERROR(
IF(VLOOKUP($C282,'Employee information'!$B:$M,COLUMNS('Employee information'!$B:$M),0)=5,
IF($E$2="Fortnightly",
ROUND(
ROUND((((TRUNC($AN282/2,0)+0.99))*VLOOKUP((TRUNC($AN282/2,0)+0.99),'Tax scales - NAT 1004'!$A$53:$C$59,2,1)-VLOOKUP((TRUNC($AN282/2,0)+0.99),'Tax scales - NAT 1004'!$A$53:$C$59,3,1)),0)
*2,
0),
IF(AND($E$2="Monthly",ROUND($AN282-TRUNC($AN282),2)=0.33),
ROUND(
ROUND(((TRUNC(($AN282+0.01)*3/13,0)+0.99)*VLOOKUP((TRUNC(($AN282+0.01)*3/13,0)+0.99),'Tax scales - NAT 1004'!$A$53:$C$59,2,1)-VLOOKUP((TRUNC(($AN282+0.01)*3/13,0)+0.99),'Tax scales - NAT 1004'!$A$53:$C$59,3,1)),0)
*13/3,
0),
IF($E$2="Monthly",
ROUND(
ROUND(((TRUNC($AN282*3/13,0)+0.99)*VLOOKUP((TRUNC($AN282*3/13,0)+0.99),'Tax scales - NAT 1004'!$A$53:$C$59,2,1)-VLOOKUP((TRUNC($AN282*3/13,0)+0.99),'Tax scales - NAT 1004'!$A$53:$C$59,3,1)),0)
*13/3,
0),
""))),
""),
"")</f>
        <v/>
      </c>
      <c r="AT282" s="118" t="str">
        <f>IFERROR(
IF(VLOOKUP($C282,'Employee information'!$B:$M,COLUMNS('Employee information'!$B:$M),0)=6,
IF($E$2="Fortnightly",
ROUND(
ROUND((((TRUNC($AN282/2,0)+0.99))*VLOOKUP((TRUNC($AN282/2,0)+0.99),'Tax scales - NAT 1004'!$A$65:$C$73,2,1)-VLOOKUP((TRUNC($AN282/2,0)+0.99),'Tax scales - NAT 1004'!$A$65:$C$73,3,1)),0)
*2,
0),
IF(AND($E$2="Monthly",ROUND($AN282-TRUNC($AN282),2)=0.33),
ROUND(
ROUND(((TRUNC(($AN282+0.01)*3/13,0)+0.99)*VLOOKUP((TRUNC(($AN282+0.01)*3/13,0)+0.99),'Tax scales - NAT 1004'!$A$65:$C$73,2,1)-VLOOKUP((TRUNC(($AN282+0.01)*3/13,0)+0.99),'Tax scales - NAT 1004'!$A$65:$C$73,3,1)),0)
*13/3,
0),
IF($E$2="Monthly",
ROUND(
ROUND(((TRUNC($AN282*3/13,0)+0.99)*VLOOKUP((TRUNC($AN282*3/13,0)+0.99),'Tax scales - NAT 1004'!$A$65:$C$73,2,1)-VLOOKUP((TRUNC($AN282*3/13,0)+0.99),'Tax scales - NAT 1004'!$A$65:$C$73,3,1)),0)
*13/3,
0),
""))),
""),
"")</f>
        <v/>
      </c>
      <c r="AU282" s="118" t="str">
        <f>IFERROR(
IF(VLOOKUP($C282,'Employee information'!$B:$M,COLUMNS('Employee information'!$B:$M),0)=11,
IF($E$2="Fortnightly",
ROUND(
ROUND((((TRUNC($AN282/2,0)+0.99))*VLOOKUP((TRUNC($AN282/2,0)+0.99),'Tax scales - NAT 3539'!$A$14:$C$38,2,1)-VLOOKUP((TRUNC($AN282/2,0)+0.99),'Tax scales - NAT 3539'!$A$14:$C$38,3,1)),0)
*2,
0),
IF(AND($E$2="Monthly",ROUND($AN282-TRUNC($AN282),2)=0.33),
ROUND(
ROUND(((TRUNC(($AN282+0.01)*3/13,0)+0.99)*VLOOKUP((TRUNC(($AN282+0.01)*3/13,0)+0.99),'Tax scales - NAT 3539'!$A$14:$C$38,2,1)-VLOOKUP((TRUNC(($AN282+0.01)*3/13,0)+0.99),'Tax scales - NAT 3539'!$A$14:$C$38,3,1)),0)
*13/3,
0),
IF($E$2="Monthly",
ROUND(
ROUND(((TRUNC($AN282*3/13,0)+0.99)*VLOOKUP((TRUNC($AN282*3/13,0)+0.99),'Tax scales - NAT 3539'!$A$14:$C$38,2,1)-VLOOKUP((TRUNC($AN282*3/13,0)+0.99),'Tax scales - NAT 3539'!$A$14:$C$38,3,1)),0)
*13/3,
0),
""))),
""),
"")</f>
        <v/>
      </c>
      <c r="AV282" s="118" t="str">
        <f>IFERROR(
IF(VLOOKUP($C282,'Employee information'!$B:$M,COLUMNS('Employee information'!$B:$M),0)=22,
IF($E$2="Fortnightly",
ROUND(
ROUND((((TRUNC($AN282/2,0)+0.99))*VLOOKUP((TRUNC($AN282/2,0)+0.99),'Tax scales - NAT 3539'!$A$43:$C$69,2,1)-VLOOKUP((TRUNC($AN282/2,0)+0.99),'Tax scales - NAT 3539'!$A$43:$C$69,3,1)),0)
*2,
0),
IF(AND($E$2="Monthly",ROUND($AN282-TRUNC($AN282),2)=0.33),
ROUND(
ROUND(((TRUNC(($AN282+0.01)*3/13,0)+0.99)*VLOOKUP((TRUNC(($AN282+0.01)*3/13,0)+0.99),'Tax scales - NAT 3539'!$A$43:$C$69,2,1)-VLOOKUP((TRUNC(($AN282+0.01)*3/13,0)+0.99),'Tax scales - NAT 3539'!$A$43:$C$69,3,1)),0)
*13/3,
0),
IF($E$2="Monthly",
ROUND(
ROUND(((TRUNC($AN282*3/13,0)+0.99)*VLOOKUP((TRUNC($AN282*3/13,0)+0.99),'Tax scales - NAT 3539'!$A$43:$C$69,2,1)-VLOOKUP((TRUNC($AN282*3/13,0)+0.99),'Tax scales - NAT 3539'!$A$43:$C$69,3,1)),0)
*13/3,
0),
""))),
""),
"")</f>
        <v/>
      </c>
      <c r="AW282" s="118" t="str">
        <f>IFERROR(
IF(VLOOKUP($C282,'Employee information'!$B:$M,COLUMNS('Employee information'!$B:$M),0)=33,
IF($E$2="Fortnightly",
ROUND(
ROUND((((TRUNC($AN282/2,0)+0.99))*VLOOKUP((TRUNC($AN282/2,0)+0.99),'Tax scales - NAT 3539'!$A$74:$C$94,2,1)-VLOOKUP((TRUNC($AN282/2,0)+0.99),'Tax scales - NAT 3539'!$A$74:$C$94,3,1)),0)
*2,
0),
IF(AND($E$2="Monthly",ROUND($AN282-TRUNC($AN282),2)=0.33),
ROUND(
ROUND(((TRUNC(($AN282+0.01)*3/13,0)+0.99)*VLOOKUP((TRUNC(($AN282+0.01)*3/13,0)+0.99),'Tax scales - NAT 3539'!$A$74:$C$94,2,1)-VLOOKUP((TRUNC(($AN282+0.01)*3/13,0)+0.99),'Tax scales - NAT 3539'!$A$74:$C$94,3,1)),0)
*13/3,
0),
IF($E$2="Monthly",
ROUND(
ROUND(((TRUNC($AN282*3/13,0)+0.99)*VLOOKUP((TRUNC($AN282*3/13,0)+0.99),'Tax scales - NAT 3539'!$A$74:$C$94,2,1)-VLOOKUP((TRUNC($AN282*3/13,0)+0.99),'Tax scales - NAT 3539'!$A$74:$C$94,3,1)),0)
*13/3,
0),
""))),
""),
"")</f>
        <v/>
      </c>
      <c r="AX282" s="118" t="str">
        <f>IFERROR(
IF(VLOOKUP($C282,'Employee information'!$B:$M,COLUMNS('Employee information'!$B:$M),0)=55,
IF($E$2="Fortnightly",
ROUND(
ROUND((((TRUNC($AN282/2,0)+0.99))*VLOOKUP((TRUNC($AN282/2,0)+0.99),'Tax scales - NAT 3539'!$A$99:$C$123,2,1)-VLOOKUP((TRUNC($AN282/2,0)+0.99),'Tax scales - NAT 3539'!$A$99:$C$123,3,1)),0)
*2,
0),
IF(AND($E$2="Monthly",ROUND($AN282-TRUNC($AN282),2)=0.33),
ROUND(
ROUND(((TRUNC(($AN282+0.01)*3/13,0)+0.99)*VLOOKUP((TRUNC(($AN282+0.01)*3/13,0)+0.99),'Tax scales - NAT 3539'!$A$99:$C$123,2,1)-VLOOKUP((TRUNC(($AN282+0.01)*3/13,0)+0.99),'Tax scales - NAT 3539'!$A$99:$C$123,3,1)),0)
*13/3,
0),
IF($E$2="Monthly",
ROUND(
ROUND(((TRUNC($AN282*3/13,0)+0.99)*VLOOKUP((TRUNC($AN282*3/13,0)+0.99),'Tax scales - NAT 3539'!$A$99:$C$123,2,1)-VLOOKUP((TRUNC($AN282*3/13,0)+0.99),'Tax scales - NAT 3539'!$A$99:$C$123,3,1)),0)
*13/3,
0),
""))),
""),
"")</f>
        <v/>
      </c>
      <c r="AY282" s="118" t="str">
        <f>IFERROR(
IF(VLOOKUP($C282,'Employee information'!$B:$M,COLUMNS('Employee information'!$B:$M),0)=66,
IF($E$2="Fortnightly",
ROUND(
ROUND((((TRUNC($AN282/2,0)+0.99))*VLOOKUP((TRUNC($AN282/2,0)+0.99),'Tax scales - NAT 3539'!$A$127:$C$154,2,1)-VLOOKUP((TRUNC($AN282/2,0)+0.99),'Tax scales - NAT 3539'!$A$127:$C$154,3,1)),0)
*2,
0),
IF(AND($E$2="Monthly",ROUND($AN282-TRUNC($AN282),2)=0.33),
ROUND(
ROUND(((TRUNC(($AN282+0.01)*3/13,0)+0.99)*VLOOKUP((TRUNC(($AN282+0.01)*3/13,0)+0.99),'Tax scales - NAT 3539'!$A$127:$C$154,2,1)-VLOOKUP((TRUNC(($AN282+0.01)*3/13,0)+0.99),'Tax scales - NAT 3539'!$A$127:$C$154,3,1)),0)
*13/3,
0),
IF($E$2="Monthly",
ROUND(
ROUND(((TRUNC($AN282*3/13,0)+0.99)*VLOOKUP((TRUNC($AN282*3/13,0)+0.99),'Tax scales - NAT 3539'!$A$127:$C$154,2,1)-VLOOKUP((TRUNC($AN282*3/13,0)+0.99),'Tax scales - NAT 3539'!$A$127:$C$154,3,1)),0)
*13/3,
0),
""))),
""),
"")</f>
        <v/>
      </c>
      <c r="AZ282" s="118">
        <f>IFERROR(
HLOOKUP(VLOOKUP($C282,'Employee information'!$B:$M,COLUMNS('Employee information'!$B:$M),0),'PAYG worksheet'!$AO$271:$AY$290,COUNTA($C$272:$C282)+1,0),
0)</f>
        <v>0</v>
      </c>
      <c r="BA282" s="118"/>
      <c r="BB282" s="118">
        <f t="shared" si="294"/>
        <v>0</v>
      </c>
      <c r="BC282" s="119">
        <f>IFERROR(
IF(OR($AE282=1,$AE282=""),SUM($P282,$AA282,$AC282,$AK282)*VLOOKUP($C282,'Employee information'!$B:$Q,COLUMNS('Employee information'!$B:$H),0),
IF($AE282=0,SUM($P282,$AA282,$AK282)*VLOOKUP($C282,'Employee information'!$B:$Q,COLUMNS('Employee information'!$B:$H),0),
0)),
0)</f>
        <v>0</v>
      </c>
      <c r="BE282" s="114">
        <f t="shared" si="279"/>
        <v>0</v>
      </c>
      <c r="BF282" s="114">
        <f t="shared" si="280"/>
        <v>0</v>
      </c>
      <c r="BG282" s="114">
        <f t="shared" si="281"/>
        <v>0</v>
      </c>
      <c r="BH282" s="114">
        <f t="shared" si="282"/>
        <v>0</v>
      </c>
      <c r="BI282" s="114">
        <f t="shared" si="283"/>
        <v>0</v>
      </c>
      <c r="BJ282" s="114">
        <f t="shared" si="284"/>
        <v>0</v>
      </c>
      <c r="BK282" s="114">
        <f t="shared" si="285"/>
        <v>0</v>
      </c>
      <c r="BL282" s="114">
        <f t="shared" si="295"/>
        <v>0</v>
      </c>
      <c r="BM282" s="114">
        <f t="shared" si="286"/>
        <v>0</v>
      </c>
    </row>
    <row r="283" spans="1:65" x14ac:dyDescent="0.25">
      <c r="A283" s="228">
        <f t="shared" si="274"/>
        <v>10</v>
      </c>
      <c r="C283" s="278"/>
      <c r="E283" s="103">
        <f>IF($C283="",0,
IF(AND($E$2="Monthly",$A283&gt;12),0,
IF($E$2="Monthly",VLOOKUP($C283,'Employee information'!$B:$AM,COLUMNS('Employee information'!$B:S),0),
IF($E$2="Fortnightly",VLOOKUP($C283,'Employee information'!$B:$AM,COLUMNS('Employee information'!$B:R),0),
0))))</f>
        <v>0</v>
      </c>
      <c r="F283" s="106"/>
      <c r="G283" s="106"/>
      <c r="H283" s="106"/>
      <c r="I283" s="106"/>
      <c r="J283" s="103">
        <f t="shared" si="287"/>
        <v>0</v>
      </c>
      <c r="L283" s="113">
        <f>IF(AND($E$2="Monthly",$A283&gt;12),"",
IFERROR($J283*VLOOKUP($C283,'Employee information'!$B:$AI,COLUMNS('Employee information'!$B:$P),0),0))</f>
        <v>0</v>
      </c>
      <c r="M283" s="114">
        <f t="shared" si="288"/>
        <v>0</v>
      </c>
      <c r="O283" s="103">
        <f t="shared" si="289"/>
        <v>0</v>
      </c>
      <c r="P283" s="113">
        <f>IFERROR(
IF(AND($E$2="Monthly",$A283&gt;12),0,
$O283*VLOOKUP($C283,'Employee information'!$B:$AI,COLUMNS('Employee information'!$B:$P),0)),
0)</f>
        <v>0</v>
      </c>
      <c r="R283" s="114">
        <f t="shared" si="275"/>
        <v>0</v>
      </c>
      <c r="T283" s="103"/>
      <c r="U283" s="103"/>
      <c r="V283" s="282" t="str">
        <f>IF($C283="","",
IF(AND($E$2="Monthly",$A283&gt;12),"",
$T283*VLOOKUP($C283,'Employee information'!$B:$P,COLUMNS('Employee information'!$B:$P),0)))</f>
        <v/>
      </c>
      <c r="W283" s="282" t="str">
        <f>IF($C283="","",
IF(AND($E$2="Monthly",$A283&gt;12),"",
$U283*VLOOKUP($C283,'Employee information'!$B:$P,COLUMNS('Employee information'!$B:$P),0)))</f>
        <v/>
      </c>
      <c r="X283" s="114">
        <f t="shared" si="276"/>
        <v>0</v>
      </c>
      <c r="Y283" s="114">
        <f t="shared" si="277"/>
        <v>0</v>
      </c>
      <c r="AA283" s="118">
        <f>IFERROR(
IF(OR('Basic payroll data'!$D$12="",'Basic payroll data'!$D$12="No"),0,
$T283*VLOOKUP($C283,'Employee information'!$B:$P,COLUMNS('Employee information'!$B:$P),0)*AL_loading_perc),
0)</f>
        <v>0</v>
      </c>
      <c r="AC283" s="118"/>
      <c r="AD283" s="118"/>
      <c r="AE283" s="283" t="str">
        <f t="shared" si="290"/>
        <v/>
      </c>
      <c r="AF283" s="283" t="str">
        <f t="shared" si="291"/>
        <v/>
      </c>
      <c r="AG283" s="118"/>
      <c r="AH283" s="118"/>
      <c r="AI283" s="283" t="str">
        <f t="shared" si="292"/>
        <v/>
      </c>
      <c r="AJ283" s="118"/>
      <c r="AK283" s="118"/>
      <c r="AM283" s="118">
        <f t="shared" si="293"/>
        <v>0</v>
      </c>
      <c r="AN283" s="118">
        <f t="shared" si="278"/>
        <v>0</v>
      </c>
      <c r="AO283" s="118" t="str">
        <f>IFERROR(
IF(VLOOKUP($C283,'Employee information'!$B:$M,COLUMNS('Employee information'!$B:$M),0)=1,
IF($E$2="Fortnightly",
ROUND(
ROUND((((TRUNC($AN283/2,0)+0.99))*VLOOKUP((TRUNC($AN283/2,0)+0.99),'Tax scales - NAT 1004'!$A$12:$C$18,2,1)-VLOOKUP((TRUNC($AN283/2,0)+0.99),'Tax scales - NAT 1004'!$A$12:$C$18,3,1)),0)
*2,
0),
IF(AND($E$2="Monthly",ROUND($AN283-TRUNC($AN283),2)=0.33),
ROUND(
ROUND(((TRUNC(($AN283+0.01)*3/13,0)+0.99)*VLOOKUP((TRUNC(($AN283+0.01)*3/13,0)+0.99),'Tax scales - NAT 1004'!$A$12:$C$18,2,1)-VLOOKUP((TRUNC(($AN283+0.01)*3/13,0)+0.99),'Tax scales - NAT 1004'!$A$12:$C$18,3,1)),0)
*13/3,
0),
IF($E$2="Monthly",
ROUND(
ROUND(((TRUNC($AN283*3/13,0)+0.99)*VLOOKUP((TRUNC($AN283*3/13,0)+0.99),'Tax scales - NAT 1004'!$A$12:$C$18,2,1)-VLOOKUP((TRUNC($AN283*3/13,0)+0.99),'Tax scales - NAT 1004'!$A$12:$C$18,3,1)),0)
*13/3,
0),
""))),
""),
"")</f>
        <v/>
      </c>
      <c r="AP283" s="118" t="str">
        <f>IFERROR(
IF(VLOOKUP($C283,'Employee information'!$B:$M,COLUMNS('Employee information'!$B:$M),0)=2,
IF($E$2="Fortnightly",
ROUND(
ROUND((((TRUNC($AN283/2,0)+0.99))*VLOOKUP((TRUNC($AN283/2,0)+0.99),'Tax scales - NAT 1004'!$A$25:$C$33,2,1)-VLOOKUP((TRUNC($AN283/2,0)+0.99),'Tax scales - NAT 1004'!$A$25:$C$33,3,1)),0)
*2,
0),
IF(AND($E$2="Monthly",ROUND($AN283-TRUNC($AN283),2)=0.33),
ROUND(
ROUND(((TRUNC(($AN283+0.01)*3/13,0)+0.99)*VLOOKUP((TRUNC(($AN283+0.01)*3/13,0)+0.99),'Tax scales - NAT 1004'!$A$25:$C$33,2,1)-VLOOKUP((TRUNC(($AN283+0.01)*3/13,0)+0.99),'Tax scales - NAT 1004'!$A$25:$C$33,3,1)),0)
*13/3,
0),
IF($E$2="Monthly",
ROUND(
ROUND(((TRUNC($AN283*3/13,0)+0.99)*VLOOKUP((TRUNC($AN283*3/13,0)+0.99),'Tax scales - NAT 1004'!$A$25:$C$33,2,1)-VLOOKUP((TRUNC($AN283*3/13,0)+0.99),'Tax scales - NAT 1004'!$A$25:$C$33,3,1)),0)
*13/3,
0),
""))),
""),
"")</f>
        <v/>
      </c>
      <c r="AQ283" s="118" t="str">
        <f>IFERROR(
IF(VLOOKUP($C283,'Employee information'!$B:$M,COLUMNS('Employee information'!$B:$M),0)=3,
IF($E$2="Fortnightly",
ROUND(
ROUND((((TRUNC($AN283/2,0)+0.99))*VLOOKUP((TRUNC($AN283/2,0)+0.99),'Tax scales - NAT 1004'!$A$39:$C$41,2,1)-VLOOKUP((TRUNC($AN283/2,0)+0.99),'Tax scales - NAT 1004'!$A$39:$C$41,3,1)),0)
*2,
0),
IF(AND($E$2="Monthly",ROUND($AN283-TRUNC($AN283),2)=0.33),
ROUND(
ROUND(((TRUNC(($AN283+0.01)*3/13,0)+0.99)*VLOOKUP((TRUNC(($AN283+0.01)*3/13,0)+0.99),'Tax scales - NAT 1004'!$A$39:$C$41,2,1)-VLOOKUP((TRUNC(($AN283+0.01)*3/13,0)+0.99),'Tax scales - NAT 1004'!$A$39:$C$41,3,1)),0)
*13/3,
0),
IF($E$2="Monthly",
ROUND(
ROUND(((TRUNC($AN283*3/13,0)+0.99)*VLOOKUP((TRUNC($AN283*3/13,0)+0.99),'Tax scales - NAT 1004'!$A$39:$C$41,2,1)-VLOOKUP((TRUNC($AN283*3/13,0)+0.99),'Tax scales - NAT 1004'!$A$39:$C$41,3,1)),0)
*13/3,
0),
""))),
""),
"")</f>
        <v/>
      </c>
      <c r="AR283" s="118" t="str">
        <f>IFERROR(
IF(AND(VLOOKUP($C283,'Employee information'!$B:$M,COLUMNS('Employee information'!$B:$M),0)=4,
VLOOKUP($C283,'Employee information'!$B:$J,COLUMNS('Employee information'!$B:$J),0)="Resident"),
TRUNC(TRUNC($AN283)*'Tax scales - NAT 1004'!$B$47),
IF(AND(VLOOKUP($C283,'Employee information'!$B:$M,COLUMNS('Employee information'!$B:$M),0)=4,
VLOOKUP($C283,'Employee information'!$B:$J,COLUMNS('Employee information'!$B:$J),0)="Foreign resident"),
TRUNC(TRUNC($AN283)*'Tax scales - NAT 1004'!$B$48),
"")),
"")</f>
        <v/>
      </c>
      <c r="AS283" s="118" t="str">
        <f>IFERROR(
IF(VLOOKUP($C283,'Employee information'!$B:$M,COLUMNS('Employee information'!$B:$M),0)=5,
IF($E$2="Fortnightly",
ROUND(
ROUND((((TRUNC($AN283/2,0)+0.99))*VLOOKUP((TRUNC($AN283/2,0)+0.99),'Tax scales - NAT 1004'!$A$53:$C$59,2,1)-VLOOKUP((TRUNC($AN283/2,0)+0.99),'Tax scales - NAT 1004'!$A$53:$C$59,3,1)),0)
*2,
0),
IF(AND($E$2="Monthly",ROUND($AN283-TRUNC($AN283),2)=0.33),
ROUND(
ROUND(((TRUNC(($AN283+0.01)*3/13,0)+0.99)*VLOOKUP((TRUNC(($AN283+0.01)*3/13,0)+0.99),'Tax scales - NAT 1004'!$A$53:$C$59,2,1)-VLOOKUP((TRUNC(($AN283+0.01)*3/13,0)+0.99),'Tax scales - NAT 1004'!$A$53:$C$59,3,1)),0)
*13/3,
0),
IF($E$2="Monthly",
ROUND(
ROUND(((TRUNC($AN283*3/13,0)+0.99)*VLOOKUP((TRUNC($AN283*3/13,0)+0.99),'Tax scales - NAT 1004'!$A$53:$C$59,2,1)-VLOOKUP((TRUNC($AN283*3/13,0)+0.99),'Tax scales - NAT 1004'!$A$53:$C$59,3,1)),0)
*13/3,
0),
""))),
""),
"")</f>
        <v/>
      </c>
      <c r="AT283" s="118" t="str">
        <f>IFERROR(
IF(VLOOKUP($C283,'Employee information'!$B:$M,COLUMNS('Employee information'!$B:$M),0)=6,
IF($E$2="Fortnightly",
ROUND(
ROUND((((TRUNC($AN283/2,0)+0.99))*VLOOKUP((TRUNC($AN283/2,0)+0.99),'Tax scales - NAT 1004'!$A$65:$C$73,2,1)-VLOOKUP((TRUNC($AN283/2,0)+0.99),'Tax scales - NAT 1004'!$A$65:$C$73,3,1)),0)
*2,
0),
IF(AND($E$2="Monthly",ROUND($AN283-TRUNC($AN283),2)=0.33),
ROUND(
ROUND(((TRUNC(($AN283+0.01)*3/13,0)+0.99)*VLOOKUP((TRUNC(($AN283+0.01)*3/13,0)+0.99),'Tax scales - NAT 1004'!$A$65:$C$73,2,1)-VLOOKUP((TRUNC(($AN283+0.01)*3/13,0)+0.99),'Tax scales - NAT 1004'!$A$65:$C$73,3,1)),0)
*13/3,
0),
IF($E$2="Monthly",
ROUND(
ROUND(((TRUNC($AN283*3/13,0)+0.99)*VLOOKUP((TRUNC($AN283*3/13,0)+0.99),'Tax scales - NAT 1004'!$A$65:$C$73,2,1)-VLOOKUP((TRUNC($AN283*3/13,0)+0.99),'Tax scales - NAT 1004'!$A$65:$C$73,3,1)),0)
*13/3,
0),
""))),
""),
"")</f>
        <v/>
      </c>
      <c r="AU283" s="118" t="str">
        <f>IFERROR(
IF(VLOOKUP($C283,'Employee information'!$B:$M,COLUMNS('Employee information'!$B:$M),0)=11,
IF($E$2="Fortnightly",
ROUND(
ROUND((((TRUNC($AN283/2,0)+0.99))*VLOOKUP((TRUNC($AN283/2,0)+0.99),'Tax scales - NAT 3539'!$A$14:$C$38,2,1)-VLOOKUP((TRUNC($AN283/2,0)+0.99),'Tax scales - NAT 3539'!$A$14:$C$38,3,1)),0)
*2,
0),
IF(AND($E$2="Monthly",ROUND($AN283-TRUNC($AN283),2)=0.33),
ROUND(
ROUND(((TRUNC(($AN283+0.01)*3/13,0)+0.99)*VLOOKUP((TRUNC(($AN283+0.01)*3/13,0)+0.99),'Tax scales - NAT 3539'!$A$14:$C$38,2,1)-VLOOKUP((TRUNC(($AN283+0.01)*3/13,0)+0.99),'Tax scales - NAT 3539'!$A$14:$C$38,3,1)),0)
*13/3,
0),
IF($E$2="Monthly",
ROUND(
ROUND(((TRUNC($AN283*3/13,0)+0.99)*VLOOKUP((TRUNC($AN283*3/13,0)+0.99),'Tax scales - NAT 3539'!$A$14:$C$38,2,1)-VLOOKUP((TRUNC($AN283*3/13,0)+0.99),'Tax scales - NAT 3539'!$A$14:$C$38,3,1)),0)
*13/3,
0),
""))),
""),
"")</f>
        <v/>
      </c>
      <c r="AV283" s="118" t="str">
        <f>IFERROR(
IF(VLOOKUP($C283,'Employee information'!$B:$M,COLUMNS('Employee information'!$B:$M),0)=22,
IF($E$2="Fortnightly",
ROUND(
ROUND((((TRUNC($AN283/2,0)+0.99))*VLOOKUP((TRUNC($AN283/2,0)+0.99),'Tax scales - NAT 3539'!$A$43:$C$69,2,1)-VLOOKUP((TRUNC($AN283/2,0)+0.99),'Tax scales - NAT 3539'!$A$43:$C$69,3,1)),0)
*2,
0),
IF(AND($E$2="Monthly",ROUND($AN283-TRUNC($AN283),2)=0.33),
ROUND(
ROUND(((TRUNC(($AN283+0.01)*3/13,0)+0.99)*VLOOKUP((TRUNC(($AN283+0.01)*3/13,0)+0.99),'Tax scales - NAT 3539'!$A$43:$C$69,2,1)-VLOOKUP((TRUNC(($AN283+0.01)*3/13,0)+0.99),'Tax scales - NAT 3539'!$A$43:$C$69,3,1)),0)
*13/3,
0),
IF($E$2="Monthly",
ROUND(
ROUND(((TRUNC($AN283*3/13,0)+0.99)*VLOOKUP((TRUNC($AN283*3/13,0)+0.99),'Tax scales - NAT 3539'!$A$43:$C$69,2,1)-VLOOKUP((TRUNC($AN283*3/13,0)+0.99),'Tax scales - NAT 3539'!$A$43:$C$69,3,1)),0)
*13/3,
0),
""))),
""),
"")</f>
        <v/>
      </c>
      <c r="AW283" s="118" t="str">
        <f>IFERROR(
IF(VLOOKUP($C283,'Employee information'!$B:$M,COLUMNS('Employee information'!$B:$M),0)=33,
IF($E$2="Fortnightly",
ROUND(
ROUND((((TRUNC($AN283/2,0)+0.99))*VLOOKUP((TRUNC($AN283/2,0)+0.99),'Tax scales - NAT 3539'!$A$74:$C$94,2,1)-VLOOKUP((TRUNC($AN283/2,0)+0.99),'Tax scales - NAT 3539'!$A$74:$C$94,3,1)),0)
*2,
0),
IF(AND($E$2="Monthly",ROUND($AN283-TRUNC($AN283),2)=0.33),
ROUND(
ROUND(((TRUNC(($AN283+0.01)*3/13,0)+0.99)*VLOOKUP((TRUNC(($AN283+0.01)*3/13,0)+0.99),'Tax scales - NAT 3539'!$A$74:$C$94,2,1)-VLOOKUP((TRUNC(($AN283+0.01)*3/13,0)+0.99),'Tax scales - NAT 3539'!$A$74:$C$94,3,1)),0)
*13/3,
0),
IF($E$2="Monthly",
ROUND(
ROUND(((TRUNC($AN283*3/13,0)+0.99)*VLOOKUP((TRUNC($AN283*3/13,0)+0.99),'Tax scales - NAT 3539'!$A$74:$C$94,2,1)-VLOOKUP((TRUNC($AN283*3/13,0)+0.99),'Tax scales - NAT 3539'!$A$74:$C$94,3,1)),0)
*13/3,
0),
""))),
""),
"")</f>
        <v/>
      </c>
      <c r="AX283" s="118" t="str">
        <f>IFERROR(
IF(VLOOKUP($C283,'Employee information'!$B:$M,COLUMNS('Employee information'!$B:$M),0)=55,
IF($E$2="Fortnightly",
ROUND(
ROUND((((TRUNC($AN283/2,0)+0.99))*VLOOKUP((TRUNC($AN283/2,0)+0.99),'Tax scales - NAT 3539'!$A$99:$C$123,2,1)-VLOOKUP((TRUNC($AN283/2,0)+0.99),'Tax scales - NAT 3539'!$A$99:$C$123,3,1)),0)
*2,
0),
IF(AND($E$2="Monthly",ROUND($AN283-TRUNC($AN283),2)=0.33),
ROUND(
ROUND(((TRUNC(($AN283+0.01)*3/13,0)+0.99)*VLOOKUP((TRUNC(($AN283+0.01)*3/13,0)+0.99),'Tax scales - NAT 3539'!$A$99:$C$123,2,1)-VLOOKUP((TRUNC(($AN283+0.01)*3/13,0)+0.99),'Tax scales - NAT 3539'!$A$99:$C$123,3,1)),0)
*13/3,
0),
IF($E$2="Monthly",
ROUND(
ROUND(((TRUNC($AN283*3/13,0)+0.99)*VLOOKUP((TRUNC($AN283*3/13,0)+0.99),'Tax scales - NAT 3539'!$A$99:$C$123,2,1)-VLOOKUP((TRUNC($AN283*3/13,0)+0.99),'Tax scales - NAT 3539'!$A$99:$C$123,3,1)),0)
*13/3,
0),
""))),
""),
"")</f>
        <v/>
      </c>
      <c r="AY283" s="118" t="str">
        <f>IFERROR(
IF(VLOOKUP($C283,'Employee information'!$B:$M,COLUMNS('Employee information'!$B:$M),0)=66,
IF($E$2="Fortnightly",
ROUND(
ROUND((((TRUNC($AN283/2,0)+0.99))*VLOOKUP((TRUNC($AN283/2,0)+0.99),'Tax scales - NAT 3539'!$A$127:$C$154,2,1)-VLOOKUP((TRUNC($AN283/2,0)+0.99),'Tax scales - NAT 3539'!$A$127:$C$154,3,1)),0)
*2,
0),
IF(AND($E$2="Monthly",ROUND($AN283-TRUNC($AN283),2)=0.33),
ROUND(
ROUND(((TRUNC(($AN283+0.01)*3/13,0)+0.99)*VLOOKUP((TRUNC(($AN283+0.01)*3/13,0)+0.99),'Tax scales - NAT 3539'!$A$127:$C$154,2,1)-VLOOKUP((TRUNC(($AN283+0.01)*3/13,0)+0.99),'Tax scales - NAT 3539'!$A$127:$C$154,3,1)),0)
*13/3,
0),
IF($E$2="Monthly",
ROUND(
ROUND(((TRUNC($AN283*3/13,0)+0.99)*VLOOKUP((TRUNC($AN283*3/13,0)+0.99),'Tax scales - NAT 3539'!$A$127:$C$154,2,1)-VLOOKUP((TRUNC($AN283*3/13,0)+0.99),'Tax scales - NAT 3539'!$A$127:$C$154,3,1)),0)
*13/3,
0),
""))),
""),
"")</f>
        <v/>
      </c>
      <c r="AZ283" s="118">
        <f>IFERROR(
HLOOKUP(VLOOKUP($C283,'Employee information'!$B:$M,COLUMNS('Employee information'!$B:$M),0),'PAYG worksheet'!$AO$271:$AY$290,COUNTA($C$272:$C283)+1,0),
0)</f>
        <v>0</v>
      </c>
      <c r="BA283" s="118"/>
      <c r="BB283" s="118">
        <f t="shared" si="294"/>
        <v>0</v>
      </c>
      <c r="BC283" s="119">
        <f>IFERROR(
IF(OR($AE283=1,$AE283=""),SUM($P283,$AA283,$AC283,$AK283)*VLOOKUP($C283,'Employee information'!$B:$Q,COLUMNS('Employee information'!$B:$H),0),
IF($AE283=0,SUM($P283,$AA283,$AK283)*VLOOKUP($C283,'Employee information'!$B:$Q,COLUMNS('Employee information'!$B:$H),0),
0)),
0)</f>
        <v>0</v>
      </c>
      <c r="BE283" s="114">
        <f t="shared" si="279"/>
        <v>0</v>
      </c>
      <c r="BF283" s="114">
        <f t="shared" si="280"/>
        <v>0</v>
      </c>
      <c r="BG283" s="114">
        <f t="shared" si="281"/>
        <v>0</v>
      </c>
      <c r="BH283" s="114">
        <f t="shared" si="282"/>
        <v>0</v>
      </c>
      <c r="BI283" s="114">
        <f t="shared" si="283"/>
        <v>0</v>
      </c>
      <c r="BJ283" s="114">
        <f t="shared" si="284"/>
        <v>0</v>
      </c>
      <c r="BK283" s="114">
        <f t="shared" si="285"/>
        <v>0</v>
      </c>
      <c r="BL283" s="114">
        <f t="shared" si="295"/>
        <v>0</v>
      </c>
      <c r="BM283" s="114">
        <f t="shared" si="286"/>
        <v>0</v>
      </c>
    </row>
    <row r="284" spans="1:65" x14ac:dyDescent="0.25">
      <c r="A284" s="228">
        <f t="shared" si="274"/>
        <v>10</v>
      </c>
      <c r="C284" s="278"/>
      <c r="E284" s="103">
        <f>IF($C284="",0,
IF(AND($E$2="Monthly",$A284&gt;12),0,
IF($E$2="Monthly",VLOOKUP($C284,'Employee information'!$B:$AM,COLUMNS('Employee information'!$B:S),0),
IF($E$2="Fortnightly",VLOOKUP($C284,'Employee information'!$B:$AM,COLUMNS('Employee information'!$B:R),0),
0))))</f>
        <v>0</v>
      </c>
      <c r="F284" s="106"/>
      <c r="G284" s="106"/>
      <c r="H284" s="106"/>
      <c r="I284" s="106"/>
      <c r="J284" s="103">
        <f t="shared" si="287"/>
        <v>0</v>
      </c>
      <c r="L284" s="113">
        <f>IF(AND($E$2="Monthly",$A284&gt;12),"",
IFERROR($J284*VLOOKUP($C284,'Employee information'!$B:$AI,COLUMNS('Employee information'!$B:$P),0),0))</f>
        <v>0</v>
      </c>
      <c r="M284" s="114">
        <f t="shared" si="288"/>
        <v>0</v>
      </c>
      <c r="O284" s="103">
        <f t="shared" si="289"/>
        <v>0</v>
      </c>
      <c r="P284" s="113">
        <f>IFERROR(
IF(AND($E$2="Monthly",$A284&gt;12),0,
$O284*VLOOKUP($C284,'Employee information'!$B:$AI,COLUMNS('Employee information'!$B:$P),0)),
0)</f>
        <v>0</v>
      </c>
      <c r="R284" s="114">
        <f t="shared" si="275"/>
        <v>0</v>
      </c>
      <c r="T284" s="103"/>
      <c r="U284" s="103"/>
      <c r="V284" s="282" t="str">
        <f>IF($C284="","",
IF(AND($E$2="Monthly",$A284&gt;12),"",
$T284*VLOOKUP($C284,'Employee information'!$B:$P,COLUMNS('Employee information'!$B:$P),0)))</f>
        <v/>
      </c>
      <c r="W284" s="282" t="str">
        <f>IF($C284="","",
IF(AND($E$2="Monthly",$A284&gt;12),"",
$U284*VLOOKUP($C284,'Employee information'!$B:$P,COLUMNS('Employee information'!$B:$P),0)))</f>
        <v/>
      </c>
      <c r="X284" s="114">
        <f t="shared" si="276"/>
        <v>0</v>
      </c>
      <c r="Y284" s="114">
        <f t="shared" si="277"/>
        <v>0</v>
      </c>
      <c r="AA284" s="118">
        <f>IFERROR(
IF(OR('Basic payroll data'!$D$12="",'Basic payroll data'!$D$12="No"),0,
$T284*VLOOKUP($C284,'Employee information'!$B:$P,COLUMNS('Employee information'!$B:$P),0)*AL_loading_perc),
0)</f>
        <v>0</v>
      </c>
      <c r="AC284" s="118"/>
      <c r="AD284" s="118"/>
      <c r="AE284" s="283" t="str">
        <f t="shared" si="290"/>
        <v/>
      </c>
      <c r="AF284" s="283" t="str">
        <f t="shared" si="291"/>
        <v/>
      </c>
      <c r="AG284" s="118"/>
      <c r="AH284" s="118"/>
      <c r="AI284" s="283" t="str">
        <f t="shared" si="292"/>
        <v/>
      </c>
      <c r="AJ284" s="118"/>
      <c r="AK284" s="118"/>
      <c r="AM284" s="118">
        <f t="shared" si="293"/>
        <v>0</v>
      </c>
      <c r="AN284" s="118">
        <f t="shared" si="278"/>
        <v>0</v>
      </c>
      <c r="AO284" s="118" t="str">
        <f>IFERROR(
IF(VLOOKUP($C284,'Employee information'!$B:$M,COLUMNS('Employee information'!$B:$M),0)=1,
IF($E$2="Fortnightly",
ROUND(
ROUND((((TRUNC($AN284/2,0)+0.99))*VLOOKUP((TRUNC($AN284/2,0)+0.99),'Tax scales - NAT 1004'!$A$12:$C$18,2,1)-VLOOKUP((TRUNC($AN284/2,0)+0.99),'Tax scales - NAT 1004'!$A$12:$C$18,3,1)),0)
*2,
0),
IF(AND($E$2="Monthly",ROUND($AN284-TRUNC($AN284),2)=0.33),
ROUND(
ROUND(((TRUNC(($AN284+0.01)*3/13,0)+0.99)*VLOOKUP((TRUNC(($AN284+0.01)*3/13,0)+0.99),'Tax scales - NAT 1004'!$A$12:$C$18,2,1)-VLOOKUP((TRUNC(($AN284+0.01)*3/13,0)+0.99),'Tax scales - NAT 1004'!$A$12:$C$18,3,1)),0)
*13/3,
0),
IF($E$2="Monthly",
ROUND(
ROUND(((TRUNC($AN284*3/13,0)+0.99)*VLOOKUP((TRUNC($AN284*3/13,0)+0.99),'Tax scales - NAT 1004'!$A$12:$C$18,2,1)-VLOOKUP((TRUNC($AN284*3/13,0)+0.99),'Tax scales - NAT 1004'!$A$12:$C$18,3,1)),0)
*13/3,
0),
""))),
""),
"")</f>
        <v/>
      </c>
      <c r="AP284" s="118" t="str">
        <f>IFERROR(
IF(VLOOKUP($C284,'Employee information'!$B:$M,COLUMNS('Employee information'!$B:$M),0)=2,
IF($E$2="Fortnightly",
ROUND(
ROUND((((TRUNC($AN284/2,0)+0.99))*VLOOKUP((TRUNC($AN284/2,0)+0.99),'Tax scales - NAT 1004'!$A$25:$C$33,2,1)-VLOOKUP((TRUNC($AN284/2,0)+0.99),'Tax scales - NAT 1004'!$A$25:$C$33,3,1)),0)
*2,
0),
IF(AND($E$2="Monthly",ROUND($AN284-TRUNC($AN284),2)=0.33),
ROUND(
ROUND(((TRUNC(($AN284+0.01)*3/13,0)+0.99)*VLOOKUP((TRUNC(($AN284+0.01)*3/13,0)+0.99),'Tax scales - NAT 1004'!$A$25:$C$33,2,1)-VLOOKUP((TRUNC(($AN284+0.01)*3/13,0)+0.99),'Tax scales - NAT 1004'!$A$25:$C$33,3,1)),0)
*13/3,
0),
IF($E$2="Monthly",
ROUND(
ROUND(((TRUNC($AN284*3/13,0)+0.99)*VLOOKUP((TRUNC($AN284*3/13,0)+0.99),'Tax scales - NAT 1004'!$A$25:$C$33,2,1)-VLOOKUP((TRUNC($AN284*3/13,0)+0.99),'Tax scales - NAT 1004'!$A$25:$C$33,3,1)),0)
*13/3,
0),
""))),
""),
"")</f>
        <v/>
      </c>
      <c r="AQ284" s="118" t="str">
        <f>IFERROR(
IF(VLOOKUP($C284,'Employee information'!$B:$M,COLUMNS('Employee information'!$B:$M),0)=3,
IF($E$2="Fortnightly",
ROUND(
ROUND((((TRUNC($AN284/2,0)+0.99))*VLOOKUP((TRUNC($AN284/2,0)+0.99),'Tax scales - NAT 1004'!$A$39:$C$41,2,1)-VLOOKUP((TRUNC($AN284/2,0)+0.99),'Tax scales - NAT 1004'!$A$39:$C$41,3,1)),0)
*2,
0),
IF(AND($E$2="Monthly",ROUND($AN284-TRUNC($AN284),2)=0.33),
ROUND(
ROUND(((TRUNC(($AN284+0.01)*3/13,0)+0.99)*VLOOKUP((TRUNC(($AN284+0.01)*3/13,0)+0.99),'Tax scales - NAT 1004'!$A$39:$C$41,2,1)-VLOOKUP((TRUNC(($AN284+0.01)*3/13,0)+0.99),'Tax scales - NAT 1004'!$A$39:$C$41,3,1)),0)
*13/3,
0),
IF($E$2="Monthly",
ROUND(
ROUND(((TRUNC($AN284*3/13,0)+0.99)*VLOOKUP((TRUNC($AN284*3/13,0)+0.99),'Tax scales - NAT 1004'!$A$39:$C$41,2,1)-VLOOKUP((TRUNC($AN284*3/13,0)+0.99),'Tax scales - NAT 1004'!$A$39:$C$41,3,1)),0)
*13/3,
0),
""))),
""),
"")</f>
        <v/>
      </c>
      <c r="AR284" s="118" t="str">
        <f>IFERROR(
IF(AND(VLOOKUP($C284,'Employee information'!$B:$M,COLUMNS('Employee information'!$B:$M),0)=4,
VLOOKUP($C284,'Employee information'!$B:$J,COLUMNS('Employee information'!$B:$J),0)="Resident"),
TRUNC(TRUNC($AN284)*'Tax scales - NAT 1004'!$B$47),
IF(AND(VLOOKUP($C284,'Employee information'!$B:$M,COLUMNS('Employee information'!$B:$M),0)=4,
VLOOKUP($C284,'Employee information'!$B:$J,COLUMNS('Employee information'!$B:$J),0)="Foreign resident"),
TRUNC(TRUNC($AN284)*'Tax scales - NAT 1004'!$B$48),
"")),
"")</f>
        <v/>
      </c>
      <c r="AS284" s="118" t="str">
        <f>IFERROR(
IF(VLOOKUP($C284,'Employee information'!$B:$M,COLUMNS('Employee information'!$B:$M),0)=5,
IF($E$2="Fortnightly",
ROUND(
ROUND((((TRUNC($AN284/2,0)+0.99))*VLOOKUP((TRUNC($AN284/2,0)+0.99),'Tax scales - NAT 1004'!$A$53:$C$59,2,1)-VLOOKUP((TRUNC($AN284/2,0)+0.99),'Tax scales - NAT 1004'!$A$53:$C$59,3,1)),0)
*2,
0),
IF(AND($E$2="Monthly",ROUND($AN284-TRUNC($AN284),2)=0.33),
ROUND(
ROUND(((TRUNC(($AN284+0.01)*3/13,0)+0.99)*VLOOKUP((TRUNC(($AN284+0.01)*3/13,0)+0.99),'Tax scales - NAT 1004'!$A$53:$C$59,2,1)-VLOOKUP((TRUNC(($AN284+0.01)*3/13,0)+0.99),'Tax scales - NAT 1004'!$A$53:$C$59,3,1)),0)
*13/3,
0),
IF($E$2="Monthly",
ROUND(
ROUND(((TRUNC($AN284*3/13,0)+0.99)*VLOOKUP((TRUNC($AN284*3/13,0)+0.99),'Tax scales - NAT 1004'!$A$53:$C$59,2,1)-VLOOKUP((TRUNC($AN284*3/13,0)+0.99),'Tax scales - NAT 1004'!$A$53:$C$59,3,1)),0)
*13/3,
0),
""))),
""),
"")</f>
        <v/>
      </c>
      <c r="AT284" s="118" t="str">
        <f>IFERROR(
IF(VLOOKUP($C284,'Employee information'!$B:$M,COLUMNS('Employee information'!$B:$M),0)=6,
IF($E$2="Fortnightly",
ROUND(
ROUND((((TRUNC($AN284/2,0)+0.99))*VLOOKUP((TRUNC($AN284/2,0)+0.99),'Tax scales - NAT 1004'!$A$65:$C$73,2,1)-VLOOKUP((TRUNC($AN284/2,0)+0.99),'Tax scales - NAT 1004'!$A$65:$C$73,3,1)),0)
*2,
0),
IF(AND($E$2="Monthly",ROUND($AN284-TRUNC($AN284),2)=0.33),
ROUND(
ROUND(((TRUNC(($AN284+0.01)*3/13,0)+0.99)*VLOOKUP((TRUNC(($AN284+0.01)*3/13,0)+0.99),'Tax scales - NAT 1004'!$A$65:$C$73,2,1)-VLOOKUP((TRUNC(($AN284+0.01)*3/13,0)+0.99),'Tax scales - NAT 1004'!$A$65:$C$73,3,1)),0)
*13/3,
0),
IF($E$2="Monthly",
ROUND(
ROUND(((TRUNC($AN284*3/13,0)+0.99)*VLOOKUP((TRUNC($AN284*3/13,0)+0.99),'Tax scales - NAT 1004'!$A$65:$C$73,2,1)-VLOOKUP((TRUNC($AN284*3/13,0)+0.99),'Tax scales - NAT 1004'!$A$65:$C$73,3,1)),0)
*13/3,
0),
""))),
""),
"")</f>
        <v/>
      </c>
      <c r="AU284" s="118" t="str">
        <f>IFERROR(
IF(VLOOKUP($C284,'Employee information'!$B:$M,COLUMNS('Employee information'!$B:$M),0)=11,
IF($E$2="Fortnightly",
ROUND(
ROUND((((TRUNC($AN284/2,0)+0.99))*VLOOKUP((TRUNC($AN284/2,0)+0.99),'Tax scales - NAT 3539'!$A$14:$C$38,2,1)-VLOOKUP((TRUNC($AN284/2,0)+0.99),'Tax scales - NAT 3539'!$A$14:$C$38,3,1)),0)
*2,
0),
IF(AND($E$2="Monthly",ROUND($AN284-TRUNC($AN284),2)=0.33),
ROUND(
ROUND(((TRUNC(($AN284+0.01)*3/13,0)+0.99)*VLOOKUP((TRUNC(($AN284+0.01)*3/13,0)+0.99),'Tax scales - NAT 3539'!$A$14:$C$38,2,1)-VLOOKUP((TRUNC(($AN284+0.01)*3/13,0)+0.99),'Tax scales - NAT 3539'!$A$14:$C$38,3,1)),0)
*13/3,
0),
IF($E$2="Monthly",
ROUND(
ROUND(((TRUNC($AN284*3/13,0)+0.99)*VLOOKUP((TRUNC($AN284*3/13,0)+0.99),'Tax scales - NAT 3539'!$A$14:$C$38,2,1)-VLOOKUP((TRUNC($AN284*3/13,0)+0.99),'Tax scales - NAT 3539'!$A$14:$C$38,3,1)),0)
*13/3,
0),
""))),
""),
"")</f>
        <v/>
      </c>
      <c r="AV284" s="118" t="str">
        <f>IFERROR(
IF(VLOOKUP($C284,'Employee information'!$B:$M,COLUMNS('Employee information'!$B:$M),0)=22,
IF($E$2="Fortnightly",
ROUND(
ROUND((((TRUNC($AN284/2,0)+0.99))*VLOOKUP((TRUNC($AN284/2,0)+0.99),'Tax scales - NAT 3539'!$A$43:$C$69,2,1)-VLOOKUP((TRUNC($AN284/2,0)+0.99),'Tax scales - NAT 3539'!$A$43:$C$69,3,1)),0)
*2,
0),
IF(AND($E$2="Monthly",ROUND($AN284-TRUNC($AN284),2)=0.33),
ROUND(
ROUND(((TRUNC(($AN284+0.01)*3/13,0)+0.99)*VLOOKUP((TRUNC(($AN284+0.01)*3/13,0)+0.99),'Tax scales - NAT 3539'!$A$43:$C$69,2,1)-VLOOKUP((TRUNC(($AN284+0.01)*3/13,0)+0.99),'Tax scales - NAT 3539'!$A$43:$C$69,3,1)),0)
*13/3,
0),
IF($E$2="Monthly",
ROUND(
ROUND(((TRUNC($AN284*3/13,0)+0.99)*VLOOKUP((TRUNC($AN284*3/13,0)+0.99),'Tax scales - NAT 3539'!$A$43:$C$69,2,1)-VLOOKUP((TRUNC($AN284*3/13,0)+0.99),'Tax scales - NAT 3539'!$A$43:$C$69,3,1)),0)
*13/3,
0),
""))),
""),
"")</f>
        <v/>
      </c>
      <c r="AW284" s="118" t="str">
        <f>IFERROR(
IF(VLOOKUP($C284,'Employee information'!$B:$M,COLUMNS('Employee information'!$B:$M),0)=33,
IF($E$2="Fortnightly",
ROUND(
ROUND((((TRUNC($AN284/2,0)+0.99))*VLOOKUP((TRUNC($AN284/2,0)+0.99),'Tax scales - NAT 3539'!$A$74:$C$94,2,1)-VLOOKUP((TRUNC($AN284/2,0)+0.99),'Tax scales - NAT 3539'!$A$74:$C$94,3,1)),0)
*2,
0),
IF(AND($E$2="Monthly",ROUND($AN284-TRUNC($AN284),2)=0.33),
ROUND(
ROUND(((TRUNC(($AN284+0.01)*3/13,0)+0.99)*VLOOKUP((TRUNC(($AN284+0.01)*3/13,0)+0.99),'Tax scales - NAT 3539'!$A$74:$C$94,2,1)-VLOOKUP((TRUNC(($AN284+0.01)*3/13,0)+0.99),'Tax scales - NAT 3539'!$A$74:$C$94,3,1)),0)
*13/3,
0),
IF($E$2="Monthly",
ROUND(
ROUND(((TRUNC($AN284*3/13,0)+0.99)*VLOOKUP((TRUNC($AN284*3/13,0)+0.99),'Tax scales - NAT 3539'!$A$74:$C$94,2,1)-VLOOKUP((TRUNC($AN284*3/13,0)+0.99),'Tax scales - NAT 3539'!$A$74:$C$94,3,1)),0)
*13/3,
0),
""))),
""),
"")</f>
        <v/>
      </c>
      <c r="AX284" s="118" t="str">
        <f>IFERROR(
IF(VLOOKUP($C284,'Employee information'!$B:$M,COLUMNS('Employee information'!$B:$M),0)=55,
IF($E$2="Fortnightly",
ROUND(
ROUND((((TRUNC($AN284/2,0)+0.99))*VLOOKUP((TRUNC($AN284/2,0)+0.99),'Tax scales - NAT 3539'!$A$99:$C$123,2,1)-VLOOKUP((TRUNC($AN284/2,0)+0.99),'Tax scales - NAT 3539'!$A$99:$C$123,3,1)),0)
*2,
0),
IF(AND($E$2="Monthly",ROUND($AN284-TRUNC($AN284),2)=0.33),
ROUND(
ROUND(((TRUNC(($AN284+0.01)*3/13,0)+0.99)*VLOOKUP((TRUNC(($AN284+0.01)*3/13,0)+0.99),'Tax scales - NAT 3539'!$A$99:$C$123,2,1)-VLOOKUP((TRUNC(($AN284+0.01)*3/13,0)+0.99),'Tax scales - NAT 3539'!$A$99:$C$123,3,1)),0)
*13/3,
0),
IF($E$2="Monthly",
ROUND(
ROUND(((TRUNC($AN284*3/13,0)+0.99)*VLOOKUP((TRUNC($AN284*3/13,0)+0.99),'Tax scales - NAT 3539'!$A$99:$C$123,2,1)-VLOOKUP((TRUNC($AN284*3/13,0)+0.99),'Tax scales - NAT 3539'!$A$99:$C$123,3,1)),0)
*13/3,
0),
""))),
""),
"")</f>
        <v/>
      </c>
      <c r="AY284" s="118" t="str">
        <f>IFERROR(
IF(VLOOKUP($C284,'Employee information'!$B:$M,COLUMNS('Employee information'!$B:$M),0)=66,
IF($E$2="Fortnightly",
ROUND(
ROUND((((TRUNC($AN284/2,0)+0.99))*VLOOKUP((TRUNC($AN284/2,0)+0.99),'Tax scales - NAT 3539'!$A$127:$C$154,2,1)-VLOOKUP((TRUNC($AN284/2,0)+0.99),'Tax scales - NAT 3539'!$A$127:$C$154,3,1)),0)
*2,
0),
IF(AND($E$2="Monthly",ROUND($AN284-TRUNC($AN284),2)=0.33),
ROUND(
ROUND(((TRUNC(($AN284+0.01)*3/13,0)+0.99)*VLOOKUP((TRUNC(($AN284+0.01)*3/13,0)+0.99),'Tax scales - NAT 3539'!$A$127:$C$154,2,1)-VLOOKUP((TRUNC(($AN284+0.01)*3/13,0)+0.99),'Tax scales - NAT 3539'!$A$127:$C$154,3,1)),0)
*13/3,
0),
IF($E$2="Monthly",
ROUND(
ROUND(((TRUNC($AN284*3/13,0)+0.99)*VLOOKUP((TRUNC($AN284*3/13,0)+0.99),'Tax scales - NAT 3539'!$A$127:$C$154,2,1)-VLOOKUP((TRUNC($AN284*3/13,0)+0.99),'Tax scales - NAT 3539'!$A$127:$C$154,3,1)),0)
*13/3,
0),
""))),
""),
"")</f>
        <v/>
      </c>
      <c r="AZ284" s="118">
        <f>IFERROR(
HLOOKUP(VLOOKUP($C284,'Employee information'!$B:$M,COLUMNS('Employee information'!$B:$M),0),'PAYG worksheet'!$AO$271:$AY$290,COUNTA($C$272:$C284)+1,0),
0)</f>
        <v>0</v>
      </c>
      <c r="BA284" s="118"/>
      <c r="BB284" s="118">
        <f t="shared" si="294"/>
        <v>0</v>
      </c>
      <c r="BC284" s="119">
        <f>IFERROR(
IF(OR($AE284=1,$AE284=""),SUM($P284,$AA284,$AC284,$AK284)*VLOOKUP($C284,'Employee information'!$B:$Q,COLUMNS('Employee information'!$B:$H),0),
IF($AE284=0,SUM($P284,$AA284,$AK284)*VLOOKUP($C284,'Employee information'!$B:$Q,COLUMNS('Employee information'!$B:$H),0),
0)),
0)</f>
        <v>0</v>
      </c>
      <c r="BE284" s="114">
        <f t="shared" si="279"/>
        <v>0</v>
      </c>
      <c r="BF284" s="114">
        <f t="shared" si="280"/>
        <v>0</v>
      </c>
      <c r="BG284" s="114">
        <f t="shared" si="281"/>
        <v>0</v>
      </c>
      <c r="BH284" s="114">
        <f t="shared" si="282"/>
        <v>0</v>
      </c>
      <c r="BI284" s="114">
        <f t="shared" si="283"/>
        <v>0</v>
      </c>
      <c r="BJ284" s="114">
        <f t="shared" si="284"/>
        <v>0</v>
      </c>
      <c r="BK284" s="114">
        <f t="shared" si="285"/>
        <v>0</v>
      </c>
      <c r="BL284" s="114">
        <f t="shared" si="295"/>
        <v>0</v>
      </c>
      <c r="BM284" s="114">
        <f t="shared" si="286"/>
        <v>0</v>
      </c>
    </row>
    <row r="285" spans="1:65" x14ac:dyDescent="0.25">
      <c r="A285" s="228">
        <f t="shared" si="274"/>
        <v>10</v>
      </c>
      <c r="C285" s="278"/>
      <c r="E285" s="103">
        <f>IF($C285="",0,
IF(AND($E$2="Monthly",$A285&gt;12),0,
IF($E$2="Monthly",VLOOKUP($C285,'Employee information'!$B:$AM,COLUMNS('Employee information'!$B:S),0),
IF($E$2="Fortnightly",VLOOKUP($C285,'Employee information'!$B:$AM,COLUMNS('Employee information'!$B:R),0),
0))))</f>
        <v>0</v>
      </c>
      <c r="F285" s="106"/>
      <c r="G285" s="106"/>
      <c r="H285" s="106"/>
      <c r="I285" s="106"/>
      <c r="J285" s="103">
        <f t="shared" si="287"/>
        <v>0</v>
      </c>
      <c r="L285" s="113">
        <f>IF(AND($E$2="Monthly",$A285&gt;12),"",
IFERROR($J285*VLOOKUP($C285,'Employee information'!$B:$AI,COLUMNS('Employee information'!$B:$P),0),0))</f>
        <v>0</v>
      </c>
      <c r="M285" s="114">
        <f t="shared" si="288"/>
        <v>0</v>
      </c>
      <c r="O285" s="103">
        <f t="shared" si="289"/>
        <v>0</v>
      </c>
      <c r="P285" s="113">
        <f>IFERROR(
IF(AND($E$2="Monthly",$A285&gt;12),0,
$O285*VLOOKUP($C285,'Employee information'!$B:$AI,COLUMNS('Employee information'!$B:$P),0)),
0)</f>
        <v>0</v>
      </c>
      <c r="R285" s="114">
        <f t="shared" si="275"/>
        <v>0</v>
      </c>
      <c r="T285" s="103"/>
      <c r="U285" s="103"/>
      <c r="V285" s="282" t="str">
        <f>IF($C285="","",
IF(AND($E$2="Monthly",$A285&gt;12),"",
$T285*VLOOKUP($C285,'Employee information'!$B:$P,COLUMNS('Employee information'!$B:$P),0)))</f>
        <v/>
      </c>
      <c r="W285" s="282" t="str">
        <f>IF($C285="","",
IF(AND($E$2="Monthly",$A285&gt;12),"",
$U285*VLOOKUP($C285,'Employee information'!$B:$P,COLUMNS('Employee information'!$B:$P),0)))</f>
        <v/>
      </c>
      <c r="X285" s="114">
        <f t="shared" si="276"/>
        <v>0</v>
      </c>
      <c r="Y285" s="114">
        <f t="shared" si="277"/>
        <v>0</v>
      </c>
      <c r="AA285" s="118">
        <f>IFERROR(
IF(OR('Basic payroll data'!$D$12="",'Basic payroll data'!$D$12="No"),0,
$T285*VLOOKUP($C285,'Employee information'!$B:$P,COLUMNS('Employee information'!$B:$P),0)*AL_loading_perc),
0)</f>
        <v>0</v>
      </c>
      <c r="AC285" s="118"/>
      <c r="AD285" s="118"/>
      <c r="AE285" s="283" t="str">
        <f t="shared" si="290"/>
        <v/>
      </c>
      <c r="AF285" s="283" t="str">
        <f t="shared" si="291"/>
        <v/>
      </c>
      <c r="AG285" s="118"/>
      <c r="AH285" s="118"/>
      <c r="AI285" s="283" t="str">
        <f t="shared" si="292"/>
        <v/>
      </c>
      <c r="AJ285" s="118"/>
      <c r="AK285" s="118"/>
      <c r="AM285" s="118">
        <f t="shared" si="293"/>
        <v>0</v>
      </c>
      <c r="AN285" s="118">
        <f t="shared" si="278"/>
        <v>0</v>
      </c>
      <c r="AO285" s="118" t="str">
        <f>IFERROR(
IF(VLOOKUP($C285,'Employee information'!$B:$M,COLUMNS('Employee information'!$B:$M),0)=1,
IF($E$2="Fortnightly",
ROUND(
ROUND((((TRUNC($AN285/2,0)+0.99))*VLOOKUP((TRUNC($AN285/2,0)+0.99),'Tax scales - NAT 1004'!$A$12:$C$18,2,1)-VLOOKUP((TRUNC($AN285/2,0)+0.99),'Tax scales - NAT 1004'!$A$12:$C$18,3,1)),0)
*2,
0),
IF(AND($E$2="Monthly",ROUND($AN285-TRUNC($AN285),2)=0.33),
ROUND(
ROUND(((TRUNC(($AN285+0.01)*3/13,0)+0.99)*VLOOKUP((TRUNC(($AN285+0.01)*3/13,0)+0.99),'Tax scales - NAT 1004'!$A$12:$C$18,2,1)-VLOOKUP((TRUNC(($AN285+0.01)*3/13,0)+0.99),'Tax scales - NAT 1004'!$A$12:$C$18,3,1)),0)
*13/3,
0),
IF($E$2="Monthly",
ROUND(
ROUND(((TRUNC($AN285*3/13,0)+0.99)*VLOOKUP((TRUNC($AN285*3/13,0)+0.99),'Tax scales - NAT 1004'!$A$12:$C$18,2,1)-VLOOKUP((TRUNC($AN285*3/13,0)+0.99),'Tax scales - NAT 1004'!$A$12:$C$18,3,1)),0)
*13/3,
0),
""))),
""),
"")</f>
        <v/>
      </c>
      <c r="AP285" s="118" t="str">
        <f>IFERROR(
IF(VLOOKUP($C285,'Employee information'!$B:$M,COLUMNS('Employee information'!$B:$M),0)=2,
IF($E$2="Fortnightly",
ROUND(
ROUND((((TRUNC($AN285/2,0)+0.99))*VLOOKUP((TRUNC($AN285/2,0)+0.99),'Tax scales - NAT 1004'!$A$25:$C$33,2,1)-VLOOKUP((TRUNC($AN285/2,0)+0.99),'Tax scales - NAT 1004'!$A$25:$C$33,3,1)),0)
*2,
0),
IF(AND($E$2="Monthly",ROUND($AN285-TRUNC($AN285),2)=0.33),
ROUND(
ROUND(((TRUNC(($AN285+0.01)*3/13,0)+0.99)*VLOOKUP((TRUNC(($AN285+0.01)*3/13,0)+0.99),'Tax scales - NAT 1004'!$A$25:$C$33,2,1)-VLOOKUP((TRUNC(($AN285+0.01)*3/13,0)+0.99),'Tax scales - NAT 1004'!$A$25:$C$33,3,1)),0)
*13/3,
0),
IF($E$2="Monthly",
ROUND(
ROUND(((TRUNC($AN285*3/13,0)+0.99)*VLOOKUP((TRUNC($AN285*3/13,0)+0.99),'Tax scales - NAT 1004'!$A$25:$C$33,2,1)-VLOOKUP((TRUNC($AN285*3/13,0)+0.99),'Tax scales - NAT 1004'!$A$25:$C$33,3,1)),0)
*13/3,
0),
""))),
""),
"")</f>
        <v/>
      </c>
      <c r="AQ285" s="118" t="str">
        <f>IFERROR(
IF(VLOOKUP($C285,'Employee information'!$B:$M,COLUMNS('Employee information'!$B:$M),0)=3,
IF($E$2="Fortnightly",
ROUND(
ROUND((((TRUNC($AN285/2,0)+0.99))*VLOOKUP((TRUNC($AN285/2,0)+0.99),'Tax scales - NAT 1004'!$A$39:$C$41,2,1)-VLOOKUP((TRUNC($AN285/2,0)+0.99),'Tax scales - NAT 1004'!$A$39:$C$41,3,1)),0)
*2,
0),
IF(AND($E$2="Monthly",ROUND($AN285-TRUNC($AN285),2)=0.33),
ROUND(
ROUND(((TRUNC(($AN285+0.01)*3/13,0)+0.99)*VLOOKUP((TRUNC(($AN285+0.01)*3/13,0)+0.99),'Tax scales - NAT 1004'!$A$39:$C$41,2,1)-VLOOKUP((TRUNC(($AN285+0.01)*3/13,0)+0.99),'Tax scales - NAT 1004'!$A$39:$C$41,3,1)),0)
*13/3,
0),
IF($E$2="Monthly",
ROUND(
ROUND(((TRUNC($AN285*3/13,0)+0.99)*VLOOKUP((TRUNC($AN285*3/13,0)+0.99),'Tax scales - NAT 1004'!$A$39:$C$41,2,1)-VLOOKUP((TRUNC($AN285*3/13,0)+0.99),'Tax scales - NAT 1004'!$A$39:$C$41,3,1)),0)
*13/3,
0),
""))),
""),
"")</f>
        <v/>
      </c>
      <c r="AR285" s="118" t="str">
        <f>IFERROR(
IF(AND(VLOOKUP($C285,'Employee information'!$B:$M,COLUMNS('Employee information'!$B:$M),0)=4,
VLOOKUP($C285,'Employee information'!$B:$J,COLUMNS('Employee information'!$B:$J),0)="Resident"),
TRUNC(TRUNC($AN285)*'Tax scales - NAT 1004'!$B$47),
IF(AND(VLOOKUP($C285,'Employee information'!$B:$M,COLUMNS('Employee information'!$B:$M),0)=4,
VLOOKUP($C285,'Employee information'!$B:$J,COLUMNS('Employee information'!$B:$J),0)="Foreign resident"),
TRUNC(TRUNC($AN285)*'Tax scales - NAT 1004'!$B$48),
"")),
"")</f>
        <v/>
      </c>
      <c r="AS285" s="118" t="str">
        <f>IFERROR(
IF(VLOOKUP($C285,'Employee information'!$B:$M,COLUMNS('Employee information'!$B:$M),0)=5,
IF($E$2="Fortnightly",
ROUND(
ROUND((((TRUNC($AN285/2,0)+0.99))*VLOOKUP((TRUNC($AN285/2,0)+0.99),'Tax scales - NAT 1004'!$A$53:$C$59,2,1)-VLOOKUP((TRUNC($AN285/2,0)+0.99),'Tax scales - NAT 1004'!$A$53:$C$59,3,1)),0)
*2,
0),
IF(AND($E$2="Monthly",ROUND($AN285-TRUNC($AN285),2)=0.33),
ROUND(
ROUND(((TRUNC(($AN285+0.01)*3/13,0)+0.99)*VLOOKUP((TRUNC(($AN285+0.01)*3/13,0)+0.99),'Tax scales - NAT 1004'!$A$53:$C$59,2,1)-VLOOKUP((TRUNC(($AN285+0.01)*3/13,0)+0.99),'Tax scales - NAT 1004'!$A$53:$C$59,3,1)),0)
*13/3,
0),
IF($E$2="Monthly",
ROUND(
ROUND(((TRUNC($AN285*3/13,0)+0.99)*VLOOKUP((TRUNC($AN285*3/13,0)+0.99),'Tax scales - NAT 1004'!$A$53:$C$59,2,1)-VLOOKUP((TRUNC($AN285*3/13,0)+0.99),'Tax scales - NAT 1004'!$A$53:$C$59,3,1)),0)
*13/3,
0),
""))),
""),
"")</f>
        <v/>
      </c>
      <c r="AT285" s="118" t="str">
        <f>IFERROR(
IF(VLOOKUP($C285,'Employee information'!$B:$M,COLUMNS('Employee information'!$B:$M),0)=6,
IF($E$2="Fortnightly",
ROUND(
ROUND((((TRUNC($AN285/2,0)+0.99))*VLOOKUP((TRUNC($AN285/2,0)+0.99),'Tax scales - NAT 1004'!$A$65:$C$73,2,1)-VLOOKUP((TRUNC($AN285/2,0)+0.99),'Tax scales - NAT 1004'!$A$65:$C$73,3,1)),0)
*2,
0),
IF(AND($E$2="Monthly",ROUND($AN285-TRUNC($AN285),2)=0.33),
ROUND(
ROUND(((TRUNC(($AN285+0.01)*3/13,0)+0.99)*VLOOKUP((TRUNC(($AN285+0.01)*3/13,0)+0.99),'Tax scales - NAT 1004'!$A$65:$C$73,2,1)-VLOOKUP((TRUNC(($AN285+0.01)*3/13,0)+0.99),'Tax scales - NAT 1004'!$A$65:$C$73,3,1)),0)
*13/3,
0),
IF($E$2="Monthly",
ROUND(
ROUND(((TRUNC($AN285*3/13,0)+0.99)*VLOOKUP((TRUNC($AN285*3/13,0)+0.99),'Tax scales - NAT 1004'!$A$65:$C$73,2,1)-VLOOKUP((TRUNC($AN285*3/13,0)+0.99),'Tax scales - NAT 1004'!$A$65:$C$73,3,1)),0)
*13/3,
0),
""))),
""),
"")</f>
        <v/>
      </c>
      <c r="AU285" s="118" t="str">
        <f>IFERROR(
IF(VLOOKUP($C285,'Employee information'!$B:$M,COLUMNS('Employee information'!$B:$M),0)=11,
IF($E$2="Fortnightly",
ROUND(
ROUND((((TRUNC($AN285/2,0)+0.99))*VLOOKUP((TRUNC($AN285/2,0)+0.99),'Tax scales - NAT 3539'!$A$14:$C$38,2,1)-VLOOKUP((TRUNC($AN285/2,0)+0.99),'Tax scales - NAT 3539'!$A$14:$C$38,3,1)),0)
*2,
0),
IF(AND($E$2="Monthly",ROUND($AN285-TRUNC($AN285),2)=0.33),
ROUND(
ROUND(((TRUNC(($AN285+0.01)*3/13,0)+0.99)*VLOOKUP((TRUNC(($AN285+0.01)*3/13,0)+0.99),'Tax scales - NAT 3539'!$A$14:$C$38,2,1)-VLOOKUP((TRUNC(($AN285+0.01)*3/13,0)+0.99),'Tax scales - NAT 3539'!$A$14:$C$38,3,1)),0)
*13/3,
0),
IF($E$2="Monthly",
ROUND(
ROUND(((TRUNC($AN285*3/13,0)+0.99)*VLOOKUP((TRUNC($AN285*3/13,0)+0.99),'Tax scales - NAT 3539'!$A$14:$C$38,2,1)-VLOOKUP((TRUNC($AN285*3/13,0)+0.99),'Tax scales - NAT 3539'!$A$14:$C$38,3,1)),0)
*13/3,
0),
""))),
""),
"")</f>
        <v/>
      </c>
      <c r="AV285" s="118" t="str">
        <f>IFERROR(
IF(VLOOKUP($C285,'Employee information'!$B:$M,COLUMNS('Employee information'!$B:$M),0)=22,
IF($E$2="Fortnightly",
ROUND(
ROUND((((TRUNC($AN285/2,0)+0.99))*VLOOKUP((TRUNC($AN285/2,0)+0.99),'Tax scales - NAT 3539'!$A$43:$C$69,2,1)-VLOOKUP((TRUNC($AN285/2,0)+0.99),'Tax scales - NAT 3539'!$A$43:$C$69,3,1)),0)
*2,
0),
IF(AND($E$2="Monthly",ROUND($AN285-TRUNC($AN285),2)=0.33),
ROUND(
ROUND(((TRUNC(($AN285+0.01)*3/13,0)+0.99)*VLOOKUP((TRUNC(($AN285+0.01)*3/13,0)+0.99),'Tax scales - NAT 3539'!$A$43:$C$69,2,1)-VLOOKUP((TRUNC(($AN285+0.01)*3/13,0)+0.99),'Tax scales - NAT 3539'!$A$43:$C$69,3,1)),0)
*13/3,
0),
IF($E$2="Monthly",
ROUND(
ROUND(((TRUNC($AN285*3/13,0)+0.99)*VLOOKUP((TRUNC($AN285*3/13,0)+0.99),'Tax scales - NAT 3539'!$A$43:$C$69,2,1)-VLOOKUP((TRUNC($AN285*3/13,0)+0.99),'Tax scales - NAT 3539'!$A$43:$C$69,3,1)),0)
*13/3,
0),
""))),
""),
"")</f>
        <v/>
      </c>
      <c r="AW285" s="118" t="str">
        <f>IFERROR(
IF(VLOOKUP($C285,'Employee information'!$B:$M,COLUMNS('Employee information'!$B:$M),0)=33,
IF($E$2="Fortnightly",
ROUND(
ROUND((((TRUNC($AN285/2,0)+0.99))*VLOOKUP((TRUNC($AN285/2,0)+0.99),'Tax scales - NAT 3539'!$A$74:$C$94,2,1)-VLOOKUP((TRUNC($AN285/2,0)+0.99),'Tax scales - NAT 3539'!$A$74:$C$94,3,1)),0)
*2,
0),
IF(AND($E$2="Monthly",ROUND($AN285-TRUNC($AN285),2)=0.33),
ROUND(
ROUND(((TRUNC(($AN285+0.01)*3/13,0)+0.99)*VLOOKUP((TRUNC(($AN285+0.01)*3/13,0)+0.99),'Tax scales - NAT 3539'!$A$74:$C$94,2,1)-VLOOKUP((TRUNC(($AN285+0.01)*3/13,0)+0.99),'Tax scales - NAT 3539'!$A$74:$C$94,3,1)),0)
*13/3,
0),
IF($E$2="Monthly",
ROUND(
ROUND(((TRUNC($AN285*3/13,0)+0.99)*VLOOKUP((TRUNC($AN285*3/13,0)+0.99),'Tax scales - NAT 3539'!$A$74:$C$94,2,1)-VLOOKUP((TRUNC($AN285*3/13,0)+0.99),'Tax scales - NAT 3539'!$A$74:$C$94,3,1)),0)
*13/3,
0),
""))),
""),
"")</f>
        <v/>
      </c>
      <c r="AX285" s="118" t="str">
        <f>IFERROR(
IF(VLOOKUP($C285,'Employee information'!$B:$M,COLUMNS('Employee information'!$B:$M),0)=55,
IF($E$2="Fortnightly",
ROUND(
ROUND((((TRUNC($AN285/2,0)+0.99))*VLOOKUP((TRUNC($AN285/2,0)+0.99),'Tax scales - NAT 3539'!$A$99:$C$123,2,1)-VLOOKUP((TRUNC($AN285/2,0)+0.99),'Tax scales - NAT 3539'!$A$99:$C$123,3,1)),0)
*2,
0),
IF(AND($E$2="Monthly",ROUND($AN285-TRUNC($AN285),2)=0.33),
ROUND(
ROUND(((TRUNC(($AN285+0.01)*3/13,0)+0.99)*VLOOKUP((TRUNC(($AN285+0.01)*3/13,0)+0.99),'Tax scales - NAT 3539'!$A$99:$C$123,2,1)-VLOOKUP((TRUNC(($AN285+0.01)*3/13,0)+0.99),'Tax scales - NAT 3539'!$A$99:$C$123,3,1)),0)
*13/3,
0),
IF($E$2="Monthly",
ROUND(
ROUND(((TRUNC($AN285*3/13,0)+0.99)*VLOOKUP((TRUNC($AN285*3/13,0)+0.99),'Tax scales - NAT 3539'!$A$99:$C$123,2,1)-VLOOKUP((TRUNC($AN285*3/13,0)+0.99),'Tax scales - NAT 3539'!$A$99:$C$123,3,1)),0)
*13/3,
0),
""))),
""),
"")</f>
        <v/>
      </c>
      <c r="AY285" s="118" t="str">
        <f>IFERROR(
IF(VLOOKUP($C285,'Employee information'!$B:$M,COLUMNS('Employee information'!$B:$M),0)=66,
IF($E$2="Fortnightly",
ROUND(
ROUND((((TRUNC($AN285/2,0)+0.99))*VLOOKUP((TRUNC($AN285/2,0)+0.99),'Tax scales - NAT 3539'!$A$127:$C$154,2,1)-VLOOKUP((TRUNC($AN285/2,0)+0.99),'Tax scales - NAT 3539'!$A$127:$C$154,3,1)),0)
*2,
0),
IF(AND($E$2="Monthly",ROUND($AN285-TRUNC($AN285),2)=0.33),
ROUND(
ROUND(((TRUNC(($AN285+0.01)*3/13,0)+0.99)*VLOOKUP((TRUNC(($AN285+0.01)*3/13,0)+0.99),'Tax scales - NAT 3539'!$A$127:$C$154,2,1)-VLOOKUP((TRUNC(($AN285+0.01)*3/13,0)+0.99),'Tax scales - NAT 3539'!$A$127:$C$154,3,1)),0)
*13/3,
0),
IF($E$2="Monthly",
ROUND(
ROUND(((TRUNC($AN285*3/13,0)+0.99)*VLOOKUP((TRUNC($AN285*3/13,0)+0.99),'Tax scales - NAT 3539'!$A$127:$C$154,2,1)-VLOOKUP((TRUNC($AN285*3/13,0)+0.99),'Tax scales - NAT 3539'!$A$127:$C$154,3,1)),0)
*13/3,
0),
""))),
""),
"")</f>
        <v/>
      </c>
      <c r="AZ285" s="118">
        <f>IFERROR(
HLOOKUP(VLOOKUP($C285,'Employee information'!$B:$M,COLUMNS('Employee information'!$B:$M),0),'PAYG worksheet'!$AO$271:$AY$290,COUNTA($C$272:$C285)+1,0),
0)</f>
        <v>0</v>
      </c>
      <c r="BA285" s="118"/>
      <c r="BB285" s="118">
        <f t="shared" si="294"/>
        <v>0</v>
      </c>
      <c r="BC285" s="119">
        <f>IFERROR(
IF(OR($AE285=1,$AE285=""),SUM($P285,$AA285,$AC285,$AK285)*VLOOKUP($C285,'Employee information'!$B:$Q,COLUMNS('Employee information'!$B:$H),0),
IF($AE285=0,SUM($P285,$AA285,$AK285)*VLOOKUP($C285,'Employee information'!$B:$Q,COLUMNS('Employee information'!$B:$H),0),
0)),
0)</f>
        <v>0</v>
      </c>
      <c r="BE285" s="114">
        <f t="shared" si="279"/>
        <v>0</v>
      </c>
      <c r="BF285" s="114">
        <f t="shared" si="280"/>
        <v>0</v>
      </c>
      <c r="BG285" s="114">
        <f t="shared" si="281"/>
        <v>0</v>
      </c>
      <c r="BH285" s="114">
        <f t="shared" si="282"/>
        <v>0</v>
      </c>
      <c r="BI285" s="114">
        <f t="shared" si="283"/>
        <v>0</v>
      </c>
      <c r="BJ285" s="114">
        <f t="shared" si="284"/>
        <v>0</v>
      </c>
      <c r="BK285" s="114">
        <f t="shared" si="285"/>
        <v>0</v>
      </c>
      <c r="BL285" s="114">
        <f t="shared" si="295"/>
        <v>0</v>
      </c>
      <c r="BM285" s="114">
        <f t="shared" si="286"/>
        <v>0</v>
      </c>
    </row>
    <row r="286" spans="1:65" x14ac:dyDescent="0.25">
      <c r="A286" s="228">
        <f t="shared" si="274"/>
        <v>10</v>
      </c>
      <c r="C286" s="278"/>
      <c r="E286" s="103">
        <f>IF($C286="",0,
IF(AND($E$2="Monthly",$A286&gt;12),0,
IF($E$2="Monthly",VLOOKUP($C286,'Employee information'!$B:$AM,COLUMNS('Employee information'!$B:S),0),
IF($E$2="Fortnightly",VLOOKUP($C286,'Employee information'!$B:$AM,COLUMNS('Employee information'!$B:R),0),
0))))</f>
        <v>0</v>
      </c>
      <c r="F286" s="106"/>
      <c r="G286" s="106"/>
      <c r="H286" s="106"/>
      <c r="I286" s="106"/>
      <c r="J286" s="103">
        <f t="shared" si="287"/>
        <v>0</v>
      </c>
      <c r="L286" s="113">
        <f>IF(AND($E$2="Monthly",$A286&gt;12),"",
IFERROR($J286*VLOOKUP($C286,'Employee information'!$B:$AI,COLUMNS('Employee information'!$B:$P),0),0))</f>
        <v>0</v>
      </c>
      <c r="M286" s="114">
        <f t="shared" si="288"/>
        <v>0</v>
      </c>
      <c r="O286" s="103">
        <f t="shared" si="289"/>
        <v>0</v>
      </c>
      <c r="P286" s="113">
        <f>IFERROR(
IF(AND($E$2="Monthly",$A286&gt;12),0,
$O286*VLOOKUP($C286,'Employee information'!$B:$AI,COLUMNS('Employee information'!$B:$P),0)),
0)</f>
        <v>0</v>
      </c>
      <c r="R286" s="114">
        <f t="shared" si="275"/>
        <v>0</v>
      </c>
      <c r="T286" s="103"/>
      <c r="U286" s="103"/>
      <c r="V286" s="282" t="str">
        <f>IF($C286="","",
IF(AND($E$2="Monthly",$A286&gt;12),"",
$T286*VLOOKUP($C286,'Employee information'!$B:$P,COLUMNS('Employee information'!$B:$P),0)))</f>
        <v/>
      </c>
      <c r="W286" s="282" t="str">
        <f>IF($C286="","",
IF(AND($E$2="Monthly",$A286&gt;12),"",
$U286*VLOOKUP($C286,'Employee information'!$B:$P,COLUMNS('Employee information'!$B:$P),0)))</f>
        <v/>
      </c>
      <c r="X286" s="114">
        <f t="shared" si="276"/>
        <v>0</v>
      </c>
      <c r="Y286" s="114">
        <f t="shared" si="277"/>
        <v>0</v>
      </c>
      <c r="AA286" s="118">
        <f>IFERROR(
IF(OR('Basic payroll data'!$D$12="",'Basic payroll data'!$D$12="No"),0,
$T286*VLOOKUP($C286,'Employee information'!$B:$P,COLUMNS('Employee information'!$B:$P),0)*AL_loading_perc),
0)</f>
        <v>0</v>
      </c>
      <c r="AC286" s="118"/>
      <c r="AD286" s="118"/>
      <c r="AE286" s="283" t="str">
        <f t="shared" si="290"/>
        <v/>
      </c>
      <c r="AF286" s="283" t="str">
        <f t="shared" si="291"/>
        <v/>
      </c>
      <c r="AG286" s="118"/>
      <c r="AH286" s="118"/>
      <c r="AI286" s="283" t="str">
        <f t="shared" si="292"/>
        <v/>
      </c>
      <c r="AJ286" s="118"/>
      <c r="AK286" s="118"/>
      <c r="AM286" s="118">
        <f t="shared" si="293"/>
        <v>0</v>
      </c>
      <c r="AN286" s="118">
        <f t="shared" si="278"/>
        <v>0</v>
      </c>
      <c r="AO286" s="118" t="str">
        <f>IFERROR(
IF(VLOOKUP($C286,'Employee information'!$B:$M,COLUMNS('Employee information'!$B:$M),0)=1,
IF($E$2="Fortnightly",
ROUND(
ROUND((((TRUNC($AN286/2,0)+0.99))*VLOOKUP((TRUNC($AN286/2,0)+0.99),'Tax scales - NAT 1004'!$A$12:$C$18,2,1)-VLOOKUP((TRUNC($AN286/2,0)+0.99),'Tax scales - NAT 1004'!$A$12:$C$18,3,1)),0)
*2,
0),
IF(AND($E$2="Monthly",ROUND($AN286-TRUNC($AN286),2)=0.33),
ROUND(
ROUND(((TRUNC(($AN286+0.01)*3/13,0)+0.99)*VLOOKUP((TRUNC(($AN286+0.01)*3/13,0)+0.99),'Tax scales - NAT 1004'!$A$12:$C$18,2,1)-VLOOKUP((TRUNC(($AN286+0.01)*3/13,0)+0.99),'Tax scales - NAT 1004'!$A$12:$C$18,3,1)),0)
*13/3,
0),
IF($E$2="Monthly",
ROUND(
ROUND(((TRUNC($AN286*3/13,0)+0.99)*VLOOKUP((TRUNC($AN286*3/13,0)+0.99),'Tax scales - NAT 1004'!$A$12:$C$18,2,1)-VLOOKUP((TRUNC($AN286*3/13,0)+0.99),'Tax scales - NAT 1004'!$A$12:$C$18,3,1)),0)
*13/3,
0),
""))),
""),
"")</f>
        <v/>
      </c>
      <c r="AP286" s="118" t="str">
        <f>IFERROR(
IF(VLOOKUP($C286,'Employee information'!$B:$M,COLUMNS('Employee information'!$B:$M),0)=2,
IF($E$2="Fortnightly",
ROUND(
ROUND((((TRUNC($AN286/2,0)+0.99))*VLOOKUP((TRUNC($AN286/2,0)+0.99),'Tax scales - NAT 1004'!$A$25:$C$33,2,1)-VLOOKUP((TRUNC($AN286/2,0)+0.99),'Tax scales - NAT 1004'!$A$25:$C$33,3,1)),0)
*2,
0),
IF(AND($E$2="Monthly",ROUND($AN286-TRUNC($AN286),2)=0.33),
ROUND(
ROUND(((TRUNC(($AN286+0.01)*3/13,0)+0.99)*VLOOKUP((TRUNC(($AN286+0.01)*3/13,0)+0.99),'Tax scales - NAT 1004'!$A$25:$C$33,2,1)-VLOOKUP((TRUNC(($AN286+0.01)*3/13,0)+0.99),'Tax scales - NAT 1004'!$A$25:$C$33,3,1)),0)
*13/3,
0),
IF($E$2="Monthly",
ROUND(
ROUND(((TRUNC($AN286*3/13,0)+0.99)*VLOOKUP((TRUNC($AN286*3/13,0)+0.99),'Tax scales - NAT 1004'!$A$25:$C$33,2,1)-VLOOKUP((TRUNC($AN286*3/13,0)+0.99),'Tax scales - NAT 1004'!$A$25:$C$33,3,1)),0)
*13/3,
0),
""))),
""),
"")</f>
        <v/>
      </c>
      <c r="AQ286" s="118" t="str">
        <f>IFERROR(
IF(VLOOKUP($C286,'Employee information'!$B:$M,COLUMNS('Employee information'!$B:$M),0)=3,
IF($E$2="Fortnightly",
ROUND(
ROUND((((TRUNC($AN286/2,0)+0.99))*VLOOKUP((TRUNC($AN286/2,0)+0.99),'Tax scales - NAT 1004'!$A$39:$C$41,2,1)-VLOOKUP((TRUNC($AN286/2,0)+0.99),'Tax scales - NAT 1004'!$A$39:$C$41,3,1)),0)
*2,
0),
IF(AND($E$2="Monthly",ROUND($AN286-TRUNC($AN286),2)=0.33),
ROUND(
ROUND(((TRUNC(($AN286+0.01)*3/13,0)+0.99)*VLOOKUP((TRUNC(($AN286+0.01)*3/13,0)+0.99),'Tax scales - NAT 1004'!$A$39:$C$41,2,1)-VLOOKUP((TRUNC(($AN286+0.01)*3/13,0)+0.99),'Tax scales - NAT 1004'!$A$39:$C$41,3,1)),0)
*13/3,
0),
IF($E$2="Monthly",
ROUND(
ROUND(((TRUNC($AN286*3/13,0)+0.99)*VLOOKUP((TRUNC($AN286*3/13,0)+0.99),'Tax scales - NAT 1004'!$A$39:$C$41,2,1)-VLOOKUP((TRUNC($AN286*3/13,0)+0.99),'Tax scales - NAT 1004'!$A$39:$C$41,3,1)),0)
*13/3,
0),
""))),
""),
"")</f>
        <v/>
      </c>
      <c r="AR286" s="118" t="str">
        <f>IFERROR(
IF(AND(VLOOKUP($C286,'Employee information'!$B:$M,COLUMNS('Employee information'!$B:$M),0)=4,
VLOOKUP($C286,'Employee information'!$B:$J,COLUMNS('Employee information'!$B:$J),0)="Resident"),
TRUNC(TRUNC($AN286)*'Tax scales - NAT 1004'!$B$47),
IF(AND(VLOOKUP($C286,'Employee information'!$B:$M,COLUMNS('Employee information'!$B:$M),0)=4,
VLOOKUP($C286,'Employee information'!$B:$J,COLUMNS('Employee information'!$B:$J),0)="Foreign resident"),
TRUNC(TRUNC($AN286)*'Tax scales - NAT 1004'!$B$48),
"")),
"")</f>
        <v/>
      </c>
      <c r="AS286" s="118" t="str">
        <f>IFERROR(
IF(VLOOKUP($C286,'Employee information'!$B:$M,COLUMNS('Employee information'!$B:$M),0)=5,
IF($E$2="Fortnightly",
ROUND(
ROUND((((TRUNC($AN286/2,0)+0.99))*VLOOKUP((TRUNC($AN286/2,0)+0.99),'Tax scales - NAT 1004'!$A$53:$C$59,2,1)-VLOOKUP((TRUNC($AN286/2,0)+0.99),'Tax scales - NAT 1004'!$A$53:$C$59,3,1)),0)
*2,
0),
IF(AND($E$2="Monthly",ROUND($AN286-TRUNC($AN286),2)=0.33),
ROUND(
ROUND(((TRUNC(($AN286+0.01)*3/13,0)+0.99)*VLOOKUP((TRUNC(($AN286+0.01)*3/13,0)+0.99),'Tax scales - NAT 1004'!$A$53:$C$59,2,1)-VLOOKUP((TRUNC(($AN286+0.01)*3/13,0)+0.99),'Tax scales - NAT 1004'!$A$53:$C$59,3,1)),0)
*13/3,
0),
IF($E$2="Monthly",
ROUND(
ROUND(((TRUNC($AN286*3/13,0)+0.99)*VLOOKUP((TRUNC($AN286*3/13,0)+0.99),'Tax scales - NAT 1004'!$A$53:$C$59,2,1)-VLOOKUP((TRUNC($AN286*3/13,0)+0.99),'Tax scales - NAT 1004'!$A$53:$C$59,3,1)),0)
*13/3,
0),
""))),
""),
"")</f>
        <v/>
      </c>
      <c r="AT286" s="118" t="str">
        <f>IFERROR(
IF(VLOOKUP($C286,'Employee information'!$B:$M,COLUMNS('Employee information'!$B:$M),0)=6,
IF($E$2="Fortnightly",
ROUND(
ROUND((((TRUNC($AN286/2,0)+0.99))*VLOOKUP((TRUNC($AN286/2,0)+0.99),'Tax scales - NAT 1004'!$A$65:$C$73,2,1)-VLOOKUP((TRUNC($AN286/2,0)+0.99),'Tax scales - NAT 1004'!$A$65:$C$73,3,1)),0)
*2,
0),
IF(AND($E$2="Monthly",ROUND($AN286-TRUNC($AN286),2)=0.33),
ROUND(
ROUND(((TRUNC(($AN286+0.01)*3/13,0)+0.99)*VLOOKUP((TRUNC(($AN286+0.01)*3/13,0)+0.99),'Tax scales - NAT 1004'!$A$65:$C$73,2,1)-VLOOKUP((TRUNC(($AN286+0.01)*3/13,0)+0.99),'Tax scales - NAT 1004'!$A$65:$C$73,3,1)),0)
*13/3,
0),
IF($E$2="Monthly",
ROUND(
ROUND(((TRUNC($AN286*3/13,0)+0.99)*VLOOKUP((TRUNC($AN286*3/13,0)+0.99),'Tax scales - NAT 1004'!$A$65:$C$73,2,1)-VLOOKUP((TRUNC($AN286*3/13,0)+0.99),'Tax scales - NAT 1004'!$A$65:$C$73,3,1)),0)
*13/3,
0),
""))),
""),
"")</f>
        <v/>
      </c>
      <c r="AU286" s="118" t="str">
        <f>IFERROR(
IF(VLOOKUP($C286,'Employee information'!$B:$M,COLUMNS('Employee information'!$B:$M),0)=11,
IF($E$2="Fortnightly",
ROUND(
ROUND((((TRUNC($AN286/2,0)+0.99))*VLOOKUP((TRUNC($AN286/2,0)+0.99),'Tax scales - NAT 3539'!$A$14:$C$38,2,1)-VLOOKUP((TRUNC($AN286/2,0)+0.99),'Tax scales - NAT 3539'!$A$14:$C$38,3,1)),0)
*2,
0),
IF(AND($E$2="Monthly",ROUND($AN286-TRUNC($AN286),2)=0.33),
ROUND(
ROUND(((TRUNC(($AN286+0.01)*3/13,0)+0.99)*VLOOKUP((TRUNC(($AN286+0.01)*3/13,0)+0.99),'Tax scales - NAT 3539'!$A$14:$C$38,2,1)-VLOOKUP((TRUNC(($AN286+0.01)*3/13,0)+0.99),'Tax scales - NAT 3539'!$A$14:$C$38,3,1)),0)
*13/3,
0),
IF($E$2="Monthly",
ROUND(
ROUND(((TRUNC($AN286*3/13,0)+0.99)*VLOOKUP((TRUNC($AN286*3/13,0)+0.99),'Tax scales - NAT 3539'!$A$14:$C$38,2,1)-VLOOKUP((TRUNC($AN286*3/13,0)+0.99),'Tax scales - NAT 3539'!$A$14:$C$38,3,1)),0)
*13/3,
0),
""))),
""),
"")</f>
        <v/>
      </c>
      <c r="AV286" s="118" t="str">
        <f>IFERROR(
IF(VLOOKUP($C286,'Employee information'!$B:$M,COLUMNS('Employee information'!$B:$M),0)=22,
IF($E$2="Fortnightly",
ROUND(
ROUND((((TRUNC($AN286/2,0)+0.99))*VLOOKUP((TRUNC($AN286/2,0)+0.99),'Tax scales - NAT 3539'!$A$43:$C$69,2,1)-VLOOKUP((TRUNC($AN286/2,0)+0.99),'Tax scales - NAT 3539'!$A$43:$C$69,3,1)),0)
*2,
0),
IF(AND($E$2="Monthly",ROUND($AN286-TRUNC($AN286),2)=0.33),
ROUND(
ROUND(((TRUNC(($AN286+0.01)*3/13,0)+0.99)*VLOOKUP((TRUNC(($AN286+0.01)*3/13,0)+0.99),'Tax scales - NAT 3539'!$A$43:$C$69,2,1)-VLOOKUP((TRUNC(($AN286+0.01)*3/13,0)+0.99),'Tax scales - NAT 3539'!$A$43:$C$69,3,1)),0)
*13/3,
0),
IF($E$2="Monthly",
ROUND(
ROUND(((TRUNC($AN286*3/13,0)+0.99)*VLOOKUP((TRUNC($AN286*3/13,0)+0.99),'Tax scales - NAT 3539'!$A$43:$C$69,2,1)-VLOOKUP((TRUNC($AN286*3/13,0)+0.99),'Tax scales - NAT 3539'!$A$43:$C$69,3,1)),0)
*13/3,
0),
""))),
""),
"")</f>
        <v/>
      </c>
      <c r="AW286" s="118" t="str">
        <f>IFERROR(
IF(VLOOKUP($C286,'Employee information'!$B:$M,COLUMNS('Employee information'!$B:$M),0)=33,
IF($E$2="Fortnightly",
ROUND(
ROUND((((TRUNC($AN286/2,0)+0.99))*VLOOKUP((TRUNC($AN286/2,0)+0.99),'Tax scales - NAT 3539'!$A$74:$C$94,2,1)-VLOOKUP((TRUNC($AN286/2,0)+0.99),'Tax scales - NAT 3539'!$A$74:$C$94,3,1)),0)
*2,
0),
IF(AND($E$2="Monthly",ROUND($AN286-TRUNC($AN286),2)=0.33),
ROUND(
ROUND(((TRUNC(($AN286+0.01)*3/13,0)+0.99)*VLOOKUP((TRUNC(($AN286+0.01)*3/13,0)+0.99),'Tax scales - NAT 3539'!$A$74:$C$94,2,1)-VLOOKUP((TRUNC(($AN286+0.01)*3/13,0)+0.99),'Tax scales - NAT 3539'!$A$74:$C$94,3,1)),0)
*13/3,
0),
IF($E$2="Monthly",
ROUND(
ROUND(((TRUNC($AN286*3/13,0)+0.99)*VLOOKUP((TRUNC($AN286*3/13,0)+0.99),'Tax scales - NAT 3539'!$A$74:$C$94,2,1)-VLOOKUP((TRUNC($AN286*3/13,0)+0.99),'Tax scales - NAT 3539'!$A$74:$C$94,3,1)),0)
*13/3,
0),
""))),
""),
"")</f>
        <v/>
      </c>
      <c r="AX286" s="118" t="str">
        <f>IFERROR(
IF(VLOOKUP($C286,'Employee information'!$B:$M,COLUMNS('Employee information'!$B:$M),0)=55,
IF($E$2="Fortnightly",
ROUND(
ROUND((((TRUNC($AN286/2,0)+0.99))*VLOOKUP((TRUNC($AN286/2,0)+0.99),'Tax scales - NAT 3539'!$A$99:$C$123,2,1)-VLOOKUP((TRUNC($AN286/2,0)+0.99),'Tax scales - NAT 3539'!$A$99:$C$123,3,1)),0)
*2,
0),
IF(AND($E$2="Monthly",ROUND($AN286-TRUNC($AN286),2)=0.33),
ROUND(
ROUND(((TRUNC(($AN286+0.01)*3/13,0)+0.99)*VLOOKUP((TRUNC(($AN286+0.01)*3/13,0)+0.99),'Tax scales - NAT 3539'!$A$99:$C$123,2,1)-VLOOKUP((TRUNC(($AN286+0.01)*3/13,0)+0.99),'Tax scales - NAT 3539'!$A$99:$C$123,3,1)),0)
*13/3,
0),
IF($E$2="Monthly",
ROUND(
ROUND(((TRUNC($AN286*3/13,0)+0.99)*VLOOKUP((TRUNC($AN286*3/13,0)+0.99),'Tax scales - NAT 3539'!$A$99:$C$123,2,1)-VLOOKUP((TRUNC($AN286*3/13,0)+0.99),'Tax scales - NAT 3539'!$A$99:$C$123,3,1)),0)
*13/3,
0),
""))),
""),
"")</f>
        <v/>
      </c>
      <c r="AY286" s="118" t="str">
        <f>IFERROR(
IF(VLOOKUP($C286,'Employee information'!$B:$M,COLUMNS('Employee information'!$B:$M),0)=66,
IF($E$2="Fortnightly",
ROUND(
ROUND((((TRUNC($AN286/2,0)+0.99))*VLOOKUP((TRUNC($AN286/2,0)+0.99),'Tax scales - NAT 3539'!$A$127:$C$154,2,1)-VLOOKUP((TRUNC($AN286/2,0)+0.99),'Tax scales - NAT 3539'!$A$127:$C$154,3,1)),0)
*2,
0),
IF(AND($E$2="Monthly",ROUND($AN286-TRUNC($AN286),2)=0.33),
ROUND(
ROUND(((TRUNC(($AN286+0.01)*3/13,0)+0.99)*VLOOKUP((TRUNC(($AN286+0.01)*3/13,0)+0.99),'Tax scales - NAT 3539'!$A$127:$C$154,2,1)-VLOOKUP((TRUNC(($AN286+0.01)*3/13,0)+0.99),'Tax scales - NAT 3539'!$A$127:$C$154,3,1)),0)
*13/3,
0),
IF($E$2="Monthly",
ROUND(
ROUND(((TRUNC($AN286*3/13,0)+0.99)*VLOOKUP((TRUNC($AN286*3/13,0)+0.99),'Tax scales - NAT 3539'!$A$127:$C$154,2,1)-VLOOKUP((TRUNC($AN286*3/13,0)+0.99),'Tax scales - NAT 3539'!$A$127:$C$154,3,1)),0)
*13/3,
0),
""))),
""),
"")</f>
        <v/>
      </c>
      <c r="AZ286" s="118">
        <f>IFERROR(
HLOOKUP(VLOOKUP($C286,'Employee information'!$B:$M,COLUMNS('Employee information'!$B:$M),0),'PAYG worksheet'!$AO$271:$AY$290,COUNTA($C$272:$C286)+1,0),
0)</f>
        <v>0</v>
      </c>
      <c r="BA286" s="118"/>
      <c r="BB286" s="118">
        <f t="shared" si="294"/>
        <v>0</v>
      </c>
      <c r="BC286" s="119">
        <f>IFERROR(
IF(OR($AE286=1,$AE286=""),SUM($P286,$AA286,$AC286,$AK286)*VLOOKUP($C286,'Employee information'!$B:$Q,COLUMNS('Employee information'!$B:$H),0),
IF($AE286=0,SUM($P286,$AA286,$AK286)*VLOOKUP($C286,'Employee information'!$B:$Q,COLUMNS('Employee information'!$B:$H),0),
0)),
0)</f>
        <v>0</v>
      </c>
      <c r="BE286" s="114">
        <f t="shared" si="279"/>
        <v>0</v>
      </c>
      <c r="BF286" s="114">
        <f t="shared" si="280"/>
        <v>0</v>
      </c>
      <c r="BG286" s="114">
        <f t="shared" si="281"/>
        <v>0</v>
      </c>
      <c r="BH286" s="114">
        <f t="shared" si="282"/>
        <v>0</v>
      </c>
      <c r="BI286" s="114">
        <f t="shared" si="283"/>
        <v>0</v>
      </c>
      <c r="BJ286" s="114">
        <f t="shared" si="284"/>
        <v>0</v>
      </c>
      <c r="BK286" s="114">
        <f t="shared" si="285"/>
        <v>0</v>
      </c>
      <c r="BL286" s="114">
        <f t="shared" si="295"/>
        <v>0</v>
      </c>
      <c r="BM286" s="114">
        <f t="shared" si="286"/>
        <v>0</v>
      </c>
    </row>
    <row r="287" spans="1:65" x14ac:dyDescent="0.25">
      <c r="A287" s="228">
        <f t="shared" si="274"/>
        <v>10</v>
      </c>
      <c r="C287" s="278"/>
      <c r="E287" s="103">
        <f>IF($C287="",0,
IF(AND($E$2="Monthly",$A287&gt;12),0,
IF($E$2="Monthly",VLOOKUP($C287,'Employee information'!$B:$AM,COLUMNS('Employee information'!$B:S),0),
IF($E$2="Fortnightly",VLOOKUP($C287,'Employee information'!$B:$AM,COLUMNS('Employee information'!$B:R),0),
0))))</f>
        <v>0</v>
      </c>
      <c r="F287" s="106"/>
      <c r="G287" s="106"/>
      <c r="H287" s="106"/>
      <c r="I287" s="106"/>
      <c r="J287" s="103">
        <f t="shared" si="287"/>
        <v>0</v>
      </c>
      <c r="L287" s="113">
        <f>IF(AND($E$2="Monthly",$A287&gt;12),"",
IFERROR($J287*VLOOKUP($C287,'Employee information'!$B:$AI,COLUMNS('Employee information'!$B:$P),0),0))</f>
        <v>0</v>
      </c>
      <c r="M287" s="114">
        <f t="shared" si="288"/>
        <v>0</v>
      </c>
      <c r="O287" s="103">
        <f t="shared" si="289"/>
        <v>0</v>
      </c>
      <c r="P287" s="113">
        <f>IFERROR(
IF(AND($E$2="Monthly",$A287&gt;12),0,
$O287*VLOOKUP($C287,'Employee information'!$B:$AI,COLUMNS('Employee information'!$B:$P),0)),
0)</f>
        <v>0</v>
      </c>
      <c r="R287" s="114">
        <f t="shared" si="275"/>
        <v>0</v>
      </c>
      <c r="T287" s="103"/>
      <c r="U287" s="103"/>
      <c r="V287" s="282" t="str">
        <f>IF($C287="","",
IF(AND($E$2="Monthly",$A287&gt;12),"",
$T287*VLOOKUP($C287,'Employee information'!$B:$P,COLUMNS('Employee information'!$B:$P),0)))</f>
        <v/>
      </c>
      <c r="W287" s="282" t="str">
        <f>IF($C287="","",
IF(AND($E$2="Monthly",$A287&gt;12),"",
$U287*VLOOKUP($C287,'Employee information'!$B:$P,COLUMNS('Employee information'!$B:$P),0)))</f>
        <v/>
      </c>
      <c r="X287" s="114">
        <f t="shared" si="276"/>
        <v>0</v>
      </c>
      <c r="Y287" s="114">
        <f t="shared" si="277"/>
        <v>0</v>
      </c>
      <c r="AA287" s="118">
        <f>IFERROR(
IF(OR('Basic payroll data'!$D$12="",'Basic payroll data'!$D$12="No"),0,
$T287*VLOOKUP($C287,'Employee information'!$B:$P,COLUMNS('Employee information'!$B:$P),0)*AL_loading_perc),
0)</f>
        <v>0</v>
      </c>
      <c r="AC287" s="118"/>
      <c r="AD287" s="118"/>
      <c r="AE287" s="283" t="str">
        <f t="shared" si="290"/>
        <v/>
      </c>
      <c r="AF287" s="283" t="str">
        <f t="shared" si="291"/>
        <v/>
      </c>
      <c r="AG287" s="118"/>
      <c r="AH287" s="118"/>
      <c r="AI287" s="283" t="str">
        <f t="shared" si="292"/>
        <v/>
      </c>
      <c r="AJ287" s="118"/>
      <c r="AK287" s="118"/>
      <c r="AM287" s="118">
        <f t="shared" si="293"/>
        <v>0</v>
      </c>
      <c r="AN287" s="118">
        <f t="shared" si="278"/>
        <v>0</v>
      </c>
      <c r="AO287" s="118" t="str">
        <f>IFERROR(
IF(VLOOKUP($C287,'Employee information'!$B:$M,COLUMNS('Employee information'!$B:$M),0)=1,
IF($E$2="Fortnightly",
ROUND(
ROUND((((TRUNC($AN287/2,0)+0.99))*VLOOKUP((TRUNC($AN287/2,0)+0.99),'Tax scales - NAT 1004'!$A$12:$C$18,2,1)-VLOOKUP((TRUNC($AN287/2,0)+0.99),'Tax scales - NAT 1004'!$A$12:$C$18,3,1)),0)
*2,
0),
IF(AND($E$2="Monthly",ROUND($AN287-TRUNC($AN287),2)=0.33),
ROUND(
ROUND(((TRUNC(($AN287+0.01)*3/13,0)+0.99)*VLOOKUP((TRUNC(($AN287+0.01)*3/13,0)+0.99),'Tax scales - NAT 1004'!$A$12:$C$18,2,1)-VLOOKUP((TRUNC(($AN287+0.01)*3/13,0)+0.99),'Tax scales - NAT 1004'!$A$12:$C$18,3,1)),0)
*13/3,
0),
IF($E$2="Monthly",
ROUND(
ROUND(((TRUNC($AN287*3/13,0)+0.99)*VLOOKUP((TRUNC($AN287*3/13,0)+0.99),'Tax scales - NAT 1004'!$A$12:$C$18,2,1)-VLOOKUP((TRUNC($AN287*3/13,0)+0.99),'Tax scales - NAT 1004'!$A$12:$C$18,3,1)),0)
*13/3,
0),
""))),
""),
"")</f>
        <v/>
      </c>
      <c r="AP287" s="118" t="str">
        <f>IFERROR(
IF(VLOOKUP($C287,'Employee information'!$B:$M,COLUMNS('Employee information'!$B:$M),0)=2,
IF($E$2="Fortnightly",
ROUND(
ROUND((((TRUNC($AN287/2,0)+0.99))*VLOOKUP((TRUNC($AN287/2,0)+0.99),'Tax scales - NAT 1004'!$A$25:$C$33,2,1)-VLOOKUP((TRUNC($AN287/2,0)+0.99),'Tax scales - NAT 1004'!$A$25:$C$33,3,1)),0)
*2,
0),
IF(AND($E$2="Monthly",ROUND($AN287-TRUNC($AN287),2)=0.33),
ROUND(
ROUND(((TRUNC(($AN287+0.01)*3/13,0)+0.99)*VLOOKUP((TRUNC(($AN287+0.01)*3/13,0)+0.99),'Tax scales - NAT 1004'!$A$25:$C$33,2,1)-VLOOKUP((TRUNC(($AN287+0.01)*3/13,0)+0.99),'Tax scales - NAT 1004'!$A$25:$C$33,3,1)),0)
*13/3,
0),
IF($E$2="Monthly",
ROUND(
ROUND(((TRUNC($AN287*3/13,0)+0.99)*VLOOKUP((TRUNC($AN287*3/13,0)+0.99),'Tax scales - NAT 1004'!$A$25:$C$33,2,1)-VLOOKUP((TRUNC($AN287*3/13,0)+0.99),'Tax scales - NAT 1004'!$A$25:$C$33,3,1)),0)
*13/3,
0),
""))),
""),
"")</f>
        <v/>
      </c>
      <c r="AQ287" s="118" t="str">
        <f>IFERROR(
IF(VLOOKUP($C287,'Employee information'!$B:$M,COLUMNS('Employee information'!$B:$M),0)=3,
IF($E$2="Fortnightly",
ROUND(
ROUND((((TRUNC($AN287/2,0)+0.99))*VLOOKUP((TRUNC($AN287/2,0)+0.99),'Tax scales - NAT 1004'!$A$39:$C$41,2,1)-VLOOKUP((TRUNC($AN287/2,0)+0.99),'Tax scales - NAT 1004'!$A$39:$C$41,3,1)),0)
*2,
0),
IF(AND($E$2="Monthly",ROUND($AN287-TRUNC($AN287),2)=0.33),
ROUND(
ROUND(((TRUNC(($AN287+0.01)*3/13,0)+0.99)*VLOOKUP((TRUNC(($AN287+0.01)*3/13,0)+0.99),'Tax scales - NAT 1004'!$A$39:$C$41,2,1)-VLOOKUP((TRUNC(($AN287+0.01)*3/13,0)+0.99),'Tax scales - NAT 1004'!$A$39:$C$41,3,1)),0)
*13/3,
0),
IF($E$2="Monthly",
ROUND(
ROUND(((TRUNC($AN287*3/13,0)+0.99)*VLOOKUP((TRUNC($AN287*3/13,0)+0.99),'Tax scales - NAT 1004'!$A$39:$C$41,2,1)-VLOOKUP((TRUNC($AN287*3/13,0)+0.99),'Tax scales - NAT 1004'!$A$39:$C$41,3,1)),0)
*13/3,
0),
""))),
""),
"")</f>
        <v/>
      </c>
      <c r="AR287" s="118" t="str">
        <f>IFERROR(
IF(AND(VLOOKUP($C287,'Employee information'!$B:$M,COLUMNS('Employee information'!$B:$M),0)=4,
VLOOKUP($C287,'Employee information'!$B:$J,COLUMNS('Employee information'!$B:$J),0)="Resident"),
TRUNC(TRUNC($AN287)*'Tax scales - NAT 1004'!$B$47),
IF(AND(VLOOKUP($C287,'Employee information'!$B:$M,COLUMNS('Employee information'!$B:$M),0)=4,
VLOOKUP($C287,'Employee information'!$B:$J,COLUMNS('Employee information'!$B:$J),0)="Foreign resident"),
TRUNC(TRUNC($AN287)*'Tax scales - NAT 1004'!$B$48),
"")),
"")</f>
        <v/>
      </c>
      <c r="AS287" s="118" t="str">
        <f>IFERROR(
IF(VLOOKUP($C287,'Employee information'!$B:$M,COLUMNS('Employee information'!$B:$M),0)=5,
IF($E$2="Fortnightly",
ROUND(
ROUND((((TRUNC($AN287/2,0)+0.99))*VLOOKUP((TRUNC($AN287/2,0)+0.99),'Tax scales - NAT 1004'!$A$53:$C$59,2,1)-VLOOKUP((TRUNC($AN287/2,0)+0.99),'Tax scales - NAT 1004'!$A$53:$C$59,3,1)),0)
*2,
0),
IF(AND($E$2="Monthly",ROUND($AN287-TRUNC($AN287),2)=0.33),
ROUND(
ROUND(((TRUNC(($AN287+0.01)*3/13,0)+0.99)*VLOOKUP((TRUNC(($AN287+0.01)*3/13,0)+0.99),'Tax scales - NAT 1004'!$A$53:$C$59,2,1)-VLOOKUP((TRUNC(($AN287+0.01)*3/13,0)+0.99),'Tax scales - NAT 1004'!$A$53:$C$59,3,1)),0)
*13/3,
0),
IF($E$2="Monthly",
ROUND(
ROUND(((TRUNC($AN287*3/13,0)+0.99)*VLOOKUP((TRUNC($AN287*3/13,0)+0.99),'Tax scales - NAT 1004'!$A$53:$C$59,2,1)-VLOOKUP((TRUNC($AN287*3/13,0)+0.99),'Tax scales - NAT 1004'!$A$53:$C$59,3,1)),0)
*13/3,
0),
""))),
""),
"")</f>
        <v/>
      </c>
      <c r="AT287" s="118" t="str">
        <f>IFERROR(
IF(VLOOKUP($C287,'Employee information'!$B:$M,COLUMNS('Employee information'!$B:$M),0)=6,
IF($E$2="Fortnightly",
ROUND(
ROUND((((TRUNC($AN287/2,0)+0.99))*VLOOKUP((TRUNC($AN287/2,0)+0.99),'Tax scales - NAT 1004'!$A$65:$C$73,2,1)-VLOOKUP((TRUNC($AN287/2,0)+0.99),'Tax scales - NAT 1004'!$A$65:$C$73,3,1)),0)
*2,
0),
IF(AND($E$2="Monthly",ROUND($AN287-TRUNC($AN287),2)=0.33),
ROUND(
ROUND(((TRUNC(($AN287+0.01)*3/13,0)+0.99)*VLOOKUP((TRUNC(($AN287+0.01)*3/13,0)+0.99),'Tax scales - NAT 1004'!$A$65:$C$73,2,1)-VLOOKUP((TRUNC(($AN287+0.01)*3/13,0)+0.99),'Tax scales - NAT 1004'!$A$65:$C$73,3,1)),0)
*13/3,
0),
IF($E$2="Monthly",
ROUND(
ROUND(((TRUNC($AN287*3/13,0)+0.99)*VLOOKUP((TRUNC($AN287*3/13,0)+0.99),'Tax scales - NAT 1004'!$A$65:$C$73,2,1)-VLOOKUP((TRUNC($AN287*3/13,0)+0.99),'Tax scales - NAT 1004'!$A$65:$C$73,3,1)),0)
*13/3,
0),
""))),
""),
"")</f>
        <v/>
      </c>
      <c r="AU287" s="118" t="str">
        <f>IFERROR(
IF(VLOOKUP($C287,'Employee information'!$B:$M,COLUMNS('Employee information'!$B:$M),0)=11,
IF($E$2="Fortnightly",
ROUND(
ROUND((((TRUNC($AN287/2,0)+0.99))*VLOOKUP((TRUNC($AN287/2,0)+0.99),'Tax scales - NAT 3539'!$A$14:$C$38,2,1)-VLOOKUP((TRUNC($AN287/2,0)+0.99),'Tax scales - NAT 3539'!$A$14:$C$38,3,1)),0)
*2,
0),
IF(AND($E$2="Monthly",ROUND($AN287-TRUNC($AN287),2)=0.33),
ROUND(
ROUND(((TRUNC(($AN287+0.01)*3/13,0)+0.99)*VLOOKUP((TRUNC(($AN287+0.01)*3/13,0)+0.99),'Tax scales - NAT 3539'!$A$14:$C$38,2,1)-VLOOKUP((TRUNC(($AN287+0.01)*3/13,0)+0.99),'Tax scales - NAT 3539'!$A$14:$C$38,3,1)),0)
*13/3,
0),
IF($E$2="Monthly",
ROUND(
ROUND(((TRUNC($AN287*3/13,0)+0.99)*VLOOKUP((TRUNC($AN287*3/13,0)+0.99),'Tax scales - NAT 3539'!$A$14:$C$38,2,1)-VLOOKUP((TRUNC($AN287*3/13,0)+0.99),'Tax scales - NAT 3539'!$A$14:$C$38,3,1)),0)
*13/3,
0),
""))),
""),
"")</f>
        <v/>
      </c>
      <c r="AV287" s="118" t="str">
        <f>IFERROR(
IF(VLOOKUP($C287,'Employee information'!$B:$M,COLUMNS('Employee information'!$B:$M),0)=22,
IF($E$2="Fortnightly",
ROUND(
ROUND((((TRUNC($AN287/2,0)+0.99))*VLOOKUP((TRUNC($AN287/2,0)+0.99),'Tax scales - NAT 3539'!$A$43:$C$69,2,1)-VLOOKUP((TRUNC($AN287/2,0)+0.99),'Tax scales - NAT 3539'!$A$43:$C$69,3,1)),0)
*2,
0),
IF(AND($E$2="Monthly",ROUND($AN287-TRUNC($AN287),2)=0.33),
ROUND(
ROUND(((TRUNC(($AN287+0.01)*3/13,0)+0.99)*VLOOKUP((TRUNC(($AN287+0.01)*3/13,0)+0.99),'Tax scales - NAT 3539'!$A$43:$C$69,2,1)-VLOOKUP((TRUNC(($AN287+0.01)*3/13,0)+0.99),'Tax scales - NAT 3539'!$A$43:$C$69,3,1)),0)
*13/3,
0),
IF($E$2="Monthly",
ROUND(
ROUND(((TRUNC($AN287*3/13,0)+0.99)*VLOOKUP((TRUNC($AN287*3/13,0)+0.99),'Tax scales - NAT 3539'!$A$43:$C$69,2,1)-VLOOKUP((TRUNC($AN287*3/13,0)+0.99),'Tax scales - NAT 3539'!$A$43:$C$69,3,1)),0)
*13/3,
0),
""))),
""),
"")</f>
        <v/>
      </c>
      <c r="AW287" s="118" t="str">
        <f>IFERROR(
IF(VLOOKUP($C287,'Employee information'!$B:$M,COLUMNS('Employee information'!$B:$M),0)=33,
IF($E$2="Fortnightly",
ROUND(
ROUND((((TRUNC($AN287/2,0)+0.99))*VLOOKUP((TRUNC($AN287/2,0)+0.99),'Tax scales - NAT 3539'!$A$74:$C$94,2,1)-VLOOKUP((TRUNC($AN287/2,0)+0.99),'Tax scales - NAT 3539'!$A$74:$C$94,3,1)),0)
*2,
0),
IF(AND($E$2="Monthly",ROUND($AN287-TRUNC($AN287),2)=0.33),
ROUND(
ROUND(((TRUNC(($AN287+0.01)*3/13,0)+0.99)*VLOOKUP((TRUNC(($AN287+0.01)*3/13,0)+0.99),'Tax scales - NAT 3539'!$A$74:$C$94,2,1)-VLOOKUP((TRUNC(($AN287+0.01)*3/13,0)+0.99),'Tax scales - NAT 3539'!$A$74:$C$94,3,1)),0)
*13/3,
0),
IF($E$2="Monthly",
ROUND(
ROUND(((TRUNC($AN287*3/13,0)+0.99)*VLOOKUP((TRUNC($AN287*3/13,0)+0.99),'Tax scales - NAT 3539'!$A$74:$C$94,2,1)-VLOOKUP((TRUNC($AN287*3/13,0)+0.99),'Tax scales - NAT 3539'!$A$74:$C$94,3,1)),0)
*13/3,
0),
""))),
""),
"")</f>
        <v/>
      </c>
      <c r="AX287" s="118" t="str">
        <f>IFERROR(
IF(VLOOKUP($C287,'Employee information'!$B:$M,COLUMNS('Employee information'!$B:$M),0)=55,
IF($E$2="Fortnightly",
ROUND(
ROUND((((TRUNC($AN287/2,0)+0.99))*VLOOKUP((TRUNC($AN287/2,0)+0.99),'Tax scales - NAT 3539'!$A$99:$C$123,2,1)-VLOOKUP((TRUNC($AN287/2,0)+0.99),'Tax scales - NAT 3539'!$A$99:$C$123,3,1)),0)
*2,
0),
IF(AND($E$2="Monthly",ROUND($AN287-TRUNC($AN287),2)=0.33),
ROUND(
ROUND(((TRUNC(($AN287+0.01)*3/13,0)+0.99)*VLOOKUP((TRUNC(($AN287+0.01)*3/13,0)+0.99),'Tax scales - NAT 3539'!$A$99:$C$123,2,1)-VLOOKUP((TRUNC(($AN287+0.01)*3/13,0)+0.99),'Tax scales - NAT 3539'!$A$99:$C$123,3,1)),0)
*13/3,
0),
IF($E$2="Monthly",
ROUND(
ROUND(((TRUNC($AN287*3/13,0)+0.99)*VLOOKUP((TRUNC($AN287*3/13,0)+0.99),'Tax scales - NAT 3539'!$A$99:$C$123,2,1)-VLOOKUP((TRUNC($AN287*3/13,0)+0.99),'Tax scales - NAT 3539'!$A$99:$C$123,3,1)),0)
*13/3,
0),
""))),
""),
"")</f>
        <v/>
      </c>
      <c r="AY287" s="118" t="str">
        <f>IFERROR(
IF(VLOOKUP($C287,'Employee information'!$B:$M,COLUMNS('Employee information'!$B:$M),0)=66,
IF($E$2="Fortnightly",
ROUND(
ROUND((((TRUNC($AN287/2,0)+0.99))*VLOOKUP((TRUNC($AN287/2,0)+0.99),'Tax scales - NAT 3539'!$A$127:$C$154,2,1)-VLOOKUP((TRUNC($AN287/2,0)+0.99),'Tax scales - NAT 3539'!$A$127:$C$154,3,1)),0)
*2,
0),
IF(AND($E$2="Monthly",ROUND($AN287-TRUNC($AN287),2)=0.33),
ROUND(
ROUND(((TRUNC(($AN287+0.01)*3/13,0)+0.99)*VLOOKUP((TRUNC(($AN287+0.01)*3/13,0)+0.99),'Tax scales - NAT 3539'!$A$127:$C$154,2,1)-VLOOKUP((TRUNC(($AN287+0.01)*3/13,0)+0.99),'Tax scales - NAT 3539'!$A$127:$C$154,3,1)),0)
*13/3,
0),
IF($E$2="Monthly",
ROUND(
ROUND(((TRUNC($AN287*3/13,0)+0.99)*VLOOKUP((TRUNC($AN287*3/13,0)+0.99),'Tax scales - NAT 3539'!$A$127:$C$154,2,1)-VLOOKUP((TRUNC($AN287*3/13,0)+0.99),'Tax scales - NAT 3539'!$A$127:$C$154,3,1)),0)
*13/3,
0),
""))),
""),
"")</f>
        <v/>
      </c>
      <c r="AZ287" s="118">
        <f>IFERROR(
HLOOKUP(VLOOKUP($C287,'Employee information'!$B:$M,COLUMNS('Employee information'!$B:$M),0),'PAYG worksheet'!$AO$271:$AY$290,COUNTA($C$272:$C287)+1,0),
0)</f>
        <v>0</v>
      </c>
      <c r="BA287" s="118"/>
      <c r="BB287" s="118">
        <f t="shared" si="294"/>
        <v>0</v>
      </c>
      <c r="BC287" s="119">
        <f>IFERROR(
IF(OR($AE287=1,$AE287=""),SUM($P287,$AA287,$AC287,$AK287)*VLOOKUP($C287,'Employee information'!$B:$Q,COLUMNS('Employee information'!$B:$H),0),
IF($AE287=0,SUM($P287,$AA287,$AK287)*VLOOKUP($C287,'Employee information'!$B:$Q,COLUMNS('Employee information'!$B:$H),0),
0)),
0)</f>
        <v>0</v>
      </c>
      <c r="BE287" s="114">
        <f t="shared" si="279"/>
        <v>0</v>
      </c>
      <c r="BF287" s="114">
        <f t="shared" si="280"/>
        <v>0</v>
      </c>
      <c r="BG287" s="114">
        <f t="shared" si="281"/>
        <v>0</v>
      </c>
      <c r="BH287" s="114">
        <f t="shared" si="282"/>
        <v>0</v>
      </c>
      <c r="BI287" s="114">
        <f t="shared" si="283"/>
        <v>0</v>
      </c>
      <c r="BJ287" s="114">
        <f t="shared" si="284"/>
        <v>0</v>
      </c>
      <c r="BK287" s="114">
        <f t="shared" si="285"/>
        <v>0</v>
      </c>
      <c r="BL287" s="114">
        <f t="shared" si="295"/>
        <v>0</v>
      </c>
      <c r="BM287" s="114">
        <f t="shared" si="286"/>
        <v>0</v>
      </c>
    </row>
    <row r="288" spans="1:65" x14ac:dyDescent="0.25">
      <c r="A288" s="228">
        <f t="shared" si="274"/>
        <v>10</v>
      </c>
      <c r="C288" s="278"/>
      <c r="E288" s="103">
        <f>IF($C288="",0,
IF(AND($E$2="Monthly",$A288&gt;12),0,
IF($E$2="Monthly",VLOOKUP($C288,'Employee information'!$B:$AM,COLUMNS('Employee information'!$B:S),0),
IF($E$2="Fortnightly",VLOOKUP($C288,'Employee information'!$B:$AM,COLUMNS('Employee information'!$B:R),0),
0))))</f>
        <v>0</v>
      </c>
      <c r="F288" s="106"/>
      <c r="G288" s="106"/>
      <c r="H288" s="106"/>
      <c r="I288" s="106"/>
      <c r="J288" s="103">
        <f t="shared" si="287"/>
        <v>0</v>
      </c>
      <c r="L288" s="113">
        <f>IF(AND($E$2="Monthly",$A288&gt;12),"",
IFERROR($J288*VLOOKUP($C288,'Employee information'!$B:$AI,COLUMNS('Employee information'!$B:$P),0),0))</f>
        <v>0</v>
      </c>
      <c r="M288" s="114">
        <f t="shared" si="288"/>
        <v>0</v>
      </c>
      <c r="O288" s="103">
        <f t="shared" si="289"/>
        <v>0</v>
      </c>
      <c r="P288" s="113">
        <f>IFERROR(
IF(AND($E$2="Monthly",$A288&gt;12),0,
$O288*VLOOKUP($C288,'Employee information'!$B:$AI,COLUMNS('Employee information'!$B:$P),0)),
0)</f>
        <v>0</v>
      </c>
      <c r="R288" s="114">
        <f t="shared" si="275"/>
        <v>0</v>
      </c>
      <c r="T288" s="103"/>
      <c r="U288" s="103"/>
      <c r="V288" s="282" t="str">
        <f>IF($C288="","",
IF(AND($E$2="Monthly",$A288&gt;12),"",
$T288*VLOOKUP($C288,'Employee information'!$B:$P,COLUMNS('Employee information'!$B:$P),0)))</f>
        <v/>
      </c>
      <c r="W288" s="282" t="str">
        <f>IF($C288="","",
IF(AND($E$2="Monthly",$A288&gt;12),"",
$U288*VLOOKUP($C288,'Employee information'!$B:$P,COLUMNS('Employee information'!$B:$P),0)))</f>
        <v/>
      </c>
      <c r="X288" s="114">
        <f t="shared" si="276"/>
        <v>0</v>
      </c>
      <c r="Y288" s="114">
        <f t="shared" si="277"/>
        <v>0</v>
      </c>
      <c r="AA288" s="118">
        <f>IFERROR(
IF(OR('Basic payroll data'!$D$12="",'Basic payroll data'!$D$12="No"),0,
$T288*VLOOKUP($C288,'Employee information'!$B:$P,COLUMNS('Employee information'!$B:$P),0)*AL_loading_perc),
0)</f>
        <v>0</v>
      </c>
      <c r="AC288" s="118"/>
      <c r="AD288" s="118"/>
      <c r="AE288" s="283" t="str">
        <f t="shared" si="290"/>
        <v/>
      </c>
      <c r="AF288" s="283" t="str">
        <f t="shared" si="291"/>
        <v/>
      </c>
      <c r="AG288" s="118"/>
      <c r="AH288" s="118"/>
      <c r="AI288" s="283" t="str">
        <f t="shared" si="292"/>
        <v/>
      </c>
      <c r="AJ288" s="118"/>
      <c r="AK288" s="118"/>
      <c r="AM288" s="118">
        <f t="shared" si="293"/>
        <v>0</v>
      </c>
      <c r="AN288" s="118">
        <f t="shared" si="278"/>
        <v>0</v>
      </c>
      <c r="AO288" s="118" t="str">
        <f>IFERROR(
IF(VLOOKUP($C288,'Employee information'!$B:$M,COLUMNS('Employee information'!$B:$M),0)=1,
IF($E$2="Fortnightly",
ROUND(
ROUND((((TRUNC($AN288/2,0)+0.99))*VLOOKUP((TRUNC($AN288/2,0)+0.99),'Tax scales - NAT 1004'!$A$12:$C$18,2,1)-VLOOKUP((TRUNC($AN288/2,0)+0.99),'Tax scales - NAT 1004'!$A$12:$C$18,3,1)),0)
*2,
0),
IF(AND($E$2="Monthly",ROUND($AN288-TRUNC($AN288),2)=0.33),
ROUND(
ROUND(((TRUNC(($AN288+0.01)*3/13,0)+0.99)*VLOOKUP((TRUNC(($AN288+0.01)*3/13,0)+0.99),'Tax scales - NAT 1004'!$A$12:$C$18,2,1)-VLOOKUP((TRUNC(($AN288+0.01)*3/13,0)+0.99),'Tax scales - NAT 1004'!$A$12:$C$18,3,1)),0)
*13/3,
0),
IF($E$2="Monthly",
ROUND(
ROUND(((TRUNC($AN288*3/13,0)+0.99)*VLOOKUP((TRUNC($AN288*3/13,0)+0.99),'Tax scales - NAT 1004'!$A$12:$C$18,2,1)-VLOOKUP((TRUNC($AN288*3/13,0)+0.99),'Tax scales - NAT 1004'!$A$12:$C$18,3,1)),0)
*13/3,
0),
""))),
""),
"")</f>
        <v/>
      </c>
      <c r="AP288" s="118" t="str">
        <f>IFERROR(
IF(VLOOKUP($C288,'Employee information'!$B:$M,COLUMNS('Employee information'!$B:$M),0)=2,
IF($E$2="Fortnightly",
ROUND(
ROUND((((TRUNC($AN288/2,0)+0.99))*VLOOKUP((TRUNC($AN288/2,0)+0.99),'Tax scales - NAT 1004'!$A$25:$C$33,2,1)-VLOOKUP((TRUNC($AN288/2,0)+0.99),'Tax scales - NAT 1004'!$A$25:$C$33,3,1)),0)
*2,
0),
IF(AND($E$2="Monthly",ROUND($AN288-TRUNC($AN288),2)=0.33),
ROUND(
ROUND(((TRUNC(($AN288+0.01)*3/13,0)+0.99)*VLOOKUP((TRUNC(($AN288+0.01)*3/13,0)+0.99),'Tax scales - NAT 1004'!$A$25:$C$33,2,1)-VLOOKUP((TRUNC(($AN288+0.01)*3/13,0)+0.99),'Tax scales - NAT 1004'!$A$25:$C$33,3,1)),0)
*13/3,
0),
IF($E$2="Monthly",
ROUND(
ROUND(((TRUNC($AN288*3/13,0)+0.99)*VLOOKUP((TRUNC($AN288*3/13,0)+0.99),'Tax scales - NAT 1004'!$A$25:$C$33,2,1)-VLOOKUP((TRUNC($AN288*3/13,0)+0.99),'Tax scales - NAT 1004'!$A$25:$C$33,3,1)),0)
*13/3,
0),
""))),
""),
"")</f>
        <v/>
      </c>
      <c r="AQ288" s="118" t="str">
        <f>IFERROR(
IF(VLOOKUP($C288,'Employee information'!$B:$M,COLUMNS('Employee information'!$B:$M),0)=3,
IF($E$2="Fortnightly",
ROUND(
ROUND((((TRUNC($AN288/2,0)+0.99))*VLOOKUP((TRUNC($AN288/2,0)+0.99),'Tax scales - NAT 1004'!$A$39:$C$41,2,1)-VLOOKUP((TRUNC($AN288/2,0)+0.99),'Tax scales - NAT 1004'!$A$39:$C$41,3,1)),0)
*2,
0),
IF(AND($E$2="Monthly",ROUND($AN288-TRUNC($AN288),2)=0.33),
ROUND(
ROUND(((TRUNC(($AN288+0.01)*3/13,0)+0.99)*VLOOKUP((TRUNC(($AN288+0.01)*3/13,0)+0.99),'Tax scales - NAT 1004'!$A$39:$C$41,2,1)-VLOOKUP((TRUNC(($AN288+0.01)*3/13,0)+0.99),'Tax scales - NAT 1004'!$A$39:$C$41,3,1)),0)
*13/3,
0),
IF($E$2="Monthly",
ROUND(
ROUND(((TRUNC($AN288*3/13,0)+0.99)*VLOOKUP((TRUNC($AN288*3/13,0)+0.99),'Tax scales - NAT 1004'!$A$39:$C$41,2,1)-VLOOKUP((TRUNC($AN288*3/13,0)+0.99),'Tax scales - NAT 1004'!$A$39:$C$41,3,1)),0)
*13/3,
0),
""))),
""),
"")</f>
        <v/>
      </c>
      <c r="AR288" s="118" t="str">
        <f>IFERROR(
IF(AND(VLOOKUP($C288,'Employee information'!$B:$M,COLUMNS('Employee information'!$B:$M),0)=4,
VLOOKUP($C288,'Employee information'!$B:$J,COLUMNS('Employee information'!$B:$J),0)="Resident"),
TRUNC(TRUNC($AN288)*'Tax scales - NAT 1004'!$B$47),
IF(AND(VLOOKUP($C288,'Employee information'!$B:$M,COLUMNS('Employee information'!$B:$M),0)=4,
VLOOKUP($C288,'Employee information'!$B:$J,COLUMNS('Employee information'!$B:$J),0)="Foreign resident"),
TRUNC(TRUNC($AN288)*'Tax scales - NAT 1004'!$B$48),
"")),
"")</f>
        <v/>
      </c>
      <c r="AS288" s="118" t="str">
        <f>IFERROR(
IF(VLOOKUP($C288,'Employee information'!$B:$M,COLUMNS('Employee information'!$B:$M),0)=5,
IF($E$2="Fortnightly",
ROUND(
ROUND((((TRUNC($AN288/2,0)+0.99))*VLOOKUP((TRUNC($AN288/2,0)+0.99),'Tax scales - NAT 1004'!$A$53:$C$59,2,1)-VLOOKUP((TRUNC($AN288/2,0)+0.99),'Tax scales - NAT 1004'!$A$53:$C$59,3,1)),0)
*2,
0),
IF(AND($E$2="Monthly",ROUND($AN288-TRUNC($AN288),2)=0.33),
ROUND(
ROUND(((TRUNC(($AN288+0.01)*3/13,0)+0.99)*VLOOKUP((TRUNC(($AN288+0.01)*3/13,0)+0.99),'Tax scales - NAT 1004'!$A$53:$C$59,2,1)-VLOOKUP((TRUNC(($AN288+0.01)*3/13,0)+0.99),'Tax scales - NAT 1004'!$A$53:$C$59,3,1)),0)
*13/3,
0),
IF($E$2="Monthly",
ROUND(
ROUND(((TRUNC($AN288*3/13,0)+0.99)*VLOOKUP((TRUNC($AN288*3/13,0)+0.99),'Tax scales - NAT 1004'!$A$53:$C$59,2,1)-VLOOKUP((TRUNC($AN288*3/13,0)+0.99),'Tax scales - NAT 1004'!$A$53:$C$59,3,1)),0)
*13/3,
0),
""))),
""),
"")</f>
        <v/>
      </c>
      <c r="AT288" s="118" t="str">
        <f>IFERROR(
IF(VLOOKUP($C288,'Employee information'!$B:$M,COLUMNS('Employee information'!$B:$M),0)=6,
IF($E$2="Fortnightly",
ROUND(
ROUND((((TRUNC($AN288/2,0)+0.99))*VLOOKUP((TRUNC($AN288/2,0)+0.99),'Tax scales - NAT 1004'!$A$65:$C$73,2,1)-VLOOKUP((TRUNC($AN288/2,0)+0.99),'Tax scales - NAT 1004'!$A$65:$C$73,3,1)),0)
*2,
0),
IF(AND($E$2="Monthly",ROUND($AN288-TRUNC($AN288),2)=0.33),
ROUND(
ROUND(((TRUNC(($AN288+0.01)*3/13,0)+0.99)*VLOOKUP((TRUNC(($AN288+0.01)*3/13,0)+0.99),'Tax scales - NAT 1004'!$A$65:$C$73,2,1)-VLOOKUP((TRUNC(($AN288+0.01)*3/13,0)+0.99),'Tax scales - NAT 1004'!$A$65:$C$73,3,1)),0)
*13/3,
0),
IF($E$2="Monthly",
ROUND(
ROUND(((TRUNC($AN288*3/13,0)+0.99)*VLOOKUP((TRUNC($AN288*3/13,0)+0.99),'Tax scales - NAT 1004'!$A$65:$C$73,2,1)-VLOOKUP((TRUNC($AN288*3/13,0)+0.99),'Tax scales - NAT 1004'!$A$65:$C$73,3,1)),0)
*13/3,
0),
""))),
""),
"")</f>
        <v/>
      </c>
      <c r="AU288" s="118" t="str">
        <f>IFERROR(
IF(VLOOKUP($C288,'Employee information'!$B:$M,COLUMNS('Employee information'!$B:$M),0)=11,
IF($E$2="Fortnightly",
ROUND(
ROUND((((TRUNC($AN288/2,0)+0.99))*VLOOKUP((TRUNC($AN288/2,0)+0.99),'Tax scales - NAT 3539'!$A$14:$C$38,2,1)-VLOOKUP((TRUNC($AN288/2,0)+0.99),'Tax scales - NAT 3539'!$A$14:$C$38,3,1)),0)
*2,
0),
IF(AND($E$2="Monthly",ROUND($AN288-TRUNC($AN288),2)=0.33),
ROUND(
ROUND(((TRUNC(($AN288+0.01)*3/13,0)+0.99)*VLOOKUP((TRUNC(($AN288+0.01)*3/13,0)+0.99),'Tax scales - NAT 3539'!$A$14:$C$38,2,1)-VLOOKUP((TRUNC(($AN288+0.01)*3/13,0)+0.99),'Tax scales - NAT 3539'!$A$14:$C$38,3,1)),0)
*13/3,
0),
IF($E$2="Monthly",
ROUND(
ROUND(((TRUNC($AN288*3/13,0)+0.99)*VLOOKUP((TRUNC($AN288*3/13,0)+0.99),'Tax scales - NAT 3539'!$A$14:$C$38,2,1)-VLOOKUP((TRUNC($AN288*3/13,0)+0.99),'Tax scales - NAT 3539'!$A$14:$C$38,3,1)),0)
*13/3,
0),
""))),
""),
"")</f>
        <v/>
      </c>
      <c r="AV288" s="118" t="str">
        <f>IFERROR(
IF(VLOOKUP($C288,'Employee information'!$B:$M,COLUMNS('Employee information'!$B:$M),0)=22,
IF($E$2="Fortnightly",
ROUND(
ROUND((((TRUNC($AN288/2,0)+0.99))*VLOOKUP((TRUNC($AN288/2,0)+0.99),'Tax scales - NAT 3539'!$A$43:$C$69,2,1)-VLOOKUP((TRUNC($AN288/2,0)+0.99),'Tax scales - NAT 3539'!$A$43:$C$69,3,1)),0)
*2,
0),
IF(AND($E$2="Monthly",ROUND($AN288-TRUNC($AN288),2)=0.33),
ROUND(
ROUND(((TRUNC(($AN288+0.01)*3/13,0)+0.99)*VLOOKUP((TRUNC(($AN288+0.01)*3/13,0)+0.99),'Tax scales - NAT 3539'!$A$43:$C$69,2,1)-VLOOKUP((TRUNC(($AN288+0.01)*3/13,0)+0.99),'Tax scales - NAT 3539'!$A$43:$C$69,3,1)),0)
*13/3,
0),
IF($E$2="Monthly",
ROUND(
ROUND(((TRUNC($AN288*3/13,0)+0.99)*VLOOKUP((TRUNC($AN288*3/13,0)+0.99),'Tax scales - NAT 3539'!$A$43:$C$69,2,1)-VLOOKUP((TRUNC($AN288*3/13,0)+0.99),'Tax scales - NAT 3539'!$A$43:$C$69,3,1)),0)
*13/3,
0),
""))),
""),
"")</f>
        <v/>
      </c>
      <c r="AW288" s="118" t="str">
        <f>IFERROR(
IF(VLOOKUP($C288,'Employee information'!$B:$M,COLUMNS('Employee information'!$B:$M),0)=33,
IF($E$2="Fortnightly",
ROUND(
ROUND((((TRUNC($AN288/2,0)+0.99))*VLOOKUP((TRUNC($AN288/2,0)+0.99),'Tax scales - NAT 3539'!$A$74:$C$94,2,1)-VLOOKUP((TRUNC($AN288/2,0)+0.99),'Tax scales - NAT 3539'!$A$74:$C$94,3,1)),0)
*2,
0),
IF(AND($E$2="Monthly",ROUND($AN288-TRUNC($AN288),2)=0.33),
ROUND(
ROUND(((TRUNC(($AN288+0.01)*3/13,0)+0.99)*VLOOKUP((TRUNC(($AN288+0.01)*3/13,0)+0.99),'Tax scales - NAT 3539'!$A$74:$C$94,2,1)-VLOOKUP((TRUNC(($AN288+0.01)*3/13,0)+0.99),'Tax scales - NAT 3539'!$A$74:$C$94,3,1)),0)
*13/3,
0),
IF($E$2="Monthly",
ROUND(
ROUND(((TRUNC($AN288*3/13,0)+0.99)*VLOOKUP((TRUNC($AN288*3/13,0)+0.99),'Tax scales - NAT 3539'!$A$74:$C$94,2,1)-VLOOKUP((TRUNC($AN288*3/13,0)+0.99),'Tax scales - NAT 3539'!$A$74:$C$94,3,1)),0)
*13/3,
0),
""))),
""),
"")</f>
        <v/>
      </c>
      <c r="AX288" s="118" t="str">
        <f>IFERROR(
IF(VLOOKUP($C288,'Employee information'!$B:$M,COLUMNS('Employee information'!$B:$M),0)=55,
IF($E$2="Fortnightly",
ROUND(
ROUND((((TRUNC($AN288/2,0)+0.99))*VLOOKUP((TRUNC($AN288/2,0)+0.99),'Tax scales - NAT 3539'!$A$99:$C$123,2,1)-VLOOKUP((TRUNC($AN288/2,0)+0.99),'Tax scales - NAT 3539'!$A$99:$C$123,3,1)),0)
*2,
0),
IF(AND($E$2="Monthly",ROUND($AN288-TRUNC($AN288),2)=0.33),
ROUND(
ROUND(((TRUNC(($AN288+0.01)*3/13,0)+0.99)*VLOOKUP((TRUNC(($AN288+0.01)*3/13,0)+0.99),'Tax scales - NAT 3539'!$A$99:$C$123,2,1)-VLOOKUP((TRUNC(($AN288+0.01)*3/13,0)+0.99),'Tax scales - NAT 3539'!$A$99:$C$123,3,1)),0)
*13/3,
0),
IF($E$2="Monthly",
ROUND(
ROUND(((TRUNC($AN288*3/13,0)+0.99)*VLOOKUP((TRUNC($AN288*3/13,0)+0.99),'Tax scales - NAT 3539'!$A$99:$C$123,2,1)-VLOOKUP((TRUNC($AN288*3/13,0)+0.99),'Tax scales - NAT 3539'!$A$99:$C$123,3,1)),0)
*13/3,
0),
""))),
""),
"")</f>
        <v/>
      </c>
      <c r="AY288" s="118" t="str">
        <f>IFERROR(
IF(VLOOKUP($C288,'Employee information'!$B:$M,COLUMNS('Employee information'!$B:$M),0)=66,
IF($E$2="Fortnightly",
ROUND(
ROUND((((TRUNC($AN288/2,0)+0.99))*VLOOKUP((TRUNC($AN288/2,0)+0.99),'Tax scales - NAT 3539'!$A$127:$C$154,2,1)-VLOOKUP((TRUNC($AN288/2,0)+0.99),'Tax scales - NAT 3539'!$A$127:$C$154,3,1)),0)
*2,
0),
IF(AND($E$2="Monthly",ROUND($AN288-TRUNC($AN288),2)=0.33),
ROUND(
ROUND(((TRUNC(($AN288+0.01)*3/13,0)+0.99)*VLOOKUP((TRUNC(($AN288+0.01)*3/13,0)+0.99),'Tax scales - NAT 3539'!$A$127:$C$154,2,1)-VLOOKUP((TRUNC(($AN288+0.01)*3/13,0)+0.99),'Tax scales - NAT 3539'!$A$127:$C$154,3,1)),0)
*13/3,
0),
IF($E$2="Monthly",
ROUND(
ROUND(((TRUNC($AN288*3/13,0)+0.99)*VLOOKUP((TRUNC($AN288*3/13,0)+0.99),'Tax scales - NAT 3539'!$A$127:$C$154,2,1)-VLOOKUP((TRUNC($AN288*3/13,0)+0.99),'Tax scales - NAT 3539'!$A$127:$C$154,3,1)),0)
*13/3,
0),
""))),
""),
"")</f>
        <v/>
      </c>
      <c r="AZ288" s="118">
        <f>IFERROR(
HLOOKUP(VLOOKUP($C288,'Employee information'!$B:$M,COLUMNS('Employee information'!$B:$M),0),'PAYG worksheet'!$AO$271:$AY$290,COUNTA($C$272:$C288)+1,0),
0)</f>
        <v>0</v>
      </c>
      <c r="BA288" s="118"/>
      <c r="BB288" s="118">
        <f t="shared" si="294"/>
        <v>0</v>
      </c>
      <c r="BC288" s="119">
        <f>IFERROR(
IF(OR($AE288=1,$AE288=""),SUM($P288,$AA288,$AC288,$AK288)*VLOOKUP($C288,'Employee information'!$B:$Q,COLUMNS('Employee information'!$B:$H),0),
IF($AE288=0,SUM($P288,$AA288,$AK288)*VLOOKUP($C288,'Employee information'!$B:$Q,COLUMNS('Employee information'!$B:$H),0),
0)),
0)</f>
        <v>0</v>
      </c>
      <c r="BE288" s="114">
        <f t="shared" si="279"/>
        <v>0</v>
      </c>
      <c r="BF288" s="114">
        <f t="shared" si="280"/>
        <v>0</v>
      </c>
      <c r="BG288" s="114">
        <f t="shared" si="281"/>
        <v>0</v>
      </c>
      <c r="BH288" s="114">
        <f t="shared" si="282"/>
        <v>0</v>
      </c>
      <c r="BI288" s="114">
        <f t="shared" si="283"/>
        <v>0</v>
      </c>
      <c r="BJ288" s="114">
        <f t="shared" si="284"/>
        <v>0</v>
      </c>
      <c r="BK288" s="114">
        <f t="shared" si="285"/>
        <v>0</v>
      </c>
      <c r="BL288" s="114">
        <f t="shared" si="295"/>
        <v>0</v>
      </c>
      <c r="BM288" s="114">
        <f t="shared" si="286"/>
        <v>0</v>
      </c>
    </row>
    <row r="289" spans="1:65" x14ac:dyDescent="0.25">
      <c r="A289" s="228">
        <f t="shared" si="274"/>
        <v>10</v>
      </c>
      <c r="C289" s="278"/>
      <c r="E289" s="103">
        <f>IF($C289="",0,
IF(AND($E$2="Monthly",$A289&gt;12),0,
IF($E$2="Monthly",VLOOKUP($C289,'Employee information'!$B:$AM,COLUMNS('Employee information'!$B:S),0),
IF($E$2="Fortnightly",VLOOKUP($C289,'Employee information'!$B:$AM,COLUMNS('Employee information'!$B:R),0),
0))))</f>
        <v>0</v>
      </c>
      <c r="F289" s="106"/>
      <c r="G289" s="106"/>
      <c r="H289" s="106"/>
      <c r="I289" s="106"/>
      <c r="J289" s="103">
        <f t="shared" si="287"/>
        <v>0</v>
      </c>
      <c r="L289" s="113">
        <f>IF(AND($E$2="Monthly",$A289&gt;12),"",
IFERROR($J289*VLOOKUP($C289,'Employee information'!$B:$AI,COLUMNS('Employee information'!$B:$P),0),0))</f>
        <v>0</v>
      </c>
      <c r="M289" s="114">
        <f t="shared" si="288"/>
        <v>0</v>
      </c>
      <c r="O289" s="103">
        <f t="shared" si="289"/>
        <v>0</v>
      </c>
      <c r="P289" s="113">
        <f>IFERROR(
IF(AND($E$2="Monthly",$A289&gt;12),0,
$O289*VLOOKUP($C289,'Employee information'!$B:$AI,COLUMNS('Employee information'!$B:$P),0)),
0)</f>
        <v>0</v>
      </c>
      <c r="R289" s="114">
        <f t="shared" si="275"/>
        <v>0</v>
      </c>
      <c r="T289" s="103"/>
      <c r="U289" s="103"/>
      <c r="V289" s="282" t="str">
        <f>IF($C289="","",
IF(AND($E$2="Monthly",$A289&gt;12),"",
$T289*VLOOKUP($C289,'Employee information'!$B:$P,COLUMNS('Employee information'!$B:$P),0)))</f>
        <v/>
      </c>
      <c r="W289" s="282" t="str">
        <f>IF($C289="","",
IF(AND($E$2="Monthly",$A289&gt;12),"",
$U289*VLOOKUP($C289,'Employee information'!$B:$P,COLUMNS('Employee information'!$B:$P),0)))</f>
        <v/>
      </c>
      <c r="X289" s="114">
        <f t="shared" si="276"/>
        <v>0</v>
      </c>
      <c r="Y289" s="114">
        <f t="shared" si="277"/>
        <v>0</v>
      </c>
      <c r="AA289" s="118">
        <f>IFERROR(
IF(OR('Basic payroll data'!$D$12="",'Basic payroll data'!$D$12="No"),0,
$T289*VLOOKUP($C289,'Employee information'!$B:$P,COLUMNS('Employee information'!$B:$P),0)*AL_loading_perc),
0)</f>
        <v>0</v>
      </c>
      <c r="AC289" s="118"/>
      <c r="AD289" s="118"/>
      <c r="AE289" s="283" t="str">
        <f t="shared" si="290"/>
        <v/>
      </c>
      <c r="AF289" s="283" t="str">
        <f t="shared" si="291"/>
        <v/>
      </c>
      <c r="AG289" s="118"/>
      <c r="AH289" s="118"/>
      <c r="AI289" s="283" t="str">
        <f t="shared" si="292"/>
        <v/>
      </c>
      <c r="AJ289" s="118"/>
      <c r="AK289" s="118"/>
      <c r="AM289" s="118">
        <f t="shared" si="293"/>
        <v>0</v>
      </c>
      <c r="AN289" s="118">
        <f t="shared" si="278"/>
        <v>0</v>
      </c>
      <c r="AO289" s="118" t="str">
        <f>IFERROR(
IF(VLOOKUP($C289,'Employee information'!$B:$M,COLUMNS('Employee information'!$B:$M),0)=1,
IF($E$2="Fortnightly",
ROUND(
ROUND((((TRUNC($AN289/2,0)+0.99))*VLOOKUP((TRUNC($AN289/2,0)+0.99),'Tax scales - NAT 1004'!$A$12:$C$18,2,1)-VLOOKUP((TRUNC($AN289/2,0)+0.99),'Tax scales - NAT 1004'!$A$12:$C$18,3,1)),0)
*2,
0),
IF(AND($E$2="Monthly",ROUND($AN289-TRUNC($AN289),2)=0.33),
ROUND(
ROUND(((TRUNC(($AN289+0.01)*3/13,0)+0.99)*VLOOKUP((TRUNC(($AN289+0.01)*3/13,0)+0.99),'Tax scales - NAT 1004'!$A$12:$C$18,2,1)-VLOOKUP((TRUNC(($AN289+0.01)*3/13,0)+0.99),'Tax scales - NAT 1004'!$A$12:$C$18,3,1)),0)
*13/3,
0),
IF($E$2="Monthly",
ROUND(
ROUND(((TRUNC($AN289*3/13,0)+0.99)*VLOOKUP((TRUNC($AN289*3/13,0)+0.99),'Tax scales - NAT 1004'!$A$12:$C$18,2,1)-VLOOKUP((TRUNC($AN289*3/13,0)+0.99),'Tax scales - NAT 1004'!$A$12:$C$18,3,1)),0)
*13/3,
0),
""))),
""),
"")</f>
        <v/>
      </c>
      <c r="AP289" s="118" t="str">
        <f>IFERROR(
IF(VLOOKUP($C289,'Employee information'!$B:$M,COLUMNS('Employee information'!$B:$M),0)=2,
IF($E$2="Fortnightly",
ROUND(
ROUND((((TRUNC($AN289/2,0)+0.99))*VLOOKUP((TRUNC($AN289/2,0)+0.99),'Tax scales - NAT 1004'!$A$25:$C$33,2,1)-VLOOKUP((TRUNC($AN289/2,0)+0.99),'Tax scales - NAT 1004'!$A$25:$C$33,3,1)),0)
*2,
0),
IF(AND($E$2="Monthly",ROUND($AN289-TRUNC($AN289),2)=0.33),
ROUND(
ROUND(((TRUNC(($AN289+0.01)*3/13,0)+0.99)*VLOOKUP((TRUNC(($AN289+0.01)*3/13,0)+0.99),'Tax scales - NAT 1004'!$A$25:$C$33,2,1)-VLOOKUP((TRUNC(($AN289+0.01)*3/13,0)+0.99),'Tax scales - NAT 1004'!$A$25:$C$33,3,1)),0)
*13/3,
0),
IF($E$2="Monthly",
ROUND(
ROUND(((TRUNC($AN289*3/13,0)+0.99)*VLOOKUP((TRUNC($AN289*3/13,0)+0.99),'Tax scales - NAT 1004'!$A$25:$C$33,2,1)-VLOOKUP((TRUNC($AN289*3/13,0)+0.99),'Tax scales - NAT 1004'!$A$25:$C$33,3,1)),0)
*13/3,
0),
""))),
""),
"")</f>
        <v/>
      </c>
      <c r="AQ289" s="118" t="str">
        <f>IFERROR(
IF(VLOOKUP($C289,'Employee information'!$B:$M,COLUMNS('Employee information'!$B:$M),0)=3,
IF($E$2="Fortnightly",
ROUND(
ROUND((((TRUNC($AN289/2,0)+0.99))*VLOOKUP((TRUNC($AN289/2,0)+0.99),'Tax scales - NAT 1004'!$A$39:$C$41,2,1)-VLOOKUP((TRUNC($AN289/2,0)+0.99),'Tax scales - NAT 1004'!$A$39:$C$41,3,1)),0)
*2,
0),
IF(AND($E$2="Monthly",ROUND($AN289-TRUNC($AN289),2)=0.33),
ROUND(
ROUND(((TRUNC(($AN289+0.01)*3/13,0)+0.99)*VLOOKUP((TRUNC(($AN289+0.01)*3/13,0)+0.99),'Tax scales - NAT 1004'!$A$39:$C$41,2,1)-VLOOKUP((TRUNC(($AN289+0.01)*3/13,0)+0.99),'Tax scales - NAT 1004'!$A$39:$C$41,3,1)),0)
*13/3,
0),
IF($E$2="Monthly",
ROUND(
ROUND(((TRUNC($AN289*3/13,0)+0.99)*VLOOKUP((TRUNC($AN289*3/13,0)+0.99),'Tax scales - NAT 1004'!$A$39:$C$41,2,1)-VLOOKUP((TRUNC($AN289*3/13,0)+0.99),'Tax scales - NAT 1004'!$A$39:$C$41,3,1)),0)
*13/3,
0),
""))),
""),
"")</f>
        <v/>
      </c>
      <c r="AR289" s="118" t="str">
        <f>IFERROR(
IF(AND(VLOOKUP($C289,'Employee information'!$B:$M,COLUMNS('Employee information'!$B:$M),0)=4,
VLOOKUP($C289,'Employee information'!$B:$J,COLUMNS('Employee information'!$B:$J),0)="Resident"),
TRUNC(TRUNC($AN289)*'Tax scales - NAT 1004'!$B$47),
IF(AND(VLOOKUP($C289,'Employee information'!$B:$M,COLUMNS('Employee information'!$B:$M),0)=4,
VLOOKUP($C289,'Employee information'!$B:$J,COLUMNS('Employee information'!$B:$J),0)="Foreign resident"),
TRUNC(TRUNC($AN289)*'Tax scales - NAT 1004'!$B$48),
"")),
"")</f>
        <v/>
      </c>
      <c r="AS289" s="118" t="str">
        <f>IFERROR(
IF(VLOOKUP($C289,'Employee information'!$B:$M,COLUMNS('Employee information'!$B:$M),0)=5,
IF($E$2="Fortnightly",
ROUND(
ROUND((((TRUNC($AN289/2,0)+0.99))*VLOOKUP((TRUNC($AN289/2,0)+0.99),'Tax scales - NAT 1004'!$A$53:$C$59,2,1)-VLOOKUP((TRUNC($AN289/2,0)+0.99),'Tax scales - NAT 1004'!$A$53:$C$59,3,1)),0)
*2,
0),
IF(AND($E$2="Monthly",ROUND($AN289-TRUNC($AN289),2)=0.33),
ROUND(
ROUND(((TRUNC(($AN289+0.01)*3/13,0)+0.99)*VLOOKUP((TRUNC(($AN289+0.01)*3/13,0)+0.99),'Tax scales - NAT 1004'!$A$53:$C$59,2,1)-VLOOKUP((TRUNC(($AN289+0.01)*3/13,0)+0.99),'Tax scales - NAT 1004'!$A$53:$C$59,3,1)),0)
*13/3,
0),
IF($E$2="Monthly",
ROUND(
ROUND(((TRUNC($AN289*3/13,0)+0.99)*VLOOKUP((TRUNC($AN289*3/13,0)+0.99),'Tax scales - NAT 1004'!$A$53:$C$59,2,1)-VLOOKUP((TRUNC($AN289*3/13,0)+0.99),'Tax scales - NAT 1004'!$A$53:$C$59,3,1)),0)
*13/3,
0),
""))),
""),
"")</f>
        <v/>
      </c>
      <c r="AT289" s="118" t="str">
        <f>IFERROR(
IF(VLOOKUP($C289,'Employee information'!$B:$M,COLUMNS('Employee information'!$B:$M),0)=6,
IF($E$2="Fortnightly",
ROUND(
ROUND((((TRUNC($AN289/2,0)+0.99))*VLOOKUP((TRUNC($AN289/2,0)+0.99),'Tax scales - NAT 1004'!$A$65:$C$73,2,1)-VLOOKUP((TRUNC($AN289/2,0)+0.99),'Tax scales - NAT 1004'!$A$65:$C$73,3,1)),0)
*2,
0),
IF(AND($E$2="Monthly",ROUND($AN289-TRUNC($AN289),2)=0.33),
ROUND(
ROUND(((TRUNC(($AN289+0.01)*3/13,0)+0.99)*VLOOKUP((TRUNC(($AN289+0.01)*3/13,0)+0.99),'Tax scales - NAT 1004'!$A$65:$C$73,2,1)-VLOOKUP((TRUNC(($AN289+0.01)*3/13,0)+0.99),'Tax scales - NAT 1004'!$A$65:$C$73,3,1)),0)
*13/3,
0),
IF($E$2="Monthly",
ROUND(
ROUND(((TRUNC($AN289*3/13,0)+0.99)*VLOOKUP((TRUNC($AN289*3/13,0)+0.99),'Tax scales - NAT 1004'!$A$65:$C$73,2,1)-VLOOKUP((TRUNC($AN289*3/13,0)+0.99),'Tax scales - NAT 1004'!$A$65:$C$73,3,1)),0)
*13/3,
0),
""))),
""),
"")</f>
        <v/>
      </c>
      <c r="AU289" s="118" t="str">
        <f>IFERROR(
IF(VLOOKUP($C289,'Employee information'!$B:$M,COLUMNS('Employee information'!$B:$M),0)=11,
IF($E$2="Fortnightly",
ROUND(
ROUND((((TRUNC($AN289/2,0)+0.99))*VLOOKUP((TRUNC($AN289/2,0)+0.99),'Tax scales - NAT 3539'!$A$14:$C$38,2,1)-VLOOKUP((TRUNC($AN289/2,0)+0.99),'Tax scales - NAT 3539'!$A$14:$C$38,3,1)),0)
*2,
0),
IF(AND($E$2="Monthly",ROUND($AN289-TRUNC($AN289),2)=0.33),
ROUND(
ROUND(((TRUNC(($AN289+0.01)*3/13,0)+0.99)*VLOOKUP((TRUNC(($AN289+0.01)*3/13,0)+0.99),'Tax scales - NAT 3539'!$A$14:$C$38,2,1)-VLOOKUP((TRUNC(($AN289+0.01)*3/13,0)+0.99),'Tax scales - NAT 3539'!$A$14:$C$38,3,1)),0)
*13/3,
0),
IF($E$2="Monthly",
ROUND(
ROUND(((TRUNC($AN289*3/13,0)+0.99)*VLOOKUP((TRUNC($AN289*3/13,0)+0.99),'Tax scales - NAT 3539'!$A$14:$C$38,2,1)-VLOOKUP((TRUNC($AN289*3/13,0)+0.99),'Tax scales - NAT 3539'!$A$14:$C$38,3,1)),0)
*13/3,
0),
""))),
""),
"")</f>
        <v/>
      </c>
      <c r="AV289" s="118" t="str">
        <f>IFERROR(
IF(VLOOKUP($C289,'Employee information'!$B:$M,COLUMNS('Employee information'!$B:$M),0)=22,
IF($E$2="Fortnightly",
ROUND(
ROUND((((TRUNC($AN289/2,0)+0.99))*VLOOKUP((TRUNC($AN289/2,0)+0.99),'Tax scales - NAT 3539'!$A$43:$C$69,2,1)-VLOOKUP((TRUNC($AN289/2,0)+0.99),'Tax scales - NAT 3539'!$A$43:$C$69,3,1)),0)
*2,
0),
IF(AND($E$2="Monthly",ROUND($AN289-TRUNC($AN289),2)=0.33),
ROUND(
ROUND(((TRUNC(($AN289+0.01)*3/13,0)+0.99)*VLOOKUP((TRUNC(($AN289+0.01)*3/13,0)+0.99),'Tax scales - NAT 3539'!$A$43:$C$69,2,1)-VLOOKUP((TRUNC(($AN289+0.01)*3/13,0)+0.99),'Tax scales - NAT 3539'!$A$43:$C$69,3,1)),0)
*13/3,
0),
IF($E$2="Monthly",
ROUND(
ROUND(((TRUNC($AN289*3/13,0)+0.99)*VLOOKUP((TRUNC($AN289*3/13,0)+0.99),'Tax scales - NAT 3539'!$A$43:$C$69,2,1)-VLOOKUP((TRUNC($AN289*3/13,0)+0.99),'Tax scales - NAT 3539'!$A$43:$C$69,3,1)),0)
*13/3,
0),
""))),
""),
"")</f>
        <v/>
      </c>
      <c r="AW289" s="118" t="str">
        <f>IFERROR(
IF(VLOOKUP($C289,'Employee information'!$B:$M,COLUMNS('Employee information'!$B:$M),0)=33,
IF($E$2="Fortnightly",
ROUND(
ROUND((((TRUNC($AN289/2,0)+0.99))*VLOOKUP((TRUNC($AN289/2,0)+0.99),'Tax scales - NAT 3539'!$A$74:$C$94,2,1)-VLOOKUP((TRUNC($AN289/2,0)+0.99),'Tax scales - NAT 3539'!$A$74:$C$94,3,1)),0)
*2,
0),
IF(AND($E$2="Monthly",ROUND($AN289-TRUNC($AN289),2)=0.33),
ROUND(
ROUND(((TRUNC(($AN289+0.01)*3/13,0)+0.99)*VLOOKUP((TRUNC(($AN289+0.01)*3/13,0)+0.99),'Tax scales - NAT 3539'!$A$74:$C$94,2,1)-VLOOKUP((TRUNC(($AN289+0.01)*3/13,0)+0.99),'Tax scales - NAT 3539'!$A$74:$C$94,3,1)),0)
*13/3,
0),
IF($E$2="Monthly",
ROUND(
ROUND(((TRUNC($AN289*3/13,0)+0.99)*VLOOKUP((TRUNC($AN289*3/13,0)+0.99),'Tax scales - NAT 3539'!$A$74:$C$94,2,1)-VLOOKUP((TRUNC($AN289*3/13,0)+0.99),'Tax scales - NAT 3539'!$A$74:$C$94,3,1)),0)
*13/3,
0),
""))),
""),
"")</f>
        <v/>
      </c>
      <c r="AX289" s="118" t="str">
        <f>IFERROR(
IF(VLOOKUP($C289,'Employee information'!$B:$M,COLUMNS('Employee information'!$B:$M),0)=55,
IF($E$2="Fortnightly",
ROUND(
ROUND((((TRUNC($AN289/2,0)+0.99))*VLOOKUP((TRUNC($AN289/2,0)+0.99),'Tax scales - NAT 3539'!$A$99:$C$123,2,1)-VLOOKUP((TRUNC($AN289/2,0)+0.99),'Tax scales - NAT 3539'!$A$99:$C$123,3,1)),0)
*2,
0),
IF(AND($E$2="Monthly",ROUND($AN289-TRUNC($AN289),2)=0.33),
ROUND(
ROUND(((TRUNC(($AN289+0.01)*3/13,0)+0.99)*VLOOKUP((TRUNC(($AN289+0.01)*3/13,0)+0.99),'Tax scales - NAT 3539'!$A$99:$C$123,2,1)-VLOOKUP((TRUNC(($AN289+0.01)*3/13,0)+0.99),'Tax scales - NAT 3539'!$A$99:$C$123,3,1)),0)
*13/3,
0),
IF($E$2="Monthly",
ROUND(
ROUND(((TRUNC($AN289*3/13,0)+0.99)*VLOOKUP((TRUNC($AN289*3/13,0)+0.99),'Tax scales - NAT 3539'!$A$99:$C$123,2,1)-VLOOKUP((TRUNC($AN289*3/13,0)+0.99),'Tax scales - NAT 3539'!$A$99:$C$123,3,1)),0)
*13/3,
0),
""))),
""),
"")</f>
        <v/>
      </c>
      <c r="AY289" s="118" t="str">
        <f>IFERROR(
IF(VLOOKUP($C289,'Employee information'!$B:$M,COLUMNS('Employee information'!$B:$M),0)=66,
IF($E$2="Fortnightly",
ROUND(
ROUND((((TRUNC($AN289/2,0)+0.99))*VLOOKUP((TRUNC($AN289/2,0)+0.99),'Tax scales - NAT 3539'!$A$127:$C$154,2,1)-VLOOKUP((TRUNC($AN289/2,0)+0.99),'Tax scales - NAT 3539'!$A$127:$C$154,3,1)),0)
*2,
0),
IF(AND($E$2="Monthly",ROUND($AN289-TRUNC($AN289),2)=0.33),
ROUND(
ROUND(((TRUNC(($AN289+0.01)*3/13,0)+0.99)*VLOOKUP((TRUNC(($AN289+0.01)*3/13,0)+0.99),'Tax scales - NAT 3539'!$A$127:$C$154,2,1)-VLOOKUP((TRUNC(($AN289+0.01)*3/13,0)+0.99),'Tax scales - NAT 3539'!$A$127:$C$154,3,1)),0)
*13/3,
0),
IF($E$2="Monthly",
ROUND(
ROUND(((TRUNC($AN289*3/13,0)+0.99)*VLOOKUP((TRUNC($AN289*3/13,0)+0.99),'Tax scales - NAT 3539'!$A$127:$C$154,2,1)-VLOOKUP((TRUNC($AN289*3/13,0)+0.99),'Tax scales - NAT 3539'!$A$127:$C$154,3,1)),0)
*13/3,
0),
""))),
""),
"")</f>
        <v/>
      </c>
      <c r="AZ289" s="118">
        <f>IFERROR(
HLOOKUP(VLOOKUP($C289,'Employee information'!$B:$M,COLUMNS('Employee information'!$B:$M),0),'PAYG worksheet'!$AO$271:$AY$290,COUNTA($C$272:$C289)+1,0),
0)</f>
        <v>0</v>
      </c>
      <c r="BA289" s="118"/>
      <c r="BB289" s="118">
        <f t="shared" si="294"/>
        <v>0</v>
      </c>
      <c r="BC289" s="119">
        <f>IFERROR(
IF(OR($AE289=1,$AE289=""),SUM($P289,$AA289,$AC289,$AK289)*VLOOKUP($C289,'Employee information'!$B:$Q,COLUMNS('Employee information'!$B:$H),0),
IF($AE289=0,SUM($P289,$AA289,$AK289)*VLOOKUP($C289,'Employee information'!$B:$Q,COLUMNS('Employee information'!$B:$H),0),
0)),
0)</f>
        <v>0</v>
      </c>
      <c r="BE289" s="114">
        <f t="shared" si="279"/>
        <v>0</v>
      </c>
      <c r="BF289" s="114">
        <f t="shared" si="280"/>
        <v>0</v>
      </c>
      <c r="BG289" s="114">
        <f t="shared" si="281"/>
        <v>0</v>
      </c>
      <c r="BH289" s="114">
        <f t="shared" si="282"/>
        <v>0</v>
      </c>
      <c r="BI289" s="114">
        <f t="shared" si="283"/>
        <v>0</v>
      </c>
      <c r="BJ289" s="114">
        <f t="shared" si="284"/>
        <v>0</v>
      </c>
      <c r="BK289" s="114">
        <f t="shared" si="285"/>
        <v>0</v>
      </c>
      <c r="BL289" s="114">
        <f t="shared" si="295"/>
        <v>0</v>
      </c>
      <c r="BM289" s="114">
        <f t="shared" si="286"/>
        <v>0</v>
      </c>
    </row>
    <row r="290" spans="1:65" x14ac:dyDescent="0.25">
      <c r="A290" s="228">
        <f t="shared" si="274"/>
        <v>10</v>
      </c>
      <c r="C290" s="278"/>
      <c r="E290" s="103">
        <f>IF($C290="",0,
IF(AND($E$2="Monthly",$A290&gt;12),0,
IF($E$2="Monthly",VLOOKUP($C290,'Employee information'!$B:$AM,COLUMNS('Employee information'!$B:S),0),
IF($E$2="Fortnightly",VLOOKUP($C290,'Employee information'!$B:$AM,COLUMNS('Employee information'!$B:R),0),
0))))</f>
        <v>0</v>
      </c>
      <c r="F290" s="106"/>
      <c r="G290" s="106"/>
      <c r="H290" s="106"/>
      <c r="I290" s="106"/>
      <c r="J290" s="103">
        <f t="shared" si="287"/>
        <v>0</v>
      </c>
      <c r="L290" s="113">
        <f>IF(AND($E$2="Monthly",$A290&gt;12),"",
IFERROR($J290*VLOOKUP($C290,'Employee information'!$B:$AI,COLUMNS('Employee information'!$B:$P),0),0))</f>
        <v>0</v>
      </c>
      <c r="M290" s="114">
        <f t="shared" si="288"/>
        <v>0</v>
      </c>
      <c r="O290" s="103">
        <f t="shared" si="289"/>
        <v>0</v>
      </c>
      <c r="P290" s="113">
        <f>IFERROR(
IF(AND($E$2="Monthly",$A290&gt;12),0,
$O290*VLOOKUP($C290,'Employee information'!$B:$AI,COLUMNS('Employee information'!$B:$P),0)),
0)</f>
        <v>0</v>
      </c>
      <c r="R290" s="114">
        <f t="shared" si="275"/>
        <v>0</v>
      </c>
      <c r="T290" s="103"/>
      <c r="U290" s="103"/>
      <c r="V290" s="282" t="str">
        <f>IF($C290="","",
IF(AND($E$2="Monthly",$A290&gt;12),"",
$T290*VLOOKUP($C290,'Employee information'!$B:$P,COLUMNS('Employee information'!$B:$P),0)))</f>
        <v/>
      </c>
      <c r="W290" s="282" t="str">
        <f>IF($C290="","",
IF(AND($E$2="Monthly",$A290&gt;12),"",
$U290*VLOOKUP($C290,'Employee information'!$B:$P,COLUMNS('Employee information'!$B:$P),0)))</f>
        <v/>
      </c>
      <c r="X290" s="114">
        <f t="shared" si="276"/>
        <v>0</v>
      </c>
      <c r="Y290" s="114">
        <f t="shared" si="277"/>
        <v>0</v>
      </c>
      <c r="AA290" s="118">
        <f>IFERROR(
IF(OR('Basic payroll data'!$D$12="",'Basic payroll data'!$D$12="No"),0,
$T290*VLOOKUP($C290,'Employee information'!$B:$P,COLUMNS('Employee information'!$B:$P),0)*AL_loading_perc),
0)</f>
        <v>0</v>
      </c>
      <c r="AC290" s="118"/>
      <c r="AD290" s="118"/>
      <c r="AE290" s="283" t="str">
        <f t="shared" si="290"/>
        <v/>
      </c>
      <c r="AF290" s="283" t="str">
        <f t="shared" si="291"/>
        <v/>
      </c>
      <c r="AG290" s="118"/>
      <c r="AH290" s="118"/>
      <c r="AI290" s="283" t="str">
        <f t="shared" si="292"/>
        <v/>
      </c>
      <c r="AJ290" s="118"/>
      <c r="AK290" s="118"/>
      <c r="AM290" s="118">
        <f t="shared" si="293"/>
        <v>0</v>
      </c>
      <c r="AN290" s="118">
        <f t="shared" si="278"/>
        <v>0</v>
      </c>
      <c r="AO290" s="118" t="str">
        <f>IFERROR(
IF(VLOOKUP($C290,'Employee information'!$B:$M,COLUMNS('Employee information'!$B:$M),0)=1,
IF($E$2="Fortnightly",
ROUND(
ROUND((((TRUNC($AN290/2,0)+0.99))*VLOOKUP((TRUNC($AN290/2,0)+0.99),'Tax scales - NAT 1004'!$A$12:$C$18,2,1)-VLOOKUP((TRUNC($AN290/2,0)+0.99),'Tax scales - NAT 1004'!$A$12:$C$18,3,1)),0)
*2,
0),
IF(AND($E$2="Monthly",ROUND($AN290-TRUNC($AN290),2)=0.33),
ROUND(
ROUND(((TRUNC(($AN290+0.01)*3/13,0)+0.99)*VLOOKUP((TRUNC(($AN290+0.01)*3/13,0)+0.99),'Tax scales - NAT 1004'!$A$12:$C$18,2,1)-VLOOKUP((TRUNC(($AN290+0.01)*3/13,0)+0.99),'Tax scales - NAT 1004'!$A$12:$C$18,3,1)),0)
*13/3,
0),
IF($E$2="Monthly",
ROUND(
ROUND(((TRUNC($AN290*3/13,0)+0.99)*VLOOKUP((TRUNC($AN290*3/13,0)+0.99),'Tax scales - NAT 1004'!$A$12:$C$18,2,1)-VLOOKUP((TRUNC($AN290*3/13,0)+0.99),'Tax scales - NAT 1004'!$A$12:$C$18,3,1)),0)
*13/3,
0),
""))),
""),
"")</f>
        <v/>
      </c>
      <c r="AP290" s="118" t="str">
        <f>IFERROR(
IF(VLOOKUP($C290,'Employee information'!$B:$M,COLUMNS('Employee information'!$B:$M),0)=2,
IF($E$2="Fortnightly",
ROUND(
ROUND((((TRUNC($AN290/2,0)+0.99))*VLOOKUP((TRUNC($AN290/2,0)+0.99),'Tax scales - NAT 1004'!$A$25:$C$33,2,1)-VLOOKUP((TRUNC($AN290/2,0)+0.99),'Tax scales - NAT 1004'!$A$25:$C$33,3,1)),0)
*2,
0),
IF(AND($E$2="Monthly",ROUND($AN290-TRUNC($AN290),2)=0.33),
ROUND(
ROUND(((TRUNC(($AN290+0.01)*3/13,0)+0.99)*VLOOKUP((TRUNC(($AN290+0.01)*3/13,0)+0.99),'Tax scales - NAT 1004'!$A$25:$C$33,2,1)-VLOOKUP((TRUNC(($AN290+0.01)*3/13,0)+0.99),'Tax scales - NAT 1004'!$A$25:$C$33,3,1)),0)
*13/3,
0),
IF($E$2="Monthly",
ROUND(
ROUND(((TRUNC($AN290*3/13,0)+0.99)*VLOOKUP((TRUNC($AN290*3/13,0)+0.99),'Tax scales - NAT 1004'!$A$25:$C$33,2,1)-VLOOKUP((TRUNC($AN290*3/13,0)+0.99),'Tax scales - NAT 1004'!$A$25:$C$33,3,1)),0)
*13/3,
0),
""))),
""),
"")</f>
        <v/>
      </c>
      <c r="AQ290" s="118" t="str">
        <f>IFERROR(
IF(VLOOKUP($C290,'Employee information'!$B:$M,COLUMNS('Employee information'!$B:$M),0)=3,
IF($E$2="Fortnightly",
ROUND(
ROUND((((TRUNC($AN290/2,0)+0.99))*VLOOKUP((TRUNC($AN290/2,0)+0.99),'Tax scales - NAT 1004'!$A$39:$C$41,2,1)-VLOOKUP((TRUNC($AN290/2,0)+0.99),'Tax scales - NAT 1004'!$A$39:$C$41,3,1)),0)
*2,
0),
IF(AND($E$2="Monthly",ROUND($AN290-TRUNC($AN290),2)=0.33),
ROUND(
ROUND(((TRUNC(($AN290+0.01)*3/13,0)+0.99)*VLOOKUP((TRUNC(($AN290+0.01)*3/13,0)+0.99),'Tax scales - NAT 1004'!$A$39:$C$41,2,1)-VLOOKUP((TRUNC(($AN290+0.01)*3/13,0)+0.99),'Tax scales - NAT 1004'!$A$39:$C$41,3,1)),0)
*13/3,
0),
IF($E$2="Monthly",
ROUND(
ROUND(((TRUNC($AN290*3/13,0)+0.99)*VLOOKUP((TRUNC($AN290*3/13,0)+0.99),'Tax scales - NAT 1004'!$A$39:$C$41,2,1)-VLOOKUP((TRUNC($AN290*3/13,0)+0.99),'Tax scales - NAT 1004'!$A$39:$C$41,3,1)),0)
*13/3,
0),
""))),
""),
"")</f>
        <v/>
      </c>
      <c r="AR290" s="118" t="str">
        <f>IFERROR(
IF(AND(VLOOKUP($C290,'Employee information'!$B:$M,COLUMNS('Employee information'!$B:$M),0)=4,
VLOOKUP($C290,'Employee information'!$B:$J,COLUMNS('Employee information'!$B:$J),0)="Resident"),
TRUNC(TRUNC($AN290)*'Tax scales - NAT 1004'!$B$47),
IF(AND(VLOOKUP($C290,'Employee information'!$B:$M,COLUMNS('Employee information'!$B:$M),0)=4,
VLOOKUP($C290,'Employee information'!$B:$J,COLUMNS('Employee information'!$B:$J),0)="Foreign resident"),
TRUNC(TRUNC($AN290)*'Tax scales - NAT 1004'!$B$48),
"")),
"")</f>
        <v/>
      </c>
      <c r="AS290" s="118" t="str">
        <f>IFERROR(
IF(VLOOKUP($C290,'Employee information'!$B:$M,COLUMNS('Employee information'!$B:$M),0)=5,
IF($E$2="Fortnightly",
ROUND(
ROUND((((TRUNC($AN290/2,0)+0.99))*VLOOKUP((TRUNC($AN290/2,0)+0.99),'Tax scales - NAT 1004'!$A$53:$C$59,2,1)-VLOOKUP((TRUNC($AN290/2,0)+0.99),'Tax scales - NAT 1004'!$A$53:$C$59,3,1)),0)
*2,
0),
IF(AND($E$2="Monthly",ROUND($AN290-TRUNC($AN290),2)=0.33),
ROUND(
ROUND(((TRUNC(($AN290+0.01)*3/13,0)+0.99)*VLOOKUP((TRUNC(($AN290+0.01)*3/13,0)+0.99),'Tax scales - NAT 1004'!$A$53:$C$59,2,1)-VLOOKUP((TRUNC(($AN290+0.01)*3/13,0)+0.99),'Tax scales - NAT 1004'!$A$53:$C$59,3,1)),0)
*13/3,
0),
IF($E$2="Monthly",
ROUND(
ROUND(((TRUNC($AN290*3/13,0)+0.99)*VLOOKUP((TRUNC($AN290*3/13,0)+0.99),'Tax scales - NAT 1004'!$A$53:$C$59,2,1)-VLOOKUP((TRUNC($AN290*3/13,0)+0.99),'Tax scales - NAT 1004'!$A$53:$C$59,3,1)),0)
*13/3,
0),
""))),
""),
"")</f>
        <v/>
      </c>
      <c r="AT290" s="118" t="str">
        <f>IFERROR(
IF(VLOOKUP($C290,'Employee information'!$B:$M,COLUMNS('Employee information'!$B:$M),0)=6,
IF($E$2="Fortnightly",
ROUND(
ROUND((((TRUNC($AN290/2,0)+0.99))*VLOOKUP((TRUNC($AN290/2,0)+0.99),'Tax scales - NAT 1004'!$A$65:$C$73,2,1)-VLOOKUP((TRUNC($AN290/2,0)+0.99),'Tax scales - NAT 1004'!$A$65:$C$73,3,1)),0)
*2,
0),
IF(AND($E$2="Monthly",ROUND($AN290-TRUNC($AN290),2)=0.33),
ROUND(
ROUND(((TRUNC(($AN290+0.01)*3/13,0)+0.99)*VLOOKUP((TRUNC(($AN290+0.01)*3/13,0)+0.99),'Tax scales - NAT 1004'!$A$65:$C$73,2,1)-VLOOKUP((TRUNC(($AN290+0.01)*3/13,0)+0.99),'Tax scales - NAT 1004'!$A$65:$C$73,3,1)),0)
*13/3,
0),
IF($E$2="Monthly",
ROUND(
ROUND(((TRUNC($AN290*3/13,0)+0.99)*VLOOKUP((TRUNC($AN290*3/13,0)+0.99),'Tax scales - NAT 1004'!$A$65:$C$73,2,1)-VLOOKUP((TRUNC($AN290*3/13,0)+0.99),'Tax scales - NAT 1004'!$A$65:$C$73,3,1)),0)
*13/3,
0),
""))),
""),
"")</f>
        <v/>
      </c>
      <c r="AU290" s="118" t="str">
        <f>IFERROR(
IF(VLOOKUP($C290,'Employee information'!$B:$M,COLUMNS('Employee information'!$B:$M),0)=11,
IF($E$2="Fortnightly",
ROUND(
ROUND((((TRUNC($AN290/2,0)+0.99))*VLOOKUP((TRUNC($AN290/2,0)+0.99),'Tax scales - NAT 3539'!$A$14:$C$38,2,1)-VLOOKUP((TRUNC($AN290/2,0)+0.99),'Tax scales - NAT 3539'!$A$14:$C$38,3,1)),0)
*2,
0),
IF(AND($E$2="Monthly",ROUND($AN290-TRUNC($AN290),2)=0.33),
ROUND(
ROUND(((TRUNC(($AN290+0.01)*3/13,0)+0.99)*VLOOKUP((TRUNC(($AN290+0.01)*3/13,0)+0.99),'Tax scales - NAT 3539'!$A$14:$C$38,2,1)-VLOOKUP((TRUNC(($AN290+0.01)*3/13,0)+0.99),'Tax scales - NAT 3539'!$A$14:$C$38,3,1)),0)
*13/3,
0),
IF($E$2="Monthly",
ROUND(
ROUND(((TRUNC($AN290*3/13,0)+0.99)*VLOOKUP((TRUNC($AN290*3/13,0)+0.99),'Tax scales - NAT 3539'!$A$14:$C$38,2,1)-VLOOKUP((TRUNC($AN290*3/13,0)+0.99),'Tax scales - NAT 3539'!$A$14:$C$38,3,1)),0)
*13/3,
0),
""))),
""),
"")</f>
        <v/>
      </c>
      <c r="AV290" s="118" t="str">
        <f>IFERROR(
IF(VLOOKUP($C290,'Employee information'!$B:$M,COLUMNS('Employee information'!$B:$M),0)=22,
IF($E$2="Fortnightly",
ROUND(
ROUND((((TRUNC($AN290/2,0)+0.99))*VLOOKUP((TRUNC($AN290/2,0)+0.99),'Tax scales - NAT 3539'!$A$43:$C$69,2,1)-VLOOKUP((TRUNC($AN290/2,0)+0.99),'Tax scales - NAT 3539'!$A$43:$C$69,3,1)),0)
*2,
0),
IF(AND($E$2="Monthly",ROUND($AN290-TRUNC($AN290),2)=0.33),
ROUND(
ROUND(((TRUNC(($AN290+0.01)*3/13,0)+0.99)*VLOOKUP((TRUNC(($AN290+0.01)*3/13,0)+0.99),'Tax scales - NAT 3539'!$A$43:$C$69,2,1)-VLOOKUP((TRUNC(($AN290+0.01)*3/13,0)+0.99),'Tax scales - NAT 3539'!$A$43:$C$69,3,1)),0)
*13/3,
0),
IF($E$2="Monthly",
ROUND(
ROUND(((TRUNC($AN290*3/13,0)+0.99)*VLOOKUP((TRUNC($AN290*3/13,0)+0.99),'Tax scales - NAT 3539'!$A$43:$C$69,2,1)-VLOOKUP((TRUNC($AN290*3/13,0)+0.99),'Tax scales - NAT 3539'!$A$43:$C$69,3,1)),0)
*13/3,
0),
""))),
""),
"")</f>
        <v/>
      </c>
      <c r="AW290" s="118" t="str">
        <f>IFERROR(
IF(VLOOKUP($C290,'Employee information'!$B:$M,COLUMNS('Employee information'!$B:$M),0)=33,
IF($E$2="Fortnightly",
ROUND(
ROUND((((TRUNC($AN290/2,0)+0.99))*VLOOKUP((TRUNC($AN290/2,0)+0.99),'Tax scales - NAT 3539'!$A$74:$C$94,2,1)-VLOOKUP((TRUNC($AN290/2,0)+0.99),'Tax scales - NAT 3539'!$A$74:$C$94,3,1)),0)
*2,
0),
IF(AND($E$2="Monthly",ROUND($AN290-TRUNC($AN290),2)=0.33),
ROUND(
ROUND(((TRUNC(($AN290+0.01)*3/13,0)+0.99)*VLOOKUP((TRUNC(($AN290+0.01)*3/13,0)+0.99),'Tax scales - NAT 3539'!$A$74:$C$94,2,1)-VLOOKUP((TRUNC(($AN290+0.01)*3/13,0)+0.99),'Tax scales - NAT 3539'!$A$74:$C$94,3,1)),0)
*13/3,
0),
IF($E$2="Monthly",
ROUND(
ROUND(((TRUNC($AN290*3/13,0)+0.99)*VLOOKUP((TRUNC($AN290*3/13,0)+0.99),'Tax scales - NAT 3539'!$A$74:$C$94,2,1)-VLOOKUP((TRUNC($AN290*3/13,0)+0.99),'Tax scales - NAT 3539'!$A$74:$C$94,3,1)),0)
*13/3,
0),
""))),
""),
"")</f>
        <v/>
      </c>
      <c r="AX290" s="118" t="str">
        <f>IFERROR(
IF(VLOOKUP($C290,'Employee information'!$B:$M,COLUMNS('Employee information'!$B:$M),0)=55,
IF($E$2="Fortnightly",
ROUND(
ROUND((((TRUNC($AN290/2,0)+0.99))*VLOOKUP((TRUNC($AN290/2,0)+0.99),'Tax scales - NAT 3539'!$A$99:$C$123,2,1)-VLOOKUP((TRUNC($AN290/2,0)+0.99),'Tax scales - NAT 3539'!$A$99:$C$123,3,1)),0)
*2,
0),
IF(AND($E$2="Monthly",ROUND($AN290-TRUNC($AN290),2)=0.33),
ROUND(
ROUND(((TRUNC(($AN290+0.01)*3/13,0)+0.99)*VLOOKUP((TRUNC(($AN290+0.01)*3/13,0)+0.99),'Tax scales - NAT 3539'!$A$99:$C$123,2,1)-VLOOKUP((TRUNC(($AN290+0.01)*3/13,0)+0.99),'Tax scales - NAT 3539'!$A$99:$C$123,3,1)),0)
*13/3,
0),
IF($E$2="Monthly",
ROUND(
ROUND(((TRUNC($AN290*3/13,0)+0.99)*VLOOKUP((TRUNC($AN290*3/13,0)+0.99),'Tax scales - NAT 3539'!$A$99:$C$123,2,1)-VLOOKUP((TRUNC($AN290*3/13,0)+0.99),'Tax scales - NAT 3539'!$A$99:$C$123,3,1)),0)
*13/3,
0),
""))),
""),
"")</f>
        <v/>
      </c>
      <c r="AY290" s="118" t="str">
        <f>IFERROR(
IF(VLOOKUP($C290,'Employee information'!$B:$M,COLUMNS('Employee information'!$B:$M),0)=66,
IF($E$2="Fortnightly",
ROUND(
ROUND((((TRUNC($AN290/2,0)+0.99))*VLOOKUP((TRUNC($AN290/2,0)+0.99),'Tax scales - NAT 3539'!$A$127:$C$154,2,1)-VLOOKUP((TRUNC($AN290/2,0)+0.99),'Tax scales - NAT 3539'!$A$127:$C$154,3,1)),0)
*2,
0),
IF(AND($E$2="Monthly",ROUND($AN290-TRUNC($AN290),2)=0.33),
ROUND(
ROUND(((TRUNC(($AN290+0.01)*3/13,0)+0.99)*VLOOKUP((TRUNC(($AN290+0.01)*3/13,0)+0.99),'Tax scales - NAT 3539'!$A$127:$C$154,2,1)-VLOOKUP((TRUNC(($AN290+0.01)*3/13,0)+0.99),'Tax scales - NAT 3539'!$A$127:$C$154,3,1)),0)
*13/3,
0),
IF($E$2="Monthly",
ROUND(
ROUND(((TRUNC($AN290*3/13,0)+0.99)*VLOOKUP((TRUNC($AN290*3/13,0)+0.99),'Tax scales - NAT 3539'!$A$127:$C$154,2,1)-VLOOKUP((TRUNC($AN290*3/13,0)+0.99),'Tax scales - NAT 3539'!$A$127:$C$154,3,1)),0)
*13/3,
0),
""))),
""),
"")</f>
        <v/>
      </c>
      <c r="AZ290" s="118">
        <f>IFERROR(
HLOOKUP(VLOOKUP($C290,'Employee information'!$B:$M,COLUMNS('Employee information'!$B:$M),0),'PAYG worksheet'!$AO$271:$AY$290,COUNTA($C$272:$C290)+1,0),
0)</f>
        <v>0</v>
      </c>
      <c r="BA290" s="118"/>
      <c r="BB290" s="118">
        <f t="shared" si="294"/>
        <v>0</v>
      </c>
      <c r="BC290" s="119">
        <f>IFERROR(
IF(OR($AE290=1,$AE290=""),SUM($P290,$AA290,$AC290,$AK290)*VLOOKUP($C290,'Employee information'!$B:$Q,COLUMNS('Employee information'!$B:$H),0),
IF($AE290=0,SUM($P290,$AA290,$AK290)*VLOOKUP($C290,'Employee information'!$B:$Q,COLUMNS('Employee information'!$B:$H),0),
0)),
0)</f>
        <v>0</v>
      </c>
      <c r="BE290" s="114">
        <f t="shared" si="279"/>
        <v>0</v>
      </c>
      <c r="BF290" s="114">
        <f t="shared" si="280"/>
        <v>0</v>
      </c>
      <c r="BG290" s="114">
        <f t="shared" si="281"/>
        <v>0</v>
      </c>
      <c r="BH290" s="114">
        <f t="shared" si="282"/>
        <v>0</v>
      </c>
      <c r="BI290" s="114">
        <f t="shared" si="283"/>
        <v>0</v>
      </c>
      <c r="BJ290" s="114">
        <f t="shared" si="284"/>
        <v>0</v>
      </c>
      <c r="BK290" s="114">
        <f t="shared" si="285"/>
        <v>0</v>
      </c>
      <c r="BL290" s="114">
        <f t="shared" si="295"/>
        <v>0</v>
      </c>
      <c r="BM290" s="114">
        <f t="shared" si="286"/>
        <v>0</v>
      </c>
    </row>
    <row r="291" spans="1:65" x14ac:dyDescent="0.25">
      <c r="C291" s="284" t="s">
        <v>39</v>
      </c>
      <c r="D291" s="223"/>
      <c r="E291" s="111">
        <f>SUM(E272:E290)</f>
        <v>345</v>
      </c>
      <c r="F291" s="112">
        <f t="shared" ref="F291:H291" si="296">SUM(F272:F290)</f>
        <v>0</v>
      </c>
      <c r="G291" s="112">
        <f t="shared" si="296"/>
        <v>0</v>
      </c>
      <c r="H291" s="112">
        <f t="shared" si="296"/>
        <v>0</v>
      </c>
      <c r="I291" s="112"/>
      <c r="J291" s="111">
        <f t="shared" ref="J291" si="297">SUM(J272:J290)</f>
        <v>345</v>
      </c>
      <c r="K291" s="223"/>
      <c r="L291" s="115">
        <f>SUM(L272:L290)</f>
        <v>19122.576396206536</v>
      </c>
      <c r="M291" s="115">
        <f>SUM(M272:M290)</f>
        <v>193741.14857744996</v>
      </c>
      <c r="N291" s="223"/>
      <c r="O291" s="116">
        <f>SUM(O272:O290)</f>
        <v>345</v>
      </c>
      <c r="P291" s="117">
        <f>SUM(P272:P290)</f>
        <v>19122.576396206536</v>
      </c>
      <c r="R291" s="117">
        <f>SUM(R272:R290)</f>
        <v>193741.14857744996</v>
      </c>
      <c r="S291" s="223"/>
      <c r="T291" s="116">
        <f>SUM(T272:T290)</f>
        <v>0</v>
      </c>
      <c r="U291" s="116">
        <f t="shared" ref="U291:Y291" si="298">SUM(U272:U290)</f>
        <v>0</v>
      </c>
      <c r="V291" s="285">
        <f t="shared" si="298"/>
        <v>0</v>
      </c>
      <c r="W291" s="285">
        <f t="shared" si="298"/>
        <v>0</v>
      </c>
      <c r="X291" s="285">
        <f t="shared" si="298"/>
        <v>1538.4615384615386</v>
      </c>
      <c r="Y291" s="285">
        <f t="shared" si="298"/>
        <v>801.28205128205127</v>
      </c>
      <c r="Z291" s="223"/>
      <c r="AA291" s="117">
        <f t="shared" ref="AA291" si="299">SUM(AA272:AA290)</f>
        <v>0</v>
      </c>
      <c r="AC291" s="117">
        <f t="shared" ref="AC291" si="300">SUM(AC272:AC290)</f>
        <v>0</v>
      </c>
      <c r="AD291" s="117"/>
      <c r="AE291" s="117"/>
      <c r="AF291" s="117"/>
      <c r="AG291" s="117">
        <f t="shared" ref="AG291" si="301">SUM(AG272:AG290)</f>
        <v>0</v>
      </c>
      <c r="AH291" s="117"/>
      <c r="AI291" s="117"/>
      <c r="AJ291" s="117">
        <f>SUM(AJ272:AJ290)</f>
        <v>0</v>
      </c>
      <c r="AK291" s="117">
        <f>SUM(AK272:AK290)</f>
        <v>0</v>
      </c>
      <c r="AM291" s="117">
        <f t="shared" ref="AM291:AN291" si="302">SUM(AM272:AM290)</f>
        <v>19122.576396206536</v>
      </c>
      <c r="AN291" s="117">
        <f t="shared" si="302"/>
        <v>19122.576396206536</v>
      </c>
      <c r="AO291" s="117"/>
      <c r="AP291" s="117"/>
      <c r="AQ291" s="117"/>
      <c r="AR291" s="117"/>
      <c r="AS291" s="117"/>
      <c r="AT291" s="117"/>
      <c r="AU291" s="117"/>
      <c r="AV291" s="117"/>
      <c r="AW291" s="117"/>
      <c r="AX291" s="117"/>
      <c r="AY291" s="117"/>
      <c r="AZ291" s="117">
        <f>SUM(AZ272:AZ290)</f>
        <v>7481</v>
      </c>
      <c r="BA291" s="117">
        <f>SUM(BA272:BA290)</f>
        <v>0</v>
      </c>
      <c r="BB291" s="117">
        <f>SUM(BB272:BB290)</f>
        <v>11641.576396206534</v>
      </c>
      <c r="BC291" s="117">
        <f t="shared" ref="BC291" si="303">SUM(BC272:BC290)</f>
        <v>1816.6447576396208</v>
      </c>
      <c r="BD291" s="136"/>
      <c r="BE291" s="117">
        <f t="shared" ref="BE291:BM291" si="304">SUM(BE272:BE290)</f>
        <v>193981.14857744996</v>
      </c>
      <c r="BF291" s="117">
        <f t="shared" si="304"/>
        <v>193841.14857744996</v>
      </c>
      <c r="BG291" s="117">
        <f t="shared" si="304"/>
        <v>0</v>
      </c>
      <c r="BH291" s="117">
        <f t="shared" si="304"/>
        <v>140</v>
      </c>
      <c r="BI291" s="117">
        <f t="shared" si="304"/>
        <v>75624</v>
      </c>
      <c r="BJ291" s="117">
        <f t="shared" si="304"/>
        <v>0</v>
      </c>
      <c r="BK291" s="117">
        <f t="shared" si="304"/>
        <v>0</v>
      </c>
      <c r="BL291" s="117">
        <f t="shared" si="304"/>
        <v>100</v>
      </c>
      <c r="BM291" s="117">
        <f t="shared" si="304"/>
        <v>18414.909114857746</v>
      </c>
    </row>
    <row r="293" spans="1:65" x14ac:dyDescent="0.25">
      <c r="B293" s="228">
        <v>11</v>
      </c>
      <c r="C293" s="230" t="s">
        <v>2</v>
      </c>
      <c r="E293" s="232">
        <v>44317</v>
      </c>
      <c r="F293" s="148" t="s">
        <v>91</v>
      </c>
      <c r="L293" s="286"/>
      <c r="T293" s="127"/>
      <c r="U293" s="127"/>
      <c r="V293" s="127"/>
      <c r="W293" s="127"/>
      <c r="X293" s="127"/>
      <c r="Y293" s="127"/>
    </row>
    <row r="294" spans="1:65" x14ac:dyDescent="0.25">
      <c r="C294" s="230" t="s">
        <v>3</v>
      </c>
      <c r="E294" s="232">
        <v>44347</v>
      </c>
      <c r="F294" s="148" t="s">
        <v>90</v>
      </c>
      <c r="G294" s="229"/>
      <c r="H294" s="229"/>
      <c r="I294" s="229"/>
      <c r="J294" s="229"/>
      <c r="L294" s="164"/>
      <c r="T294" s="127"/>
      <c r="U294" s="127"/>
      <c r="V294" s="127"/>
      <c r="W294" s="127"/>
      <c r="X294" s="127"/>
      <c r="Y294" s="127"/>
    </row>
    <row r="295" spans="1:65" x14ac:dyDescent="0.25">
      <c r="C295" s="233"/>
    </row>
    <row r="296" spans="1:65" ht="34.5" customHeight="1" x14ac:dyDescent="0.25">
      <c r="C296" s="234"/>
      <c r="D296" s="235"/>
      <c r="E296" s="441" t="s">
        <v>4</v>
      </c>
      <c r="F296" s="442"/>
      <c r="G296" s="442"/>
      <c r="H296" s="442"/>
      <c r="I296" s="442"/>
      <c r="J296" s="443"/>
      <c r="L296" s="444" t="s">
        <v>253</v>
      </c>
      <c r="M296" s="445"/>
      <c r="N296" s="235"/>
      <c r="O296" s="444" t="s">
        <v>148</v>
      </c>
      <c r="P296" s="445"/>
      <c r="R296" s="235"/>
      <c r="T296" s="446" t="s">
        <v>269</v>
      </c>
      <c r="U296" s="447"/>
      <c r="V296" s="447"/>
      <c r="W296" s="447"/>
      <c r="X296" s="447"/>
      <c r="Y296" s="447"/>
      <c r="Z296" s="447"/>
      <c r="AA296" s="447"/>
      <c r="AC296" s="438" t="s">
        <v>274</v>
      </c>
      <c r="AD296" s="438"/>
      <c r="AE296" s="438"/>
      <c r="AF296" s="438"/>
      <c r="AG296" s="438"/>
      <c r="AH296" s="438"/>
      <c r="AI296" s="438"/>
      <c r="AJ296" s="438"/>
      <c r="AK296" s="438"/>
      <c r="AM296" s="439" t="s">
        <v>270</v>
      </c>
      <c r="AN296" s="439"/>
      <c r="AO296" s="439"/>
      <c r="AP296" s="439"/>
      <c r="AQ296" s="439"/>
      <c r="AR296" s="439"/>
      <c r="AS296" s="439"/>
      <c r="AT296" s="439"/>
      <c r="AU296" s="439"/>
      <c r="AV296" s="439"/>
      <c r="AW296" s="439"/>
      <c r="AX296" s="439"/>
      <c r="AY296" s="439"/>
      <c r="AZ296" s="439"/>
      <c r="BA296" s="439"/>
      <c r="BB296" s="439"/>
      <c r="BC296" s="440"/>
      <c r="BE296" s="439" t="s">
        <v>246</v>
      </c>
      <c r="BF296" s="439"/>
      <c r="BG296" s="439"/>
      <c r="BH296" s="439"/>
      <c r="BI296" s="439"/>
      <c r="BJ296" s="439"/>
      <c r="BK296" s="439"/>
      <c r="BL296" s="439"/>
      <c r="BM296" s="439"/>
    </row>
    <row r="297" spans="1:65" x14ac:dyDescent="0.25">
      <c r="C297" s="236"/>
      <c r="E297" s="229"/>
      <c r="F297" s="229"/>
      <c r="G297" s="229"/>
      <c r="H297" s="229"/>
      <c r="I297" s="229"/>
      <c r="J297" s="229"/>
      <c r="L297" s="164"/>
      <c r="O297" s="229"/>
      <c r="P297" s="164"/>
      <c r="T297" s="127"/>
      <c r="U297" s="127"/>
      <c r="V297" s="127"/>
      <c r="W297" s="127"/>
      <c r="X297" s="127"/>
      <c r="Y297" s="127"/>
      <c r="AA297" s="229"/>
      <c r="AC297" s="229"/>
      <c r="AD297" s="229"/>
      <c r="AE297" s="229"/>
      <c r="AF297" s="229"/>
      <c r="AG297" s="229"/>
      <c r="AH297" s="229"/>
      <c r="AI297" s="229"/>
      <c r="AJ297" s="229"/>
      <c r="AK297" s="127"/>
      <c r="AM297" s="229"/>
      <c r="AN297" s="229"/>
      <c r="AO297" s="229"/>
      <c r="AP297" s="229"/>
      <c r="AQ297" s="229"/>
      <c r="AR297" s="229"/>
      <c r="AS297" s="229"/>
      <c r="AT297" s="229"/>
      <c r="AU297" s="229"/>
      <c r="AV297" s="229"/>
      <c r="AW297" s="229"/>
      <c r="AX297" s="229"/>
      <c r="AY297" s="229"/>
      <c r="AZ297" s="229"/>
      <c r="BA297" s="229"/>
      <c r="BB297" s="229"/>
      <c r="BC297" s="229"/>
    </row>
    <row r="298" spans="1:65" ht="60" x14ac:dyDescent="0.25">
      <c r="C298" s="238" t="s">
        <v>5</v>
      </c>
      <c r="D298" s="239"/>
      <c r="E298" s="240" t="s">
        <v>268</v>
      </c>
      <c r="F298" s="241" t="s">
        <v>271</v>
      </c>
      <c r="G298" s="242" t="s">
        <v>267</v>
      </c>
      <c r="H298" s="243" t="s">
        <v>266</v>
      </c>
      <c r="I298" s="242" t="s">
        <v>265</v>
      </c>
      <c r="J298" s="244" t="s">
        <v>6</v>
      </c>
      <c r="L298" s="245" t="s">
        <v>7</v>
      </c>
      <c r="M298" s="246" t="s">
        <v>254</v>
      </c>
      <c r="N298" s="247"/>
      <c r="O298" s="248" t="s">
        <v>272</v>
      </c>
      <c r="P298" s="249" t="s">
        <v>200</v>
      </c>
      <c r="R298" s="250" t="s">
        <v>151</v>
      </c>
      <c r="T298" s="251" t="s">
        <v>8</v>
      </c>
      <c r="U298" s="252" t="s">
        <v>9</v>
      </c>
      <c r="V298" s="252" t="s">
        <v>120</v>
      </c>
      <c r="W298" s="252" t="s">
        <v>121</v>
      </c>
      <c r="X298" s="253" t="s">
        <v>118</v>
      </c>
      <c r="Y298" s="254" t="s">
        <v>119</v>
      </c>
      <c r="AA298" s="255" t="s">
        <v>84</v>
      </c>
      <c r="AC298" s="256" t="s">
        <v>142</v>
      </c>
      <c r="AD298" s="256" t="s">
        <v>138</v>
      </c>
      <c r="AE298" s="257" t="s">
        <v>147</v>
      </c>
      <c r="AF298" s="257" t="s">
        <v>149</v>
      </c>
      <c r="AG298" s="256" t="s">
        <v>305</v>
      </c>
      <c r="AH298" s="256" t="s">
        <v>306</v>
      </c>
      <c r="AI298" s="257" t="s">
        <v>150</v>
      </c>
      <c r="AJ298" s="258" t="s">
        <v>250</v>
      </c>
      <c r="AK298" s="259" t="s">
        <v>373</v>
      </c>
      <c r="AM298" s="260" t="s">
        <v>256</v>
      </c>
      <c r="AN298" s="261" t="s">
        <v>372</v>
      </c>
      <c r="AO298" s="253" t="s">
        <v>170</v>
      </c>
      <c r="AP298" s="253" t="s">
        <v>171</v>
      </c>
      <c r="AQ298" s="253" t="s">
        <v>172</v>
      </c>
      <c r="AR298" s="253" t="s">
        <v>173</v>
      </c>
      <c r="AS298" s="253" t="s">
        <v>174</v>
      </c>
      <c r="AT298" s="253" t="s">
        <v>175</v>
      </c>
      <c r="AU298" s="262" t="s">
        <v>210</v>
      </c>
      <c r="AV298" s="262" t="s">
        <v>211</v>
      </c>
      <c r="AW298" s="262" t="s">
        <v>212</v>
      </c>
      <c r="AX298" s="262" t="s">
        <v>213</v>
      </c>
      <c r="AY298" s="263" t="s">
        <v>214</v>
      </c>
      <c r="AZ298" s="264" t="s">
        <v>111</v>
      </c>
      <c r="BA298" s="265" t="s">
        <v>199</v>
      </c>
      <c r="BB298" s="252" t="s">
        <v>223</v>
      </c>
      <c r="BC298" s="260" t="s">
        <v>112</v>
      </c>
      <c r="BE298" s="260" t="s">
        <v>257</v>
      </c>
      <c r="BF298" s="266" t="s">
        <v>255</v>
      </c>
      <c r="BG298" s="262" t="s">
        <v>247</v>
      </c>
      <c r="BH298" s="262" t="s">
        <v>248</v>
      </c>
      <c r="BI298" s="260" t="s">
        <v>249</v>
      </c>
      <c r="BJ298" s="253" t="s">
        <v>199</v>
      </c>
      <c r="BK298" s="262" t="s">
        <v>251</v>
      </c>
      <c r="BL298" s="259" t="s">
        <v>373</v>
      </c>
      <c r="BM298" s="260" t="s">
        <v>252</v>
      </c>
    </row>
    <row r="299" spans="1:65" x14ac:dyDescent="0.25">
      <c r="T299" s="120"/>
      <c r="U299" s="120"/>
      <c r="V299" s="120"/>
      <c r="W299" s="120"/>
      <c r="X299" s="120"/>
      <c r="Y299" s="120"/>
      <c r="AM299" s="267" t="s">
        <v>322</v>
      </c>
      <c r="AN299" s="237"/>
      <c r="AO299" s="237"/>
      <c r="AP299" s="237"/>
      <c r="AQ299" s="237"/>
      <c r="AR299" s="237"/>
      <c r="AS299" s="237"/>
      <c r="AT299" s="237"/>
      <c r="AU299" s="237"/>
      <c r="AV299" s="237"/>
      <c r="AW299" s="237"/>
      <c r="AX299" s="237"/>
      <c r="AY299" s="237"/>
      <c r="AZ299" s="436" t="s">
        <v>320</v>
      </c>
      <c r="BA299" s="437"/>
      <c r="BB299" s="237"/>
      <c r="BC299" s="267" t="s">
        <v>321</v>
      </c>
    </row>
    <row r="300" spans="1:65" x14ac:dyDescent="0.25">
      <c r="A300" s="228">
        <f t="shared" ref="A300:A319" si="305">IF($E$294="","",$B$293)</f>
        <v>11</v>
      </c>
      <c r="C300" s="268"/>
      <c r="D300" s="239"/>
      <c r="E300" s="269"/>
      <c r="F300" s="270"/>
      <c r="G300" s="271"/>
      <c r="H300" s="272"/>
      <c r="I300" s="271"/>
      <c r="J300" s="273"/>
      <c r="O300" s="274"/>
      <c r="P300" s="247"/>
      <c r="T300" s="271"/>
      <c r="U300" s="271"/>
      <c r="V300" s="275"/>
      <c r="W300" s="269"/>
      <c r="X300" s="269"/>
      <c r="Y300" s="269"/>
      <c r="AA300" s="271"/>
      <c r="AC300" s="271"/>
      <c r="AD300" s="271"/>
      <c r="AE300" s="271"/>
      <c r="AF300" s="271"/>
      <c r="AG300" s="271"/>
      <c r="AH300" s="271"/>
      <c r="AI300" s="271"/>
      <c r="AJ300" s="271"/>
      <c r="AK300" s="275"/>
      <c r="AM300" s="271"/>
      <c r="AN300" s="271"/>
      <c r="AO300" s="276">
        <v>1</v>
      </c>
      <c r="AP300" s="276">
        <v>2</v>
      </c>
      <c r="AQ300" s="276">
        <v>3</v>
      </c>
      <c r="AR300" s="277">
        <v>4</v>
      </c>
      <c r="AS300" s="276">
        <v>5</v>
      </c>
      <c r="AT300" s="276">
        <v>6</v>
      </c>
      <c r="AU300" s="276">
        <v>11</v>
      </c>
      <c r="AV300" s="276">
        <v>22</v>
      </c>
      <c r="AW300" s="276">
        <v>33</v>
      </c>
      <c r="AX300" s="276">
        <v>55</v>
      </c>
      <c r="AY300" s="276">
        <v>66</v>
      </c>
      <c r="AZ300" s="271"/>
      <c r="BA300" s="271"/>
      <c r="BB300" s="271"/>
      <c r="BC300" s="273"/>
    </row>
    <row r="301" spans="1:65" x14ac:dyDescent="0.25">
      <c r="A301" s="228">
        <f t="shared" si="305"/>
        <v>11</v>
      </c>
      <c r="C301" s="278" t="s">
        <v>12</v>
      </c>
      <c r="E301" s="103">
        <f>IF($C301="",0,
IF(AND($E$2="Monthly",$A301&gt;12),0,
IF($E$2="Monthly",VLOOKUP($C301,'Employee information'!$B:$AM,COLUMNS('Employee information'!$B:S),0),
IF($E$2="Fortnightly",VLOOKUP($C301,'Employee information'!$B:$AM,COLUMNS('Employee information'!$B:R),0),
0))))</f>
        <v>75</v>
      </c>
      <c r="F301" s="279"/>
      <c r="G301" s="106"/>
      <c r="H301" s="280"/>
      <c r="I301" s="106"/>
      <c r="J301" s="103">
        <f>IF($E$2="Monthly",
IF(AND($E$2="Monthly",$H301&lt;&gt;""),$H301,
IF(AND($E$2="Monthly",$E301=0),SUM($F301:$G301),
$E301)),
IF($E$2="Fortnightly",
IF(AND($E$2="Fortnightly",$H301&lt;&gt;""),$H301,
IF(AND($E$2="Fortnightly",$F301&lt;&gt;"",$E301&lt;&gt;0),$F301,
IF(AND($E$2="Fortnightly",$E301=0),SUM($F301:$G301),
$E301)))))</f>
        <v>75</v>
      </c>
      <c r="L301" s="113">
        <f>IF(AND($E$2="Monthly",$A301&gt;12),"",
IFERROR($J301*VLOOKUP($C301,'Employee information'!$B:$AI,COLUMNS('Employee information'!$B:$P),0),0))</f>
        <v>3697.576396206533</v>
      </c>
      <c r="M301" s="114">
        <f>IF(AND($E$2="Monthly",$A301&gt;12),"",
SUMIFS($L:$L,$C:$C,$C301,$A:$A,"&lt;="&amp;$A301)
)</f>
        <v>40673.34035827186</v>
      </c>
      <c r="O301" s="103">
        <f>IF($E$2="Monthly",
IF(AND($E$2="Monthly",$H301&lt;&gt;""),$H301,
IF(AND($E$2="Monthly",$E301=0),$F301,
$E301)),
IF($E$2="Fortnightly",
IF(AND($E$2="Fortnightly",$H301&lt;&gt;""),$H301,
IF(AND($E$2="Fortnightly",$F301&lt;&gt;"",$E301&lt;&gt;0),$F301,
IF(AND($E$2="Fortnightly",$E301=0),$F301,
$E301)))))</f>
        <v>75</v>
      </c>
      <c r="P301" s="113">
        <f>IFERROR(
IF(AND($E$2="Monthly",$A301&gt;12),0,
$O301*VLOOKUP($C301,'Employee information'!$B:$AI,COLUMNS('Employee information'!$B:$P),0)),
0)</f>
        <v>3697.576396206533</v>
      </c>
      <c r="R301" s="114">
        <f t="shared" ref="R301:R319" si="306">IF(AND($E$2="Monthly",$A301&gt;12),"",
SUMIFS($P:$P,$C:$C,$C301,$A:$A,"&lt;="&amp;$A301)
)</f>
        <v>40673.34035827186</v>
      </c>
      <c r="T301" s="281"/>
      <c r="U301" s="103"/>
      <c r="V301" s="282">
        <f>IF($C301="","",
IF(AND($E$2="Monthly",$A301&gt;12),"",
$T301*VLOOKUP($C301,'Employee information'!$B:$P,COLUMNS('Employee information'!$B:$P),0)))</f>
        <v>0</v>
      </c>
      <c r="W301" s="282">
        <f>IF($C301="","",
IF(AND($E$2="Monthly",$A301&gt;12),"",
$U301*VLOOKUP($C301,'Employee information'!$B:$P,COLUMNS('Employee information'!$B:$P),0)))</f>
        <v>0</v>
      </c>
      <c r="X301" s="114">
        <f t="shared" ref="X301:X319" si="307">IF(AND($E$2="Monthly",$A301&gt;12),"",
SUMIFS($V:$V,$C:$C,$C301,$A:$A,"&lt;="&amp;$A301)
)</f>
        <v>0</v>
      </c>
      <c r="Y301" s="114">
        <f t="shared" ref="Y301:Y319" si="308">IF(AND($E$2="Monthly",$A301&gt;12),"",
SUMIFS($W:$W,$C:$C,$C301,$A:$A,"&lt;="&amp;$A301)
)</f>
        <v>0</v>
      </c>
      <c r="AA301" s="118">
        <f>IFERROR(
IF(OR('Basic payroll data'!$D$12="",'Basic payroll data'!$D$12="No"),0,
$T301*VLOOKUP($C301,'Employee information'!$B:$P,COLUMNS('Employee information'!$B:$P),0)*AL_loading_perc),
0)</f>
        <v>0</v>
      </c>
      <c r="AC301" s="118"/>
      <c r="AD301" s="118"/>
      <c r="AE301" s="283" t="str">
        <f>IF(LEFT($AD301,6)="Is OTE",1,
IF(LEFT($AD301,10)="Is not OTE",0,
""))</f>
        <v/>
      </c>
      <c r="AF301" s="283" t="str">
        <f>IF(RIGHT($AD301,12)="tax withheld",1,
IF(RIGHT($AD301,16)="tax not withheld",0,
""))</f>
        <v/>
      </c>
      <c r="AG301" s="118"/>
      <c r="AH301" s="118"/>
      <c r="AI301" s="283" t="str">
        <f>IF($AH301="FBT",0,
IF($AH301="Not FBT",1,
""))</f>
        <v/>
      </c>
      <c r="AJ301" s="118"/>
      <c r="AK301" s="118"/>
      <c r="AM301" s="118">
        <f>SUM($L301,$AA301,$AC301,$AG301,$AK301)-$AJ301</f>
        <v>3697.576396206533</v>
      </c>
      <c r="AN301" s="118">
        <f t="shared" ref="AN301:AN319" si="309">IF(AND(OR($AF301=1,$AF301=""),OR($AI301=1,$AI301="")),SUM($L301,$AA301,$AC301,$AG301,$AK301)-$AJ301,
IF(AND(OR($AF301=1,$AF301=""),$AI301=0),SUM($L301,$AA301,$AC301,$AK301)-$AJ301,
IF(AND($AF301=0,OR($AI301=1,$AI301="")),SUM($L301,$AA301,$AG301,$AK301)-$AJ301,
IF(AND($AF301=0,$AI301=0),SUM($L301,$AA301,$AK301)-$AJ301,
""))))</f>
        <v>3697.576396206533</v>
      </c>
      <c r="AO301" s="118" t="str">
        <f>IFERROR(
IF(VLOOKUP($C301,'Employee information'!$B:$M,COLUMNS('Employee information'!$B:$M),0)=1,
IF($E$2="Fortnightly",
ROUND(
ROUND((((TRUNC($AN301/2,0)+0.99))*VLOOKUP((TRUNC($AN301/2,0)+0.99),'Tax scales - NAT 1004'!$A$12:$C$18,2,1)-VLOOKUP((TRUNC($AN301/2,0)+0.99),'Tax scales - NAT 1004'!$A$12:$C$18,3,1)),0)
*2,
0),
IF(AND($E$2="Monthly",ROUND($AN301-TRUNC($AN301),2)=0.33),
ROUND(
ROUND(((TRUNC(($AN301+0.01)*3/13,0)+0.99)*VLOOKUP((TRUNC(($AN301+0.01)*3/13,0)+0.99),'Tax scales - NAT 1004'!$A$12:$C$18,2,1)-VLOOKUP((TRUNC(($AN301+0.01)*3/13,0)+0.99),'Tax scales - NAT 1004'!$A$12:$C$18,3,1)),0)
*13/3,
0),
IF($E$2="Monthly",
ROUND(
ROUND(((TRUNC($AN301*3/13,0)+0.99)*VLOOKUP((TRUNC($AN301*3/13,0)+0.99),'Tax scales - NAT 1004'!$A$12:$C$18,2,1)-VLOOKUP((TRUNC($AN301*3/13,0)+0.99),'Tax scales - NAT 1004'!$A$12:$C$18,3,1)),0)
*13/3,
0),
""))),
""),
"")</f>
        <v/>
      </c>
      <c r="AP301" s="118" t="str">
        <f>IFERROR(
IF(VLOOKUP($C301,'Employee information'!$B:$M,COLUMNS('Employee information'!$B:$M),0)=2,
IF($E$2="Fortnightly",
ROUND(
ROUND((((TRUNC($AN301/2,0)+0.99))*VLOOKUP((TRUNC($AN301/2,0)+0.99),'Tax scales - NAT 1004'!$A$25:$C$33,2,1)-VLOOKUP((TRUNC($AN301/2,0)+0.99),'Tax scales - NAT 1004'!$A$25:$C$33,3,1)),0)
*2,
0),
IF(AND($E$2="Monthly",ROUND($AN301-TRUNC($AN301),2)=0.33),
ROUND(
ROUND(((TRUNC(($AN301+0.01)*3/13,0)+0.99)*VLOOKUP((TRUNC(($AN301+0.01)*3/13,0)+0.99),'Tax scales - NAT 1004'!$A$25:$C$33,2,1)-VLOOKUP((TRUNC(($AN301+0.01)*3/13,0)+0.99),'Tax scales - NAT 1004'!$A$25:$C$33,3,1)),0)
*13/3,
0),
IF($E$2="Monthly",
ROUND(
ROUND(((TRUNC($AN301*3/13,0)+0.99)*VLOOKUP((TRUNC($AN301*3/13,0)+0.99),'Tax scales - NAT 1004'!$A$25:$C$33,2,1)-VLOOKUP((TRUNC($AN301*3/13,0)+0.99),'Tax scales - NAT 1004'!$A$25:$C$33,3,1)),0)
*13/3,
0),
""))),
""),
"")</f>
        <v/>
      </c>
      <c r="AQ301" s="118" t="str">
        <f>IFERROR(
IF(VLOOKUP($C301,'Employee information'!$B:$M,COLUMNS('Employee information'!$B:$M),0)=3,
IF($E$2="Fortnightly",
ROUND(
ROUND((((TRUNC($AN301/2,0)+0.99))*VLOOKUP((TRUNC($AN301/2,0)+0.99),'Tax scales - NAT 1004'!$A$39:$C$41,2,1)-VLOOKUP((TRUNC($AN301/2,0)+0.99),'Tax scales - NAT 1004'!$A$39:$C$41,3,1)),0)
*2,
0),
IF(AND($E$2="Monthly",ROUND($AN301-TRUNC($AN301),2)=0.33),
ROUND(
ROUND(((TRUNC(($AN301+0.01)*3/13,0)+0.99)*VLOOKUP((TRUNC(($AN301+0.01)*3/13,0)+0.99),'Tax scales - NAT 1004'!$A$39:$C$41,2,1)-VLOOKUP((TRUNC(($AN301+0.01)*3/13,0)+0.99),'Tax scales - NAT 1004'!$A$39:$C$41,3,1)),0)
*13/3,
0),
IF($E$2="Monthly",
ROUND(
ROUND(((TRUNC($AN301*3/13,0)+0.99)*VLOOKUP((TRUNC($AN301*3/13,0)+0.99),'Tax scales - NAT 1004'!$A$39:$C$41,2,1)-VLOOKUP((TRUNC($AN301*3/13,0)+0.99),'Tax scales - NAT 1004'!$A$39:$C$41,3,1)),0)
*13/3,
0),
""))),
""),
"")</f>
        <v/>
      </c>
      <c r="AR301" s="118" t="str">
        <f>IFERROR(
IF(AND(VLOOKUP($C301,'Employee information'!$B:$M,COLUMNS('Employee information'!$B:$M),0)=4,
VLOOKUP($C301,'Employee information'!$B:$J,COLUMNS('Employee information'!$B:$J),0)="Resident"),
TRUNC(TRUNC($AN301)*'Tax scales - NAT 1004'!$B$47),
IF(AND(VLOOKUP($C301,'Employee information'!$B:$M,COLUMNS('Employee information'!$B:$M),0)=4,
VLOOKUP($C301,'Employee information'!$B:$J,COLUMNS('Employee information'!$B:$J),0)="Foreign resident"),
TRUNC(TRUNC($AN301)*'Tax scales - NAT 1004'!$B$48),
"")),
"")</f>
        <v/>
      </c>
      <c r="AS301" s="118" t="str">
        <f>IFERROR(
IF(VLOOKUP($C301,'Employee information'!$B:$M,COLUMNS('Employee information'!$B:$M),0)=5,
IF($E$2="Fortnightly",
ROUND(
ROUND((((TRUNC($AN301/2,0)+0.99))*VLOOKUP((TRUNC($AN301/2,0)+0.99),'Tax scales - NAT 1004'!$A$53:$C$59,2,1)-VLOOKUP((TRUNC($AN301/2,0)+0.99),'Tax scales - NAT 1004'!$A$53:$C$59,3,1)),0)
*2,
0),
IF(AND($E$2="Monthly",ROUND($AN301-TRUNC($AN301),2)=0.33),
ROUND(
ROUND(((TRUNC(($AN301+0.01)*3/13,0)+0.99)*VLOOKUP((TRUNC(($AN301+0.01)*3/13,0)+0.99),'Tax scales - NAT 1004'!$A$53:$C$59,2,1)-VLOOKUP((TRUNC(($AN301+0.01)*3/13,0)+0.99),'Tax scales - NAT 1004'!$A$53:$C$59,3,1)),0)
*13/3,
0),
IF($E$2="Monthly",
ROUND(
ROUND(((TRUNC($AN301*3/13,0)+0.99)*VLOOKUP((TRUNC($AN301*3/13,0)+0.99),'Tax scales - NAT 1004'!$A$53:$C$59,2,1)-VLOOKUP((TRUNC($AN301*3/13,0)+0.99),'Tax scales - NAT 1004'!$A$53:$C$59,3,1)),0)
*13/3,
0),
""))),
""),
"")</f>
        <v/>
      </c>
      <c r="AT301" s="118" t="str">
        <f>IFERROR(
IF(VLOOKUP($C301,'Employee information'!$B:$M,COLUMNS('Employee information'!$B:$M),0)=6,
IF($E$2="Fortnightly",
ROUND(
ROUND((((TRUNC($AN301/2,0)+0.99))*VLOOKUP((TRUNC($AN301/2,0)+0.99),'Tax scales - NAT 1004'!$A$65:$C$73,2,1)-VLOOKUP((TRUNC($AN301/2,0)+0.99),'Tax scales - NAT 1004'!$A$65:$C$73,3,1)),0)
*2,
0),
IF(AND($E$2="Monthly",ROUND($AN301-TRUNC($AN301),2)=0.33),
ROUND(
ROUND(((TRUNC(($AN301+0.01)*3/13,0)+0.99)*VLOOKUP((TRUNC(($AN301+0.01)*3/13,0)+0.99),'Tax scales - NAT 1004'!$A$65:$C$73,2,1)-VLOOKUP((TRUNC(($AN301+0.01)*3/13,0)+0.99),'Tax scales - NAT 1004'!$A$65:$C$73,3,1)),0)
*13/3,
0),
IF($E$2="Monthly",
ROUND(
ROUND(((TRUNC($AN301*3/13,0)+0.99)*VLOOKUP((TRUNC($AN301*3/13,0)+0.99),'Tax scales - NAT 1004'!$A$65:$C$73,2,1)-VLOOKUP((TRUNC($AN301*3/13,0)+0.99),'Tax scales - NAT 1004'!$A$65:$C$73,3,1)),0)
*13/3,
0),
""))),
""),
"")</f>
        <v/>
      </c>
      <c r="AU301" s="118">
        <f>IFERROR(
IF(VLOOKUP($C301,'Employee information'!$B:$M,COLUMNS('Employee information'!$B:$M),0)=11,
IF($E$2="Fortnightly",
ROUND(
ROUND((((TRUNC($AN301/2,0)+0.99))*VLOOKUP((TRUNC($AN301/2,0)+0.99),'Tax scales - NAT 3539'!$A$14:$C$38,2,1)-VLOOKUP((TRUNC($AN301/2,0)+0.99),'Tax scales - NAT 3539'!$A$14:$C$38,3,1)),0)
*2,
0),
IF(AND($E$2="Monthly",ROUND($AN301-TRUNC($AN301),2)=0.33),
ROUND(
ROUND(((TRUNC(($AN301+0.01)*3/13,0)+0.99)*VLOOKUP((TRUNC(($AN301+0.01)*3/13,0)+0.99),'Tax scales - NAT 3539'!$A$14:$C$38,2,1)-VLOOKUP((TRUNC(($AN301+0.01)*3/13,0)+0.99),'Tax scales - NAT 3539'!$A$14:$C$38,3,1)),0)
*13/3,
0),
IF($E$2="Monthly",
ROUND(
ROUND(((TRUNC($AN301*3/13,0)+0.99)*VLOOKUP((TRUNC($AN301*3/13,0)+0.99),'Tax scales - NAT 3539'!$A$14:$C$38,2,1)-VLOOKUP((TRUNC($AN301*3/13,0)+0.99),'Tax scales - NAT 3539'!$A$14:$C$38,3,1)),0)
*13/3,
0),
""))),
""),
"")</f>
        <v>1448</v>
      </c>
      <c r="AV301" s="118" t="str">
        <f>IFERROR(
IF(VLOOKUP($C301,'Employee information'!$B:$M,COLUMNS('Employee information'!$B:$M),0)=22,
IF($E$2="Fortnightly",
ROUND(
ROUND((((TRUNC($AN301/2,0)+0.99))*VLOOKUP((TRUNC($AN301/2,0)+0.99),'Tax scales - NAT 3539'!$A$43:$C$69,2,1)-VLOOKUP((TRUNC($AN301/2,0)+0.99),'Tax scales - NAT 3539'!$A$43:$C$69,3,1)),0)
*2,
0),
IF(AND($E$2="Monthly",ROUND($AN301-TRUNC($AN301),2)=0.33),
ROUND(
ROUND(((TRUNC(($AN301+0.01)*3/13,0)+0.99)*VLOOKUP((TRUNC(($AN301+0.01)*3/13,0)+0.99),'Tax scales - NAT 3539'!$A$43:$C$69,2,1)-VLOOKUP((TRUNC(($AN301+0.01)*3/13,0)+0.99),'Tax scales - NAT 3539'!$A$43:$C$69,3,1)),0)
*13/3,
0),
IF($E$2="Monthly",
ROUND(
ROUND(((TRUNC($AN301*3/13,0)+0.99)*VLOOKUP((TRUNC($AN301*3/13,0)+0.99),'Tax scales - NAT 3539'!$A$43:$C$69,2,1)-VLOOKUP((TRUNC($AN301*3/13,0)+0.99),'Tax scales - NAT 3539'!$A$43:$C$69,3,1)),0)
*13/3,
0),
""))),
""),
"")</f>
        <v/>
      </c>
      <c r="AW301" s="118" t="str">
        <f>IFERROR(
IF(VLOOKUP($C301,'Employee information'!$B:$M,COLUMNS('Employee information'!$B:$M),0)=33,
IF($E$2="Fortnightly",
ROUND(
ROUND((((TRUNC($AN301/2,0)+0.99))*VLOOKUP((TRUNC($AN301/2,0)+0.99),'Tax scales - NAT 3539'!$A$74:$C$94,2,1)-VLOOKUP((TRUNC($AN301/2,0)+0.99),'Tax scales - NAT 3539'!$A$74:$C$94,3,1)),0)
*2,
0),
IF(AND($E$2="Monthly",ROUND($AN301-TRUNC($AN301),2)=0.33),
ROUND(
ROUND(((TRUNC(($AN301+0.01)*3/13,0)+0.99)*VLOOKUP((TRUNC(($AN301+0.01)*3/13,0)+0.99),'Tax scales - NAT 3539'!$A$74:$C$94,2,1)-VLOOKUP((TRUNC(($AN301+0.01)*3/13,0)+0.99),'Tax scales - NAT 3539'!$A$74:$C$94,3,1)),0)
*13/3,
0),
IF($E$2="Monthly",
ROUND(
ROUND(((TRUNC($AN301*3/13,0)+0.99)*VLOOKUP((TRUNC($AN301*3/13,0)+0.99),'Tax scales - NAT 3539'!$A$74:$C$94,2,1)-VLOOKUP((TRUNC($AN301*3/13,0)+0.99),'Tax scales - NAT 3539'!$A$74:$C$94,3,1)),0)
*13/3,
0),
""))),
""),
"")</f>
        <v/>
      </c>
      <c r="AX301" s="118" t="str">
        <f>IFERROR(
IF(VLOOKUP($C301,'Employee information'!$B:$M,COLUMNS('Employee information'!$B:$M),0)=55,
IF($E$2="Fortnightly",
ROUND(
ROUND((((TRUNC($AN301/2,0)+0.99))*VLOOKUP((TRUNC($AN301/2,0)+0.99),'Tax scales - NAT 3539'!$A$99:$C$123,2,1)-VLOOKUP((TRUNC($AN301/2,0)+0.99),'Tax scales - NAT 3539'!$A$99:$C$123,3,1)),0)
*2,
0),
IF(AND($E$2="Monthly",ROUND($AN301-TRUNC($AN301),2)=0.33),
ROUND(
ROUND(((TRUNC(($AN301+0.01)*3/13,0)+0.99)*VLOOKUP((TRUNC(($AN301+0.01)*3/13,0)+0.99),'Tax scales - NAT 3539'!$A$99:$C$123,2,1)-VLOOKUP((TRUNC(($AN301+0.01)*3/13,0)+0.99),'Tax scales - NAT 3539'!$A$99:$C$123,3,1)),0)
*13/3,
0),
IF($E$2="Monthly",
ROUND(
ROUND(((TRUNC($AN301*3/13,0)+0.99)*VLOOKUP((TRUNC($AN301*3/13,0)+0.99),'Tax scales - NAT 3539'!$A$99:$C$123,2,1)-VLOOKUP((TRUNC($AN301*3/13,0)+0.99),'Tax scales - NAT 3539'!$A$99:$C$123,3,1)),0)
*13/3,
0),
""))),
""),
"")</f>
        <v/>
      </c>
      <c r="AY301" s="118" t="str">
        <f>IFERROR(
IF(VLOOKUP($C301,'Employee information'!$B:$M,COLUMNS('Employee information'!$B:$M),0)=66,
IF($E$2="Fortnightly",
ROUND(
ROUND((((TRUNC($AN301/2,0)+0.99))*VLOOKUP((TRUNC($AN301/2,0)+0.99),'Tax scales - NAT 3539'!$A$127:$C$154,2,1)-VLOOKUP((TRUNC($AN301/2,0)+0.99),'Tax scales - NAT 3539'!$A$127:$C$154,3,1)),0)
*2,
0),
IF(AND($E$2="Monthly",ROUND($AN301-TRUNC($AN301),2)=0.33),
ROUND(
ROUND(((TRUNC(($AN301+0.01)*3/13,0)+0.99)*VLOOKUP((TRUNC(($AN301+0.01)*3/13,0)+0.99),'Tax scales - NAT 3539'!$A$127:$C$154,2,1)-VLOOKUP((TRUNC(($AN301+0.01)*3/13,0)+0.99),'Tax scales - NAT 3539'!$A$127:$C$154,3,1)),0)
*13/3,
0),
IF($E$2="Monthly",
ROUND(
ROUND(((TRUNC($AN301*3/13,0)+0.99)*VLOOKUP((TRUNC($AN301*3/13,0)+0.99),'Tax scales - NAT 3539'!$A$127:$C$154,2,1)-VLOOKUP((TRUNC($AN301*3/13,0)+0.99),'Tax scales - NAT 3539'!$A$127:$C$154,3,1)),0)
*13/3,
0),
""))),
""),
"")</f>
        <v/>
      </c>
      <c r="AZ301" s="118">
        <f>IFERROR(
HLOOKUP(VLOOKUP($C301,'Employee information'!$B:$M,COLUMNS('Employee information'!$B:$M),0),'PAYG worksheet'!$AO$300:$AY$319,COUNTA($C$301:$C301)+1,0),
0)</f>
        <v>1448</v>
      </c>
      <c r="BA301" s="118"/>
      <c r="BB301" s="118">
        <f>IFERROR($AM301-$AZ301-$BA301,"")</f>
        <v>2249.576396206533</v>
      </c>
      <c r="BC301" s="119">
        <f>IFERROR(
IF(OR($AE301=1,$AE301=""),SUM($P301,$AA301,$AC301,$AK301)*VLOOKUP($C301,'Employee information'!$B:$Q,COLUMNS('Employee information'!$B:$H),0),
IF($AE301=0,SUM($P301,$AA301,$AK301)*VLOOKUP($C301,'Employee information'!$B:$Q,COLUMNS('Employee information'!$B:$H),0),
0)),
0)</f>
        <v>351.26975763962065</v>
      </c>
      <c r="BE301" s="114">
        <f t="shared" ref="BE301:BE319" si="310">IF(AND($E$2="Monthly",$A301&gt;12),"",
SUMIFS($AM:$AM,$C:$C,$C301,$A:$A,"&lt;="&amp;$A301)
)</f>
        <v>40673.34035827186</v>
      </c>
      <c r="BF301" s="114">
        <f t="shared" ref="BF301:BF319" si="311">IF(AND($E$2="Monthly",$A301&gt;12),"",
SUMIFS($AN:$AN,$C:$C,$C301,$A:$A,"&lt;="&amp;$A301)
)</f>
        <v>40673.34035827186</v>
      </c>
      <c r="BG301" s="114">
        <f t="shared" ref="BG301:BG319" si="312">IF(AND($E$2="Monthly",$A301&gt;12),"",
SUMIFS($AC:$AC,$C:$C,$C301,$A:$A,"&lt;="&amp;$A301)
)</f>
        <v>0</v>
      </c>
      <c r="BH301" s="114">
        <f t="shared" ref="BH301:BH319" si="313">IF(AND($E$2="Monthly",$A301&gt;12),"",
SUMIFS($AG:$AG,$C:$C,$C301,$A:$A,"&lt;="&amp;$A301)
)</f>
        <v>0</v>
      </c>
      <c r="BI301" s="114">
        <f t="shared" ref="BI301:BI319" si="314">IF(AND($E$2="Monthly",$A301&gt;12),"",
SUMIFS($AZ:$AZ,$C:$C,$C301,$A:$A,"&lt;="&amp;$A301)
)</f>
        <v>15928</v>
      </c>
      <c r="BJ301" s="114">
        <f t="shared" ref="BJ301:BJ319" si="315">IF(AND($E$2="Monthly",$A301&gt;12),"",
SUMIFS($BA:$BA,$C:$C,$C301,$A:$A,"&lt;="&amp;$A301)
)</f>
        <v>0</v>
      </c>
      <c r="BK301" s="114">
        <f t="shared" ref="BK301:BK319" si="316">IF(AND($E$2="Monthly",$A301&gt;12),"",
SUMIFS($AJ:$AJ,$C:$C,$C301,$A:$A,"&lt;="&amp;$A301)
)</f>
        <v>0</v>
      </c>
      <c r="BL301" s="114">
        <f>IF(AND($E$2="Monthly",$A301&gt;12),"",
SUMIFS($AK:$AK,$C:$C,$C301,$A:$A,"&lt;="&amp;$A301)
)</f>
        <v>0</v>
      </c>
      <c r="BM301" s="114">
        <f t="shared" ref="BM301:BM319" si="317">IF(AND($E$2="Monthly",$A301&gt;12),"",
SUMIFS($BC:$BC,$C:$C,$C301,$A:$A,"&lt;="&amp;$A301)
)</f>
        <v>3863.9673340358281</v>
      </c>
    </row>
    <row r="302" spans="1:65" x14ac:dyDescent="0.25">
      <c r="A302" s="228">
        <f t="shared" si="305"/>
        <v>11</v>
      </c>
      <c r="C302" s="278" t="s">
        <v>13</v>
      </c>
      <c r="E302" s="103">
        <f>IF($C302="",0,
IF(AND($E$2="Monthly",$A302&gt;12),0,
IF($E$2="Monthly",VLOOKUP($C302,'Employee information'!$B:$AM,COLUMNS('Employee information'!$B:S),0),
IF($E$2="Fortnightly",VLOOKUP($C302,'Employee information'!$B:$AM,COLUMNS('Employee information'!$B:R),0),
0))))</f>
        <v>0</v>
      </c>
      <c r="F302" s="106"/>
      <c r="G302" s="106"/>
      <c r="H302" s="106"/>
      <c r="I302" s="106"/>
      <c r="J302" s="103">
        <f t="shared" ref="J302:J319" si="318">IF($E$2="Monthly",
IF(AND($E$2="Monthly",$H302&lt;&gt;""),$H302,
IF(AND($E$2="Monthly",$E302=0),SUM($F302:$G302),
$E302)),
IF($E$2="Fortnightly",
IF(AND($E$2="Fortnightly",$H302&lt;&gt;""),$H302,
IF(AND($E$2="Fortnightly",$F302&lt;&gt;"",$E302&lt;&gt;0),$F302,
IF(AND($E$2="Fortnightly",$E302=0),SUM($F302:$G302),
$E302)))))</f>
        <v>0</v>
      </c>
      <c r="L302" s="113">
        <f>IF(AND($E$2="Monthly",$A302&gt;12),"",
IFERROR($J302*VLOOKUP($C302,'Employee information'!$B:$AI,COLUMNS('Employee information'!$B:$P),0),0))</f>
        <v>0</v>
      </c>
      <c r="M302" s="114">
        <f t="shared" ref="M302:M319" si="319">IF(AND($E$2="Monthly",$A302&gt;12),"",
SUMIFS($L:$L,$C:$C,$C302,$A:$A,"&lt;="&amp;$A302)
)</f>
        <v>1615.3846153846152</v>
      </c>
      <c r="O302" s="103">
        <f t="shared" ref="O302:O319" si="320">IF($E$2="Monthly",
IF(AND($E$2="Monthly",$H302&lt;&gt;""),$H302,
IF(AND($E$2="Monthly",$E302=0),$F302,
$E302)),
IF($E$2="Fortnightly",
IF(AND($E$2="Fortnightly",$H302&lt;&gt;""),$H302,
IF(AND($E$2="Fortnightly",$F302&lt;&gt;"",$E302&lt;&gt;0),$F302,
IF(AND($E$2="Fortnightly",$E302=0),$F302,
$E302)))))</f>
        <v>0</v>
      </c>
      <c r="P302" s="113">
        <f>IFERROR(
IF(AND($E$2="Monthly",$A302&gt;12),0,
$O302*VLOOKUP($C302,'Employee information'!$B:$AI,COLUMNS('Employee information'!$B:$P),0)),
0)</f>
        <v>0</v>
      </c>
      <c r="R302" s="114">
        <f t="shared" si="306"/>
        <v>1615.3846153846152</v>
      </c>
      <c r="T302" s="103"/>
      <c r="U302" s="103"/>
      <c r="V302" s="282">
        <f>IF($C302="","",
IF(AND($E$2="Monthly",$A302&gt;12),"",
$T302*VLOOKUP($C302,'Employee information'!$B:$P,COLUMNS('Employee information'!$B:$P),0)))</f>
        <v>0</v>
      </c>
      <c r="W302" s="282">
        <f>IF($C302="","",
IF(AND($E$2="Monthly",$A302&gt;12),"",
$U302*VLOOKUP($C302,'Employee information'!$B:$P,COLUMNS('Employee information'!$B:$P),0)))</f>
        <v>0</v>
      </c>
      <c r="X302" s="114">
        <f t="shared" si="307"/>
        <v>0</v>
      </c>
      <c r="Y302" s="114">
        <f t="shared" si="308"/>
        <v>288.46153846153845</v>
      </c>
      <c r="AA302" s="118">
        <f>IFERROR(
IF(OR('Basic payroll data'!$D$12="",'Basic payroll data'!$D$12="No"),0,
$T302*VLOOKUP($C302,'Employee information'!$B:$P,COLUMNS('Employee information'!$B:$P),0)*AL_loading_perc),
0)</f>
        <v>0</v>
      </c>
      <c r="AC302" s="118"/>
      <c r="AD302" s="118"/>
      <c r="AE302" s="283" t="str">
        <f t="shared" ref="AE302:AE319" si="321">IF(LEFT($AD302,6)="Is OTE",1,
IF(LEFT($AD302,10)="Is not OTE",0,
""))</f>
        <v/>
      </c>
      <c r="AF302" s="283" t="str">
        <f t="shared" ref="AF302:AF319" si="322">IF(RIGHT($AD302,12)="tax withheld",1,
IF(RIGHT($AD302,16)="tax not withheld",0,
""))</f>
        <v/>
      </c>
      <c r="AG302" s="118"/>
      <c r="AH302" s="118"/>
      <c r="AI302" s="283" t="str">
        <f t="shared" ref="AI302:AI319" si="323">IF($AH302="FBT",0,
IF($AH302="Not FBT",1,
""))</f>
        <v/>
      </c>
      <c r="AJ302" s="118"/>
      <c r="AK302" s="118"/>
      <c r="AM302" s="118">
        <f t="shared" ref="AM302:AM319" si="324">SUM($L302,$AA302,$AC302,$AG302,$AK302)-$AJ302</f>
        <v>0</v>
      </c>
      <c r="AN302" s="118">
        <f t="shared" si="309"/>
        <v>0</v>
      </c>
      <c r="AO302" s="118" t="str">
        <f>IFERROR(
IF(VLOOKUP($C302,'Employee information'!$B:$M,COLUMNS('Employee information'!$B:$M),0)=1,
IF($E$2="Fortnightly",
ROUND(
ROUND((((TRUNC($AN302/2,0)+0.99))*VLOOKUP((TRUNC($AN302/2,0)+0.99),'Tax scales - NAT 1004'!$A$12:$C$18,2,1)-VLOOKUP((TRUNC($AN302/2,0)+0.99),'Tax scales - NAT 1004'!$A$12:$C$18,3,1)),0)
*2,
0),
IF(AND($E$2="Monthly",ROUND($AN302-TRUNC($AN302),2)=0.33),
ROUND(
ROUND(((TRUNC(($AN302+0.01)*3/13,0)+0.99)*VLOOKUP((TRUNC(($AN302+0.01)*3/13,0)+0.99),'Tax scales - NAT 1004'!$A$12:$C$18,2,1)-VLOOKUP((TRUNC(($AN302+0.01)*3/13,0)+0.99),'Tax scales - NAT 1004'!$A$12:$C$18,3,1)),0)
*13/3,
0),
IF($E$2="Monthly",
ROUND(
ROUND(((TRUNC($AN302*3/13,0)+0.99)*VLOOKUP((TRUNC($AN302*3/13,0)+0.99),'Tax scales - NAT 1004'!$A$12:$C$18,2,1)-VLOOKUP((TRUNC($AN302*3/13,0)+0.99),'Tax scales - NAT 1004'!$A$12:$C$18,3,1)),0)
*13/3,
0),
""))),
""),
"")</f>
        <v/>
      </c>
      <c r="AP302" s="118" t="str">
        <f>IFERROR(
IF(VLOOKUP($C302,'Employee information'!$B:$M,COLUMNS('Employee information'!$B:$M),0)=2,
IF($E$2="Fortnightly",
ROUND(
ROUND((((TRUNC($AN302/2,0)+0.99))*VLOOKUP((TRUNC($AN302/2,0)+0.99),'Tax scales - NAT 1004'!$A$25:$C$33,2,1)-VLOOKUP((TRUNC($AN302/2,0)+0.99),'Tax scales - NAT 1004'!$A$25:$C$33,3,1)),0)
*2,
0),
IF(AND($E$2="Monthly",ROUND($AN302-TRUNC($AN302),2)=0.33),
ROUND(
ROUND(((TRUNC(($AN302+0.01)*3/13,0)+0.99)*VLOOKUP((TRUNC(($AN302+0.01)*3/13,0)+0.99),'Tax scales - NAT 1004'!$A$25:$C$33,2,1)-VLOOKUP((TRUNC(($AN302+0.01)*3/13,0)+0.99),'Tax scales - NAT 1004'!$A$25:$C$33,3,1)),0)
*13/3,
0),
IF($E$2="Monthly",
ROUND(
ROUND(((TRUNC($AN302*3/13,0)+0.99)*VLOOKUP((TRUNC($AN302*3/13,0)+0.99),'Tax scales - NAT 1004'!$A$25:$C$33,2,1)-VLOOKUP((TRUNC($AN302*3/13,0)+0.99),'Tax scales - NAT 1004'!$A$25:$C$33,3,1)),0)
*13/3,
0),
""))),
""),
"")</f>
        <v/>
      </c>
      <c r="AQ302" s="118" t="str">
        <f>IFERROR(
IF(VLOOKUP($C302,'Employee information'!$B:$M,COLUMNS('Employee information'!$B:$M),0)=3,
IF($E$2="Fortnightly",
ROUND(
ROUND((((TRUNC($AN302/2,0)+0.99))*VLOOKUP((TRUNC($AN302/2,0)+0.99),'Tax scales - NAT 1004'!$A$39:$C$41,2,1)-VLOOKUP((TRUNC($AN302/2,0)+0.99),'Tax scales - NAT 1004'!$A$39:$C$41,3,1)),0)
*2,
0),
IF(AND($E$2="Monthly",ROUND($AN302-TRUNC($AN302),2)=0.33),
ROUND(
ROUND(((TRUNC(($AN302+0.01)*3/13,0)+0.99)*VLOOKUP((TRUNC(($AN302+0.01)*3/13,0)+0.99),'Tax scales - NAT 1004'!$A$39:$C$41,2,1)-VLOOKUP((TRUNC(($AN302+0.01)*3/13,0)+0.99),'Tax scales - NAT 1004'!$A$39:$C$41,3,1)),0)
*13/3,
0),
IF($E$2="Monthly",
ROUND(
ROUND(((TRUNC($AN302*3/13,0)+0.99)*VLOOKUP((TRUNC($AN302*3/13,0)+0.99),'Tax scales - NAT 1004'!$A$39:$C$41,2,1)-VLOOKUP((TRUNC($AN302*3/13,0)+0.99),'Tax scales - NAT 1004'!$A$39:$C$41,3,1)),0)
*13/3,
0),
""))),
""),
"")</f>
        <v/>
      </c>
      <c r="AR302" s="118" t="str">
        <f>IFERROR(
IF(AND(VLOOKUP($C302,'Employee information'!$B:$M,COLUMNS('Employee information'!$B:$M),0)=4,
VLOOKUP($C302,'Employee information'!$B:$J,COLUMNS('Employee information'!$B:$J),0)="Resident"),
TRUNC(TRUNC($AN302)*'Tax scales - NAT 1004'!$B$47),
IF(AND(VLOOKUP($C302,'Employee information'!$B:$M,COLUMNS('Employee information'!$B:$M),0)=4,
VLOOKUP($C302,'Employee information'!$B:$J,COLUMNS('Employee information'!$B:$J),0)="Foreign resident"),
TRUNC(TRUNC($AN302)*'Tax scales - NAT 1004'!$B$48),
"")),
"")</f>
        <v/>
      </c>
      <c r="AS302" s="118" t="str">
        <f>IFERROR(
IF(VLOOKUP($C302,'Employee information'!$B:$M,COLUMNS('Employee information'!$B:$M),0)=5,
IF($E$2="Fortnightly",
ROUND(
ROUND((((TRUNC($AN302/2,0)+0.99))*VLOOKUP((TRUNC($AN302/2,0)+0.99),'Tax scales - NAT 1004'!$A$53:$C$59,2,1)-VLOOKUP((TRUNC($AN302/2,0)+0.99),'Tax scales - NAT 1004'!$A$53:$C$59,3,1)),0)
*2,
0),
IF(AND($E$2="Monthly",ROUND($AN302-TRUNC($AN302),2)=0.33),
ROUND(
ROUND(((TRUNC(($AN302+0.01)*3/13,0)+0.99)*VLOOKUP((TRUNC(($AN302+0.01)*3/13,0)+0.99),'Tax scales - NAT 1004'!$A$53:$C$59,2,1)-VLOOKUP((TRUNC(($AN302+0.01)*3/13,0)+0.99),'Tax scales - NAT 1004'!$A$53:$C$59,3,1)),0)
*13/3,
0),
IF($E$2="Monthly",
ROUND(
ROUND(((TRUNC($AN302*3/13,0)+0.99)*VLOOKUP((TRUNC($AN302*3/13,0)+0.99),'Tax scales - NAT 1004'!$A$53:$C$59,2,1)-VLOOKUP((TRUNC($AN302*3/13,0)+0.99),'Tax scales - NAT 1004'!$A$53:$C$59,3,1)),0)
*13/3,
0),
""))),
""),
"")</f>
        <v/>
      </c>
      <c r="AT302" s="118" t="str">
        <f>IFERROR(
IF(VLOOKUP($C302,'Employee information'!$B:$M,COLUMNS('Employee information'!$B:$M),0)=6,
IF($E$2="Fortnightly",
ROUND(
ROUND((((TRUNC($AN302/2,0)+0.99))*VLOOKUP((TRUNC($AN302/2,0)+0.99),'Tax scales - NAT 1004'!$A$65:$C$73,2,1)-VLOOKUP((TRUNC($AN302/2,0)+0.99),'Tax scales - NAT 1004'!$A$65:$C$73,3,1)),0)
*2,
0),
IF(AND($E$2="Monthly",ROUND($AN302-TRUNC($AN302),2)=0.33),
ROUND(
ROUND(((TRUNC(($AN302+0.01)*3/13,0)+0.99)*VLOOKUP((TRUNC(($AN302+0.01)*3/13,0)+0.99),'Tax scales - NAT 1004'!$A$65:$C$73,2,1)-VLOOKUP((TRUNC(($AN302+0.01)*3/13,0)+0.99),'Tax scales - NAT 1004'!$A$65:$C$73,3,1)),0)
*13/3,
0),
IF($E$2="Monthly",
ROUND(
ROUND(((TRUNC($AN302*3/13,0)+0.99)*VLOOKUP((TRUNC($AN302*3/13,0)+0.99),'Tax scales - NAT 1004'!$A$65:$C$73,2,1)-VLOOKUP((TRUNC($AN302*3/13,0)+0.99),'Tax scales - NAT 1004'!$A$65:$C$73,3,1)),0)
*13/3,
0),
""))),
""),
"")</f>
        <v/>
      </c>
      <c r="AU302" s="118">
        <f>IFERROR(
IF(VLOOKUP($C302,'Employee information'!$B:$M,COLUMNS('Employee information'!$B:$M),0)=11,
IF($E$2="Fortnightly",
ROUND(
ROUND((((TRUNC($AN302/2,0)+0.99))*VLOOKUP((TRUNC($AN302/2,0)+0.99),'Tax scales - NAT 3539'!$A$14:$C$38,2,1)-VLOOKUP((TRUNC($AN302/2,0)+0.99),'Tax scales - NAT 3539'!$A$14:$C$38,3,1)),0)
*2,
0),
IF(AND($E$2="Monthly",ROUND($AN302-TRUNC($AN302),2)=0.33),
ROUND(
ROUND(((TRUNC(($AN302+0.01)*3/13,0)+0.99)*VLOOKUP((TRUNC(($AN302+0.01)*3/13,0)+0.99),'Tax scales - NAT 3539'!$A$14:$C$38,2,1)-VLOOKUP((TRUNC(($AN302+0.01)*3/13,0)+0.99),'Tax scales - NAT 3539'!$A$14:$C$38,3,1)),0)
*13/3,
0),
IF($E$2="Monthly",
ROUND(
ROUND(((TRUNC($AN302*3/13,0)+0.99)*VLOOKUP((TRUNC($AN302*3/13,0)+0.99),'Tax scales - NAT 3539'!$A$14:$C$38,2,1)-VLOOKUP((TRUNC($AN302*3/13,0)+0.99),'Tax scales - NAT 3539'!$A$14:$C$38,3,1)),0)
*13/3,
0),
""))),
""),
"")</f>
        <v>0</v>
      </c>
      <c r="AV302" s="118" t="str">
        <f>IFERROR(
IF(VLOOKUP($C302,'Employee information'!$B:$M,COLUMNS('Employee information'!$B:$M),0)=22,
IF($E$2="Fortnightly",
ROUND(
ROUND((((TRUNC($AN302/2,0)+0.99))*VLOOKUP((TRUNC($AN302/2,0)+0.99),'Tax scales - NAT 3539'!$A$43:$C$69,2,1)-VLOOKUP((TRUNC($AN302/2,0)+0.99),'Tax scales - NAT 3539'!$A$43:$C$69,3,1)),0)
*2,
0),
IF(AND($E$2="Monthly",ROUND($AN302-TRUNC($AN302),2)=0.33),
ROUND(
ROUND(((TRUNC(($AN302+0.01)*3/13,0)+0.99)*VLOOKUP((TRUNC(($AN302+0.01)*3/13,0)+0.99),'Tax scales - NAT 3539'!$A$43:$C$69,2,1)-VLOOKUP((TRUNC(($AN302+0.01)*3/13,0)+0.99),'Tax scales - NAT 3539'!$A$43:$C$69,3,1)),0)
*13/3,
0),
IF($E$2="Monthly",
ROUND(
ROUND(((TRUNC($AN302*3/13,0)+0.99)*VLOOKUP((TRUNC($AN302*3/13,0)+0.99),'Tax scales - NAT 3539'!$A$43:$C$69,2,1)-VLOOKUP((TRUNC($AN302*3/13,0)+0.99),'Tax scales - NAT 3539'!$A$43:$C$69,3,1)),0)
*13/3,
0),
""))),
""),
"")</f>
        <v/>
      </c>
      <c r="AW302" s="118" t="str">
        <f>IFERROR(
IF(VLOOKUP($C302,'Employee information'!$B:$M,COLUMNS('Employee information'!$B:$M),0)=33,
IF($E$2="Fortnightly",
ROUND(
ROUND((((TRUNC($AN302/2,0)+0.99))*VLOOKUP((TRUNC($AN302/2,0)+0.99),'Tax scales - NAT 3539'!$A$74:$C$94,2,1)-VLOOKUP((TRUNC($AN302/2,0)+0.99),'Tax scales - NAT 3539'!$A$74:$C$94,3,1)),0)
*2,
0),
IF(AND($E$2="Monthly",ROUND($AN302-TRUNC($AN302),2)=0.33),
ROUND(
ROUND(((TRUNC(($AN302+0.01)*3/13,0)+0.99)*VLOOKUP((TRUNC(($AN302+0.01)*3/13,0)+0.99),'Tax scales - NAT 3539'!$A$74:$C$94,2,1)-VLOOKUP((TRUNC(($AN302+0.01)*3/13,0)+0.99),'Tax scales - NAT 3539'!$A$74:$C$94,3,1)),0)
*13/3,
0),
IF($E$2="Monthly",
ROUND(
ROUND(((TRUNC($AN302*3/13,0)+0.99)*VLOOKUP((TRUNC($AN302*3/13,0)+0.99),'Tax scales - NAT 3539'!$A$74:$C$94,2,1)-VLOOKUP((TRUNC($AN302*3/13,0)+0.99),'Tax scales - NAT 3539'!$A$74:$C$94,3,1)),0)
*13/3,
0),
""))),
""),
"")</f>
        <v/>
      </c>
      <c r="AX302" s="118" t="str">
        <f>IFERROR(
IF(VLOOKUP($C302,'Employee information'!$B:$M,COLUMNS('Employee information'!$B:$M),0)=55,
IF($E$2="Fortnightly",
ROUND(
ROUND((((TRUNC($AN302/2,0)+0.99))*VLOOKUP((TRUNC($AN302/2,0)+0.99),'Tax scales - NAT 3539'!$A$99:$C$123,2,1)-VLOOKUP((TRUNC($AN302/2,0)+0.99),'Tax scales - NAT 3539'!$A$99:$C$123,3,1)),0)
*2,
0),
IF(AND($E$2="Monthly",ROUND($AN302-TRUNC($AN302),2)=0.33),
ROUND(
ROUND(((TRUNC(($AN302+0.01)*3/13,0)+0.99)*VLOOKUP((TRUNC(($AN302+0.01)*3/13,0)+0.99),'Tax scales - NAT 3539'!$A$99:$C$123,2,1)-VLOOKUP((TRUNC(($AN302+0.01)*3/13,0)+0.99),'Tax scales - NAT 3539'!$A$99:$C$123,3,1)),0)
*13/3,
0),
IF($E$2="Monthly",
ROUND(
ROUND(((TRUNC($AN302*3/13,0)+0.99)*VLOOKUP((TRUNC($AN302*3/13,0)+0.99),'Tax scales - NAT 3539'!$A$99:$C$123,2,1)-VLOOKUP((TRUNC($AN302*3/13,0)+0.99),'Tax scales - NAT 3539'!$A$99:$C$123,3,1)),0)
*13/3,
0),
""))),
""),
"")</f>
        <v/>
      </c>
      <c r="AY302" s="118" t="str">
        <f>IFERROR(
IF(VLOOKUP($C302,'Employee information'!$B:$M,COLUMNS('Employee information'!$B:$M),0)=66,
IF($E$2="Fortnightly",
ROUND(
ROUND((((TRUNC($AN302/2,0)+0.99))*VLOOKUP((TRUNC($AN302/2,0)+0.99),'Tax scales - NAT 3539'!$A$127:$C$154,2,1)-VLOOKUP((TRUNC($AN302/2,0)+0.99),'Tax scales - NAT 3539'!$A$127:$C$154,3,1)),0)
*2,
0),
IF(AND($E$2="Monthly",ROUND($AN302-TRUNC($AN302),2)=0.33),
ROUND(
ROUND(((TRUNC(($AN302+0.01)*3/13,0)+0.99)*VLOOKUP((TRUNC(($AN302+0.01)*3/13,0)+0.99),'Tax scales - NAT 3539'!$A$127:$C$154,2,1)-VLOOKUP((TRUNC(($AN302+0.01)*3/13,0)+0.99),'Tax scales - NAT 3539'!$A$127:$C$154,3,1)),0)
*13/3,
0),
IF($E$2="Monthly",
ROUND(
ROUND(((TRUNC($AN302*3/13,0)+0.99)*VLOOKUP((TRUNC($AN302*3/13,0)+0.99),'Tax scales - NAT 3539'!$A$127:$C$154,2,1)-VLOOKUP((TRUNC($AN302*3/13,0)+0.99),'Tax scales - NAT 3539'!$A$127:$C$154,3,1)),0)
*13/3,
0),
""))),
""),
"")</f>
        <v/>
      </c>
      <c r="AZ302" s="118">
        <f>IFERROR(
HLOOKUP(VLOOKUP($C302,'Employee information'!$B:$M,COLUMNS('Employee information'!$B:$M),0),'PAYG worksheet'!$AO$300:$AY$319,COUNTA($C$301:$C302)+1,0),
0)</f>
        <v>0</v>
      </c>
      <c r="BA302" s="118"/>
      <c r="BB302" s="118">
        <f t="shared" ref="BB302:BB319" si="325">IFERROR($AM302-$AZ302-$BA302,"")</f>
        <v>0</v>
      </c>
      <c r="BC302" s="119">
        <f>IFERROR(
IF(OR($AE302=1,$AE302=""),SUM($P302,$AA302,$AC302,$AK302)*VLOOKUP($C302,'Employee information'!$B:$Q,COLUMNS('Employee information'!$B:$H),0),
IF($AE302=0,SUM($P302,$AA302,$AK302)*VLOOKUP($C302,'Employee information'!$B:$Q,COLUMNS('Employee information'!$B:$H),0),
0)),
0)</f>
        <v>0</v>
      </c>
      <c r="BE302" s="114">
        <f t="shared" si="310"/>
        <v>1615.3846153846152</v>
      </c>
      <c r="BF302" s="114">
        <f t="shared" si="311"/>
        <v>1615.3846153846152</v>
      </c>
      <c r="BG302" s="114">
        <f t="shared" si="312"/>
        <v>0</v>
      </c>
      <c r="BH302" s="114">
        <f t="shared" si="313"/>
        <v>0</v>
      </c>
      <c r="BI302" s="114">
        <f t="shared" si="314"/>
        <v>474</v>
      </c>
      <c r="BJ302" s="114">
        <f t="shared" si="315"/>
        <v>0</v>
      </c>
      <c r="BK302" s="114">
        <f t="shared" si="316"/>
        <v>0</v>
      </c>
      <c r="BL302" s="114">
        <f t="shared" ref="BL302:BL319" si="326">IF(AND($E$2="Monthly",$A302&gt;12),"",
SUMIFS($AK:$AK,$C:$C,$C302,$A:$A,"&lt;="&amp;$A302)
)</f>
        <v>0</v>
      </c>
      <c r="BM302" s="114">
        <f t="shared" si="317"/>
        <v>153.46153846153845</v>
      </c>
    </row>
    <row r="303" spans="1:65" x14ac:dyDescent="0.25">
      <c r="A303" s="228">
        <f t="shared" si="305"/>
        <v>11</v>
      </c>
      <c r="C303" s="278" t="s">
        <v>14</v>
      </c>
      <c r="E303" s="103">
        <f>IF($C303="",0,
IF(AND($E$2="Monthly",$A303&gt;12),0,
IF($E$2="Monthly",VLOOKUP($C303,'Employee information'!$B:$AM,COLUMNS('Employee information'!$B:S),0),
IF($E$2="Fortnightly",VLOOKUP($C303,'Employee information'!$B:$AM,COLUMNS('Employee information'!$B:R),0),
0))))</f>
        <v>0</v>
      </c>
      <c r="F303" s="106"/>
      <c r="G303" s="106"/>
      <c r="H303" s="106"/>
      <c r="I303" s="106"/>
      <c r="J303" s="103">
        <f t="shared" si="318"/>
        <v>0</v>
      </c>
      <c r="L303" s="113">
        <f>IF(AND($E$2="Monthly",$A303&gt;12),"",
IFERROR($J303*VLOOKUP($C303,'Employee information'!$B:$AI,COLUMNS('Employee information'!$B:$P),0),0))</f>
        <v>0</v>
      </c>
      <c r="M303" s="114">
        <f t="shared" si="319"/>
        <v>900</v>
      </c>
      <c r="O303" s="103">
        <f t="shared" si="320"/>
        <v>0</v>
      </c>
      <c r="P303" s="113">
        <f>IFERROR(
IF(AND($E$2="Monthly",$A303&gt;12),0,
$O303*VLOOKUP($C303,'Employee information'!$B:$AI,COLUMNS('Employee information'!$B:$P),0)),
0)</f>
        <v>0</v>
      </c>
      <c r="R303" s="114">
        <f t="shared" si="306"/>
        <v>900</v>
      </c>
      <c r="T303" s="103"/>
      <c r="U303" s="103"/>
      <c r="V303" s="282">
        <f>IF($C303="","",
IF(AND($E$2="Monthly",$A303&gt;12),"",
$T303*VLOOKUP($C303,'Employee information'!$B:$P,COLUMNS('Employee information'!$B:$P),0)))</f>
        <v>0</v>
      </c>
      <c r="W303" s="282">
        <f>IF($C303="","",
IF(AND($E$2="Monthly",$A303&gt;12),"",
$U303*VLOOKUP($C303,'Employee information'!$B:$P,COLUMNS('Employee information'!$B:$P),0)))</f>
        <v>0</v>
      </c>
      <c r="X303" s="114">
        <f t="shared" si="307"/>
        <v>0</v>
      </c>
      <c r="Y303" s="114">
        <f t="shared" si="308"/>
        <v>0</v>
      </c>
      <c r="AA303" s="118">
        <f>IFERROR(
IF(OR('Basic payroll data'!$D$12="",'Basic payroll data'!$D$12="No"),0,
$T303*VLOOKUP($C303,'Employee information'!$B:$P,COLUMNS('Employee information'!$B:$P),0)*AL_loading_perc),
0)</f>
        <v>0</v>
      </c>
      <c r="AC303" s="118"/>
      <c r="AD303" s="118"/>
      <c r="AE303" s="283" t="str">
        <f t="shared" si="321"/>
        <v/>
      </c>
      <c r="AF303" s="283" t="str">
        <f t="shared" si="322"/>
        <v/>
      </c>
      <c r="AG303" s="118"/>
      <c r="AH303" s="118"/>
      <c r="AI303" s="283" t="str">
        <f t="shared" si="323"/>
        <v/>
      </c>
      <c r="AJ303" s="118"/>
      <c r="AK303" s="118"/>
      <c r="AM303" s="118">
        <f t="shared" si="324"/>
        <v>0</v>
      </c>
      <c r="AN303" s="118">
        <f t="shared" si="309"/>
        <v>0</v>
      </c>
      <c r="AO303" s="118" t="str">
        <f>IFERROR(
IF(VLOOKUP($C303,'Employee information'!$B:$M,COLUMNS('Employee information'!$B:$M),0)=1,
IF($E$2="Fortnightly",
ROUND(
ROUND((((TRUNC($AN303/2,0)+0.99))*VLOOKUP((TRUNC($AN303/2,0)+0.99),'Tax scales - NAT 1004'!$A$12:$C$18,2,1)-VLOOKUP((TRUNC($AN303/2,0)+0.99),'Tax scales - NAT 1004'!$A$12:$C$18,3,1)),0)
*2,
0),
IF(AND($E$2="Monthly",ROUND($AN303-TRUNC($AN303),2)=0.33),
ROUND(
ROUND(((TRUNC(($AN303+0.01)*3/13,0)+0.99)*VLOOKUP((TRUNC(($AN303+0.01)*3/13,0)+0.99),'Tax scales - NAT 1004'!$A$12:$C$18,2,1)-VLOOKUP((TRUNC(($AN303+0.01)*3/13,0)+0.99),'Tax scales - NAT 1004'!$A$12:$C$18,3,1)),0)
*13/3,
0),
IF($E$2="Monthly",
ROUND(
ROUND(((TRUNC($AN303*3/13,0)+0.99)*VLOOKUP((TRUNC($AN303*3/13,0)+0.99),'Tax scales - NAT 1004'!$A$12:$C$18,2,1)-VLOOKUP((TRUNC($AN303*3/13,0)+0.99),'Tax scales - NAT 1004'!$A$12:$C$18,3,1)),0)
*13/3,
0),
""))),
""),
"")</f>
        <v/>
      </c>
      <c r="AP303" s="118" t="str">
        <f>IFERROR(
IF(VLOOKUP($C303,'Employee information'!$B:$M,COLUMNS('Employee information'!$B:$M),0)=2,
IF($E$2="Fortnightly",
ROUND(
ROUND((((TRUNC($AN303/2,0)+0.99))*VLOOKUP((TRUNC($AN303/2,0)+0.99),'Tax scales - NAT 1004'!$A$25:$C$33,2,1)-VLOOKUP((TRUNC($AN303/2,0)+0.99),'Tax scales - NAT 1004'!$A$25:$C$33,3,1)),0)
*2,
0),
IF(AND($E$2="Monthly",ROUND($AN303-TRUNC($AN303),2)=0.33),
ROUND(
ROUND(((TRUNC(($AN303+0.01)*3/13,0)+0.99)*VLOOKUP((TRUNC(($AN303+0.01)*3/13,0)+0.99),'Tax scales - NAT 1004'!$A$25:$C$33,2,1)-VLOOKUP((TRUNC(($AN303+0.01)*3/13,0)+0.99),'Tax scales - NAT 1004'!$A$25:$C$33,3,1)),0)
*13/3,
0),
IF($E$2="Monthly",
ROUND(
ROUND(((TRUNC($AN303*3/13,0)+0.99)*VLOOKUP((TRUNC($AN303*3/13,0)+0.99),'Tax scales - NAT 1004'!$A$25:$C$33,2,1)-VLOOKUP((TRUNC($AN303*3/13,0)+0.99),'Tax scales - NAT 1004'!$A$25:$C$33,3,1)),0)
*13/3,
0),
""))),
""),
"")</f>
        <v/>
      </c>
      <c r="AQ303" s="118" t="str">
        <f>IFERROR(
IF(VLOOKUP($C303,'Employee information'!$B:$M,COLUMNS('Employee information'!$B:$M),0)=3,
IF($E$2="Fortnightly",
ROUND(
ROUND((((TRUNC($AN303/2,0)+0.99))*VLOOKUP((TRUNC($AN303/2,0)+0.99),'Tax scales - NAT 1004'!$A$39:$C$41,2,1)-VLOOKUP((TRUNC($AN303/2,0)+0.99),'Tax scales - NAT 1004'!$A$39:$C$41,3,1)),0)
*2,
0),
IF(AND($E$2="Monthly",ROUND($AN303-TRUNC($AN303),2)=0.33),
ROUND(
ROUND(((TRUNC(($AN303+0.01)*3/13,0)+0.99)*VLOOKUP((TRUNC(($AN303+0.01)*3/13,0)+0.99),'Tax scales - NAT 1004'!$A$39:$C$41,2,1)-VLOOKUP((TRUNC(($AN303+0.01)*3/13,0)+0.99),'Tax scales - NAT 1004'!$A$39:$C$41,3,1)),0)
*13/3,
0),
IF($E$2="Monthly",
ROUND(
ROUND(((TRUNC($AN303*3/13,0)+0.99)*VLOOKUP((TRUNC($AN303*3/13,0)+0.99),'Tax scales - NAT 1004'!$A$39:$C$41,2,1)-VLOOKUP((TRUNC($AN303*3/13,0)+0.99),'Tax scales - NAT 1004'!$A$39:$C$41,3,1)),0)
*13/3,
0),
""))),
""),
"")</f>
        <v/>
      </c>
      <c r="AR303" s="118" t="str">
        <f>IFERROR(
IF(AND(VLOOKUP($C303,'Employee information'!$B:$M,COLUMNS('Employee information'!$B:$M),0)=4,
VLOOKUP($C303,'Employee information'!$B:$J,COLUMNS('Employee information'!$B:$J),0)="Resident"),
TRUNC(TRUNC($AN303)*'Tax scales - NAT 1004'!$B$47),
IF(AND(VLOOKUP($C303,'Employee information'!$B:$M,COLUMNS('Employee information'!$B:$M),0)=4,
VLOOKUP($C303,'Employee information'!$B:$J,COLUMNS('Employee information'!$B:$J),0)="Foreign resident"),
TRUNC(TRUNC($AN303)*'Tax scales - NAT 1004'!$B$48),
"")),
"")</f>
        <v/>
      </c>
      <c r="AS303" s="118" t="str">
        <f>IFERROR(
IF(VLOOKUP($C303,'Employee information'!$B:$M,COLUMNS('Employee information'!$B:$M),0)=5,
IF($E$2="Fortnightly",
ROUND(
ROUND((((TRUNC($AN303/2,0)+0.99))*VLOOKUP((TRUNC($AN303/2,0)+0.99),'Tax scales - NAT 1004'!$A$53:$C$59,2,1)-VLOOKUP((TRUNC($AN303/2,0)+0.99),'Tax scales - NAT 1004'!$A$53:$C$59,3,1)),0)
*2,
0),
IF(AND($E$2="Monthly",ROUND($AN303-TRUNC($AN303),2)=0.33),
ROUND(
ROUND(((TRUNC(($AN303+0.01)*3/13,0)+0.99)*VLOOKUP((TRUNC(($AN303+0.01)*3/13,0)+0.99),'Tax scales - NAT 1004'!$A$53:$C$59,2,1)-VLOOKUP((TRUNC(($AN303+0.01)*3/13,0)+0.99),'Tax scales - NAT 1004'!$A$53:$C$59,3,1)),0)
*13/3,
0),
IF($E$2="Monthly",
ROUND(
ROUND(((TRUNC($AN303*3/13,0)+0.99)*VLOOKUP((TRUNC($AN303*3/13,0)+0.99),'Tax scales - NAT 1004'!$A$53:$C$59,2,1)-VLOOKUP((TRUNC($AN303*3/13,0)+0.99),'Tax scales - NAT 1004'!$A$53:$C$59,3,1)),0)
*13/3,
0),
""))),
""),
"")</f>
        <v/>
      </c>
      <c r="AT303" s="118" t="str">
        <f>IFERROR(
IF(VLOOKUP($C303,'Employee information'!$B:$M,COLUMNS('Employee information'!$B:$M),0)=6,
IF($E$2="Fortnightly",
ROUND(
ROUND((((TRUNC($AN303/2,0)+0.99))*VLOOKUP((TRUNC($AN303/2,0)+0.99),'Tax scales - NAT 1004'!$A$65:$C$73,2,1)-VLOOKUP((TRUNC($AN303/2,0)+0.99),'Tax scales - NAT 1004'!$A$65:$C$73,3,1)),0)
*2,
0),
IF(AND($E$2="Monthly",ROUND($AN303-TRUNC($AN303),2)=0.33),
ROUND(
ROUND(((TRUNC(($AN303+0.01)*3/13,0)+0.99)*VLOOKUP((TRUNC(($AN303+0.01)*3/13,0)+0.99),'Tax scales - NAT 1004'!$A$65:$C$73,2,1)-VLOOKUP((TRUNC(($AN303+0.01)*3/13,0)+0.99),'Tax scales - NAT 1004'!$A$65:$C$73,3,1)),0)
*13/3,
0),
IF($E$2="Monthly",
ROUND(
ROUND(((TRUNC($AN303*3/13,0)+0.99)*VLOOKUP((TRUNC($AN303*3/13,0)+0.99),'Tax scales - NAT 1004'!$A$65:$C$73,2,1)-VLOOKUP((TRUNC($AN303*3/13,0)+0.99),'Tax scales - NAT 1004'!$A$65:$C$73,3,1)),0)
*13/3,
0),
""))),
""),
"")</f>
        <v/>
      </c>
      <c r="AU303" s="118" t="str">
        <f>IFERROR(
IF(VLOOKUP($C303,'Employee information'!$B:$M,COLUMNS('Employee information'!$B:$M),0)=11,
IF($E$2="Fortnightly",
ROUND(
ROUND((((TRUNC($AN303/2,0)+0.99))*VLOOKUP((TRUNC($AN303/2,0)+0.99),'Tax scales - NAT 3539'!$A$14:$C$38,2,1)-VLOOKUP((TRUNC($AN303/2,0)+0.99),'Tax scales - NAT 3539'!$A$14:$C$38,3,1)),0)
*2,
0),
IF(AND($E$2="Monthly",ROUND($AN303-TRUNC($AN303),2)=0.33),
ROUND(
ROUND(((TRUNC(($AN303+0.01)*3/13,0)+0.99)*VLOOKUP((TRUNC(($AN303+0.01)*3/13,0)+0.99),'Tax scales - NAT 3539'!$A$14:$C$38,2,1)-VLOOKUP((TRUNC(($AN303+0.01)*3/13,0)+0.99),'Tax scales - NAT 3539'!$A$14:$C$38,3,1)),0)
*13/3,
0),
IF($E$2="Monthly",
ROUND(
ROUND(((TRUNC($AN303*3/13,0)+0.99)*VLOOKUP((TRUNC($AN303*3/13,0)+0.99),'Tax scales - NAT 3539'!$A$14:$C$38,2,1)-VLOOKUP((TRUNC($AN303*3/13,0)+0.99),'Tax scales - NAT 3539'!$A$14:$C$38,3,1)),0)
*13/3,
0),
""))),
""),
"")</f>
        <v/>
      </c>
      <c r="AV303" s="118" t="str">
        <f>IFERROR(
IF(VLOOKUP($C303,'Employee information'!$B:$M,COLUMNS('Employee information'!$B:$M),0)=22,
IF($E$2="Fortnightly",
ROUND(
ROUND((((TRUNC($AN303/2,0)+0.99))*VLOOKUP((TRUNC($AN303/2,0)+0.99),'Tax scales - NAT 3539'!$A$43:$C$69,2,1)-VLOOKUP((TRUNC($AN303/2,0)+0.99),'Tax scales - NAT 3539'!$A$43:$C$69,3,1)),0)
*2,
0),
IF(AND($E$2="Monthly",ROUND($AN303-TRUNC($AN303),2)=0.33),
ROUND(
ROUND(((TRUNC(($AN303+0.01)*3/13,0)+0.99)*VLOOKUP((TRUNC(($AN303+0.01)*3/13,0)+0.99),'Tax scales - NAT 3539'!$A$43:$C$69,2,1)-VLOOKUP((TRUNC(($AN303+0.01)*3/13,0)+0.99),'Tax scales - NAT 3539'!$A$43:$C$69,3,1)),0)
*13/3,
0),
IF($E$2="Monthly",
ROUND(
ROUND(((TRUNC($AN303*3/13,0)+0.99)*VLOOKUP((TRUNC($AN303*3/13,0)+0.99),'Tax scales - NAT 3539'!$A$43:$C$69,2,1)-VLOOKUP((TRUNC($AN303*3/13,0)+0.99),'Tax scales - NAT 3539'!$A$43:$C$69,3,1)),0)
*13/3,
0),
""))),
""),
"")</f>
        <v/>
      </c>
      <c r="AW303" s="118">
        <f>IFERROR(
IF(VLOOKUP($C303,'Employee information'!$B:$M,COLUMNS('Employee information'!$B:$M),0)=33,
IF($E$2="Fortnightly",
ROUND(
ROUND((((TRUNC($AN303/2,0)+0.99))*VLOOKUP((TRUNC($AN303/2,0)+0.99),'Tax scales - NAT 3539'!$A$74:$C$94,2,1)-VLOOKUP((TRUNC($AN303/2,0)+0.99),'Tax scales - NAT 3539'!$A$74:$C$94,3,1)),0)
*2,
0),
IF(AND($E$2="Monthly",ROUND($AN303-TRUNC($AN303),2)=0.33),
ROUND(
ROUND(((TRUNC(($AN303+0.01)*3/13,0)+0.99)*VLOOKUP((TRUNC(($AN303+0.01)*3/13,0)+0.99),'Tax scales - NAT 3539'!$A$74:$C$94,2,1)-VLOOKUP((TRUNC(($AN303+0.01)*3/13,0)+0.99),'Tax scales - NAT 3539'!$A$74:$C$94,3,1)),0)
*13/3,
0),
IF($E$2="Monthly",
ROUND(
ROUND(((TRUNC($AN303*3/13,0)+0.99)*VLOOKUP((TRUNC($AN303*3/13,0)+0.99),'Tax scales - NAT 3539'!$A$74:$C$94,2,1)-VLOOKUP((TRUNC($AN303*3/13,0)+0.99),'Tax scales - NAT 3539'!$A$74:$C$94,3,1)),0)
*13/3,
0),
""))),
""),
"")</f>
        <v>0</v>
      </c>
      <c r="AX303" s="118" t="str">
        <f>IFERROR(
IF(VLOOKUP($C303,'Employee information'!$B:$M,COLUMNS('Employee information'!$B:$M),0)=55,
IF($E$2="Fortnightly",
ROUND(
ROUND((((TRUNC($AN303/2,0)+0.99))*VLOOKUP((TRUNC($AN303/2,0)+0.99),'Tax scales - NAT 3539'!$A$99:$C$123,2,1)-VLOOKUP((TRUNC($AN303/2,0)+0.99),'Tax scales - NAT 3539'!$A$99:$C$123,3,1)),0)
*2,
0),
IF(AND($E$2="Monthly",ROUND($AN303-TRUNC($AN303),2)=0.33),
ROUND(
ROUND(((TRUNC(($AN303+0.01)*3/13,0)+0.99)*VLOOKUP((TRUNC(($AN303+0.01)*3/13,0)+0.99),'Tax scales - NAT 3539'!$A$99:$C$123,2,1)-VLOOKUP((TRUNC(($AN303+0.01)*3/13,0)+0.99),'Tax scales - NAT 3539'!$A$99:$C$123,3,1)),0)
*13/3,
0),
IF($E$2="Monthly",
ROUND(
ROUND(((TRUNC($AN303*3/13,0)+0.99)*VLOOKUP((TRUNC($AN303*3/13,0)+0.99),'Tax scales - NAT 3539'!$A$99:$C$123,2,1)-VLOOKUP((TRUNC($AN303*3/13,0)+0.99),'Tax scales - NAT 3539'!$A$99:$C$123,3,1)),0)
*13/3,
0),
""))),
""),
"")</f>
        <v/>
      </c>
      <c r="AY303" s="118" t="str">
        <f>IFERROR(
IF(VLOOKUP($C303,'Employee information'!$B:$M,COLUMNS('Employee information'!$B:$M),0)=66,
IF($E$2="Fortnightly",
ROUND(
ROUND((((TRUNC($AN303/2,0)+0.99))*VLOOKUP((TRUNC($AN303/2,0)+0.99),'Tax scales - NAT 3539'!$A$127:$C$154,2,1)-VLOOKUP((TRUNC($AN303/2,0)+0.99),'Tax scales - NAT 3539'!$A$127:$C$154,3,1)),0)
*2,
0),
IF(AND($E$2="Monthly",ROUND($AN303-TRUNC($AN303),2)=0.33),
ROUND(
ROUND(((TRUNC(($AN303+0.01)*3/13,0)+0.99)*VLOOKUP((TRUNC(($AN303+0.01)*3/13,0)+0.99),'Tax scales - NAT 3539'!$A$127:$C$154,2,1)-VLOOKUP((TRUNC(($AN303+0.01)*3/13,0)+0.99),'Tax scales - NAT 3539'!$A$127:$C$154,3,1)),0)
*13/3,
0),
IF($E$2="Monthly",
ROUND(
ROUND(((TRUNC($AN303*3/13,0)+0.99)*VLOOKUP((TRUNC($AN303*3/13,0)+0.99),'Tax scales - NAT 3539'!$A$127:$C$154,2,1)-VLOOKUP((TRUNC($AN303*3/13,0)+0.99),'Tax scales - NAT 3539'!$A$127:$C$154,3,1)),0)
*13/3,
0),
""))),
""),
"")</f>
        <v/>
      </c>
      <c r="AZ303" s="118">
        <f>IFERROR(
HLOOKUP(VLOOKUP($C303,'Employee information'!$B:$M,COLUMNS('Employee information'!$B:$M),0),'PAYG worksheet'!$AO$300:$AY$319,COUNTA($C$301:$C303)+1,0),
0)</f>
        <v>0</v>
      </c>
      <c r="BA303" s="118"/>
      <c r="BB303" s="118">
        <f t="shared" si="325"/>
        <v>0</v>
      </c>
      <c r="BC303" s="119">
        <f>IFERROR(
IF(OR($AE303=1,$AE303=""),SUM($P303,$AA303,$AC303,$AK303)*VLOOKUP($C303,'Employee information'!$B:$Q,COLUMNS('Employee information'!$B:$H),0),
IF($AE303=0,SUM($P303,$AA303,$AK303)*VLOOKUP($C303,'Employee information'!$B:$Q,COLUMNS('Employee information'!$B:$H),0),
0)),
0)</f>
        <v>0</v>
      </c>
      <c r="BE303" s="114">
        <f t="shared" si="310"/>
        <v>900</v>
      </c>
      <c r="BF303" s="114">
        <f t="shared" si="311"/>
        <v>900</v>
      </c>
      <c r="BG303" s="114">
        <f t="shared" si="312"/>
        <v>0</v>
      </c>
      <c r="BH303" s="114">
        <f t="shared" si="313"/>
        <v>0</v>
      </c>
      <c r="BI303" s="114">
        <f t="shared" si="314"/>
        <v>292</v>
      </c>
      <c r="BJ303" s="114">
        <f t="shared" si="315"/>
        <v>0</v>
      </c>
      <c r="BK303" s="114">
        <f t="shared" si="316"/>
        <v>0</v>
      </c>
      <c r="BL303" s="114">
        <f t="shared" si="326"/>
        <v>0</v>
      </c>
      <c r="BM303" s="114">
        <f t="shared" si="317"/>
        <v>85.5</v>
      </c>
    </row>
    <row r="304" spans="1:65" x14ac:dyDescent="0.25">
      <c r="A304" s="228">
        <f t="shared" si="305"/>
        <v>11</v>
      </c>
      <c r="C304" s="278" t="s">
        <v>15</v>
      </c>
      <c r="E304" s="103">
        <f>IF($C304="",0,
IF(AND($E$2="Monthly",$A304&gt;12),0,
IF($E$2="Monthly",VLOOKUP($C304,'Employee information'!$B:$AM,COLUMNS('Employee information'!$B:S),0),
IF($E$2="Fortnightly",VLOOKUP($C304,'Employee information'!$B:$AM,COLUMNS('Employee information'!$B:R),0),
0))))</f>
        <v>75</v>
      </c>
      <c r="F304" s="106"/>
      <c r="G304" s="106"/>
      <c r="H304" s="106"/>
      <c r="I304" s="106"/>
      <c r="J304" s="103">
        <f t="shared" si="318"/>
        <v>75</v>
      </c>
      <c r="L304" s="113">
        <f>IF(AND($E$2="Monthly",$A304&gt;12),"",
IFERROR($J304*VLOOKUP($C304,'Employee information'!$B:$AI,COLUMNS('Employee information'!$B:$P),0),0))</f>
        <v>7692.3076923076924</v>
      </c>
      <c r="M304" s="114">
        <f t="shared" si="319"/>
        <v>84615.38461538461</v>
      </c>
      <c r="O304" s="103">
        <f t="shared" si="320"/>
        <v>75</v>
      </c>
      <c r="P304" s="113">
        <f>IFERROR(
IF(AND($E$2="Monthly",$A304&gt;12),0,
$O304*VLOOKUP($C304,'Employee information'!$B:$AI,COLUMNS('Employee information'!$B:$P),0)),
0)</f>
        <v>7692.3076923076924</v>
      </c>
      <c r="R304" s="114">
        <f t="shared" si="306"/>
        <v>84615.38461538461</v>
      </c>
      <c r="T304" s="103"/>
      <c r="U304" s="103"/>
      <c r="V304" s="282">
        <f>IF($C304="","",
IF(AND($E$2="Monthly",$A304&gt;12),"",
$T304*VLOOKUP($C304,'Employee information'!$B:$P,COLUMNS('Employee information'!$B:$P),0)))</f>
        <v>0</v>
      </c>
      <c r="W304" s="282">
        <f>IF($C304="","",
IF(AND($E$2="Monthly",$A304&gt;12),"",
$U304*VLOOKUP($C304,'Employee information'!$B:$P,COLUMNS('Employee information'!$B:$P),0)))</f>
        <v>0</v>
      </c>
      <c r="X304" s="114">
        <f t="shared" si="307"/>
        <v>1538.4615384615386</v>
      </c>
      <c r="Y304" s="114">
        <f t="shared" si="308"/>
        <v>512.82051282051282</v>
      </c>
      <c r="AA304" s="118">
        <f>IFERROR(
IF(OR('Basic payroll data'!$D$12="",'Basic payroll data'!$D$12="No"),0,
$T304*VLOOKUP($C304,'Employee information'!$B:$P,COLUMNS('Employee information'!$B:$P),0)*AL_loading_perc),
0)</f>
        <v>0</v>
      </c>
      <c r="AC304" s="118"/>
      <c r="AD304" s="118"/>
      <c r="AE304" s="283" t="str">
        <f t="shared" si="321"/>
        <v/>
      </c>
      <c r="AF304" s="283" t="str">
        <f t="shared" si="322"/>
        <v/>
      </c>
      <c r="AG304" s="118"/>
      <c r="AH304" s="118"/>
      <c r="AI304" s="283" t="str">
        <f t="shared" si="323"/>
        <v/>
      </c>
      <c r="AJ304" s="118"/>
      <c r="AK304" s="118"/>
      <c r="AM304" s="118">
        <f t="shared" si="324"/>
        <v>7692.3076923076924</v>
      </c>
      <c r="AN304" s="118">
        <f t="shared" si="309"/>
        <v>7692.3076923076924</v>
      </c>
      <c r="AO304" s="118" t="str">
        <f>IFERROR(
IF(VLOOKUP($C304,'Employee information'!$B:$M,COLUMNS('Employee information'!$B:$M),0)=1,
IF($E$2="Fortnightly",
ROUND(
ROUND((((TRUNC($AN304/2,0)+0.99))*VLOOKUP((TRUNC($AN304/2,0)+0.99),'Tax scales - NAT 1004'!$A$12:$C$18,2,1)-VLOOKUP((TRUNC($AN304/2,0)+0.99),'Tax scales - NAT 1004'!$A$12:$C$18,3,1)),0)
*2,
0),
IF(AND($E$2="Monthly",ROUND($AN304-TRUNC($AN304),2)=0.33),
ROUND(
ROUND(((TRUNC(($AN304+0.01)*3/13,0)+0.99)*VLOOKUP((TRUNC(($AN304+0.01)*3/13,0)+0.99),'Tax scales - NAT 1004'!$A$12:$C$18,2,1)-VLOOKUP((TRUNC(($AN304+0.01)*3/13,0)+0.99),'Tax scales - NAT 1004'!$A$12:$C$18,3,1)),0)
*13/3,
0),
IF($E$2="Monthly",
ROUND(
ROUND(((TRUNC($AN304*3/13,0)+0.99)*VLOOKUP((TRUNC($AN304*3/13,0)+0.99),'Tax scales - NAT 1004'!$A$12:$C$18,2,1)-VLOOKUP((TRUNC($AN304*3/13,0)+0.99),'Tax scales - NAT 1004'!$A$12:$C$18,3,1)),0)
*13/3,
0),
""))),
""),
"")</f>
        <v/>
      </c>
      <c r="AP304" s="118" t="str">
        <f>IFERROR(
IF(VLOOKUP($C304,'Employee information'!$B:$M,COLUMNS('Employee information'!$B:$M),0)=2,
IF($E$2="Fortnightly",
ROUND(
ROUND((((TRUNC($AN304/2,0)+0.99))*VLOOKUP((TRUNC($AN304/2,0)+0.99),'Tax scales - NAT 1004'!$A$25:$C$33,2,1)-VLOOKUP((TRUNC($AN304/2,0)+0.99),'Tax scales - NAT 1004'!$A$25:$C$33,3,1)),0)
*2,
0),
IF(AND($E$2="Monthly",ROUND($AN304-TRUNC($AN304),2)=0.33),
ROUND(
ROUND(((TRUNC(($AN304+0.01)*3/13,0)+0.99)*VLOOKUP((TRUNC(($AN304+0.01)*3/13,0)+0.99),'Tax scales - NAT 1004'!$A$25:$C$33,2,1)-VLOOKUP((TRUNC(($AN304+0.01)*3/13,0)+0.99),'Tax scales - NAT 1004'!$A$25:$C$33,3,1)),0)
*13/3,
0),
IF($E$2="Monthly",
ROUND(
ROUND(((TRUNC($AN304*3/13,0)+0.99)*VLOOKUP((TRUNC($AN304*3/13,0)+0.99),'Tax scales - NAT 1004'!$A$25:$C$33,2,1)-VLOOKUP((TRUNC($AN304*3/13,0)+0.99),'Tax scales - NAT 1004'!$A$25:$C$33,3,1)),0)
*13/3,
0),
""))),
""),
"")</f>
        <v/>
      </c>
      <c r="AQ304" s="118" t="str">
        <f>IFERROR(
IF(VLOOKUP($C304,'Employee information'!$B:$M,COLUMNS('Employee information'!$B:$M),0)=3,
IF($E$2="Fortnightly",
ROUND(
ROUND((((TRUNC($AN304/2,0)+0.99))*VLOOKUP((TRUNC($AN304/2,0)+0.99),'Tax scales - NAT 1004'!$A$39:$C$41,2,1)-VLOOKUP((TRUNC($AN304/2,0)+0.99),'Tax scales - NAT 1004'!$A$39:$C$41,3,1)),0)
*2,
0),
IF(AND($E$2="Monthly",ROUND($AN304-TRUNC($AN304),2)=0.33),
ROUND(
ROUND(((TRUNC(($AN304+0.01)*3/13,0)+0.99)*VLOOKUP((TRUNC(($AN304+0.01)*3/13,0)+0.99),'Tax scales - NAT 1004'!$A$39:$C$41,2,1)-VLOOKUP((TRUNC(($AN304+0.01)*3/13,0)+0.99),'Tax scales - NAT 1004'!$A$39:$C$41,3,1)),0)
*13/3,
0),
IF($E$2="Monthly",
ROUND(
ROUND(((TRUNC($AN304*3/13,0)+0.99)*VLOOKUP((TRUNC($AN304*3/13,0)+0.99),'Tax scales - NAT 1004'!$A$39:$C$41,2,1)-VLOOKUP((TRUNC($AN304*3/13,0)+0.99),'Tax scales - NAT 1004'!$A$39:$C$41,3,1)),0)
*13/3,
0),
""))),
""),
"")</f>
        <v/>
      </c>
      <c r="AR304" s="118" t="str">
        <f>IFERROR(
IF(AND(VLOOKUP($C304,'Employee information'!$B:$M,COLUMNS('Employee information'!$B:$M),0)=4,
VLOOKUP($C304,'Employee information'!$B:$J,COLUMNS('Employee information'!$B:$J),0)="Resident"),
TRUNC(TRUNC($AN304)*'Tax scales - NAT 1004'!$B$47),
IF(AND(VLOOKUP($C304,'Employee information'!$B:$M,COLUMNS('Employee information'!$B:$M),0)=4,
VLOOKUP($C304,'Employee information'!$B:$J,COLUMNS('Employee information'!$B:$J),0)="Foreign resident"),
TRUNC(TRUNC($AN304)*'Tax scales - NAT 1004'!$B$48),
"")),
"")</f>
        <v/>
      </c>
      <c r="AS304" s="118" t="str">
        <f>IFERROR(
IF(VLOOKUP($C304,'Employee information'!$B:$M,COLUMNS('Employee information'!$B:$M),0)=5,
IF($E$2="Fortnightly",
ROUND(
ROUND((((TRUNC($AN304/2,0)+0.99))*VLOOKUP((TRUNC($AN304/2,0)+0.99),'Tax scales - NAT 1004'!$A$53:$C$59,2,1)-VLOOKUP((TRUNC($AN304/2,0)+0.99),'Tax scales - NAT 1004'!$A$53:$C$59,3,1)),0)
*2,
0),
IF(AND($E$2="Monthly",ROUND($AN304-TRUNC($AN304),2)=0.33),
ROUND(
ROUND(((TRUNC(($AN304+0.01)*3/13,0)+0.99)*VLOOKUP((TRUNC(($AN304+0.01)*3/13,0)+0.99),'Tax scales - NAT 1004'!$A$53:$C$59,2,1)-VLOOKUP((TRUNC(($AN304+0.01)*3/13,0)+0.99),'Tax scales - NAT 1004'!$A$53:$C$59,3,1)),0)
*13/3,
0),
IF($E$2="Monthly",
ROUND(
ROUND(((TRUNC($AN304*3/13,0)+0.99)*VLOOKUP((TRUNC($AN304*3/13,0)+0.99),'Tax scales - NAT 1004'!$A$53:$C$59,2,1)-VLOOKUP((TRUNC($AN304*3/13,0)+0.99),'Tax scales - NAT 1004'!$A$53:$C$59,3,1)),0)
*13/3,
0),
""))),
""),
"")</f>
        <v/>
      </c>
      <c r="AT304" s="118" t="str">
        <f>IFERROR(
IF(VLOOKUP($C304,'Employee information'!$B:$M,COLUMNS('Employee information'!$B:$M),0)=6,
IF($E$2="Fortnightly",
ROUND(
ROUND((((TRUNC($AN304/2,0)+0.99))*VLOOKUP((TRUNC($AN304/2,0)+0.99),'Tax scales - NAT 1004'!$A$65:$C$73,2,1)-VLOOKUP((TRUNC($AN304/2,0)+0.99),'Tax scales - NAT 1004'!$A$65:$C$73,3,1)),0)
*2,
0),
IF(AND($E$2="Monthly",ROUND($AN304-TRUNC($AN304),2)=0.33),
ROUND(
ROUND(((TRUNC(($AN304+0.01)*3/13,0)+0.99)*VLOOKUP((TRUNC(($AN304+0.01)*3/13,0)+0.99),'Tax scales - NAT 1004'!$A$65:$C$73,2,1)-VLOOKUP((TRUNC(($AN304+0.01)*3/13,0)+0.99),'Tax scales - NAT 1004'!$A$65:$C$73,3,1)),0)
*13/3,
0),
IF($E$2="Monthly",
ROUND(
ROUND(((TRUNC($AN304*3/13,0)+0.99)*VLOOKUP((TRUNC($AN304*3/13,0)+0.99),'Tax scales - NAT 1004'!$A$65:$C$73,2,1)-VLOOKUP((TRUNC($AN304*3/13,0)+0.99),'Tax scales - NAT 1004'!$A$65:$C$73,3,1)),0)
*13/3,
0),
""))),
""),
"")</f>
        <v/>
      </c>
      <c r="AU304" s="118" t="str">
        <f>IFERROR(
IF(VLOOKUP($C304,'Employee information'!$B:$M,COLUMNS('Employee information'!$B:$M),0)=11,
IF($E$2="Fortnightly",
ROUND(
ROUND((((TRUNC($AN304/2,0)+0.99))*VLOOKUP((TRUNC($AN304/2,0)+0.99),'Tax scales - NAT 3539'!$A$14:$C$38,2,1)-VLOOKUP((TRUNC($AN304/2,0)+0.99),'Tax scales - NAT 3539'!$A$14:$C$38,3,1)),0)
*2,
0),
IF(AND($E$2="Monthly",ROUND($AN304-TRUNC($AN304),2)=0.33),
ROUND(
ROUND(((TRUNC(($AN304+0.01)*3/13,0)+0.99)*VLOOKUP((TRUNC(($AN304+0.01)*3/13,0)+0.99),'Tax scales - NAT 3539'!$A$14:$C$38,2,1)-VLOOKUP((TRUNC(($AN304+0.01)*3/13,0)+0.99),'Tax scales - NAT 3539'!$A$14:$C$38,3,1)),0)
*13/3,
0),
IF($E$2="Monthly",
ROUND(
ROUND(((TRUNC($AN304*3/13,0)+0.99)*VLOOKUP((TRUNC($AN304*3/13,0)+0.99),'Tax scales - NAT 3539'!$A$14:$C$38,2,1)-VLOOKUP((TRUNC($AN304*3/13,0)+0.99),'Tax scales - NAT 3539'!$A$14:$C$38,3,1)),0)
*13/3,
0),
""))),
""),
"")</f>
        <v/>
      </c>
      <c r="AV304" s="118" t="str">
        <f>IFERROR(
IF(VLOOKUP($C304,'Employee information'!$B:$M,COLUMNS('Employee information'!$B:$M),0)=22,
IF($E$2="Fortnightly",
ROUND(
ROUND((((TRUNC($AN304/2,0)+0.99))*VLOOKUP((TRUNC($AN304/2,0)+0.99),'Tax scales - NAT 3539'!$A$43:$C$69,2,1)-VLOOKUP((TRUNC($AN304/2,0)+0.99),'Tax scales - NAT 3539'!$A$43:$C$69,3,1)),0)
*2,
0),
IF(AND($E$2="Monthly",ROUND($AN304-TRUNC($AN304),2)=0.33),
ROUND(
ROUND(((TRUNC(($AN304+0.01)*3/13,0)+0.99)*VLOOKUP((TRUNC(($AN304+0.01)*3/13,0)+0.99),'Tax scales - NAT 3539'!$A$43:$C$69,2,1)-VLOOKUP((TRUNC(($AN304+0.01)*3/13,0)+0.99),'Tax scales - NAT 3539'!$A$43:$C$69,3,1)),0)
*13/3,
0),
IF($E$2="Monthly",
ROUND(
ROUND(((TRUNC($AN304*3/13,0)+0.99)*VLOOKUP((TRUNC($AN304*3/13,0)+0.99),'Tax scales - NAT 3539'!$A$43:$C$69,2,1)-VLOOKUP((TRUNC($AN304*3/13,0)+0.99),'Tax scales - NAT 3539'!$A$43:$C$69,3,1)),0)
*13/3,
0),
""))),
""),
"")</f>
        <v/>
      </c>
      <c r="AW304" s="118" t="str">
        <f>IFERROR(
IF(VLOOKUP($C304,'Employee information'!$B:$M,COLUMNS('Employee information'!$B:$M),0)=33,
IF($E$2="Fortnightly",
ROUND(
ROUND((((TRUNC($AN304/2,0)+0.99))*VLOOKUP((TRUNC($AN304/2,0)+0.99),'Tax scales - NAT 3539'!$A$74:$C$94,2,1)-VLOOKUP((TRUNC($AN304/2,0)+0.99),'Tax scales - NAT 3539'!$A$74:$C$94,3,1)),0)
*2,
0),
IF(AND($E$2="Monthly",ROUND($AN304-TRUNC($AN304),2)=0.33),
ROUND(
ROUND(((TRUNC(($AN304+0.01)*3/13,0)+0.99)*VLOOKUP((TRUNC(($AN304+0.01)*3/13,0)+0.99),'Tax scales - NAT 3539'!$A$74:$C$94,2,1)-VLOOKUP((TRUNC(($AN304+0.01)*3/13,0)+0.99),'Tax scales - NAT 3539'!$A$74:$C$94,3,1)),0)
*13/3,
0),
IF($E$2="Monthly",
ROUND(
ROUND(((TRUNC($AN304*3/13,0)+0.99)*VLOOKUP((TRUNC($AN304*3/13,0)+0.99),'Tax scales - NAT 3539'!$A$74:$C$94,2,1)-VLOOKUP((TRUNC($AN304*3/13,0)+0.99),'Tax scales - NAT 3539'!$A$74:$C$94,3,1)),0)
*13/3,
0),
""))),
""),
"")</f>
        <v/>
      </c>
      <c r="AX304" s="118">
        <f>IFERROR(
IF(VLOOKUP($C304,'Employee information'!$B:$M,COLUMNS('Employee information'!$B:$M),0)=55,
IF($E$2="Fortnightly",
ROUND(
ROUND((((TRUNC($AN304/2,0)+0.99))*VLOOKUP((TRUNC($AN304/2,0)+0.99),'Tax scales - NAT 3539'!$A$99:$C$123,2,1)-VLOOKUP((TRUNC($AN304/2,0)+0.99),'Tax scales - NAT 3539'!$A$99:$C$123,3,1)),0)
*2,
0),
IF(AND($E$2="Monthly",ROUND($AN304-TRUNC($AN304),2)=0.33),
ROUND(
ROUND(((TRUNC(($AN304+0.01)*3/13,0)+0.99)*VLOOKUP((TRUNC(($AN304+0.01)*3/13,0)+0.99),'Tax scales - NAT 3539'!$A$99:$C$123,2,1)-VLOOKUP((TRUNC(($AN304+0.01)*3/13,0)+0.99),'Tax scales - NAT 3539'!$A$99:$C$123,3,1)),0)
*13/3,
0),
IF($E$2="Monthly",
ROUND(
ROUND(((TRUNC($AN304*3/13,0)+0.99)*VLOOKUP((TRUNC($AN304*3/13,0)+0.99),'Tax scales - NAT 3539'!$A$99:$C$123,2,1)-VLOOKUP((TRUNC($AN304*3/13,0)+0.99),'Tax scales - NAT 3539'!$A$99:$C$123,3,1)),0)
*13/3,
0),
""))),
""),
"")</f>
        <v>3104</v>
      </c>
      <c r="AY304" s="118" t="str">
        <f>IFERROR(
IF(VLOOKUP($C304,'Employee information'!$B:$M,COLUMNS('Employee information'!$B:$M),0)=66,
IF($E$2="Fortnightly",
ROUND(
ROUND((((TRUNC($AN304/2,0)+0.99))*VLOOKUP((TRUNC($AN304/2,0)+0.99),'Tax scales - NAT 3539'!$A$127:$C$154,2,1)-VLOOKUP((TRUNC($AN304/2,0)+0.99),'Tax scales - NAT 3539'!$A$127:$C$154,3,1)),0)
*2,
0),
IF(AND($E$2="Monthly",ROUND($AN304-TRUNC($AN304),2)=0.33),
ROUND(
ROUND(((TRUNC(($AN304+0.01)*3/13,0)+0.99)*VLOOKUP((TRUNC(($AN304+0.01)*3/13,0)+0.99),'Tax scales - NAT 3539'!$A$127:$C$154,2,1)-VLOOKUP((TRUNC(($AN304+0.01)*3/13,0)+0.99),'Tax scales - NAT 3539'!$A$127:$C$154,3,1)),0)
*13/3,
0),
IF($E$2="Monthly",
ROUND(
ROUND(((TRUNC($AN304*3/13,0)+0.99)*VLOOKUP((TRUNC($AN304*3/13,0)+0.99),'Tax scales - NAT 3539'!$A$127:$C$154,2,1)-VLOOKUP((TRUNC($AN304*3/13,0)+0.99),'Tax scales - NAT 3539'!$A$127:$C$154,3,1)),0)
*13/3,
0),
""))),
""),
"")</f>
        <v/>
      </c>
      <c r="AZ304" s="118">
        <f>IFERROR(
HLOOKUP(VLOOKUP($C304,'Employee information'!$B:$M,COLUMNS('Employee information'!$B:$M),0),'PAYG worksheet'!$AO$300:$AY$319,COUNTA($C$301:$C304)+1,0),
0)</f>
        <v>3104</v>
      </c>
      <c r="BA304" s="118"/>
      <c r="BB304" s="118">
        <f t="shared" si="325"/>
        <v>4588.3076923076924</v>
      </c>
      <c r="BC304" s="119">
        <f>IFERROR(
IF(OR($AE304=1,$AE304=""),SUM($P304,$AA304,$AC304,$AK304)*VLOOKUP($C304,'Employee information'!$B:$Q,COLUMNS('Employee information'!$B:$H),0),
IF($AE304=0,SUM($P304,$AA304,$AK304)*VLOOKUP($C304,'Employee information'!$B:$Q,COLUMNS('Employee information'!$B:$H),0),
0)),
0)</f>
        <v>730.76923076923083</v>
      </c>
      <c r="BE304" s="114">
        <f t="shared" si="310"/>
        <v>84755.38461538461</v>
      </c>
      <c r="BF304" s="114">
        <f t="shared" si="311"/>
        <v>84615.38461538461</v>
      </c>
      <c r="BG304" s="114">
        <f t="shared" si="312"/>
        <v>0</v>
      </c>
      <c r="BH304" s="114">
        <f t="shared" si="313"/>
        <v>140</v>
      </c>
      <c r="BI304" s="114">
        <f t="shared" si="314"/>
        <v>34144</v>
      </c>
      <c r="BJ304" s="114">
        <f t="shared" si="315"/>
        <v>0</v>
      </c>
      <c r="BK304" s="114">
        <f t="shared" si="316"/>
        <v>0</v>
      </c>
      <c r="BL304" s="114">
        <f t="shared" si="326"/>
        <v>0</v>
      </c>
      <c r="BM304" s="114">
        <f t="shared" si="317"/>
        <v>8038.4615384615372</v>
      </c>
    </row>
    <row r="305" spans="1:65" x14ac:dyDescent="0.25">
      <c r="A305" s="228">
        <f t="shared" si="305"/>
        <v>11</v>
      </c>
      <c r="C305" s="278" t="s">
        <v>16</v>
      </c>
      <c r="E305" s="103">
        <f>IF($C305="",0,
IF(AND($E$2="Monthly",$A305&gt;12),0,
IF($E$2="Monthly",VLOOKUP($C305,'Employee information'!$B:$AM,COLUMNS('Employee information'!$B:S),0),
IF($E$2="Fortnightly",VLOOKUP($C305,'Employee information'!$B:$AM,COLUMNS('Employee information'!$B:R),0),
0))))</f>
        <v>75</v>
      </c>
      <c r="F305" s="106"/>
      <c r="G305" s="106"/>
      <c r="H305" s="106"/>
      <c r="I305" s="106"/>
      <c r="J305" s="103">
        <f t="shared" si="318"/>
        <v>75</v>
      </c>
      <c r="L305" s="113">
        <f>IF(AND($E$2="Monthly",$A305&gt;12),"",
IFERROR($J305*VLOOKUP($C305,'Employee information'!$B:$AI,COLUMNS('Employee information'!$B:$P),0),0))</f>
        <v>4125</v>
      </c>
      <c r="M305" s="114">
        <f t="shared" si="319"/>
        <v>45375</v>
      </c>
      <c r="O305" s="103">
        <f t="shared" si="320"/>
        <v>75</v>
      </c>
      <c r="P305" s="113">
        <f>IFERROR(
IF(AND($E$2="Monthly",$A305&gt;12),0,
$O305*VLOOKUP($C305,'Employee information'!$B:$AI,COLUMNS('Employee information'!$B:$P),0)),
0)</f>
        <v>4125</v>
      </c>
      <c r="R305" s="114">
        <f t="shared" si="306"/>
        <v>45375</v>
      </c>
      <c r="T305" s="103"/>
      <c r="U305" s="103"/>
      <c r="V305" s="282">
        <f>IF($C305="","",
IF(AND($E$2="Monthly",$A305&gt;12),"",
$T305*VLOOKUP($C305,'Employee information'!$B:$P,COLUMNS('Employee information'!$B:$P),0)))</f>
        <v>0</v>
      </c>
      <c r="W305" s="282">
        <f>IF($C305="","",
IF(AND($E$2="Monthly",$A305&gt;12),"",
$U305*VLOOKUP($C305,'Employee information'!$B:$P,COLUMNS('Employee information'!$B:$P),0)))</f>
        <v>0</v>
      </c>
      <c r="X305" s="114">
        <f t="shared" si="307"/>
        <v>0</v>
      </c>
      <c r="Y305" s="114">
        <f t="shared" si="308"/>
        <v>0</v>
      </c>
      <c r="AA305" s="118">
        <f>IFERROR(
IF(OR('Basic payroll data'!$D$12="",'Basic payroll data'!$D$12="No"),0,
$T305*VLOOKUP($C305,'Employee information'!$B:$P,COLUMNS('Employee information'!$B:$P),0)*AL_loading_perc),
0)</f>
        <v>0</v>
      </c>
      <c r="AC305" s="118"/>
      <c r="AD305" s="118"/>
      <c r="AE305" s="283" t="str">
        <f t="shared" si="321"/>
        <v/>
      </c>
      <c r="AF305" s="283" t="str">
        <f t="shared" si="322"/>
        <v/>
      </c>
      <c r="AG305" s="118"/>
      <c r="AH305" s="118"/>
      <c r="AI305" s="283" t="str">
        <f t="shared" si="323"/>
        <v/>
      </c>
      <c r="AJ305" s="118"/>
      <c r="AK305" s="118"/>
      <c r="AM305" s="118">
        <f t="shared" si="324"/>
        <v>4125</v>
      </c>
      <c r="AN305" s="118">
        <f t="shared" si="309"/>
        <v>4125</v>
      </c>
      <c r="AO305" s="118" t="str">
        <f>IFERROR(
IF(VLOOKUP($C305,'Employee information'!$B:$M,COLUMNS('Employee information'!$B:$M),0)=1,
IF($E$2="Fortnightly",
ROUND(
ROUND((((TRUNC($AN305/2,0)+0.99))*VLOOKUP((TRUNC($AN305/2,0)+0.99),'Tax scales - NAT 1004'!$A$12:$C$18,2,1)-VLOOKUP((TRUNC($AN305/2,0)+0.99),'Tax scales - NAT 1004'!$A$12:$C$18,3,1)),0)
*2,
0),
IF(AND($E$2="Monthly",ROUND($AN305-TRUNC($AN305),2)=0.33),
ROUND(
ROUND(((TRUNC(($AN305+0.01)*3/13,0)+0.99)*VLOOKUP((TRUNC(($AN305+0.01)*3/13,0)+0.99),'Tax scales - NAT 1004'!$A$12:$C$18,2,1)-VLOOKUP((TRUNC(($AN305+0.01)*3/13,0)+0.99),'Tax scales - NAT 1004'!$A$12:$C$18,3,1)),0)
*13/3,
0),
IF($E$2="Monthly",
ROUND(
ROUND(((TRUNC($AN305*3/13,0)+0.99)*VLOOKUP((TRUNC($AN305*3/13,0)+0.99),'Tax scales - NAT 1004'!$A$12:$C$18,2,1)-VLOOKUP((TRUNC($AN305*3/13,0)+0.99),'Tax scales - NAT 1004'!$A$12:$C$18,3,1)),0)
*13/3,
0),
""))),
""),
"")</f>
        <v/>
      </c>
      <c r="AP305" s="118" t="str">
        <f>IFERROR(
IF(VLOOKUP($C305,'Employee information'!$B:$M,COLUMNS('Employee information'!$B:$M),0)=2,
IF($E$2="Fortnightly",
ROUND(
ROUND((((TRUNC($AN305/2,0)+0.99))*VLOOKUP((TRUNC($AN305/2,0)+0.99),'Tax scales - NAT 1004'!$A$25:$C$33,2,1)-VLOOKUP((TRUNC($AN305/2,0)+0.99),'Tax scales - NAT 1004'!$A$25:$C$33,3,1)),0)
*2,
0),
IF(AND($E$2="Monthly",ROUND($AN305-TRUNC($AN305),2)=0.33),
ROUND(
ROUND(((TRUNC(($AN305+0.01)*3/13,0)+0.99)*VLOOKUP((TRUNC(($AN305+0.01)*3/13,0)+0.99),'Tax scales - NAT 1004'!$A$25:$C$33,2,1)-VLOOKUP((TRUNC(($AN305+0.01)*3/13,0)+0.99),'Tax scales - NAT 1004'!$A$25:$C$33,3,1)),0)
*13/3,
0),
IF($E$2="Monthly",
ROUND(
ROUND(((TRUNC($AN305*3/13,0)+0.99)*VLOOKUP((TRUNC($AN305*3/13,0)+0.99),'Tax scales - NAT 1004'!$A$25:$C$33,2,1)-VLOOKUP((TRUNC($AN305*3/13,0)+0.99),'Tax scales - NAT 1004'!$A$25:$C$33,3,1)),0)
*13/3,
0),
""))),
""),
"")</f>
        <v/>
      </c>
      <c r="AQ305" s="118" t="str">
        <f>IFERROR(
IF(VLOOKUP($C305,'Employee information'!$B:$M,COLUMNS('Employee information'!$B:$M),0)=3,
IF($E$2="Fortnightly",
ROUND(
ROUND((((TRUNC($AN305/2,0)+0.99))*VLOOKUP((TRUNC($AN305/2,0)+0.99),'Tax scales - NAT 1004'!$A$39:$C$41,2,1)-VLOOKUP((TRUNC($AN305/2,0)+0.99),'Tax scales - NAT 1004'!$A$39:$C$41,3,1)),0)
*2,
0),
IF(AND($E$2="Monthly",ROUND($AN305-TRUNC($AN305),2)=0.33),
ROUND(
ROUND(((TRUNC(($AN305+0.01)*3/13,0)+0.99)*VLOOKUP((TRUNC(($AN305+0.01)*3/13,0)+0.99),'Tax scales - NAT 1004'!$A$39:$C$41,2,1)-VLOOKUP((TRUNC(($AN305+0.01)*3/13,0)+0.99),'Tax scales - NAT 1004'!$A$39:$C$41,3,1)),0)
*13/3,
0),
IF($E$2="Monthly",
ROUND(
ROUND(((TRUNC($AN305*3/13,0)+0.99)*VLOOKUP((TRUNC($AN305*3/13,0)+0.99),'Tax scales - NAT 1004'!$A$39:$C$41,2,1)-VLOOKUP((TRUNC($AN305*3/13,0)+0.99),'Tax scales - NAT 1004'!$A$39:$C$41,3,1)),0)
*13/3,
0),
""))),
""),
"")</f>
        <v/>
      </c>
      <c r="AR305" s="118" t="str">
        <f>IFERROR(
IF(AND(VLOOKUP($C305,'Employee information'!$B:$M,COLUMNS('Employee information'!$B:$M),0)=4,
VLOOKUP($C305,'Employee information'!$B:$J,COLUMNS('Employee information'!$B:$J),0)="Resident"),
TRUNC(TRUNC($AN305)*'Tax scales - NAT 1004'!$B$47),
IF(AND(VLOOKUP($C305,'Employee information'!$B:$M,COLUMNS('Employee information'!$B:$M),0)=4,
VLOOKUP($C305,'Employee information'!$B:$J,COLUMNS('Employee information'!$B:$J),0)="Foreign resident"),
TRUNC(TRUNC($AN305)*'Tax scales - NAT 1004'!$B$48),
"")),
"")</f>
        <v/>
      </c>
      <c r="AS305" s="118" t="str">
        <f>IFERROR(
IF(VLOOKUP($C305,'Employee information'!$B:$M,COLUMNS('Employee information'!$B:$M),0)=5,
IF($E$2="Fortnightly",
ROUND(
ROUND((((TRUNC($AN305/2,0)+0.99))*VLOOKUP((TRUNC($AN305/2,0)+0.99),'Tax scales - NAT 1004'!$A$53:$C$59,2,1)-VLOOKUP((TRUNC($AN305/2,0)+0.99),'Tax scales - NAT 1004'!$A$53:$C$59,3,1)),0)
*2,
0),
IF(AND($E$2="Monthly",ROUND($AN305-TRUNC($AN305),2)=0.33),
ROUND(
ROUND(((TRUNC(($AN305+0.01)*3/13,0)+0.99)*VLOOKUP((TRUNC(($AN305+0.01)*3/13,0)+0.99),'Tax scales - NAT 1004'!$A$53:$C$59,2,1)-VLOOKUP((TRUNC(($AN305+0.01)*3/13,0)+0.99),'Tax scales - NAT 1004'!$A$53:$C$59,3,1)),0)
*13/3,
0),
IF($E$2="Monthly",
ROUND(
ROUND(((TRUNC($AN305*3/13,0)+0.99)*VLOOKUP((TRUNC($AN305*3/13,0)+0.99),'Tax scales - NAT 1004'!$A$53:$C$59,2,1)-VLOOKUP((TRUNC($AN305*3/13,0)+0.99),'Tax scales - NAT 1004'!$A$53:$C$59,3,1)),0)
*13/3,
0),
""))),
""),
"")</f>
        <v/>
      </c>
      <c r="AT305" s="118" t="str">
        <f>IFERROR(
IF(VLOOKUP($C305,'Employee information'!$B:$M,COLUMNS('Employee information'!$B:$M),0)=6,
IF($E$2="Fortnightly",
ROUND(
ROUND((((TRUNC($AN305/2,0)+0.99))*VLOOKUP((TRUNC($AN305/2,0)+0.99),'Tax scales - NAT 1004'!$A$65:$C$73,2,1)-VLOOKUP((TRUNC($AN305/2,0)+0.99),'Tax scales - NAT 1004'!$A$65:$C$73,3,1)),0)
*2,
0),
IF(AND($E$2="Monthly",ROUND($AN305-TRUNC($AN305),2)=0.33),
ROUND(
ROUND(((TRUNC(($AN305+0.01)*3/13,0)+0.99)*VLOOKUP((TRUNC(($AN305+0.01)*3/13,0)+0.99),'Tax scales - NAT 1004'!$A$65:$C$73,2,1)-VLOOKUP((TRUNC(($AN305+0.01)*3/13,0)+0.99),'Tax scales - NAT 1004'!$A$65:$C$73,3,1)),0)
*13/3,
0),
IF($E$2="Monthly",
ROUND(
ROUND(((TRUNC($AN305*3/13,0)+0.99)*VLOOKUP((TRUNC($AN305*3/13,0)+0.99),'Tax scales - NAT 1004'!$A$65:$C$73,2,1)-VLOOKUP((TRUNC($AN305*3/13,0)+0.99),'Tax scales - NAT 1004'!$A$65:$C$73,3,1)),0)
*13/3,
0),
""))),
""),
"")</f>
        <v/>
      </c>
      <c r="AU305" s="118">
        <f>IFERROR(
IF(VLOOKUP($C305,'Employee information'!$B:$M,COLUMNS('Employee information'!$B:$M),0)=11,
IF($E$2="Fortnightly",
ROUND(
ROUND((((TRUNC($AN305/2,0)+0.99))*VLOOKUP((TRUNC($AN305/2,0)+0.99),'Tax scales - NAT 3539'!$A$14:$C$38,2,1)-VLOOKUP((TRUNC($AN305/2,0)+0.99),'Tax scales - NAT 3539'!$A$14:$C$38,3,1)),0)
*2,
0),
IF(AND($E$2="Monthly",ROUND($AN305-TRUNC($AN305),2)=0.33),
ROUND(
ROUND(((TRUNC(($AN305+0.01)*3/13,0)+0.99)*VLOOKUP((TRUNC(($AN305+0.01)*3/13,0)+0.99),'Tax scales - NAT 3539'!$A$14:$C$38,2,1)-VLOOKUP((TRUNC(($AN305+0.01)*3/13,0)+0.99),'Tax scales - NAT 3539'!$A$14:$C$38,3,1)),0)
*13/3,
0),
IF($E$2="Monthly",
ROUND(
ROUND(((TRUNC($AN305*3/13,0)+0.99)*VLOOKUP((TRUNC($AN305*3/13,0)+0.99),'Tax scales - NAT 3539'!$A$14:$C$38,2,1)-VLOOKUP((TRUNC($AN305*3/13,0)+0.99),'Tax scales - NAT 3539'!$A$14:$C$38,3,1)),0)
*13/3,
0),
""))),
""),
"")</f>
        <v>1680</v>
      </c>
      <c r="AV305" s="118" t="str">
        <f>IFERROR(
IF(VLOOKUP($C305,'Employee information'!$B:$M,COLUMNS('Employee information'!$B:$M),0)=22,
IF($E$2="Fortnightly",
ROUND(
ROUND((((TRUNC($AN305/2,0)+0.99))*VLOOKUP((TRUNC($AN305/2,0)+0.99),'Tax scales - NAT 3539'!$A$43:$C$69,2,1)-VLOOKUP((TRUNC($AN305/2,0)+0.99),'Tax scales - NAT 3539'!$A$43:$C$69,3,1)),0)
*2,
0),
IF(AND($E$2="Monthly",ROUND($AN305-TRUNC($AN305),2)=0.33),
ROUND(
ROUND(((TRUNC(($AN305+0.01)*3/13,0)+0.99)*VLOOKUP((TRUNC(($AN305+0.01)*3/13,0)+0.99),'Tax scales - NAT 3539'!$A$43:$C$69,2,1)-VLOOKUP((TRUNC(($AN305+0.01)*3/13,0)+0.99),'Tax scales - NAT 3539'!$A$43:$C$69,3,1)),0)
*13/3,
0),
IF($E$2="Monthly",
ROUND(
ROUND(((TRUNC($AN305*3/13,0)+0.99)*VLOOKUP((TRUNC($AN305*3/13,0)+0.99),'Tax scales - NAT 3539'!$A$43:$C$69,2,1)-VLOOKUP((TRUNC($AN305*3/13,0)+0.99),'Tax scales - NAT 3539'!$A$43:$C$69,3,1)),0)
*13/3,
0),
""))),
""),
"")</f>
        <v/>
      </c>
      <c r="AW305" s="118" t="str">
        <f>IFERROR(
IF(VLOOKUP($C305,'Employee information'!$B:$M,COLUMNS('Employee information'!$B:$M),0)=33,
IF($E$2="Fortnightly",
ROUND(
ROUND((((TRUNC($AN305/2,0)+0.99))*VLOOKUP((TRUNC($AN305/2,0)+0.99),'Tax scales - NAT 3539'!$A$74:$C$94,2,1)-VLOOKUP((TRUNC($AN305/2,0)+0.99),'Tax scales - NAT 3539'!$A$74:$C$94,3,1)),0)
*2,
0),
IF(AND($E$2="Monthly",ROUND($AN305-TRUNC($AN305),2)=0.33),
ROUND(
ROUND(((TRUNC(($AN305+0.01)*3/13,0)+0.99)*VLOOKUP((TRUNC(($AN305+0.01)*3/13,0)+0.99),'Tax scales - NAT 3539'!$A$74:$C$94,2,1)-VLOOKUP((TRUNC(($AN305+0.01)*3/13,0)+0.99),'Tax scales - NAT 3539'!$A$74:$C$94,3,1)),0)
*13/3,
0),
IF($E$2="Monthly",
ROUND(
ROUND(((TRUNC($AN305*3/13,0)+0.99)*VLOOKUP((TRUNC($AN305*3/13,0)+0.99),'Tax scales - NAT 3539'!$A$74:$C$94,2,1)-VLOOKUP((TRUNC($AN305*3/13,0)+0.99),'Tax scales - NAT 3539'!$A$74:$C$94,3,1)),0)
*13/3,
0),
""))),
""),
"")</f>
        <v/>
      </c>
      <c r="AX305" s="118" t="str">
        <f>IFERROR(
IF(VLOOKUP($C305,'Employee information'!$B:$M,COLUMNS('Employee information'!$B:$M),0)=55,
IF($E$2="Fortnightly",
ROUND(
ROUND((((TRUNC($AN305/2,0)+0.99))*VLOOKUP((TRUNC($AN305/2,0)+0.99),'Tax scales - NAT 3539'!$A$99:$C$123,2,1)-VLOOKUP((TRUNC($AN305/2,0)+0.99),'Tax scales - NAT 3539'!$A$99:$C$123,3,1)),0)
*2,
0),
IF(AND($E$2="Monthly",ROUND($AN305-TRUNC($AN305),2)=0.33),
ROUND(
ROUND(((TRUNC(($AN305+0.01)*3/13,0)+0.99)*VLOOKUP((TRUNC(($AN305+0.01)*3/13,0)+0.99),'Tax scales - NAT 3539'!$A$99:$C$123,2,1)-VLOOKUP((TRUNC(($AN305+0.01)*3/13,0)+0.99),'Tax scales - NAT 3539'!$A$99:$C$123,3,1)),0)
*13/3,
0),
IF($E$2="Monthly",
ROUND(
ROUND(((TRUNC($AN305*3/13,0)+0.99)*VLOOKUP((TRUNC($AN305*3/13,0)+0.99),'Tax scales - NAT 3539'!$A$99:$C$123,2,1)-VLOOKUP((TRUNC($AN305*3/13,0)+0.99),'Tax scales - NAT 3539'!$A$99:$C$123,3,1)),0)
*13/3,
0),
""))),
""),
"")</f>
        <v/>
      </c>
      <c r="AY305" s="118" t="str">
        <f>IFERROR(
IF(VLOOKUP($C305,'Employee information'!$B:$M,COLUMNS('Employee information'!$B:$M),0)=66,
IF($E$2="Fortnightly",
ROUND(
ROUND((((TRUNC($AN305/2,0)+0.99))*VLOOKUP((TRUNC($AN305/2,0)+0.99),'Tax scales - NAT 3539'!$A$127:$C$154,2,1)-VLOOKUP((TRUNC($AN305/2,0)+0.99),'Tax scales - NAT 3539'!$A$127:$C$154,3,1)),0)
*2,
0),
IF(AND($E$2="Monthly",ROUND($AN305-TRUNC($AN305),2)=0.33),
ROUND(
ROUND(((TRUNC(($AN305+0.01)*3/13,0)+0.99)*VLOOKUP((TRUNC(($AN305+0.01)*3/13,0)+0.99),'Tax scales - NAT 3539'!$A$127:$C$154,2,1)-VLOOKUP((TRUNC(($AN305+0.01)*3/13,0)+0.99),'Tax scales - NAT 3539'!$A$127:$C$154,3,1)),0)
*13/3,
0),
IF($E$2="Monthly",
ROUND(
ROUND(((TRUNC($AN305*3/13,0)+0.99)*VLOOKUP((TRUNC($AN305*3/13,0)+0.99),'Tax scales - NAT 3539'!$A$127:$C$154,2,1)-VLOOKUP((TRUNC($AN305*3/13,0)+0.99),'Tax scales - NAT 3539'!$A$127:$C$154,3,1)),0)
*13/3,
0),
""))),
""),
"")</f>
        <v/>
      </c>
      <c r="AZ305" s="118">
        <f>IFERROR(
HLOOKUP(VLOOKUP($C305,'Employee information'!$B:$M,COLUMNS('Employee information'!$B:$M),0),'PAYG worksheet'!$AO$300:$AY$319,COUNTA($C$301:$C305)+1,0),
0)</f>
        <v>1680</v>
      </c>
      <c r="BA305" s="118"/>
      <c r="BB305" s="118">
        <f t="shared" si="325"/>
        <v>2445</v>
      </c>
      <c r="BC305" s="119">
        <f>IFERROR(
IF(OR($AE305=1,$AE305=""),SUM($P305,$AA305,$AC305,$AK305)*VLOOKUP($C305,'Employee information'!$B:$Q,COLUMNS('Employee information'!$B:$H),0),
IF($AE305=0,SUM($P305,$AA305,$AK305)*VLOOKUP($C305,'Employee information'!$B:$Q,COLUMNS('Employee information'!$B:$H),0),
0)),
0)</f>
        <v>391.875</v>
      </c>
      <c r="BE305" s="114">
        <f t="shared" si="310"/>
        <v>45475</v>
      </c>
      <c r="BF305" s="114">
        <f t="shared" si="311"/>
        <v>45475</v>
      </c>
      <c r="BG305" s="114">
        <f t="shared" si="312"/>
        <v>0</v>
      </c>
      <c r="BH305" s="114">
        <f t="shared" si="313"/>
        <v>0</v>
      </c>
      <c r="BI305" s="114">
        <f t="shared" si="314"/>
        <v>18528</v>
      </c>
      <c r="BJ305" s="114">
        <f t="shared" si="315"/>
        <v>0</v>
      </c>
      <c r="BK305" s="114">
        <f t="shared" si="316"/>
        <v>0</v>
      </c>
      <c r="BL305" s="114">
        <f t="shared" si="326"/>
        <v>100</v>
      </c>
      <c r="BM305" s="114">
        <f t="shared" si="317"/>
        <v>4320.125</v>
      </c>
    </row>
    <row r="306" spans="1:65" x14ac:dyDescent="0.25">
      <c r="A306" s="228">
        <f t="shared" si="305"/>
        <v>11</v>
      </c>
      <c r="C306" s="278" t="s">
        <v>17</v>
      </c>
      <c r="E306" s="103">
        <f>IF($C306="",0,
IF(AND($E$2="Monthly",$A306&gt;12),0,
IF($E$2="Monthly",VLOOKUP($C306,'Employee information'!$B:$AM,COLUMNS('Employee information'!$B:S),0),
IF($E$2="Fortnightly",VLOOKUP($C306,'Employee information'!$B:$AM,COLUMNS('Employee information'!$B:R),0),
0))))</f>
        <v>75</v>
      </c>
      <c r="F306" s="106"/>
      <c r="G306" s="106"/>
      <c r="H306" s="106"/>
      <c r="I306" s="106"/>
      <c r="J306" s="103">
        <f t="shared" si="318"/>
        <v>75</v>
      </c>
      <c r="L306" s="113">
        <f>IF(AND($E$2="Monthly",$A306&gt;12),"",
IFERROR($J306*VLOOKUP($C306,'Employee information'!$B:$AI,COLUMNS('Employee information'!$B:$P),0),0))</f>
        <v>2500</v>
      </c>
      <c r="M306" s="114">
        <f t="shared" si="319"/>
        <v>27500</v>
      </c>
      <c r="O306" s="103">
        <f t="shared" si="320"/>
        <v>75</v>
      </c>
      <c r="P306" s="113">
        <f>IFERROR(
IF(AND($E$2="Monthly",$A306&gt;12),0,
$O306*VLOOKUP($C306,'Employee information'!$B:$AI,COLUMNS('Employee information'!$B:$P),0)),
0)</f>
        <v>2500</v>
      </c>
      <c r="R306" s="114">
        <f t="shared" si="306"/>
        <v>27500</v>
      </c>
      <c r="T306" s="103"/>
      <c r="U306" s="103"/>
      <c r="V306" s="282">
        <f>IF($C306="","",
IF(AND($E$2="Monthly",$A306&gt;12),"",
$T306*VLOOKUP($C306,'Employee information'!$B:$P,COLUMNS('Employee information'!$B:$P),0)))</f>
        <v>0</v>
      </c>
      <c r="W306" s="282">
        <f>IF($C306="","",
IF(AND($E$2="Monthly",$A306&gt;12),"",
$U306*VLOOKUP($C306,'Employee information'!$B:$P,COLUMNS('Employee information'!$B:$P),0)))</f>
        <v>0</v>
      </c>
      <c r="X306" s="114">
        <f t="shared" si="307"/>
        <v>0</v>
      </c>
      <c r="Y306" s="114">
        <f t="shared" si="308"/>
        <v>0</v>
      </c>
      <c r="AA306" s="118">
        <f>IFERROR(
IF(OR('Basic payroll data'!$D$12="",'Basic payroll data'!$D$12="No"),0,
$T306*VLOOKUP($C306,'Employee information'!$B:$P,COLUMNS('Employee information'!$B:$P),0)*AL_loading_perc),
0)</f>
        <v>0</v>
      </c>
      <c r="AC306" s="118"/>
      <c r="AD306" s="118"/>
      <c r="AE306" s="283" t="str">
        <f t="shared" si="321"/>
        <v/>
      </c>
      <c r="AF306" s="283" t="str">
        <f t="shared" si="322"/>
        <v/>
      </c>
      <c r="AG306" s="118"/>
      <c r="AH306" s="118"/>
      <c r="AI306" s="283" t="str">
        <f t="shared" si="323"/>
        <v/>
      </c>
      <c r="AJ306" s="118"/>
      <c r="AK306" s="118"/>
      <c r="AM306" s="118">
        <f t="shared" si="324"/>
        <v>2500</v>
      </c>
      <c r="AN306" s="118">
        <f t="shared" si="309"/>
        <v>2500</v>
      </c>
      <c r="AO306" s="118" t="str">
        <f>IFERROR(
IF(VLOOKUP($C306,'Employee information'!$B:$M,COLUMNS('Employee information'!$B:$M),0)=1,
IF($E$2="Fortnightly",
ROUND(
ROUND((((TRUNC($AN306/2,0)+0.99))*VLOOKUP((TRUNC($AN306/2,0)+0.99),'Tax scales - NAT 1004'!$A$12:$C$18,2,1)-VLOOKUP((TRUNC($AN306/2,0)+0.99),'Tax scales - NAT 1004'!$A$12:$C$18,3,1)),0)
*2,
0),
IF(AND($E$2="Monthly",ROUND($AN306-TRUNC($AN306),2)=0.33),
ROUND(
ROUND(((TRUNC(($AN306+0.01)*3/13,0)+0.99)*VLOOKUP((TRUNC(($AN306+0.01)*3/13,0)+0.99),'Tax scales - NAT 1004'!$A$12:$C$18,2,1)-VLOOKUP((TRUNC(($AN306+0.01)*3/13,0)+0.99),'Tax scales - NAT 1004'!$A$12:$C$18,3,1)),0)
*13/3,
0),
IF($E$2="Monthly",
ROUND(
ROUND(((TRUNC($AN306*3/13,0)+0.99)*VLOOKUP((TRUNC($AN306*3/13,0)+0.99),'Tax scales - NAT 1004'!$A$12:$C$18,2,1)-VLOOKUP((TRUNC($AN306*3/13,0)+0.99),'Tax scales - NAT 1004'!$A$12:$C$18,3,1)),0)
*13/3,
0),
""))),
""),
"")</f>
        <v/>
      </c>
      <c r="AP306" s="118" t="str">
        <f>IFERROR(
IF(VLOOKUP($C306,'Employee information'!$B:$M,COLUMNS('Employee information'!$B:$M),0)=2,
IF($E$2="Fortnightly",
ROUND(
ROUND((((TRUNC($AN306/2,0)+0.99))*VLOOKUP((TRUNC($AN306/2,0)+0.99),'Tax scales - NAT 1004'!$A$25:$C$33,2,1)-VLOOKUP((TRUNC($AN306/2,0)+0.99),'Tax scales - NAT 1004'!$A$25:$C$33,3,1)),0)
*2,
0),
IF(AND($E$2="Monthly",ROUND($AN306-TRUNC($AN306),2)=0.33),
ROUND(
ROUND(((TRUNC(($AN306+0.01)*3/13,0)+0.99)*VLOOKUP((TRUNC(($AN306+0.01)*3/13,0)+0.99),'Tax scales - NAT 1004'!$A$25:$C$33,2,1)-VLOOKUP((TRUNC(($AN306+0.01)*3/13,0)+0.99),'Tax scales - NAT 1004'!$A$25:$C$33,3,1)),0)
*13/3,
0),
IF($E$2="Monthly",
ROUND(
ROUND(((TRUNC($AN306*3/13,0)+0.99)*VLOOKUP((TRUNC($AN306*3/13,0)+0.99),'Tax scales - NAT 1004'!$A$25:$C$33,2,1)-VLOOKUP((TRUNC($AN306*3/13,0)+0.99),'Tax scales - NAT 1004'!$A$25:$C$33,3,1)),0)
*13/3,
0),
""))),
""),
"")</f>
        <v/>
      </c>
      <c r="AQ306" s="118" t="str">
        <f>IFERROR(
IF(VLOOKUP($C306,'Employee information'!$B:$M,COLUMNS('Employee information'!$B:$M),0)=3,
IF($E$2="Fortnightly",
ROUND(
ROUND((((TRUNC($AN306/2,0)+0.99))*VLOOKUP((TRUNC($AN306/2,0)+0.99),'Tax scales - NAT 1004'!$A$39:$C$41,2,1)-VLOOKUP((TRUNC($AN306/2,0)+0.99),'Tax scales - NAT 1004'!$A$39:$C$41,3,1)),0)
*2,
0),
IF(AND($E$2="Monthly",ROUND($AN306-TRUNC($AN306),2)=0.33),
ROUND(
ROUND(((TRUNC(($AN306+0.01)*3/13,0)+0.99)*VLOOKUP((TRUNC(($AN306+0.01)*3/13,0)+0.99),'Tax scales - NAT 1004'!$A$39:$C$41,2,1)-VLOOKUP((TRUNC(($AN306+0.01)*3/13,0)+0.99),'Tax scales - NAT 1004'!$A$39:$C$41,3,1)),0)
*13/3,
0),
IF($E$2="Monthly",
ROUND(
ROUND(((TRUNC($AN306*3/13,0)+0.99)*VLOOKUP((TRUNC($AN306*3/13,0)+0.99),'Tax scales - NAT 1004'!$A$39:$C$41,2,1)-VLOOKUP((TRUNC($AN306*3/13,0)+0.99),'Tax scales - NAT 1004'!$A$39:$C$41,3,1)),0)
*13/3,
0),
""))),
""),
"")</f>
        <v/>
      </c>
      <c r="AR306" s="118">
        <f>IFERROR(
IF(AND(VLOOKUP($C306,'Employee information'!$B:$M,COLUMNS('Employee information'!$B:$M),0)=4,
VLOOKUP($C306,'Employee information'!$B:$J,COLUMNS('Employee information'!$B:$J),0)="Resident"),
TRUNC(TRUNC($AN306)*'Tax scales - NAT 1004'!$B$47),
IF(AND(VLOOKUP($C306,'Employee information'!$B:$M,COLUMNS('Employee information'!$B:$M),0)=4,
VLOOKUP($C306,'Employee information'!$B:$J,COLUMNS('Employee information'!$B:$J),0)="Foreign resident"),
TRUNC(TRUNC($AN306)*'Tax scales - NAT 1004'!$B$48),
"")),
"")</f>
        <v>1175</v>
      </c>
      <c r="AS306" s="118" t="str">
        <f>IFERROR(
IF(VLOOKUP($C306,'Employee information'!$B:$M,COLUMNS('Employee information'!$B:$M),0)=5,
IF($E$2="Fortnightly",
ROUND(
ROUND((((TRUNC($AN306/2,0)+0.99))*VLOOKUP((TRUNC($AN306/2,0)+0.99),'Tax scales - NAT 1004'!$A$53:$C$59,2,1)-VLOOKUP((TRUNC($AN306/2,0)+0.99),'Tax scales - NAT 1004'!$A$53:$C$59,3,1)),0)
*2,
0),
IF(AND($E$2="Monthly",ROUND($AN306-TRUNC($AN306),2)=0.33),
ROUND(
ROUND(((TRUNC(($AN306+0.01)*3/13,0)+0.99)*VLOOKUP((TRUNC(($AN306+0.01)*3/13,0)+0.99),'Tax scales - NAT 1004'!$A$53:$C$59,2,1)-VLOOKUP((TRUNC(($AN306+0.01)*3/13,0)+0.99),'Tax scales - NAT 1004'!$A$53:$C$59,3,1)),0)
*13/3,
0),
IF($E$2="Monthly",
ROUND(
ROUND(((TRUNC($AN306*3/13,0)+0.99)*VLOOKUP((TRUNC($AN306*3/13,0)+0.99),'Tax scales - NAT 1004'!$A$53:$C$59,2,1)-VLOOKUP((TRUNC($AN306*3/13,0)+0.99),'Tax scales - NAT 1004'!$A$53:$C$59,3,1)),0)
*13/3,
0),
""))),
""),
"")</f>
        <v/>
      </c>
      <c r="AT306" s="118" t="str">
        <f>IFERROR(
IF(VLOOKUP($C306,'Employee information'!$B:$M,COLUMNS('Employee information'!$B:$M),0)=6,
IF($E$2="Fortnightly",
ROUND(
ROUND((((TRUNC($AN306/2,0)+0.99))*VLOOKUP((TRUNC($AN306/2,0)+0.99),'Tax scales - NAT 1004'!$A$65:$C$73,2,1)-VLOOKUP((TRUNC($AN306/2,0)+0.99),'Tax scales - NAT 1004'!$A$65:$C$73,3,1)),0)
*2,
0),
IF(AND($E$2="Monthly",ROUND($AN306-TRUNC($AN306),2)=0.33),
ROUND(
ROUND(((TRUNC(($AN306+0.01)*3/13,0)+0.99)*VLOOKUP((TRUNC(($AN306+0.01)*3/13,0)+0.99),'Tax scales - NAT 1004'!$A$65:$C$73,2,1)-VLOOKUP((TRUNC(($AN306+0.01)*3/13,0)+0.99),'Tax scales - NAT 1004'!$A$65:$C$73,3,1)),0)
*13/3,
0),
IF($E$2="Monthly",
ROUND(
ROUND(((TRUNC($AN306*3/13,0)+0.99)*VLOOKUP((TRUNC($AN306*3/13,0)+0.99),'Tax scales - NAT 1004'!$A$65:$C$73,2,1)-VLOOKUP((TRUNC($AN306*3/13,0)+0.99),'Tax scales - NAT 1004'!$A$65:$C$73,3,1)),0)
*13/3,
0),
""))),
""),
"")</f>
        <v/>
      </c>
      <c r="AU306" s="118" t="str">
        <f>IFERROR(
IF(VLOOKUP($C306,'Employee information'!$B:$M,COLUMNS('Employee information'!$B:$M),0)=11,
IF($E$2="Fortnightly",
ROUND(
ROUND((((TRUNC($AN306/2,0)+0.99))*VLOOKUP((TRUNC($AN306/2,0)+0.99),'Tax scales - NAT 3539'!$A$14:$C$38,2,1)-VLOOKUP((TRUNC($AN306/2,0)+0.99),'Tax scales - NAT 3539'!$A$14:$C$38,3,1)),0)
*2,
0),
IF(AND($E$2="Monthly",ROUND($AN306-TRUNC($AN306),2)=0.33),
ROUND(
ROUND(((TRUNC(($AN306+0.01)*3/13,0)+0.99)*VLOOKUP((TRUNC(($AN306+0.01)*3/13,0)+0.99),'Tax scales - NAT 3539'!$A$14:$C$38,2,1)-VLOOKUP((TRUNC(($AN306+0.01)*3/13,0)+0.99),'Tax scales - NAT 3539'!$A$14:$C$38,3,1)),0)
*13/3,
0),
IF($E$2="Monthly",
ROUND(
ROUND(((TRUNC($AN306*3/13,0)+0.99)*VLOOKUP((TRUNC($AN306*3/13,0)+0.99),'Tax scales - NAT 3539'!$A$14:$C$38,2,1)-VLOOKUP((TRUNC($AN306*3/13,0)+0.99),'Tax scales - NAT 3539'!$A$14:$C$38,3,1)),0)
*13/3,
0),
""))),
""),
"")</f>
        <v/>
      </c>
      <c r="AV306" s="118" t="str">
        <f>IFERROR(
IF(VLOOKUP($C306,'Employee information'!$B:$M,COLUMNS('Employee information'!$B:$M),0)=22,
IF($E$2="Fortnightly",
ROUND(
ROUND((((TRUNC($AN306/2,0)+0.99))*VLOOKUP((TRUNC($AN306/2,0)+0.99),'Tax scales - NAT 3539'!$A$43:$C$69,2,1)-VLOOKUP((TRUNC($AN306/2,0)+0.99),'Tax scales - NAT 3539'!$A$43:$C$69,3,1)),0)
*2,
0),
IF(AND($E$2="Monthly",ROUND($AN306-TRUNC($AN306),2)=0.33),
ROUND(
ROUND(((TRUNC(($AN306+0.01)*3/13,0)+0.99)*VLOOKUP((TRUNC(($AN306+0.01)*3/13,0)+0.99),'Tax scales - NAT 3539'!$A$43:$C$69,2,1)-VLOOKUP((TRUNC(($AN306+0.01)*3/13,0)+0.99),'Tax scales - NAT 3539'!$A$43:$C$69,3,1)),0)
*13/3,
0),
IF($E$2="Monthly",
ROUND(
ROUND(((TRUNC($AN306*3/13,0)+0.99)*VLOOKUP((TRUNC($AN306*3/13,0)+0.99),'Tax scales - NAT 3539'!$A$43:$C$69,2,1)-VLOOKUP((TRUNC($AN306*3/13,0)+0.99),'Tax scales - NAT 3539'!$A$43:$C$69,3,1)),0)
*13/3,
0),
""))),
""),
"")</f>
        <v/>
      </c>
      <c r="AW306" s="118" t="str">
        <f>IFERROR(
IF(VLOOKUP($C306,'Employee information'!$B:$M,COLUMNS('Employee information'!$B:$M),0)=33,
IF($E$2="Fortnightly",
ROUND(
ROUND((((TRUNC($AN306/2,0)+0.99))*VLOOKUP((TRUNC($AN306/2,0)+0.99),'Tax scales - NAT 3539'!$A$74:$C$94,2,1)-VLOOKUP((TRUNC($AN306/2,0)+0.99),'Tax scales - NAT 3539'!$A$74:$C$94,3,1)),0)
*2,
0),
IF(AND($E$2="Monthly",ROUND($AN306-TRUNC($AN306),2)=0.33),
ROUND(
ROUND(((TRUNC(($AN306+0.01)*3/13,0)+0.99)*VLOOKUP((TRUNC(($AN306+0.01)*3/13,0)+0.99),'Tax scales - NAT 3539'!$A$74:$C$94,2,1)-VLOOKUP((TRUNC(($AN306+0.01)*3/13,0)+0.99),'Tax scales - NAT 3539'!$A$74:$C$94,3,1)),0)
*13/3,
0),
IF($E$2="Monthly",
ROUND(
ROUND(((TRUNC($AN306*3/13,0)+0.99)*VLOOKUP((TRUNC($AN306*3/13,0)+0.99),'Tax scales - NAT 3539'!$A$74:$C$94,2,1)-VLOOKUP((TRUNC($AN306*3/13,0)+0.99),'Tax scales - NAT 3539'!$A$74:$C$94,3,1)),0)
*13/3,
0),
""))),
""),
"")</f>
        <v/>
      </c>
      <c r="AX306" s="118" t="str">
        <f>IFERROR(
IF(VLOOKUP($C306,'Employee information'!$B:$M,COLUMNS('Employee information'!$B:$M),0)=55,
IF($E$2="Fortnightly",
ROUND(
ROUND((((TRUNC($AN306/2,0)+0.99))*VLOOKUP((TRUNC($AN306/2,0)+0.99),'Tax scales - NAT 3539'!$A$99:$C$123,2,1)-VLOOKUP((TRUNC($AN306/2,0)+0.99),'Tax scales - NAT 3539'!$A$99:$C$123,3,1)),0)
*2,
0),
IF(AND($E$2="Monthly",ROUND($AN306-TRUNC($AN306),2)=0.33),
ROUND(
ROUND(((TRUNC(($AN306+0.01)*3/13,0)+0.99)*VLOOKUP((TRUNC(($AN306+0.01)*3/13,0)+0.99),'Tax scales - NAT 3539'!$A$99:$C$123,2,1)-VLOOKUP((TRUNC(($AN306+0.01)*3/13,0)+0.99),'Tax scales - NAT 3539'!$A$99:$C$123,3,1)),0)
*13/3,
0),
IF($E$2="Monthly",
ROUND(
ROUND(((TRUNC($AN306*3/13,0)+0.99)*VLOOKUP((TRUNC($AN306*3/13,0)+0.99),'Tax scales - NAT 3539'!$A$99:$C$123,2,1)-VLOOKUP((TRUNC($AN306*3/13,0)+0.99),'Tax scales - NAT 3539'!$A$99:$C$123,3,1)),0)
*13/3,
0),
""))),
""),
"")</f>
        <v/>
      </c>
      <c r="AY306" s="118" t="str">
        <f>IFERROR(
IF(VLOOKUP($C306,'Employee information'!$B:$M,COLUMNS('Employee information'!$B:$M),0)=66,
IF($E$2="Fortnightly",
ROUND(
ROUND((((TRUNC($AN306/2,0)+0.99))*VLOOKUP((TRUNC($AN306/2,0)+0.99),'Tax scales - NAT 3539'!$A$127:$C$154,2,1)-VLOOKUP((TRUNC($AN306/2,0)+0.99),'Tax scales - NAT 3539'!$A$127:$C$154,3,1)),0)
*2,
0),
IF(AND($E$2="Monthly",ROUND($AN306-TRUNC($AN306),2)=0.33),
ROUND(
ROUND(((TRUNC(($AN306+0.01)*3/13,0)+0.99)*VLOOKUP((TRUNC(($AN306+0.01)*3/13,0)+0.99),'Tax scales - NAT 3539'!$A$127:$C$154,2,1)-VLOOKUP((TRUNC(($AN306+0.01)*3/13,0)+0.99),'Tax scales - NAT 3539'!$A$127:$C$154,3,1)),0)
*13/3,
0),
IF($E$2="Monthly",
ROUND(
ROUND(((TRUNC($AN306*3/13,0)+0.99)*VLOOKUP((TRUNC($AN306*3/13,0)+0.99),'Tax scales - NAT 3539'!$A$127:$C$154,2,1)-VLOOKUP((TRUNC($AN306*3/13,0)+0.99),'Tax scales - NAT 3539'!$A$127:$C$154,3,1)),0)
*13/3,
0),
""))),
""),
"")</f>
        <v/>
      </c>
      <c r="AZ306" s="118">
        <f>IFERROR(
HLOOKUP(VLOOKUP($C306,'Employee information'!$B:$M,COLUMNS('Employee information'!$B:$M),0),'PAYG worksheet'!$AO$300:$AY$319,COUNTA($C$301:$C306)+1,0),
0)</f>
        <v>1175</v>
      </c>
      <c r="BA306" s="118"/>
      <c r="BB306" s="118">
        <f t="shared" si="325"/>
        <v>1325</v>
      </c>
      <c r="BC306" s="119">
        <f>IFERROR(
IF(OR($AE306=1,$AE306=""),SUM($P306,$AA306,$AC306,$AK306)*VLOOKUP($C306,'Employee information'!$B:$Q,COLUMNS('Employee information'!$B:$H),0),
IF($AE306=0,SUM($P306,$AA306,$AK306)*VLOOKUP($C306,'Employee information'!$B:$Q,COLUMNS('Employee information'!$B:$H),0),
0)),
0)</f>
        <v>237.5</v>
      </c>
      <c r="BE306" s="114">
        <f t="shared" si="310"/>
        <v>27500</v>
      </c>
      <c r="BF306" s="114">
        <f t="shared" si="311"/>
        <v>27500</v>
      </c>
      <c r="BG306" s="114">
        <f t="shared" si="312"/>
        <v>0</v>
      </c>
      <c r="BH306" s="114">
        <f t="shared" si="313"/>
        <v>0</v>
      </c>
      <c r="BI306" s="114">
        <f t="shared" si="314"/>
        <v>12925</v>
      </c>
      <c r="BJ306" s="114">
        <f t="shared" si="315"/>
        <v>0</v>
      </c>
      <c r="BK306" s="114">
        <f t="shared" si="316"/>
        <v>0</v>
      </c>
      <c r="BL306" s="114">
        <f t="shared" si="326"/>
        <v>0</v>
      </c>
      <c r="BM306" s="114">
        <f t="shared" si="317"/>
        <v>2612.5</v>
      </c>
    </row>
    <row r="307" spans="1:65" x14ac:dyDescent="0.25">
      <c r="A307" s="228">
        <f t="shared" si="305"/>
        <v>11</v>
      </c>
      <c r="C307" s="278" t="s">
        <v>95</v>
      </c>
      <c r="E307" s="103">
        <f>IF($C307="",0,
IF(AND($E$2="Monthly",$A307&gt;12),0,
IF($E$2="Monthly",VLOOKUP($C307,'Employee information'!$B:$AM,COLUMNS('Employee information'!$B:S),0),
IF($E$2="Fortnightly",VLOOKUP($C307,'Employee information'!$B:$AM,COLUMNS('Employee information'!$B:R),0),
0))))</f>
        <v>45</v>
      </c>
      <c r="F307" s="106"/>
      <c r="G307" s="106"/>
      <c r="H307" s="106"/>
      <c r="I307" s="106"/>
      <c r="J307" s="103">
        <f t="shared" si="318"/>
        <v>45</v>
      </c>
      <c r="L307" s="113">
        <f>IF(AND($E$2="Monthly",$A307&gt;12),"",
IFERROR($J307*VLOOKUP($C307,'Employee information'!$B:$AI,COLUMNS('Employee information'!$B:$P),0),0))</f>
        <v>1107.6923076923078</v>
      </c>
      <c r="M307" s="114">
        <f t="shared" si="319"/>
        <v>12184.615384615388</v>
      </c>
      <c r="O307" s="103">
        <f t="shared" si="320"/>
        <v>45</v>
      </c>
      <c r="P307" s="113">
        <f>IFERROR(
IF(AND($E$2="Monthly",$A307&gt;12),0,
$O307*VLOOKUP($C307,'Employee information'!$B:$AI,COLUMNS('Employee information'!$B:$P),0)),
0)</f>
        <v>1107.6923076923078</v>
      </c>
      <c r="R307" s="114">
        <f t="shared" si="306"/>
        <v>12184.615384615388</v>
      </c>
      <c r="T307" s="103"/>
      <c r="U307" s="103"/>
      <c r="V307" s="282">
        <f>IF($C307="","",
IF(AND($E$2="Monthly",$A307&gt;12),"",
$T307*VLOOKUP($C307,'Employee information'!$B:$P,COLUMNS('Employee information'!$B:$P),0)))</f>
        <v>0</v>
      </c>
      <c r="W307" s="282">
        <f>IF($C307="","",
IF(AND($E$2="Monthly",$A307&gt;12),"",
$U307*VLOOKUP($C307,'Employee information'!$B:$P,COLUMNS('Employee information'!$B:$P),0)))</f>
        <v>0</v>
      </c>
      <c r="X307" s="114">
        <f t="shared" si="307"/>
        <v>0</v>
      </c>
      <c r="Y307" s="114">
        <f t="shared" si="308"/>
        <v>0</v>
      </c>
      <c r="AA307" s="118">
        <f>IFERROR(
IF(OR('Basic payroll data'!$D$12="",'Basic payroll data'!$D$12="No"),0,
$T307*VLOOKUP($C307,'Employee information'!$B:$P,COLUMNS('Employee information'!$B:$P),0)*AL_loading_perc),
0)</f>
        <v>0</v>
      </c>
      <c r="AC307" s="118"/>
      <c r="AD307" s="118"/>
      <c r="AE307" s="283" t="str">
        <f t="shared" si="321"/>
        <v/>
      </c>
      <c r="AF307" s="283" t="str">
        <f t="shared" si="322"/>
        <v/>
      </c>
      <c r="AG307" s="118"/>
      <c r="AH307" s="118"/>
      <c r="AI307" s="283" t="str">
        <f t="shared" si="323"/>
        <v/>
      </c>
      <c r="AJ307" s="118"/>
      <c r="AK307" s="118"/>
      <c r="AM307" s="118">
        <f t="shared" si="324"/>
        <v>1107.6923076923078</v>
      </c>
      <c r="AN307" s="118">
        <f t="shared" si="309"/>
        <v>1107.6923076923078</v>
      </c>
      <c r="AO307" s="118" t="str">
        <f>IFERROR(
IF(VLOOKUP($C307,'Employee information'!$B:$M,COLUMNS('Employee information'!$B:$M),0)=1,
IF($E$2="Fortnightly",
ROUND(
ROUND((((TRUNC($AN307/2,0)+0.99))*VLOOKUP((TRUNC($AN307/2,0)+0.99),'Tax scales - NAT 1004'!$A$12:$C$18,2,1)-VLOOKUP((TRUNC($AN307/2,0)+0.99),'Tax scales - NAT 1004'!$A$12:$C$18,3,1)),0)
*2,
0),
IF(AND($E$2="Monthly",ROUND($AN307-TRUNC($AN307),2)=0.33),
ROUND(
ROUND(((TRUNC(($AN307+0.01)*3/13,0)+0.99)*VLOOKUP((TRUNC(($AN307+0.01)*3/13,0)+0.99),'Tax scales - NAT 1004'!$A$12:$C$18,2,1)-VLOOKUP((TRUNC(($AN307+0.01)*3/13,0)+0.99),'Tax scales - NAT 1004'!$A$12:$C$18,3,1)),0)
*13/3,
0),
IF($E$2="Monthly",
ROUND(
ROUND(((TRUNC($AN307*3/13,0)+0.99)*VLOOKUP((TRUNC($AN307*3/13,0)+0.99),'Tax scales - NAT 1004'!$A$12:$C$18,2,1)-VLOOKUP((TRUNC($AN307*3/13,0)+0.99),'Tax scales - NAT 1004'!$A$12:$C$18,3,1)),0)
*13/3,
0),
""))),
""),
"")</f>
        <v/>
      </c>
      <c r="AP307" s="118" t="str">
        <f>IFERROR(
IF(VLOOKUP($C307,'Employee information'!$B:$M,COLUMNS('Employee information'!$B:$M),0)=2,
IF($E$2="Fortnightly",
ROUND(
ROUND((((TRUNC($AN307/2,0)+0.99))*VLOOKUP((TRUNC($AN307/2,0)+0.99),'Tax scales - NAT 1004'!$A$25:$C$33,2,1)-VLOOKUP((TRUNC($AN307/2,0)+0.99),'Tax scales - NAT 1004'!$A$25:$C$33,3,1)),0)
*2,
0),
IF(AND($E$2="Monthly",ROUND($AN307-TRUNC($AN307),2)=0.33),
ROUND(
ROUND(((TRUNC(($AN307+0.01)*3/13,0)+0.99)*VLOOKUP((TRUNC(($AN307+0.01)*3/13,0)+0.99),'Tax scales - NAT 1004'!$A$25:$C$33,2,1)-VLOOKUP((TRUNC(($AN307+0.01)*3/13,0)+0.99),'Tax scales - NAT 1004'!$A$25:$C$33,3,1)),0)
*13/3,
0),
IF($E$2="Monthly",
ROUND(
ROUND(((TRUNC($AN307*3/13,0)+0.99)*VLOOKUP((TRUNC($AN307*3/13,0)+0.99),'Tax scales - NAT 1004'!$A$25:$C$33,2,1)-VLOOKUP((TRUNC($AN307*3/13,0)+0.99),'Tax scales - NAT 1004'!$A$25:$C$33,3,1)),0)
*13/3,
0),
""))),
""),
"")</f>
        <v/>
      </c>
      <c r="AQ307" s="118" t="str">
        <f>IFERROR(
IF(VLOOKUP($C307,'Employee information'!$B:$M,COLUMNS('Employee information'!$B:$M),0)=3,
IF($E$2="Fortnightly",
ROUND(
ROUND((((TRUNC($AN307/2,0)+0.99))*VLOOKUP((TRUNC($AN307/2,0)+0.99),'Tax scales - NAT 1004'!$A$39:$C$41,2,1)-VLOOKUP((TRUNC($AN307/2,0)+0.99),'Tax scales - NAT 1004'!$A$39:$C$41,3,1)),0)
*2,
0),
IF(AND($E$2="Monthly",ROUND($AN307-TRUNC($AN307),2)=0.33),
ROUND(
ROUND(((TRUNC(($AN307+0.01)*3/13,0)+0.99)*VLOOKUP((TRUNC(($AN307+0.01)*3/13,0)+0.99),'Tax scales - NAT 1004'!$A$39:$C$41,2,1)-VLOOKUP((TRUNC(($AN307+0.01)*3/13,0)+0.99),'Tax scales - NAT 1004'!$A$39:$C$41,3,1)),0)
*13/3,
0),
IF($E$2="Monthly",
ROUND(
ROUND(((TRUNC($AN307*3/13,0)+0.99)*VLOOKUP((TRUNC($AN307*3/13,0)+0.99),'Tax scales - NAT 1004'!$A$39:$C$41,2,1)-VLOOKUP((TRUNC($AN307*3/13,0)+0.99),'Tax scales - NAT 1004'!$A$39:$C$41,3,1)),0)
*13/3,
0),
""))),
""),
"")</f>
        <v/>
      </c>
      <c r="AR307" s="118" t="str">
        <f>IFERROR(
IF(AND(VLOOKUP($C307,'Employee information'!$B:$M,COLUMNS('Employee information'!$B:$M),0)=4,
VLOOKUP($C307,'Employee information'!$B:$J,COLUMNS('Employee information'!$B:$J),0)="Resident"),
TRUNC(TRUNC($AN307)*'Tax scales - NAT 1004'!$B$47),
IF(AND(VLOOKUP($C307,'Employee information'!$B:$M,COLUMNS('Employee information'!$B:$M),0)=4,
VLOOKUP($C307,'Employee information'!$B:$J,COLUMNS('Employee information'!$B:$J),0)="Foreign resident"),
TRUNC(TRUNC($AN307)*'Tax scales - NAT 1004'!$B$48),
"")),
"")</f>
        <v/>
      </c>
      <c r="AS307" s="118" t="str">
        <f>IFERROR(
IF(VLOOKUP($C307,'Employee information'!$B:$M,COLUMNS('Employee information'!$B:$M),0)=5,
IF($E$2="Fortnightly",
ROUND(
ROUND((((TRUNC($AN307/2,0)+0.99))*VLOOKUP((TRUNC($AN307/2,0)+0.99),'Tax scales - NAT 1004'!$A$53:$C$59,2,1)-VLOOKUP((TRUNC($AN307/2,0)+0.99),'Tax scales - NAT 1004'!$A$53:$C$59,3,1)),0)
*2,
0),
IF(AND($E$2="Monthly",ROUND($AN307-TRUNC($AN307),2)=0.33),
ROUND(
ROUND(((TRUNC(($AN307+0.01)*3/13,0)+0.99)*VLOOKUP((TRUNC(($AN307+0.01)*3/13,0)+0.99),'Tax scales - NAT 1004'!$A$53:$C$59,2,1)-VLOOKUP((TRUNC(($AN307+0.01)*3/13,0)+0.99),'Tax scales - NAT 1004'!$A$53:$C$59,3,1)),0)
*13/3,
0),
IF($E$2="Monthly",
ROUND(
ROUND(((TRUNC($AN307*3/13,0)+0.99)*VLOOKUP((TRUNC($AN307*3/13,0)+0.99),'Tax scales - NAT 1004'!$A$53:$C$59,2,1)-VLOOKUP((TRUNC($AN307*3/13,0)+0.99),'Tax scales - NAT 1004'!$A$53:$C$59,3,1)),0)
*13/3,
0),
""))),
""),
"")</f>
        <v/>
      </c>
      <c r="AT307" s="118" t="str">
        <f>IFERROR(
IF(VLOOKUP($C307,'Employee information'!$B:$M,COLUMNS('Employee information'!$B:$M),0)=6,
IF($E$2="Fortnightly",
ROUND(
ROUND((((TRUNC($AN307/2,0)+0.99))*VLOOKUP((TRUNC($AN307/2,0)+0.99),'Tax scales - NAT 1004'!$A$65:$C$73,2,1)-VLOOKUP((TRUNC($AN307/2,0)+0.99),'Tax scales - NAT 1004'!$A$65:$C$73,3,1)),0)
*2,
0),
IF(AND($E$2="Monthly",ROUND($AN307-TRUNC($AN307),2)=0.33),
ROUND(
ROUND(((TRUNC(($AN307+0.01)*3/13,0)+0.99)*VLOOKUP((TRUNC(($AN307+0.01)*3/13,0)+0.99),'Tax scales - NAT 1004'!$A$65:$C$73,2,1)-VLOOKUP((TRUNC(($AN307+0.01)*3/13,0)+0.99),'Tax scales - NAT 1004'!$A$65:$C$73,3,1)),0)
*13/3,
0),
IF($E$2="Monthly",
ROUND(
ROUND(((TRUNC($AN307*3/13,0)+0.99)*VLOOKUP((TRUNC($AN307*3/13,0)+0.99),'Tax scales - NAT 1004'!$A$65:$C$73,2,1)-VLOOKUP((TRUNC($AN307*3/13,0)+0.99),'Tax scales - NAT 1004'!$A$65:$C$73,3,1)),0)
*13/3,
0),
""))),
""),
"")</f>
        <v/>
      </c>
      <c r="AU307" s="118" t="str">
        <f>IFERROR(
IF(VLOOKUP($C307,'Employee information'!$B:$M,COLUMNS('Employee information'!$B:$M),0)=11,
IF($E$2="Fortnightly",
ROUND(
ROUND((((TRUNC($AN307/2,0)+0.99))*VLOOKUP((TRUNC($AN307/2,0)+0.99),'Tax scales - NAT 3539'!$A$14:$C$38,2,1)-VLOOKUP((TRUNC($AN307/2,0)+0.99),'Tax scales - NAT 3539'!$A$14:$C$38,3,1)),0)
*2,
0),
IF(AND($E$2="Monthly",ROUND($AN307-TRUNC($AN307),2)=0.33),
ROUND(
ROUND(((TRUNC(($AN307+0.01)*3/13,0)+0.99)*VLOOKUP((TRUNC(($AN307+0.01)*3/13,0)+0.99),'Tax scales - NAT 3539'!$A$14:$C$38,2,1)-VLOOKUP((TRUNC(($AN307+0.01)*3/13,0)+0.99),'Tax scales - NAT 3539'!$A$14:$C$38,3,1)),0)
*13/3,
0),
IF($E$2="Monthly",
ROUND(
ROUND(((TRUNC($AN307*3/13,0)+0.99)*VLOOKUP((TRUNC($AN307*3/13,0)+0.99),'Tax scales - NAT 3539'!$A$14:$C$38,2,1)-VLOOKUP((TRUNC($AN307*3/13,0)+0.99),'Tax scales - NAT 3539'!$A$14:$C$38,3,1)),0)
*13/3,
0),
""))),
""),
"")</f>
        <v/>
      </c>
      <c r="AV307" s="118" t="str">
        <f>IFERROR(
IF(VLOOKUP($C307,'Employee information'!$B:$M,COLUMNS('Employee information'!$B:$M),0)=22,
IF($E$2="Fortnightly",
ROUND(
ROUND((((TRUNC($AN307/2,0)+0.99))*VLOOKUP((TRUNC($AN307/2,0)+0.99),'Tax scales - NAT 3539'!$A$43:$C$69,2,1)-VLOOKUP((TRUNC($AN307/2,0)+0.99),'Tax scales - NAT 3539'!$A$43:$C$69,3,1)),0)
*2,
0),
IF(AND($E$2="Monthly",ROUND($AN307-TRUNC($AN307),2)=0.33),
ROUND(
ROUND(((TRUNC(($AN307+0.01)*3/13,0)+0.99)*VLOOKUP((TRUNC(($AN307+0.01)*3/13,0)+0.99),'Tax scales - NAT 3539'!$A$43:$C$69,2,1)-VLOOKUP((TRUNC(($AN307+0.01)*3/13,0)+0.99),'Tax scales - NAT 3539'!$A$43:$C$69,3,1)),0)
*13/3,
0),
IF($E$2="Monthly",
ROUND(
ROUND(((TRUNC($AN307*3/13,0)+0.99)*VLOOKUP((TRUNC($AN307*3/13,0)+0.99),'Tax scales - NAT 3539'!$A$43:$C$69,2,1)-VLOOKUP((TRUNC($AN307*3/13,0)+0.99),'Tax scales - NAT 3539'!$A$43:$C$69,3,1)),0)
*13/3,
0),
""))),
""),
"")</f>
        <v/>
      </c>
      <c r="AW307" s="118" t="str">
        <f>IFERROR(
IF(VLOOKUP($C307,'Employee information'!$B:$M,COLUMNS('Employee information'!$B:$M),0)=33,
IF($E$2="Fortnightly",
ROUND(
ROUND((((TRUNC($AN307/2,0)+0.99))*VLOOKUP((TRUNC($AN307/2,0)+0.99),'Tax scales - NAT 3539'!$A$74:$C$94,2,1)-VLOOKUP((TRUNC($AN307/2,0)+0.99),'Tax scales - NAT 3539'!$A$74:$C$94,3,1)),0)
*2,
0),
IF(AND($E$2="Monthly",ROUND($AN307-TRUNC($AN307),2)=0.33),
ROUND(
ROUND(((TRUNC(($AN307+0.01)*3/13,0)+0.99)*VLOOKUP((TRUNC(($AN307+0.01)*3/13,0)+0.99),'Tax scales - NAT 3539'!$A$74:$C$94,2,1)-VLOOKUP((TRUNC(($AN307+0.01)*3/13,0)+0.99),'Tax scales - NAT 3539'!$A$74:$C$94,3,1)),0)
*13/3,
0),
IF($E$2="Monthly",
ROUND(
ROUND(((TRUNC($AN307*3/13,0)+0.99)*VLOOKUP((TRUNC($AN307*3/13,0)+0.99),'Tax scales - NAT 3539'!$A$74:$C$94,2,1)-VLOOKUP((TRUNC($AN307*3/13,0)+0.99),'Tax scales - NAT 3539'!$A$74:$C$94,3,1)),0)
*13/3,
0),
""))),
""),
"")</f>
        <v/>
      </c>
      <c r="AX307" s="118" t="str">
        <f>IFERROR(
IF(VLOOKUP($C307,'Employee information'!$B:$M,COLUMNS('Employee information'!$B:$M),0)=55,
IF($E$2="Fortnightly",
ROUND(
ROUND((((TRUNC($AN307/2,0)+0.99))*VLOOKUP((TRUNC($AN307/2,0)+0.99),'Tax scales - NAT 3539'!$A$99:$C$123,2,1)-VLOOKUP((TRUNC($AN307/2,0)+0.99),'Tax scales - NAT 3539'!$A$99:$C$123,3,1)),0)
*2,
0),
IF(AND($E$2="Monthly",ROUND($AN307-TRUNC($AN307),2)=0.33),
ROUND(
ROUND(((TRUNC(($AN307+0.01)*3/13,0)+0.99)*VLOOKUP((TRUNC(($AN307+0.01)*3/13,0)+0.99),'Tax scales - NAT 3539'!$A$99:$C$123,2,1)-VLOOKUP((TRUNC(($AN307+0.01)*3/13,0)+0.99),'Tax scales - NAT 3539'!$A$99:$C$123,3,1)),0)
*13/3,
0),
IF($E$2="Monthly",
ROUND(
ROUND(((TRUNC($AN307*3/13,0)+0.99)*VLOOKUP((TRUNC($AN307*3/13,0)+0.99),'Tax scales - NAT 3539'!$A$99:$C$123,2,1)-VLOOKUP((TRUNC($AN307*3/13,0)+0.99),'Tax scales - NAT 3539'!$A$99:$C$123,3,1)),0)
*13/3,
0),
""))),
""),
"")</f>
        <v/>
      </c>
      <c r="AY307" s="118">
        <f>IFERROR(
IF(VLOOKUP($C307,'Employee information'!$B:$M,COLUMNS('Employee information'!$B:$M),0)=66,
IF($E$2="Fortnightly",
ROUND(
ROUND((((TRUNC($AN307/2,0)+0.99))*VLOOKUP((TRUNC($AN307/2,0)+0.99),'Tax scales - NAT 3539'!$A$127:$C$154,2,1)-VLOOKUP((TRUNC($AN307/2,0)+0.99),'Tax scales - NAT 3539'!$A$127:$C$154,3,1)),0)
*2,
0),
IF(AND($E$2="Monthly",ROUND($AN307-TRUNC($AN307),2)=0.33),
ROUND(
ROUND(((TRUNC(($AN307+0.01)*3/13,0)+0.99)*VLOOKUP((TRUNC(($AN307+0.01)*3/13,0)+0.99),'Tax scales - NAT 3539'!$A$127:$C$154,2,1)-VLOOKUP((TRUNC(($AN307+0.01)*3/13,0)+0.99),'Tax scales - NAT 3539'!$A$127:$C$154,3,1)),0)
*13/3,
0),
IF($E$2="Monthly",
ROUND(
ROUND(((TRUNC($AN307*3/13,0)+0.99)*VLOOKUP((TRUNC($AN307*3/13,0)+0.99),'Tax scales - NAT 3539'!$A$127:$C$154,2,1)-VLOOKUP((TRUNC($AN307*3/13,0)+0.99),'Tax scales - NAT 3539'!$A$127:$C$154,3,1)),0)
*13/3,
0),
""))),
""),
"")</f>
        <v>74</v>
      </c>
      <c r="AZ307" s="118">
        <f>IFERROR(
HLOOKUP(VLOOKUP($C307,'Employee information'!$B:$M,COLUMNS('Employee information'!$B:$M),0),'PAYG worksheet'!$AO$300:$AY$319,COUNTA($C$301:$C307)+1,0),
0)</f>
        <v>74</v>
      </c>
      <c r="BA307" s="118"/>
      <c r="BB307" s="118">
        <f t="shared" si="325"/>
        <v>1033.6923076923078</v>
      </c>
      <c r="BC307" s="119">
        <f>IFERROR(
IF(OR($AE307=1,$AE307=""),SUM($P307,$AA307,$AC307,$AK307)*VLOOKUP($C307,'Employee information'!$B:$Q,COLUMNS('Employee information'!$B:$H),0),
IF($AE307=0,SUM($P307,$AA307,$AK307)*VLOOKUP($C307,'Employee information'!$B:$Q,COLUMNS('Employee information'!$B:$H),0),
0)),
0)</f>
        <v>105.23076923076924</v>
      </c>
      <c r="BE307" s="114">
        <f t="shared" si="310"/>
        <v>12184.615384615388</v>
      </c>
      <c r="BF307" s="114">
        <f t="shared" si="311"/>
        <v>12184.615384615388</v>
      </c>
      <c r="BG307" s="114">
        <f t="shared" si="312"/>
        <v>0</v>
      </c>
      <c r="BH307" s="114">
        <f t="shared" si="313"/>
        <v>0</v>
      </c>
      <c r="BI307" s="114">
        <f t="shared" si="314"/>
        <v>814</v>
      </c>
      <c r="BJ307" s="114">
        <f t="shared" si="315"/>
        <v>0</v>
      </c>
      <c r="BK307" s="114">
        <f t="shared" si="316"/>
        <v>0</v>
      </c>
      <c r="BL307" s="114">
        <f t="shared" si="326"/>
        <v>0</v>
      </c>
      <c r="BM307" s="114">
        <f t="shared" si="317"/>
        <v>1157.5384615384619</v>
      </c>
    </row>
    <row r="308" spans="1:65" x14ac:dyDescent="0.25">
      <c r="A308" s="228">
        <f t="shared" si="305"/>
        <v>11</v>
      </c>
      <c r="C308" s="278"/>
      <c r="E308" s="103">
        <f>IF($C308="",0,
IF(AND($E$2="Monthly",$A308&gt;12),0,
IF($E$2="Monthly",VLOOKUP($C308,'Employee information'!$B:$AM,COLUMNS('Employee information'!$B:S),0),
IF($E$2="Fortnightly",VLOOKUP($C308,'Employee information'!$B:$AM,COLUMNS('Employee information'!$B:R),0),
0))))</f>
        <v>0</v>
      </c>
      <c r="F308" s="106"/>
      <c r="G308" s="106"/>
      <c r="H308" s="106"/>
      <c r="I308" s="106"/>
      <c r="J308" s="103">
        <f>IF($E$2="Monthly",
IF(AND($E$2="Monthly",$H308&lt;&gt;""),$H308,
IF(AND($E$2="Monthly",$E308=0),SUM($F308:$G308),
$E308)),
IF($E$2="Fortnightly",
IF(AND($E$2="Fortnightly",$H308&lt;&gt;""),$H308,
IF(AND($E$2="Fortnightly",$F308&lt;&gt;"",$E308&lt;&gt;0),$F308,
IF(AND($E$2="Fortnightly",$E308=0),SUM($F308:$G308),
$E308)))))</f>
        <v>0</v>
      </c>
      <c r="L308" s="113">
        <f>IF(AND($E$2="Monthly",$A308&gt;12),"",
IFERROR($J308*VLOOKUP($C308,'Employee information'!$B:$AI,COLUMNS('Employee information'!$B:$P),0),0))</f>
        <v>0</v>
      </c>
      <c r="M308" s="114">
        <f t="shared" si="319"/>
        <v>0</v>
      </c>
      <c r="O308" s="103">
        <f t="shared" si="320"/>
        <v>0</v>
      </c>
      <c r="P308" s="113">
        <f>IFERROR(
IF(AND($E$2="Monthly",$A308&gt;12),0,
$O308*VLOOKUP($C308,'Employee information'!$B:$AI,COLUMNS('Employee information'!$B:$P),0)),
0)</f>
        <v>0</v>
      </c>
      <c r="R308" s="114">
        <f t="shared" si="306"/>
        <v>0</v>
      </c>
      <c r="T308" s="103"/>
      <c r="U308" s="103"/>
      <c r="V308" s="282" t="str">
        <f>IF($C308="","",
IF(AND($E$2="Monthly",$A308&gt;12),"",
$T308*VLOOKUP($C308,'Employee information'!$B:$P,COLUMNS('Employee information'!$B:$P),0)))</f>
        <v/>
      </c>
      <c r="W308" s="282" t="str">
        <f>IF($C308="","",
IF(AND($E$2="Monthly",$A308&gt;12),"",
$U308*VLOOKUP($C308,'Employee information'!$B:$P,COLUMNS('Employee information'!$B:$P),0)))</f>
        <v/>
      </c>
      <c r="X308" s="114">
        <f t="shared" si="307"/>
        <v>0</v>
      </c>
      <c r="Y308" s="114">
        <f t="shared" si="308"/>
        <v>0</v>
      </c>
      <c r="AA308" s="118">
        <f>IFERROR(
IF(OR('Basic payroll data'!$D$12="",'Basic payroll data'!$D$12="No"),0,
$T308*VLOOKUP($C308,'Employee information'!$B:$P,COLUMNS('Employee information'!$B:$P),0)*AL_loading_perc),
0)</f>
        <v>0</v>
      </c>
      <c r="AC308" s="118"/>
      <c r="AD308" s="118"/>
      <c r="AE308" s="283" t="str">
        <f t="shared" si="321"/>
        <v/>
      </c>
      <c r="AF308" s="283" t="str">
        <f t="shared" si="322"/>
        <v/>
      </c>
      <c r="AG308" s="118"/>
      <c r="AH308" s="118"/>
      <c r="AI308" s="283" t="str">
        <f t="shared" si="323"/>
        <v/>
      </c>
      <c r="AJ308" s="118"/>
      <c r="AK308" s="118"/>
      <c r="AM308" s="118">
        <f t="shared" si="324"/>
        <v>0</v>
      </c>
      <c r="AN308" s="118">
        <f t="shared" si="309"/>
        <v>0</v>
      </c>
      <c r="AO308" s="118" t="str">
        <f>IFERROR(
IF(VLOOKUP($C308,'Employee information'!$B:$M,COLUMNS('Employee information'!$B:$M),0)=1,
IF($E$2="Fortnightly",
ROUND(
ROUND((((TRUNC($AN308/2,0)+0.99))*VLOOKUP((TRUNC($AN308/2,0)+0.99),'Tax scales - NAT 1004'!$A$12:$C$18,2,1)-VLOOKUP((TRUNC($AN308/2,0)+0.99),'Tax scales - NAT 1004'!$A$12:$C$18,3,1)),0)
*2,
0),
IF(AND($E$2="Monthly",ROUND($AN308-TRUNC($AN308),2)=0.33),
ROUND(
ROUND(((TRUNC(($AN308+0.01)*3/13,0)+0.99)*VLOOKUP((TRUNC(($AN308+0.01)*3/13,0)+0.99),'Tax scales - NAT 1004'!$A$12:$C$18,2,1)-VLOOKUP((TRUNC(($AN308+0.01)*3/13,0)+0.99),'Tax scales - NAT 1004'!$A$12:$C$18,3,1)),0)
*13/3,
0),
IF($E$2="Monthly",
ROUND(
ROUND(((TRUNC($AN308*3/13,0)+0.99)*VLOOKUP((TRUNC($AN308*3/13,0)+0.99),'Tax scales - NAT 1004'!$A$12:$C$18,2,1)-VLOOKUP((TRUNC($AN308*3/13,0)+0.99),'Tax scales - NAT 1004'!$A$12:$C$18,3,1)),0)
*13/3,
0),
""))),
""),
"")</f>
        <v/>
      </c>
      <c r="AP308" s="118" t="str">
        <f>IFERROR(
IF(VLOOKUP($C308,'Employee information'!$B:$M,COLUMNS('Employee information'!$B:$M),0)=2,
IF($E$2="Fortnightly",
ROUND(
ROUND((((TRUNC($AN308/2,0)+0.99))*VLOOKUP((TRUNC($AN308/2,0)+0.99),'Tax scales - NAT 1004'!$A$25:$C$33,2,1)-VLOOKUP((TRUNC($AN308/2,0)+0.99),'Tax scales - NAT 1004'!$A$25:$C$33,3,1)),0)
*2,
0),
IF(AND($E$2="Monthly",ROUND($AN308-TRUNC($AN308),2)=0.33),
ROUND(
ROUND(((TRUNC(($AN308+0.01)*3/13,0)+0.99)*VLOOKUP((TRUNC(($AN308+0.01)*3/13,0)+0.99),'Tax scales - NAT 1004'!$A$25:$C$33,2,1)-VLOOKUP((TRUNC(($AN308+0.01)*3/13,0)+0.99),'Tax scales - NAT 1004'!$A$25:$C$33,3,1)),0)
*13/3,
0),
IF($E$2="Monthly",
ROUND(
ROUND(((TRUNC($AN308*3/13,0)+0.99)*VLOOKUP((TRUNC($AN308*3/13,0)+0.99),'Tax scales - NAT 1004'!$A$25:$C$33,2,1)-VLOOKUP((TRUNC($AN308*3/13,0)+0.99),'Tax scales - NAT 1004'!$A$25:$C$33,3,1)),0)
*13/3,
0),
""))),
""),
"")</f>
        <v/>
      </c>
      <c r="AQ308" s="118" t="str">
        <f>IFERROR(
IF(VLOOKUP($C308,'Employee information'!$B:$M,COLUMNS('Employee information'!$B:$M),0)=3,
IF($E$2="Fortnightly",
ROUND(
ROUND((((TRUNC($AN308/2,0)+0.99))*VLOOKUP((TRUNC($AN308/2,0)+0.99),'Tax scales - NAT 1004'!$A$39:$C$41,2,1)-VLOOKUP((TRUNC($AN308/2,0)+0.99),'Tax scales - NAT 1004'!$A$39:$C$41,3,1)),0)
*2,
0),
IF(AND($E$2="Monthly",ROUND($AN308-TRUNC($AN308),2)=0.33),
ROUND(
ROUND(((TRUNC(($AN308+0.01)*3/13,0)+0.99)*VLOOKUP((TRUNC(($AN308+0.01)*3/13,0)+0.99),'Tax scales - NAT 1004'!$A$39:$C$41,2,1)-VLOOKUP((TRUNC(($AN308+0.01)*3/13,0)+0.99),'Tax scales - NAT 1004'!$A$39:$C$41,3,1)),0)
*13/3,
0),
IF($E$2="Monthly",
ROUND(
ROUND(((TRUNC($AN308*3/13,0)+0.99)*VLOOKUP((TRUNC($AN308*3/13,0)+0.99),'Tax scales - NAT 1004'!$A$39:$C$41,2,1)-VLOOKUP((TRUNC($AN308*3/13,0)+0.99),'Tax scales - NAT 1004'!$A$39:$C$41,3,1)),0)
*13/3,
0),
""))),
""),
"")</f>
        <v/>
      </c>
      <c r="AR308" s="118" t="str">
        <f>IFERROR(
IF(AND(VLOOKUP($C308,'Employee information'!$B:$M,COLUMNS('Employee information'!$B:$M),0)=4,
VLOOKUP($C308,'Employee information'!$B:$J,COLUMNS('Employee information'!$B:$J),0)="Resident"),
TRUNC(TRUNC($AN308)*'Tax scales - NAT 1004'!$B$47),
IF(AND(VLOOKUP($C308,'Employee information'!$B:$M,COLUMNS('Employee information'!$B:$M),0)=4,
VLOOKUP($C308,'Employee information'!$B:$J,COLUMNS('Employee information'!$B:$J),0)="Foreign resident"),
TRUNC(TRUNC($AN308)*'Tax scales - NAT 1004'!$B$48),
"")),
"")</f>
        <v/>
      </c>
      <c r="AS308" s="118" t="str">
        <f>IFERROR(
IF(VLOOKUP($C308,'Employee information'!$B:$M,COLUMNS('Employee information'!$B:$M),0)=5,
IF($E$2="Fortnightly",
ROUND(
ROUND((((TRUNC($AN308/2,0)+0.99))*VLOOKUP((TRUNC($AN308/2,0)+0.99),'Tax scales - NAT 1004'!$A$53:$C$59,2,1)-VLOOKUP((TRUNC($AN308/2,0)+0.99),'Tax scales - NAT 1004'!$A$53:$C$59,3,1)),0)
*2,
0),
IF(AND($E$2="Monthly",ROUND($AN308-TRUNC($AN308),2)=0.33),
ROUND(
ROUND(((TRUNC(($AN308+0.01)*3/13,0)+0.99)*VLOOKUP((TRUNC(($AN308+0.01)*3/13,0)+0.99),'Tax scales - NAT 1004'!$A$53:$C$59,2,1)-VLOOKUP((TRUNC(($AN308+0.01)*3/13,0)+0.99),'Tax scales - NAT 1004'!$A$53:$C$59,3,1)),0)
*13/3,
0),
IF($E$2="Monthly",
ROUND(
ROUND(((TRUNC($AN308*3/13,0)+0.99)*VLOOKUP((TRUNC($AN308*3/13,0)+0.99),'Tax scales - NAT 1004'!$A$53:$C$59,2,1)-VLOOKUP((TRUNC($AN308*3/13,0)+0.99),'Tax scales - NAT 1004'!$A$53:$C$59,3,1)),0)
*13/3,
0),
""))),
""),
"")</f>
        <v/>
      </c>
      <c r="AT308" s="118" t="str">
        <f>IFERROR(
IF(VLOOKUP($C308,'Employee information'!$B:$M,COLUMNS('Employee information'!$B:$M),0)=6,
IF($E$2="Fortnightly",
ROUND(
ROUND((((TRUNC($AN308/2,0)+0.99))*VLOOKUP((TRUNC($AN308/2,0)+0.99),'Tax scales - NAT 1004'!$A$65:$C$73,2,1)-VLOOKUP((TRUNC($AN308/2,0)+0.99),'Tax scales - NAT 1004'!$A$65:$C$73,3,1)),0)
*2,
0),
IF(AND($E$2="Monthly",ROUND($AN308-TRUNC($AN308),2)=0.33),
ROUND(
ROUND(((TRUNC(($AN308+0.01)*3/13,0)+0.99)*VLOOKUP((TRUNC(($AN308+0.01)*3/13,0)+0.99),'Tax scales - NAT 1004'!$A$65:$C$73,2,1)-VLOOKUP((TRUNC(($AN308+0.01)*3/13,0)+0.99),'Tax scales - NAT 1004'!$A$65:$C$73,3,1)),0)
*13/3,
0),
IF($E$2="Monthly",
ROUND(
ROUND(((TRUNC($AN308*3/13,0)+0.99)*VLOOKUP((TRUNC($AN308*3/13,0)+0.99),'Tax scales - NAT 1004'!$A$65:$C$73,2,1)-VLOOKUP((TRUNC($AN308*3/13,0)+0.99),'Tax scales - NAT 1004'!$A$65:$C$73,3,1)),0)
*13/3,
0),
""))),
""),
"")</f>
        <v/>
      </c>
      <c r="AU308" s="118" t="str">
        <f>IFERROR(
IF(VLOOKUP($C308,'Employee information'!$B:$M,COLUMNS('Employee information'!$B:$M),0)=11,
IF($E$2="Fortnightly",
ROUND(
ROUND((((TRUNC($AN308/2,0)+0.99))*VLOOKUP((TRUNC($AN308/2,0)+0.99),'Tax scales - NAT 3539'!$A$14:$C$38,2,1)-VLOOKUP((TRUNC($AN308/2,0)+0.99),'Tax scales - NAT 3539'!$A$14:$C$38,3,1)),0)
*2,
0),
IF(AND($E$2="Monthly",ROUND($AN308-TRUNC($AN308),2)=0.33),
ROUND(
ROUND(((TRUNC(($AN308+0.01)*3/13,0)+0.99)*VLOOKUP((TRUNC(($AN308+0.01)*3/13,0)+0.99),'Tax scales - NAT 3539'!$A$14:$C$38,2,1)-VLOOKUP((TRUNC(($AN308+0.01)*3/13,0)+0.99),'Tax scales - NAT 3539'!$A$14:$C$38,3,1)),0)
*13/3,
0),
IF($E$2="Monthly",
ROUND(
ROUND(((TRUNC($AN308*3/13,0)+0.99)*VLOOKUP((TRUNC($AN308*3/13,0)+0.99),'Tax scales - NAT 3539'!$A$14:$C$38,2,1)-VLOOKUP((TRUNC($AN308*3/13,0)+0.99),'Tax scales - NAT 3539'!$A$14:$C$38,3,1)),0)
*13/3,
0),
""))),
""),
"")</f>
        <v/>
      </c>
      <c r="AV308" s="118" t="str">
        <f>IFERROR(
IF(VLOOKUP($C308,'Employee information'!$B:$M,COLUMNS('Employee information'!$B:$M),0)=22,
IF($E$2="Fortnightly",
ROUND(
ROUND((((TRUNC($AN308/2,0)+0.99))*VLOOKUP((TRUNC($AN308/2,0)+0.99),'Tax scales - NAT 3539'!$A$43:$C$69,2,1)-VLOOKUP((TRUNC($AN308/2,0)+0.99),'Tax scales - NAT 3539'!$A$43:$C$69,3,1)),0)
*2,
0),
IF(AND($E$2="Monthly",ROUND($AN308-TRUNC($AN308),2)=0.33),
ROUND(
ROUND(((TRUNC(($AN308+0.01)*3/13,0)+0.99)*VLOOKUP((TRUNC(($AN308+0.01)*3/13,0)+0.99),'Tax scales - NAT 3539'!$A$43:$C$69,2,1)-VLOOKUP((TRUNC(($AN308+0.01)*3/13,0)+0.99),'Tax scales - NAT 3539'!$A$43:$C$69,3,1)),0)
*13/3,
0),
IF($E$2="Monthly",
ROUND(
ROUND(((TRUNC($AN308*3/13,0)+0.99)*VLOOKUP((TRUNC($AN308*3/13,0)+0.99),'Tax scales - NAT 3539'!$A$43:$C$69,2,1)-VLOOKUP((TRUNC($AN308*3/13,0)+0.99),'Tax scales - NAT 3539'!$A$43:$C$69,3,1)),0)
*13/3,
0),
""))),
""),
"")</f>
        <v/>
      </c>
      <c r="AW308" s="118" t="str">
        <f>IFERROR(
IF(VLOOKUP($C308,'Employee information'!$B:$M,COLUMNS('Employee information'!$B:$M),0)=33,
IF($E$2="Fortnightly",
ROUND(
ROUND((((TRUNC($AN308/2,0)+0.99))*VLOOKUP((TRUNC($AN308/2,0)+0.99),'Tax scales - NAT 3539'!$A$74:$C$94,2,1)-VLOOKUP((TRUNC($AN308/2,0)+0.99),'Tax scales - NAT 3539'!$A$74:$C$94,3,1)),0)
*2,
0),
IF(AND($E$2="Monthly",ROUND($AN308-TRUNC($AN308),2)=0.33),
ROUND(
ROUND(((TRUNC(($AN308+0.01)*3/13,0)+0.99)*VLOOKUP((TRUNC(($AN308+0.01)*3/13,0)+0.99),'Tax scales - NAT 3539'!$A$74:$C$94,2,1)-VLOOKUP((TRUNC(($AN308+0.01)*3/13,0)+0.99),'Tax scales - NAT 3539'!$A$74:$C$94,3,1)),0)
*13/3,
0),
IF($E$2="Monthly",
ROUND(
ROUND(((TRUNC($AN308*3/13,0)+0.99)*VLOOKUP((TRUNC($AN308*3/13,0)+0.99),'Tax scales - NAT 3539'!$A$74:$C$94,2,1)-VLOOKUP((TRUNC($AN308*3/13,0)+0.99),'Tax scales - NAT 3539'!$A$74:$C$94,3,1)),0)
*13/3,
0),
""))),
""),
"")</f>
        <v/>
      </c>
      <c r="AX308" s="118" t="str">
        <f>IFERROR(
IF(VLOOKUP($C308,'Employee information'!$B:$M,COLUMNS('Employee information'!$B:$M),0)=55,
IF($E$2="Fortnightly",
ROUND(
ROUND((((TRUNC($AN308/2,0)+0.99))*VLOOKUP((TRUNC($AN308/2,0)+0.99),'Tax scales - NAT 3539'!$A$99:$C$123,2,1)-VLOOKUP((TRUNC($AN308/2,0)+0.99),'Tax scales - NAT 3539'!$A$99:$C$123,3,1)),0)
*2,
0),
IF(AND($E$2="Monthly",ROUND($AN308-TRUNC($AN308),2)=0.33),
ROUND(
ROUND(((TRUNC(($AN308+0.01)*3/13,0)+0.99)*VLOOKUP((TRUNC(($AN308+0.01)*3/13,0)+0.99),'Tax scales - NAT 3539'!$A$99:$C$123,2,1)-VLOOKUP((TRUNC(($AN308+0.01)*3/13,0)+0.99),'Tax scales - NAT 3539'!$A$99:$C$123,3,1)),0)
*13/3,
0),
IF($E$2="Monthly",
ROUND(
ROUND(((TRUNC($AN308*3/13,0)+0.99)*VLOOKUP((TRUNC($AN308*3/13,0)+0.99),'Tax scales - NAT 3539'!$A$99:$C$123,2,1)-VLOOKUP((TRUNC($AN308*3/13,0)+0.99),'Tax scales - NAT 3539'!$A$99:$C$123,3,1)),0)
*13/3,
0),
""))),
""),
"")</f>
        <v/>
      </c>
      <c r="AY308" s="118" t="str">
        <f>IFERROR(
IF(VLOOKUP($C308,'Employee information'!$B:$M,COLUMNS('Employee information'!$B:$M),0)=66,
IF($E$2="Fortnightly",
ROUND(
ROUND((((TRUNC($AN308/2,0)+0.99))*VLOOKUP((TRUNC($AN308/2,0)+0.99),'Tax scales - NAT 3539'!$A$127:$C$154,2,1)-VLOOKUP((TRUNC($AN308/2,0)+0.99),'Tax scales - NAT 3539'!$A$127:$C$154,3,1)),0)
*2,
0),
IF(AND($E$2="Monthly",ROUND($AN308-TRUNC($AN308),2)=0.33),
ROUND(
ROUND(((TRUNC(($AN308+0.01)*3/13,0)+0.99)*VLOOKUP((TRUNC(($AN308+0.01)*3/13,0)+0.99),'Tax scales - NAT 3539'!$A$127:$C$154,2,1)-VLOOKUP((TRUNC(($AN308+0.01)*3/13,0)+0.99),'Tax scales - NAT 3539'!$A$127:$C$154,3,1)),0)
*13/3,
0),
IF($E$2="Monthly",
ROUND(
ROUND(((TRUNC($AN308*3/13,0)+0.99)*VLOOKUP((TRUNC($AN308*3/13,0)+0.99),'Tax scales - NAT 3539'!$A$127:$C$154,2,1)-VLOOKUP((TRUNC($AN308*3/13,0)+0.99),'Tax scales - NAT 3539'!$A$127:$C$154,3,1)),0)
*13/3,
0),
""))),
""),
"")</f>
        <v/>
      </c>
      <c r="AZ308" s="118">
        <f>IFERROR(
HLOOKUP(VLOOKUP($C308,'Employee information'!$B:$M,COLUMNS('Employee information'!$B:$M),0),'PAYG worksheet'!$AO$300:$AY$319,COUNTA($C$301:$C308)+1,0),
0)</f>
        <v>0</v>
      </c>
      <c r="BA308" s="118"/>
      <c r="BB308" s="118">
        <f t="shared" si="325"/>
        <v>0</v>
      </c>
      <c r="BC308" s="119">
        <f>IFERROR(
IF(OR($AE308=1,$AE308=""),SUM($P308,$AA308,$AC308,$AK308)*VLOOKUP($C308,'Employee information'!$B:$Q,COLUMNS('Employee information'!$B:$H),0),
IF($AE308=0,SUM($P308,$AA308,$AK308)*VLOOKUP($C308,'Employee information'!$B:$Q,COLUMNS('Employee information'!$B:$H),0),
0)),
0)</f>
        <v>0</v>
      </c>
      <c r="BE308" s="114">
        <f t="shared" si="310"/>
        <v>0</v>
      </c>
      <c r="BF308" s="114">
        <f t="shared" si="311"/>
        <v>0</v>
      </c>
      <c r="BG308" s="114">
        <f t="shared" si="312"/>
        <v>0</v>
      </c>
      <c r="BH308" s="114">
        <f t="shared" si="313"/>
        <v>0</v>
      </c>
      <c r="BI308" s="114">
        <f t="shared" si="314"/>
        <v>0</v>
      </c>
      <c r="BJ308" s="114">
        <f t="shared" si="315"/>
        <v>0</v>
      </c>
      <c r="BK308" s="114">
        <f t="shared" si="316"/>
        <v>0</v>
      </c>
      <c r="BL308" s="114">
        <f t="shared" si="326"/>
        <v>0</v>
      </c>
      <c r="BM308" s="114">
        <f t="shared" si="317"/>
        <v>0</v>
      </c>
    </row>
    <row r="309" spans="1:65" x14ac:dyDescent="0.25">
      <c r="A309" s="228">
        <f t="shared" si="305"/>
        <v>11</v>
      </c>
      <c r="C309" s="278"/>
      <c r="E309" s="103">
        <f>IF($C309="",0,
IF(AND($E$2="Monthly",$A309&gt;12),0,
IF($E$2="Monthly",VLOOKUP($C309,'Employee information'!$B:$AM,COLUMNS('Employee information'!$B:S),0),
IF($E$2="Fortnightly",VLOOKUP($C309,'Employee information'!$B:$AM,COLUMNS('Employee information'!$B:R),0),
0))))</f>
        <v>0</v>
      </c>
      <c r="F309" s="106"/>
      <c r="G309" s="106"/>
      <c r="H309" s="106"/>
      <c r="I309" s="106"/>
      <c r="J309" s="103">
        <f t="shared" si="318"/>
        <v>0</v>
      </c>
      <c r="L309" s="113">
        <f>IF(AND($E$2="Monthly",$A309&gt;12),"",
IFERROR($J309*VLOOKUP($C309,'Employee information'!$B:$AI,COLUMNS('Employee information'!$B:$P),0),0))</f>
        <v>0</v>
      </c>
      <c r="M309" s="114">
        <f t="shared" si="319"/>
        <v>0</v>
      </c>
      <c r="O309" s="103">
        <f t="shared" si="320"/>
        <v>0</v>
      </c>
      <c r="P309" s="113">
        <f>IFERROR(
IF(AND($E$2="Monthly",$A309&gt;12),0,
$O309*VLOOKUP($C309,'Employee information'!$B:$AI,COLUMNS('Employee information'!$B:$P),0)),
0)</f>
        <v>0</v>
      </c>
      <c r="R309" s="114">
        <f t="shared" si="306"/>
        <v>0</v>
      </c>
      <c r="T309" s="103"/>
      <c r="U309" s="103"/>
      <c r="V309" s="282" t="str">
        <f>IF($C309="","",
IF(AND($E$2="Monthly",$A309&gt;12),"",
$T309*VLOOKUP($C309,'Employee information'!$B:$P,COLUMNS('Employee information'!$B:$P),0)))</f>
        <v/>
      </c>
      <c r="W309" s="282" t="str">
        <f>IF($C309="","",
IF(AND($E$2="Monthly",$A309&gt;12),"",
$U309*VLOOKUP($C309,'Employee information'!$B:$P,COLUMNS('Employee information'!$B:$P),0)))</f>
        <v/>
      </c>
      <c r="X309" s="114">
        <f t="shared" si="307"/>
        <v>0</v>
      </c>
      <c r="Y309" s="114">
        <f t="shared" si="308"/>
        <v>0</v>
      </c>
      <c r="AA309" s="118">
        <f>IFERROR(
IF(OR('Basic payroll data'!$D$12="",'Basic payroll data'!$D$12="No"),0,
$T309*VLOOKUP($C309,'Employee information'!$B:$P,COLUMNS('Employee information'!$B:$P),0)*AL_loading_perc),
0)</f>
        <v>0</v>
      </c>
      <c r="AC309" s="118"/>
      <c r="AD309" s="118"/>
      <c r="AE309" s="283" t="str">
        <f t="shared" si="321"/>
        <v/>
      </c>
      <c r="AF309" s="283" t="str">
        <f t="shared" si="322"/>
        <v/>
      </c>
      <c r="AG309" s="118"/>
      <c r="AH309" s="118"/>
      <c r="AI309" s="283" t="str">
        <f t="shared" si="323"/>
        <v/>
      </c>
      <c r="AJ309" s="118"/>
      <c r="AK309" s="118"/>
      <c r="AM309" s="118">
        <f t="shared" si="324"/>
        <v>0</v>
      </c>
      <c r="AN309" s="118">
        <f t="shared" si="309"/>
        <v>0</v>
      </c>
      <c r="AO309" s="118" t="str">
        <f>IFERROR(
IF(VLOOKUP($C309,'Employee information'!$B:$M,COLUMNS('Employee information'!$B:$M),0)=1,
IF($E$2="Fortnightly",
ROUND(
ROUND((((TRUNC($AN309/2,0)+0.99))*VLOOKUP((TRUNC($AN309/2,0)+0.99),'Tax scales - NAT 1004'!$A$12:$C$18,2,1)-VLOOKUP((TRUNC($AN309/2,0)+0.99),'Tax scales - NAT 1004'!$A$12:$C$18,3,1)),0)
*2,
0),
IF(AND($E$2="Monthly",ROUND($AN309-TRUNC($AN309),2)=0.33),
ROUND(
ROUND(((TRUNC(($AN309+0.01)*3/13,0)+0.99)*VLOOKUP((TRUNC(($AN309+0.01)*3/13,0)+0.99),'Tax scales - NAT 1004'!$A$12:$C$18,2,1)-VLOOKUP((TRUNC(($AN309+0.01)*3/13,0)+0.99),'Tax scales - NAT 1004'!$A$12:$C$18,3,1)),0)
*13/3,
0),
IF($E$2="Monthly",
ROUND(
ROUND(((TRUNC($AN309*3/13,0)+0.99)*VLOOKUP((TRUNC($AN309*3/13,0)+0.99),'Tax scales - NAT 1004'!$A$12:$C$18,2,1)-VLOOKUP((TRUNC($AN309*3/13,0)+0.99),'Tax scales - NAT 1004'!$A$12:$C$18,3,1)),0)
*13/3,
0),
""))),
""),
"")</f>
        <v/>
      </c>
      <c r="AP309" s="118" t="str">
        <f>IFERROR(
IF(VLOOKUP($C309,'Employee information'!$B:$M,COLUMNS('Employee information'!$B:$M),0)=2,
IF($E$2="Fortnightly",
ROUND(
ROUND((((TRUNC($AN309/2,0)+0.99))*VLOOKUP((TRUNC($AN309/2,0)+0.99),'Tax scales - NAT 1004'!$A$25:$C$33,2,1)-VLOOKUP((TRUNC($AN309/2,0)+0.99),'Tax scales - NAT 1004'!$A$25:$C$33,3,1)),0)
*2,
0),
IF(AND($E$2="Monthly",ROUND($AN309-TRUNC($AN309),2)=0.33),
ROUND(
ROUND(((TRUNC(($AN309+0.01)*3/13,0)+0.99)*VLOOKUP((TRUNC(($AN309+0.01)*3/13,0)+0.99),'Tax scales - NAT 1004'!$A$25:$C$33,2,1)-VLOOKUP((TRUNC(($AN309+0.01)*3/13,0)+0.99),'Tax scales - NAT 1004'!$A$25:$C$33,3,1)),0)
*13/3,
0),
IF($E$2="Monthly",
ROUND(
ROUND(((TRUNC($AN309*3/13,0)+0.99)*VLOOKUP((TRUNC($AN309*3/13,0)+0.99),'Tax scales - NAT 1004'!$A$25:$C$33,2,1)-VLOOKUP((TRUNC($AN309*3/13,0)+0.99),'Tax scales - NAT 1004'!$A$25:$C$33,3,1)),0)
*13/3,
0),
""))),
""),
"")</f>
        <v/>
      </c>
      <c r="AQ309" s="118" t="str">
        <f>IFERROR(
IF(VLOOKUP($C309,'Employee information'!$B:$M,COLUMNS('Employee information'!$B:$M),0)=3,
IF($E$2="Fortnightly",
ROUND(
ROUND((((TRUNC($AN309/2,0)+0.99))*VLOOKUP((TRUNC($AN309/2,0)+0.99),'Tax scales - NAT 1004'!$A$39:$C$41,2,1)-VLOOKUP((TRUNC($AN309/2,0)+0.99),'Tax scales - NAT 1004'!$A$39:$C$41,3,1)),0)
*2,
0),
IF(AND($E$2="Monthly",ROUND($AN309-TRUNC($AN309),2)=0.33),
ROUND(
ROUND(((TRUNC(($AN309+0.01)*3/13,0)+0.99)*VLOOKUP((TRUNC(($AN309+0.01)*3/13,0)+0.99),'Tax scales - NAT 1004'!$A$39:$C$41,2,1)-VLOOKUP((TRUNC(($AN309+0.01)*3/13,0)+0.99),'Tax scales - NAT 1004'!$A$39:$C$41,3,1)),0)
*13/3,
0),
IF($E$2="Monthly",
ROUND(
ROUND(((TRUNC($AN309*3/13,0)+0.99)*VLOOKUP((TRUNC($AN309*3/13,0)+0.99),'Tax scales - NAT 1004'!$A$39:$C$41,2,1)-VLOOKUP((TRUNC($AN309*3/13,0)+0.99),'Tax scales - NAT 1004'!$A$39:$C$41,3,1)),0)
*13/3,
0),
""))),
""),
"")</f>
        <v/>
      </c>
      <c r="AR309" s="118" t="str">
        <f>IFERROR(
IF(AND(VLOOKUP($C309,'Employee information'!$B:$M,COLUMNS('Employee information'!$B:$M),0)=4,
VLOOKUP($C309,'Employee information'!$B:$J,COLUMNS('Employee information'!$B:$J),0)="Resident"),
TRUNC(TRUNC($AN309)*'Tax scales - NAT 1004'!$B$47),
IF(AND(VLOOKUP($C309,'Employee information'!$B:$M,COLUMNS('Employee information'!$B:$M),0)=4,
VLOOKUP($C309,'Employee information'!$B:$J,COLUMNS('Employee information'!$B:$J),0)="Foreign resident"),
TRUNC(TRUNC($AN309)*'Tax scales - NAT 1004'!$B$48),
"")),
"")</f>
        <v/>
      </c>
      <c r="AS309" s="118" t="str">
        <f>IFERROR(
IF(VLOOKUP($C309,'Employee information'!$B:$M,COLUMNS('Employee information'!$B:$M),0)=5,
IF($E$2="Fortnightly",
ROUND(
ROUND((((TRUNC($AN309/2,0)+0.99))*VLOOKUP((TRUNC($AN309/2,0)+0.99),'Tax scales - NAT 1004'!$A$53:$C$59,2,1)-VLOOKUP((TRUNC($AN309/2,0)+0.99),'Tax scales - NAT 1004'!$A$53:$C$59,3,1)),0)
*2,
0),
IF(AND($E$2="Monthly",ROUND($AN309-TRUNC($AN309),2)=0.33),
ROUND(
ROUND(((TRUNC(($AN309+0.01)*3/13,0)+0.99)*VLOOKUP((TRUNC(($AN309+0.01)*3/13,0)+0.99),'Tax scales - NAT 1004'!$A$53:$C$59,2,1)-VLOOKUP((TRUNC(($AN309+0.01)*3/13,0)+0.99),'Tax scales - NAT 1004'!$A$53:$C$59,3,1)),0)
*13/3,
0),
IF($E$2="Monthly",
ROUND(
ROUND(((TRUNC($AN309*3/13,0)+0.99)*VLOOKUP((TRUNC($AN309*3/13,0)+0.99),'Tax scales - NAT 1004'!$A$53:$C$59,2,1)-VLOOKUP((TRUNC($AN309*3/13,0)+0.99),'Tax scales - NAT 1004'!$A$53:$C$59,3,1)),0)
*13/3,
0),
""))),
""),
"")</f>
        <v/>
      </c>
      <c r="AT309" s="118" t="str">
        <f>IFERROR(
IF(VLOOKUP($C309,'Employee information'!$B:$M,COLUMNS('Employee information'!$B:$M),0)=6,
IF($E$2="Fortnightly",
ROUND(
ROUND((((TRUNC($AN309/2,0)+0.99))*VLOOKUP((TRUNC($AN309/2,0)+0.99),'Tax scales - NAT 1004'!$A$65:$C$73,2,1)-VLOOKUP((TRUNC($AN309/2,0)+0.99),'Tax scales - NAT 1004'!$A$65:$C$73,3,1)),0)
*2,
0),
IF(AND($E$2="Monthly",ROUND($AN309-TRUNC($AN309),2)=0.33),
ROUND(
ROUND(((TRUNC(($AN309+0.01)*3/13,0)+0.99)*VLOOKUP((TRUNC(($AN309+0.01)*3/13,0)+0.99),'Tax scales - NAT 1004'!$A$65:$C$73,2,1)-VLOOKUP((TRUNC(($AN309+0.01)*3/13,0)+0.99),'Tax scales - NAT 1004'!$A$65:$C$73,3,1)),0)
*13/3,
0),
IF($E$2="Monthly",
ROUND(
ROUND(((TRUNC($AN309*3/13,0)+0.99)*VLOOKUP((TRUNC($AN309*3/13,0)+0.99),'Tax scales - NAT 1004'!$A$65:$C$73,2,1)-VLOOKUP((TRUNC($AN309*3/13,0)+0.99),'Tax scales - NAT 1004'!$A$65:$C$73,3,1)),0)
*13/3,
0),
""))),
""),
"")</f>
        <v/>
      </c>
      <c r="AU309" s="118" t="str">
        <f>IFERROR(
IF(VLOOKUP($C309,'Employee information'!$B:$M,COLUMNS('Employee information'!$B:$M),0)=11,
IF($E$2="Fortnightly",
ROUND(
ROUND((((TRUNC($AN309/2,0)+0.99))*VLOOKUP((TRUNC($AN309/2,0)+0.99),'Tax scales - NAT 3539'!$A$14:$C$38,2,1)-VLOOKUP((TRUNC($AN309/2,0)+0.99),'Tax scales - NAT 3539'!$A$14:$C$38,3,1)),0)
*2,
0),
IF(AND($E$2="Monthly",ROUND($AN309-TRUNC($AN309),2)=0.33),
ROUND(
ROUND(((TRUNC(($AN309+0.01)*3/13,0)+0.99)*VLOOKUP((TRUNC(($AN309+0.01)*3/13,0)+0.99),'Tax scales - NAT 3539'!$A$14:$C$38,2,1)-VLOOKUP((TRUNC(($AN309+0.01)*3/13,0)+0.99),'Tax scales - NAT 3539'!$A$14:$C$38,3,1)),0)
*13/3,
0),
IF($E$2="Monthly",
ROUND(
ROUND(((TRUNC($AN309*3/13,0)+0.99)*VLOOKUP((TRUNC($AN309*3/13,0)+0.99),'Tax scales - NAT 3539'!$A$14:$C$38,2,1)-VLOOKUP((TRUNC($AN309*3/13,0)+0.99),'Tax scales - NAT 3539'!$A$14:$C$38,3,1)),0)
*13/3,
0),
""))),
""),
"")</f>
        <v/>
      </c>
      <c r="AV309" s="118" t="str">
        <f>IFERROR(
IF(VLOOKUP($C309,'Employee information'!$B:$M,COLUMNS('Employee information'!$B:$M),0)=22,
IF($E$2="Fortnightly",
ROUND(
ROUND((((TRUNC($AN309/2,0)+0.99))*VLOOKUP((TRUNC($AN309/2,0)+0.99),'Tax scales - NAT 3539'!$A$43:$C$69,2,1)-VLOOKUP((TRUNC($AN309/2,0)+0.99),'Tax scales - NAT 3539'!$A$43:$C$69,3,1)),0)
*2,
0),
IF(AND($E$2="Monthly",ROUND($AN309-TRUNC($AN309),2)=0.33),
ROUND(
ROUND(((TRUNC(($AN309+0.01)*3/13,0)+0.99)*VLOOKUP((TRUNC(($AN309+0.01)*3/13,0)+0.99),'Tax scales - NAT 3539'!$A$43:$C$69,2,1)-VLOOKUP((TRUNC(($AN309+0.01)*3/13,0)+0.99),'Tax scales - NAT 3539'!$A$43:$C$69,3,1)),0)
*13/3,
0),
IF($E$2="Monthly",
ROUND(
ROUND(((TRUNC($AN309*3/13,0)+0.99)*VLOOKUP((TRUNC($AN309*3/13,0)+0.99),'Tax scales - NAT 3539'!$A$43:$C$69,2,1)-VLOOKUP((TRUNC($AN309*3/13,0)+0.99),'Tax scales - NAT 3539'!$A$43:$C$69,3,1)),0)
*13/3,
0),
""))),
""),
"")</f>
        <v/>
      </c>
      <c r="AW309" s="118" t="str">
        <f>IFERROR(
IF(VLOOKUP($C309,'Employee information'!$B:$M,COLUMNS('Employee information'!$B:$M),0)=33,
IF($E$2="Fortnightly",
ROUND(
ROUND((((TRUNC($AN309/2,0)+0.99))*VLOOKUP((TRUNC($AN309/2,0)+0.99),'Tax scales - NAT 3539'!$A$74:$C$94,2,1)-VLOOKUP((TRUNC($AN309/2,0)+0.99),'Tax scales - NAT 3539'!$A$74:$C$94,3,1)),0)
*2,
0),
IF(AND($E$2="Monthly",ROUND($AN309-TRUNC($AN309),2)=0.33),
ROUND(
ROUND(((TRUNC(($AN309+0.01)*3/13,0)+0.99)*VLOOKUP((TRUNC(($AN309+0.01)*3/13,0)+0.99),'Tax scales - NAT 3539'!$A$74:$C$94,2,1)-VLOOKUP((TRUNC(($AN309+0.01)*3/13,0)+0.99),'Tax scales - NAT 3539'!$A$74:$C$94,3,1)),0)
*13/3,
0),
IF($E$2="Monthly",
ROUND(
ROUND(((TRUNC($AN309*3/13,0)+0.99)*VLOOKUP((TRUNC($AN309*3/13,0)+0.99),'Tax scales - NAT 3539'!$A$74:$C$94,2,1)-VLOOKUP((TRUNC($AN309*3/13,0)+0.99),'Tax scales - NAT 3539'!$A$74:$C$94,3,1)),0)
*13/3,
0),
""))),
""),
"")</f>
        <v/>
      </c>
      <c r="AX309" s="118" t="str">
        <f>IFERROR(
IF(VLOOKUP($C309,'Employee information'!$B:$M,COLUMNS('Employee information'!$B:$M),0)=55,
IF($E$2="Fortnightly",
ROUND(
ROUND((((TRUNC($AN309/2,0)+0.99))*VLOOKUP((TRUNC($AN309/2,0)+0.99),'Tax scales - NAT 3539'!$A$99:$C$123,2,1)-VLOOKUP((TRUNC($AN309/2,0)+0.99),'Tax scales - NAT 3539'!$A$99:$C$123,3,1)),0)
*2,
0),
IF(AND($E$2="Monthly",ROUND($AN309-TRUNC($AN309),2)=0.33),
ROUND(
ROUND(((TRUNC(($AN309+0.01)*3/13,0)+0.99)*VLOOKUP((TRUNC(($AN309+0.01)*3/13,0)+0.99),'Tax scales - NAT 3539'!$A$99:$C$123,2,1)-VLOOKUP((TRUNC(($AN309+0.01)*3/13,0)+0.99),'Tax scales - NAT 3539'!$A$99:$C$123,3,1)),0)
*13/3,
0),
IF($E$2="Monthly",
ROUND(
ROUND(((TRUNC($AN309*3/13,0)+0.99)*VLOOKUP((TRUNC($AN309*3/13,0)+0.99),'Tax scales - NAT 3539'!$A$99:$C$123,2,1)-VLOOKUP((TRUNC($AN309*3/13,0)+0.99),'Tax scales - NAT 3539'!$A$99:$C$123,3,1)),0)
*13/3,
0),
""))),
""),
"")</f>
        <v/>
      </c>
      <c r="AY309" s="118" t="str">
        <f>IFERROR(
IF(VLOOKUP($C309,'Employee information'!$B:$M,COLUMNS('Employee information'!$B:$M),0)=66,
IF($E$2="Fortnightly",
ROUND(
ROUND((((TRUNC($AN309/2,0)+0.99))*VLOOKUP((TRUNC($AN309/2,0)+0.99),'Tax scales - NAT 3539'!$A$127:$C$154,2,1)-VLOOKUP((TRUNC($AN309/2,0)+0.99),'Tax scales - NAT 3539'!$A$127:$C$154,3,1)),0)
*2,
0),
IF(AND($E$2="Monthly",ROUND($AN309-TRUNC($AN309),2)=0.33),
ROUND(
ROUND(((TRUNC(($AN309+0.01)*3/13,0)+0.99)*VLOOKUP((TRUNC(($AN309+0.01)*3/13,0)+0.99),'Tax scales - NAT 3539'!$A$127:$C$154,2,1)-VLOOKUP((TRUNC(($AN309+0.01)*3/13,0)+0.99),'Tax scales - NAT 3539'!$A$127:$C$154,3,1)),0)
*13/3,
0),
IF($E$2="Monthly",
ROUND(
ROUND(((TRUNC($AN309*3/13,0)+0.99)*VLOOKUP((TRUNC($AN309*3/13,0)+0.99),'Tax scales - NAT 3539'!$A$127:$C$154,2,1)-VLOOKUP((TRUNC($AN309*3/13,0)+0.99),'Tax scales - NAT 3539'!$A$127:$C$154,3,1)),0)
*13/3,
0),
""))),
""),
"")</f>
        <v/>
      </c>
      <c r="AZ309" s="118">
        <f>IFERROR(
HLOOKUP(VLOOKUP($C309,'Employee information'!$B:$M,COLUMNS('Employee information'!$B:$M),0),'PAYG worksheet'!$AO$300:$AY$319,COUNTA($C$301:$C309)+1,0),
0)</f>
        <v>0</v>
      </c>
      <c r="BA309" s="118"/>
      <c r="BB309" s="118">
        <f t="shared" si="325"/>
        <v>0</v>
      </c>
      <c r="BC309" s="119">
        <f>IFERROR(
IF(OR($AE309=1,$AE309=""),SUM($P309,$AA309,$AC309,$AK309)*VLOOKUP($C309,'Employee information'!$B:$Q,COLUMNS('Employee information'!$B:$H),0),
IF($AE309=0,SUM($P309,$AA309,$AK309)*VLOOKUP($C309,'Employee information'!$B:$Q,COLUMNS('Employee information'!$B:$H),0),
0)),
0)</f>
        <v>0</v>
      </c>
      <c r="BE309" s="114">
        <f t="shared" si="310"/>
        <v>0</v>
      </c>
      <c r="BF309" s="114">
        <f t="shared" si="311"/>
        <v>0</v>
      </c>
      <c r="BG309" s="114">
        <f t="shared" si="312"/>
        <v>0</v>
      </c>
      <c r="BH309" s="114">
        <f t="shared" si="313"/>
        <v>0</v>
      </c>
      <c r="BI309" s="114">
        <f t="shared" si="314"/>
        <v>0</v>
      </c>
      <c r="BJ309" s="114">
        <f t="shared" si="315"/>
        <v>0</v>
      </c>
      <c r="BK309" s="114">
        <f t="shared" si="316"/>
        <v>0</v>
      </c>
      <c r="BL309" s="114">
        <f t="shared" si="326"/>
        <v>0</v>
      </c>
      <c r="BM309" s="114">
        <f t="shared" si="317"/>
        <v>0</v>
      </c>
    </row>
    <row r="310" spans="1:65" x14ac:dyDescent="0.25">
      <c r="A310" s="228">
        <f t="shared" si="305"/>
        <v>11</v>
      </c>
      <c r="C310" s="278"/>
      <c r="E310" s="103">
        <f>IF($C310="",0,
IF(AND($E$2="Monthly",$A310&gt;12),0,
IF($E$2="Monthly",VLOOKUP($C310,'Employee information'!$B:$AM,COLUMNS('Employee information'!$B:S),0),
IF($E$2="Fortnightly",VLOOKUP($C310,'Employee information'!$B:$AM,COLUMNS('Employee information'!$B:R),0),
0))))</f>
        <v>0</v>
      </c>
      <c r="F310" s="106"/>
      <c r="G310" s="106"/>
      <c r="H310" s="106"/>
      <c r="I310" s="106"/>
      <c r="J310" s="103">
        <f t="shared" si="318"/>
        <v>0</v>
      </c>
      <c r="L310" s="113">
        <f>IF(AND($E$2="Monthly",$A310&gt;12),"",
IFERROR($J310*VLOOKUP($C310,'Employee information'!$B:$AI,COLUMNS('Employee information'!$B:$P),0),0))</f>
        <v>0</v>
      </c>
      <c r="M310" s="114">
        <f t="shared" si="319"/>
        <v>0</v>
      </c>
      <c r="O310" s="103">
        <f>IF($E$2="Monthly",
IF(AND($E$2="Monthly",$H310&lt;&gt;""),$H310,
IF(AND($E$2="Monthly",$E310=0),$F310,
$E310)),
IF($E$2="Fortnightly",
IF(AND($E$2="Fortnightly",$H310&lt;&gt;""),$H310,
IF(AND($E$2="Fortnightly",$F310&lt;&gt;"",$E310&lt;&gt;0),$F310,
IF(AND($E$2="Fortnightly",$E310=0),$F310,
$E310)))))</f>
        <v>0</v>
      </c>
      <c r="P310" s="113">
        <f>IFERROR(
IF(AND($E$2="Monthly",$A310&gt;12),0,
$O310*VLOOKUP($C310,'Employee information'!$B:$AI,COLUMNS('Employee information'!$B:$P),0)),
0)</f>
        <v>0</v>
      </c>
      <c r="R310" s="114">
        <f t="shared" si="306"/>
        <v>0</v>
      </c>
      <c r="T310" s="103"/>
      <c r="U310" s="103"/>
      <c r="V310" s="282" t="str">
        <f>IF($C310="","",
IF(AND($E$2="Monthly",$A310&gt;12),"",
$T310*VLOOKUP($C310,'Employee information'!$B:$P,COLUMNS('Employee information'!$B:$P),0)))</f>
        <v/>
      </c>
      <c r="W310" s="282" t="str">
        <f>IF($C310="","",
IF(AND($E$2="Monthly",$A310&gt;12),"",
$U310*VLOOKUP($C310,'Employee information'!$B:$P,COLUMNS('Employee information'!$B:$P),0)))</f>
        <v/>
      </c>
      <c r="X310" s="114">
        <f t="shared" si="307"/>
        <v>0</v>
      </c>
      <c r="Y310" s="114">
        <f t="shared" si="308"/>
        <v>0</v>
      </c>
      <c r="AA310" s="118">
        <f>IFERROR(
IF(OR('Basic payroll data'!$D$12="",'Basic payroll data'!$D$12="No"),0,
$T310*VLOOKUP($C310,'Employee information'!$B:$P,COLUMNS('Employee information'!$B:$P),0)*AL_loading_perc),
0)</f>
        <v>0</v>
      </c>
      <c r="AC310" s="118"/>
      <c r="AD310" s="118"/>
      <c r="AE310" s="283" t="str">
        <f t="shared" si="321"/>
        <v/>
      </c>
      <c r="AF310" s="283" t="str">
        <f t="shared" si="322"/>
        <v/>
      </c>
      <c r="AG310" s="118"/>
      <c r="AH310" s="118"/>
      <c r="AI310" s="283" t="str">
        <f t="shared" si="323"/>
        <v/>
      </c>
      <c r="AJ310" s="118"/>
      <c r="AK310" s="118"/>
      <c r="AM310" s="118">
        <f t="shared" si="324"/>
        <v>0</v>
      </c>
      <c r="AN310" s="118">
        <f t="shared" si="309"/>
        <v>0</v>
      </c>
      <c r="AO310" s="118" t="str">
        <f>IFERROR(
IF(VLOOKUP($C310,'Employee information'!$B:$M,COLUMNS('Employee information'!$B:$M),0)=1,
IF($E$2="Fortnightly",
ROUND(
ROUND((((TRUNC($AN310/2,0)+0.99))*VLOOKUP((TRUNC($AN310/2,0)+0.99),'Tax scales - NAT 1004'!$A$12:$C$18,2,1)-VLOOKUP((TRUNC($AN310/2,0)+0.99),'Tax scales - NAT 1004'!$A$12:$C$18,3,1)),0)
*2,
0),
IF(AND($E$2="Monthly",ROUND($AN310-TRUNC($AN310),2)=0.33),
ROUND(
ROUND(((TRUNC(($AN310+0.01)*3/13,0)+0.99)*VLOOKUP((TRUNC(($AN310+0.01)*3/13,0)+0.99),'Tax scales - NAT 1004'!$A$12:$C$18,2,1)-VLOOKUP((TRUNC(($AN310+0.01)*3/13,0)+0.99),'Tax scales - NAT 1004'!$A$12:$C$18,3,1)),0)
*13/3,
0),
IF($E$2="Monthly",
ROUND(
ROUND(((TRUNC($AN310*3/13,0)+0.99)*VLOOKUP((TRUNC($AN310*3/13,0)+0.99),'Tax scales - NAT 1004'!$A$12:$C$18,2,1)-VLOOKUP((TRUNC($AN310*3/13,0)+0.99),'Tax scales - NAT 1004'!$A$12:$C$18,3,1)),0)
*13/3,
0),
""))),
""),
"")</f>
        <v/>
      </c>
      <c r="AP310" s="118" t="str">
        <f>IFERROR(
IF(VLOOKUP($C310,'Employee information'!$B:$M,COLUMNS('Employee information'!$B:$M),0)=2,
IF($E$2="Fortnightly",
ROUND(
ROUND((((TRUNC($AN310/2,0)+0.99))*VLOOKUP((TRUNC($AN310/2,0)+0.99),'Tax scales - NAT 1004'!$A$25:$C$33,2,1)-VLOOKUP((TRUNC($AN310/2,0)+0.99),'Tax scales - NAT 1004'!$A$25:$C$33,3,1)),0)
*2,
0),
IF(AND($E$2="Monthly",ROUND($AN310-TRUNC($AN310),2)=0.33),
ROUND(
ROUND(((TRUNC(($AN310+0.01)*3/13,0)+0.99)*VLOOKUP((TRUNC(($AN310+0.01)*3/13,0)+0.99),'Tax scales - NAT 1004'!$A$25:$C$33,2,1)-VLOOKUP((TRUNC(($AN310+0.01)*3/13,0)+0.99),'Tax scales - NAT 1004'!$A$25:$C$33,3,1)),0)
*13/3,
0),
IF($E$2="Monthly",
ROUND(
ROUND(((TRUNC($AN310*3/13,0)+0.99)*VLOOKUP((TRUNC($AN310*3/13,0)+0.99),'Tax scales - NAT 1004'!$A$25:$C$33,2,1)-VLOOKUP((TRUNC($AN310*3/13,0)+0.99),'Tax scales - NAT 1004'!$A$25:$C$33,3,1)),0)
*13/3,
0),
""))),
""),
"")</f>
        <v/>
      </c>
      <c r="AQ310" s="118" t="str">
        <f>IFERROR(
IF(VLOOKUP($C310,'Employee information'!$B:$M,COLUMNS('Employee information'!$B:$M),0)=3,
IF($E$2="Fortnightly",
ROUND(
ROUND((((TRUNC($AN310/2,0)+0.99))*VLOOKUP((TRUNC($AN310/2,0)+0.99),'Tax scales - NAT 1004'!$A$39:$C$41,2,1)-VLOOKUP((TRUNC($AN310/2,0)+0.99),'Tax scales - NAT 1004'!$A$39:$C$41,3,1)),0)
*2,
0),
IF(AND($E$2="Monthly",ROUND($AN310-TRUNC($AN310),2)=0.33),
ROUND(
ROUND(((TRUNC(($AN310+0.01)*3/13,0)+0.99)*VLOOKUP((TRUNC(($AN310+0.01)*3/13,0)+0.99),'Tax scales - NAT 1004'!$A$39:$C$41,2,1)-VLOOKUP((TRUNC(($AN310+0.01)*3/13,0)+0.99),'Tax scales - NAT 1004'!$A$39:$C$41,3,1)),0)
*13/3,
0),
IF($E$2="Monthly",
ROUND(
ROUND(((TRUNC($AN310*3/13,0)+0.99)*VLOOKUP((TRUNC($AN310*3/13,0)+0.99),'Tax scales - NAT 1004'!$A$39:$C$41,2,1)-VLOOKUP((TRUNC($AN310*3/13,0)+0.99),'Tax scales - NAT 1004'!$A$39:$C$41,3,1)),0)
*13/3,
0),
""))),
""),
"")</f>
        <v/>
      </c>
      <c r="AR310" s="118" t="str">
        <f>IFERROR(
IF(AND(VLOOKUP($C310,'Employee information'!$B:$M,COLUMNS('Employee information'!$B:$M),0)=4,
VLOOKUP($C310,'Employee information'!$B:$J,COLUMNS('Employee information'!$B:$J),0)="Resident"),
TRUNC(TRUNC($AN310)*'Tax scales - NAT 1004'!$B$47),
IF(AND(VLOOKUP($C310,'Employee information'!$B:$M,COLUMNS('Employee information'!$B:$M),0)=4,
VLOOKUP($C310,'Employee information'!$B:$J,COLUMNS('Employee information'!$B:$J),0)="Foreign resident"),
TRUNC(TRUNC($AN310)*'Tax scales - NAT 1004'!$B$48),
"")),
"")</f>
        <v/>
      </c>
      <c r="AS310" s="118" t="str">
        <f>IFERROR(
IF(VLOOKUP($C310,'Employee information'!$B:$M,COLUMNS('Employee information'!$B:$M),0)=5,
IF($E$2="Fortnightly",
ROUND(
ROUND((((TRUNC($AN310/2,0)+0.99))*VLOOKUP((TRUNC($AN310/2,0)+0.99),'Tax scales - NAT 1004'!$A$53:$C$59,2,1)-VLOOKUP((TRUNC($AN310/2,0)+0.99),'Tax scales - NAT 1004'!$A$53:$C$59,3,1)),0)
*2,
0),
IF(AND($E$2="Monthly",ROUND($AN310-TRUNC($AN310),2)=0.33),
ROUND(
ROUND(((TRUNC(($AN310+0.01)*3/13,0)+0.99)*VLOOKUP((TRUNC(($AN310+0.01)*3/13,0)+0.99),'Tax scales - NAT 1004'!$A$53:$C$59,2,1)-VLOOKUP((TRUNC(($AN310+0.01)*3/13,0)+0.99),'Tax scales - NAT 1004'!$A$53:$C$59,3,1)),0)
*13/3,
0),
IF($E$2="Monthly",
ROUND(
ROUND(((TRUNC($AN310*3/13,0)+0.99)*VLOOKUP((TRUNC($AN310*3/13,0)+0.99),'Tax scales - NAT 1004'!$A$53:$C$59,2,1)-VLOOKUP((TRUNC($AN310*3/13,0)+0.99),'Tax scales - NAT 1004'!$A$53:$C$59,3,1)),0)
*13/3,
0),
""))),
""),
"")</f>
        <v/>
      </c>
      <c r="AT310" s="118" t="str">
        <f>IFERROR(
IF(VLOOKUP($C310,'Employee information'!$B:$M,COLUMNS('Employee information'!$B:$M),0)=6,
IF($E$2="Fortnightly",
ROUND(
ROUND((((TRUNC($AN310/2,0)+0.99))*VLOOKUP((TRUNC($AN310/2,0)+0.99),'Tax scales - NAT 1004'!$A$65:$C$73,2,1)-VLOOKUP((TRUNC($AN310/2,0)+0.99),'Tax scales - NAT 1004'!$A$65:$C$73,3,1)),0)
*2,
0),
IF(AND($E$2="Monthly",ROUND($AN310-TRUNC($AN310),2)=0.33),
ROUND(
ROUND(((TRUNC(($AN310+0.01)*3/13,0)+0.99)*VLOOKUP((TRUNC(($AN310+0.01)*3/13,0)+0.99),'Tax scales - NAT 1004'!$A$65:$C$73,2,1)-VLOOKUP((TRUNC(($AN310+0.01)*3/13,0)+0.99),'Tax scales - NAT 1004'!$A$65:$C$73,3,1)),0)
*13/3,
0),
IF($E$2="Monthly",
ROUND(
ROUND(((TRUNC($AN310*3/13,0)+0.99)*VLOOKUP((TRUNC($AN310*3/13,0)+0.99),'Tax scales - NAT 1004'!$A$65:$C$73,2,1)-VLOOKUP((TRUNC($AN310*3/13,0)+0.99),'Tax scales - NAT 1004'!$A$65:$C$73,3,1)),0)
*13/3,
0),
""))),
""),
"")</f>
        <v/>
      </c>
      <c r="AU310" s="118" t="str">
        <f>IFERROR(
IF(VLOOKUP($C310,'Employee information'!$B:$M,COLUMNS('Employee information'!$B:$M),0)=11,
IF($E$2="Fortnightly",
ROUND(
ROUND((((TRUNC($AN310/2,0)+0.99))*VLOOKUP((TRUNC($AN310/2,0)+0.99),'Tax scales - NAT 3539'!$A$14:$C$38,2,1)-VLOOKUP((TRUNC($AN310/2,0)+0.99),'Tax scales - NAT 3539'!$A$14:$C$38,3,1)),0)
*2,
0),
IF(AND($E$2="Monthly",ROUND($AN310-TRUNC($AN310),2)=0.33),
ROUND(
ROUND(((TRUNC(($AN310+0.01)*3/13,0)+0.99)*VLOOKUP((TRUNC(($AN310+0.01)*3/13,0)+0.99),'Tax scales - NAT 3539'!$A$14:$C$38,2,1)-VLOOKUP((TRUNC(($AN310+0.01)*3/13,0)+0.99),'Tax scales - NAT 3539'!$A$14:$C$38,3,1)),0)
*13/3,
0),
IF($E$2="Monthly",
ROUND(
ROUND(((TRUNC($AN310*3/13,0)+0.99)*VLOOKUP((TRUNC($AN310*3/13,0)+0.99),'Tax scales - NAT 3539'!$A$14:$C$38,2,1)-VLOOKUP((TRUNC($AN310*3/13,0)+0.99),'Tax scales - NAT 3539'!$A$14:$C$38,3,1)),0)
*13/3,
0),
""))),
""),
"")</f>
        <v/>
      </c>
      <c r="AV310" s="118" t="str">
        <f>IFERROR(
IF(VLOOKUP($C310,'Employee information'!$B:$M,COLUMNS('Employee information'!$B:$M),0)=22,
IF($E$2="Fortnightly",
ROUND(
ROUND((((TRUNC($AN310/2,0)+0.99))*VLOOKUP((TRUNC($AN310/2,0)+0.99),'Tax scales - NAT 3539'!$A$43:$C$69,2,1)-VLOOKUP((TRUNC($AN310/2,0)+0.99),'Tax scales - NAT 3539'!$A$43:$C$69,3,1)),0)
*2,
0),
IF(AND($E$2="Monthly",ROUND($AN310-TRUNC($AN310),2)=0.33),
ROUND(
ROUND(((TRUNC(($AN310+0.01)*3/13,0)+0.99)*VLOOKUP((TRUNC(($AN310+0.01)*3/13,0)+0.99),'Tax scales - NAT 3539'!$A$43:$C$69,2,1)-VLOOKUP((TRUNC(($AN310+0.01)*3/13,0)+0.99),'Tax scales - NAT 3539'!$A$43:$C$69,3,1)),0)
*13/3,
0),
IF($E$2="Monthly",
ROUND(
ROUND(((TRUNC($AN310*3/13,0)+0.99)*VLOOKUP((TRUNC($AN310*3/13,0)+0.99),'Tax scales - NAT 3539'!$A$43:$C$69,2,1)-VLOOKUP((TRUNC($AN310*3/13,0)+0.99),'Tax scales - NAT 3539'!$A$43:$C$69,3,1)),0)
*13/3,
0),
""))),
""),
"")</f>
        <v/>
      </c>
      <c r="AW310" s="118" t="str">
        <f>IFERROR(
IF(VLOOKUP($C310,'Employee information'!$B:$M,COLUMNS('Employee information'!$B:$M),0)=33,
IF($E$2="Fortnightly",
ROUND(
ROUND((((TRUNC($AN310/2,0)+0.99))*VLOOKUP((TRUNC($AN310/2,0)+0.99),'Tax scales - NAT 3539'!$A$74:$C$94,2,1)-VLOOKUP((TRUNC($AN310/2,0)+0.99),'Tax scales - NAT 3539'!$A$74:$C$94,3,1)),0)
*2,
0),
IF(AND($E$2="Monthly",ROUND($AN310-TRUNC($AN310),2)=0.33),
ROUND(
ROUND(((TRUNC(($AN310+0.01)*3/13,0)+0.99)*VLOOKUP((TRUNC(($AN310+0.01)*3/13,0)+0.99),'Tax scales - NAT 3539'!$A$74:$C$94,2,1)-VLOOKUP((TRUNC(($AN310+0.01)*3/13,0)+0.99),'Tax scales - NAT 3539'!$A$74:$C$94,3,1)),0)
*13/3,
0),
IF($E$2="Monthly",
ROUND(
ROUND(((TRUNC($AN310*3/13,0)+0.99)*VLOOKUP((TRUNC($AN310*3/13,0)+0.99),'Tax scales - NAT 3539'!$A$74:$C$94,2,1)-VLOOKUP((TRUNC($AN310*3/13,0)+0.99),'Tax scales - NAT 3539'!$A$74:$C$94,3,1)),0)
*13/3,
0),
""))),
""),
"")</f>
        <v/>
      </c>
      <c r="AX310" s="118" t="str">
        <f>IFERROR(
IF(VLOOKUP($C310,'Employee information'!$B:$M,COLUMNS('Employee information'!$B:$M),0)=55,
IF($E$2="Fortnightly",
ROUND(
ROUND((((TRUNC($AN310/2,0)+0.99))*VLOOKUP((TRUNC($AN310/2,0)+0.99),'Tax scales - NAT 3539'!$A$99:$C$123,2,1)-VLOOKUP((TRUNC($AN310/2,0)+0.99),'Tax scales - NAT 3539'!$A$99:$C$123,3,1)),0)
*2,
0),
IF(AND($E$2="Monthly",ROUND($AN310-TRUNC($AN310),2)=0.33),
ROUND(
ROUND(((TRUNC(($AN310+0.01)*3/13,0)+0.99)*VLOOKUP((TRUNC(($AN310+0.01)*3/13,0)+0.99),'Tax scales - NAT 3539'!$A$99:$C$123,2,1)-VLOOKUP((TRUNC(($AN310+0.01)*3/13,0)+0.99),'Tax scales - NAT 3539'!$A$99:$C$123,3,1)),0)
*13/3,
0),
IF($E$2="Monthly",
ROUND(
ROUND(((TRUNC($AN310*3/13,0)+0.99)*VLOOKUP((TRUNC($AN310*3/13,0)+0.99),'Tax scales - NAT 3539'!$A$99:$C$123,2,1)-VLOOKUP((TRUNC($AN310*3/13,0)+0.99),'Tax scales - NAT 3539'!$A$99:$C$123,3,1)),0)
*13/3,
0),
""))),
""),
"")</f>
        <v/>
      </c>
      <c r="AY310" s="118" t="str">
        <f>IFERROR(
IF(VLOOKUP($C310,'Employee information'!$B:$M,COLUMNS('Employee information'!$B:$M),0)=66,
IF($E$2="Fortnightly",
ROUND(
ROUND((((TRUNC($AN310/2,0)+0.99))*VLOOKUP((TRUNC($AN310/2,0)+0.99),'Tax scales - NAT 3539'!$A$127:$C$154,2,1)-VLOOKUP((TRUNC($AN310/2,0)+0.99),'Tax scales - NAT 3539'!$A$127:$C$154,3,1)),0)
*2,
0),
IF(AND($E$2="Monthly",ROUND($AN310-TRUNC($AN310),2)=0.33),
ROUND(
ROUND(((TRUNC(($AN310+0.01)*3/13,0)+0.99)*VLOOKUP((TRUNC(($AN310+0.01)*3/13,0)+0.99),'Tax scales - NAT 3539'!$A$127:$C$154,2,1)-VLOOKUP((TRUNC(($AN310+0.01)*3/13,0)+0.99),'Tax scales - NAT 3539'!$A$127:$C$154,3,1)),0)
*13/3,
0),
IF($E$2="Monthly",
ROUND(
ROUND(((TRUNC($AN310*3/13,0)+0.99)*VLOOKUP((TRUNC($AN310*3/13,0)+0.99),'Tax scales - NAT 3539'!$A$127:$C$154,2,1)-VLOOKUP((TRUNC($AN310*3/13,0)+0.99),'Tax scales - NAT 3539'!$A$127:$C$154,3,1)),0)
*13/3,
0),
""))),
""),
"")</f>
        <v/>
      </c>
      <c r="AZ310" s="118">
        <f>IFERROR(
HLOOKUP(VLOOKUP($C310,'Employee information'!$B:$M,COLUMNS('Employee information'!$B:$M),0),'PAYG worksheet'!$AO$300:$AY$319,COUNTA($C$301:$C310)+1,0),
0)</f>
        <v>0</v>
      </c>
      <c r="BA310" s="118"/>
      <c r="BB310" s="118">
        <f t="shared" si="325"/>
        <v>0</v>
      </c>
      <c r="BC310" s="119">
        <f>IFERROR(
IF(OR($AE310=1,$AE310=""),SUM($P310,$AA310,$AC310,$AK310)*VLOOKUP($C310,'Employee information'!$B:$Q,COLUMNS('Employee information'!$B:$H),0),
IF($AE310=0,SUM($P310,$AA310,$AK310)*VLOOKUP($C310,'Employee information'!$B:$Q,COLUMNS('Employee information'!$B:$H),0),
0)),
0)</f>
        <v>0</v>
      </c>
      <c r="BE310" s="114">
        <f t="shared" si="310"/>
        <v>0</v>
      </c>
      <c r="BF310" s="114">
        <f t="shared" si="311"/>
        <v>0</v>
      </c>
      <c r="BG310" s="114">
        <f t="shared" si="312"/>
        <v>0</v>
      </c>
      <c r="BH310" s="114">
        <f t="shared" si="313"/>
        <v>0</v>
      </c>
      <c r="BI310" s="114">
        <f t="shared" si="314"/>
        <v>0</v>
      </c>
      <c r="BJ310" s="114">
        <f t="shared" si="315"/>
        <v>0</v>
      </c>
      <c r="BK310" s="114">
        <f t="shared" si="316"/>
        <v>0</v>
      </c>
      <c r="BL310" s="114">
        <f t="shared" si="326"/>
        <v>0</v>
      </c>
      <c r="BM310" s="114">
        <f t="shared" si="317"/>
        <v>0</v>
      </c>
    </row>
    <row r="311" spans="1:65" x14ac:dyDescent="0.25">
      <c r="A311" s="228">
        <f t="shared" si="305"/>
        <v>11</v>
      </c>
      <c r="C311" s="278"/>
      <c r="E311" s="103">
        <f>IF($C311="",0,
IF(AND($E$2="Monthly",$A311&gt;12),0,
IF($E$2="Monthly",VLOOKUP($C311,'Employee information'!$B:$AM,COLUMNS('Employee information'!$B:S),0),
IF($E$2="Fortnightly",VLOOKUP($C311,'Employee information'!$B:$AM,COLUMNS('Employee information'!$B:R),0),
0))))</f>
        <v>0</v>
      </c>
      <c r="F311" s="106"/>
      <c r="G311" s="106"/>
      <c r="H311" s="106"/>
      <c r="I311" s="106"/>
      <c r="J311" s="103">
        <f t="shared" si="318"/>
        <v>0</v>
      </c>
      <c r="L311" s="113">
        <f>IF(AND($E$2="Monthly",$A311&gt;12),"",
IFERROR($J311*VLOOKUP($C311,'Employee information'!$B:$AI,COLUMNS('Employee information'!$B:$P),0),0))</f>
        <v>0</v>
      </c>
      <c r="M311" s="114">
        <f t="shared" si="319"/>
        <v>0</v>
      </c>
      <c r="O311" s="103">
        <f t="shared" si="320"/>
        <v>0</v>
      </c>
      <c r="P311" s="113">
        <f>IFERROR(
IF(AND($E$2="Monthly",$A311&gt;12),0,
$O311*VLOOKUP($C311,'Employee information'!$B:$AI,COLUMNS('Employee information'!$B:$P),0)),
0)</f>
        <v>0</v>
      </c>
      <c r="R311" s="114">
        <f t="shared" si="306"/>
        <v>0</v>
      </c>
      <c r="T311" s="103"/>
      <c r="U311" s="103"/>
      <c r="V311" s="282" t="str">
        <f>IF($C311="","",
IF(AND($E$2="Monthly",$A311&gt;12),"",
$T311*VLOOKUP($C311,'Employee information'!$B:$P,COLUMNS('Employee information'!$B:$P),0)))</f>
        <v/>
      </c>
      <c r="W311" s="282" t="str">
        <f>IF($C311="","",
IF(AND($E$2="Monthly",$A311&gt;12),"",
$U311*VLOOKUP($C311,'Employee information'!$B:$P,COLUMNS('Employee information'!$B:$P),0)))</f>
        <v/>
      </c>
      <c r="X311" s="114">
        <f t="shared" si="307"/>
        <v>0</v>
      </c>
      <c r="Y311" s="114">
        <f t="shared" si="308"/>
        <v>0</v>
      </c>
      <c r="AA311" s="118">
        <f>IFERROR(
IF(OR('Basic payroll data'!$D$12="",'Basic payroll data'!$D$12="No"),0,
$T311*VLOOKUP($C311,'Employee information'!$B:$P,COLUMNS('Employee information'!$B:$P),0)*AL_loading_perc),
0)</f>
        <v>0</v>
      </c>
      <c r="AC311" s="118"/>
      <c r="AD311" s="118"/>
      <c r="AE311" s="283" t="str">
        <f t="shared" si="321"/>
        <v/>
      </c>
      <c r="AF311" s="283" t="str">
        <f t="shared" si="322"/>
        <v/>
      </c>
      <c r="AG311" s="118"/>
      <c r="AH311" s="118"/>
      <c r="AI311" s="283" t="str">
        <f t="shared" si="323"/>
        <v/>
      </c>
      <c r="AJ311" s="118"/>
      <c r="AK311" s="118"/>
      <c r="AM311" s="118">
        <f t="shared" si="324"/>
        <v>0</v>
      </c>
      <c r="AN311" s="118">
        <f t="shared" si="309"/>
        <v>0</v>
      </c>
      <c r="AO311" s="118" t="str">
        <f>IFERROR(
IF(VLOOKUP($C311,'Employee information'!$B:$M,COLUMNS('Employee information'!$B:$M),0)=1,
IF($E$2="Fortnightly",
ROUND(
ROUND((((TRUNC($AN311/2,0)+0.99))*VLOOKUP((TRUNC($AN311/2,0)+0.99),'Tax scales - NAT 1004'!$A$12:$C$18,2,1)-VLOOKUP((TRUNC($AN311/2,0)+0.99),'Tax scales - NAT 1004'!$A$12:$C$18,3,1)),0)
*2,
0),
IF(AND($E$2="Monthly",ROUND($AN311-TRUNC($AN311),2)=0.33),
ROUND(
ROUND(((TRUNC(($AN311+0.01)*3/13,0)+0.99)*VLOOKUP((TRUNC(($AN311+0.01)*3/13,0)+0.99),'Tax scales - NAT 1004'!$A$12:$C$18,2,1)-VLOOKUP((TRUNC(($AN311+0.01)*3/13,0)+0.99),'Tax scales - NAT 1004'!$A$12:$C$18,3,1)),0)
*13/3,
0),
IF($E$2="Monthly",
ROUND(
ROUND(((TRUNC($AN311*3/13,0)+0.99)*VLOOKUP((TRUNC($AN311*3/13,0)+0.99),'Tax scales - NAT 1004'!$A$12:$C$18,2,1)-VLOOKUP((TRUNC($AN311*3/13,0)+0.99),'Tax scales - NAT 1004'!$A$12:$C$18,3,1)),0)
*13/3,
0),
""))),
""),
"")</f>
        <v/>
      </c>
      <c r="AP311" s="118" t="str">
        <f>IFERROR(
IF(VLOOKUP($C311,'Employee information'!$B:$M,COLUMNS('Employee information'!$B:$M),0)=2,
IF($E$2="Fortnightly",
ROUND(
ROUND((((TRUNC($AN311/2,0)+0.99))*VLOOKUP((TRUNC($AN311/2,0)+0.99),'Tax scales - NAT 1004'!$A$25:$C$33,2,1)-VLOOKUP((TRUNC($AN311/2,0)+0.99),'Tax scales - NAT 1004'!$A$25:$C$33,3,1)),0)
*2,
0),
IF(AND($E$2="Monthly",ROUND($AN311-TRUNC($AN311),2)=0.33),
ROUND(
ROUND(((TRUNC(($AN311+0.01)*3/13,0)+0.99)*VLOOKUP((TRUNC(($AN311+0.01)*3/13,0)+0.99),'Tax scales - NAT 1004'!$A$25:$C$33,2,1)-VLOOKUP((TRUNC(($AN311+0.01)*3/13,0)+0.99),'Tax scales - NAT 1004'!$A$25:$C$33,3,1)),0)
*13/3,
0),
IF($E$2="Monthly",
ROUND(
ROUND(((TRUNC($AN311*3/13,0)+0.99)*VLOOKUP((TRUNC($AN311*3/13,0)+0.99),'Tax scales - NAT 1004'!$A$25:$C$33,2,1)-VLOOKUP((TRUNC($AN311*3/13,0)+0.99),'Tax scales - NAT 1004'!$A$25:$C$33,3,1)),0)
*13/3,
0),
""))),
""),
"")</f>
        <v/>
      </c>
      <c r="AQ311" s="118" t="str">
        <f>IFERROR(
IF(VLOOKUP($C311,'Employee information'!$B:$M,COLUMNS('Employee information'!$B:$M),0)=3,
IF($E$2="Fortnightly",
ROUND(
ROUND((((TRUNC($AN311/2,0)+0.99))*VLOOKUP((TRUNC($AN311/2,0)+0.99),'Tax scales - NAT 1004'!$A$39:$C$41,2,1)-VLOOKUP((TRUNC($AN311/2,0)+0.99),'Tax scales - NAT 1004'!$A$39:$C$41,3,1)),0)
*2,
0),
IF(AND($E$2="Monthly",ROUND($AN311-TRUNC($AN311),2)=0.33),
ROUND(
ROUND(((TRUNC(($AN311+0.01)*3/13,0)+0.99)*VLOOKUP((TRUNC(($AN311+0.01)*3/13,0)+0.99),'Tax scales - NAT 1004'!$A$39:$C$41,2,1)-VLOOKUP((TRUNC(($AN311+0.01)*3/13,0)+0.99),'Tax scales - NAT 1004'!$A$39:$C$41,3,1)),0)
*13/3,
0),
IF($E$2="Monthly",
ROUND(
ROUND(((TRUNC($AN311*3/13,0)+0.99)*VLOOKUP((TRUNC($AN311*3/13,0)+0.99),'Tax scales - NAT 1004'!$A$39:$C$41,2,1)-VLOOKUP((TRUNC($AN311*3/13,0)+0.99),'Tax scales - NAT 1004'!$A$39:$C$41,3,1)),0)
*13/3,
0),
""))),
""),
"")</f>
        <v/>
      </c>
      <c r="AR311" s="118" t="str">
        <f>IFERROR(
IF(AND(VLOOKUP($C311,'Employee information'!$B:$M,COLUMNS('Employee information'!$B:$M),0)=4,
VLOOKUP($C311,'Employee information'!$B:$J,COLUMNS('Employee information'!$B:$J),0)="Resident"),
TRUNC(TRUNC($AN311)*'Tax scales - NAT 1004'!$B$47),
IF(AND(VLOOKUP($C311,'Employee information'!$B:$M,COLUMNS('Employee information'!$B:$M),0)=4,
VLOOKUP($C311,'Employee information'!$B:$J,COLUMNS('Employee information'!$B:$J),0)="Foreign resident"),
TRUNC(TRUNC($AN311)*'Tax scales - NAT 1004'!$B$48),
"")),
"")</f>
        <v/>
      </c>
      <c r="AS311" s="118" t="str">
        <f>IFERROR(
IF(VLOOKUP($C311,'Employee information'!$B:$M,COLUMNS('Employee information'!$B:$M),0)=5,
IF($E$2="Fortnightly",
ROUND(
ROUND((((TRUNC($AN311/2,0)+0.99))*VLOOKUP((TRUNC($AN311/2,0)+0.99),'Tax scales - NAT 1004'!$A$53:$C$59,2,1)-VLOOKUP((TRUNC($AN311/2,0)+0.99),'Tax scales - NAT 1004'!$A$53:$C$59,3,1)),0)
*2,
0),
IF(AND($E$2="Monthly",ROUND($AN311-TRUNC($AN311),2)=0.33),
ROUND(
ROUND(((TRUNC(($AN311+0.01)*3/13,0)+0.99)*VLOOKUP((TRUNC(($AN311+0.01)*3/13,0)+0.99),'Tax scales - NAT 1004'!$A$53:$C$59,2,1)-VLOOKUP((TRUNC(($AN311+0.01)*3/13,0)+0.99),'Tax scales - NAT 1004'!$A$53:$C$59,3,1)),0)
*13/3,
0),
IF($E$2="Monthly",
ROUND(
ROUND(((TRUNC($AN311*3/13,0)+0.99)*VLOOKUP((TRUNC($AN311*3/13,0)+0.99),'Tax scales - NAT 1004'!$A$53:$C$59,2,1)-VLOOKUP((TRUNC($AN311*3/13,0)+0.99),'Tax scales - NAT 1004'!$A$53:$C$59,3,1)),0)
*13/3,
0),
""))),
""),
"")</f>
        <v/>
      </c>
      <c r="AT311" s="118" t="str">
        <f>IFERROR(
IF(VLOOKUP($C311,'Employee information'!$B:$M,COLUMNS('Employee information'!$B:$M),0)=6,
IF($E$2="Fortnightly",
ROUND(
ROUND((((TRUNC($AN311/2,0)+0.99))*VLOOKUP((TRUNC($AN311/2,0)+0.99),'Tax scales - NAT 1004'!$A$65:$C$73,2,1)-VLOOKUP((TRUNC($AN311/2,0)+0.99),'Tax scales - NAT 1004'!$A$65:$C$73,3,1)),0)
*2,
0),
IF(AND($E$2="Monthly",ROUND($AN311-TRUNC($AN311),2)=0.33),
ROUND(
ROUND(((TRUNC(($AN311+0.01)*3/13,0)+0.99)*VLOOKUP((TRUNC(($AN311+0.01)*3/13,0)+0.99),'Tax scales - NAT 1004'!$A$65:$C$73,2,1)-VLOOKUP((TRUNC(($AN311+0.01)*3/13,0)+0.99),'Tax scales - NAT 1004'!$A$65:$C$73,3,1)),0)
*13/3,
0),
IF($E$2="Monthly",
ROUND(
ROUND(((TRUNC($AN311*3/13,0)+0.99)*VLOOKUP((TRUNC($AN311*3/13,0)+0.99),'Tax scales - NAT 1004'!$A$65:$C$73,2,1)-VLOOKUP((TRUNC($AN311*3/13,0)+0.99),'Tax scales - NAT 1004'!$A$65:$C$73,3,1)),0)
*13/3,
0),
""))),
""),
"")</f>
        <v/>
      </c>
      <c r="AU311" s="118" t="str">
        <f>IFERROR(
IF(VLOOKUP($C311,'Employee information'!$B:$M,COLUMNS('Employee information'!$B:$M),0)=11,
IF($E$2="Fortnightly",
ROUND(
ROUND((((TRUNC($AN311/2,0)+0.99))*VLOOKUP((TRUNC($AN311/2,0)+0.99),'Tax scales - NAT 3539'!$A$14:$C$38,2,1)-VLOOKUP((TRUNC($AN311/2,0)+0.99),'Tax scales - NAT 3539'!$A$14:$C$38,3,1)),0)
*2,
0),
IF(AND($E$2="Monthly",ROUND($AN311-TRUNC($AN311),2)=0.33),
ROUND(
ROUND(((TRUNC(($AN311+0.01)*3/13,0)+0.99)*VLOOKUP((TRUNC(($AN311+0.01)*3/13,0)+0.99),'Tax scales - NAT 3539'!$A$14:$C$38,2,1)-VLOOKUP((TRUNC(($AN311+0.01)*3/13,0)+0.99),'Tax scales - NAT 3539'!$A$14:$C$38,3,1)),0)
*13/3,
0),
IF($E$2="Monthly",
ROUND(
ROUND(((TRUNC($AN311*3/13,0)+0.99)*VLOOKUP((TRUNC($AN311*3/13,0)+0.99),'Tax scales - NAT 3539'!$A$14:$C$38,2,1)-VLOOKUP((TRUNC($AN311*3/13,0)+0.99),'Tax scales - NAT 3539'!$A$14:$C$38,3,1)),0)
*13/3,
0),
""))),
""),
"")</f>
        <v/>
      </c>
      <c r="AV311" s="118" t="str">
        <f>IFERROR(
IF(VLOOKUP($C311,'Employee information'!$B:$M,COLUMNS('Employee information'!$B:$M),0)=22,
IF($E$2="Fortnightly",
ROUND(
ROUND((((TRUNC($AN311/2,0)+0.99))*VLOOKUP((TRUNC($AN311/2,0)+0.99),'Tax scales - NAT 3539'!$A$43:$C$69,2,1)-VLOOKUP((TRUNC($AN311/2,0)+0.99),'Tax scales - NAT 3539'!$A$43:$C$69,3,1)),0)
*2,
0),
IF(AND($E$2="Monthly",ROUND($AN311-TRUNC($AN311),2)=0.33),
ROUND(
ROUND(((TRUNC(($AN311+0.01)*3/13,0)+0.99)*VLOOKUP((TRUNC(($AN311+0.01)*3/13,0)+0.99),'Tax scales - NAT 3539'!$A$43:$C$69,2,1)-VLOOKUP((TRUNC(($AN311+0.01)*3/13,0)+0.99),'Tax scales - NAT 3539'!$A$43:$C$69,3,1)),0)
*13/3,
0),
IF($E$2="Monthly",
ROUND(
ROUND(((TRUNC($AN311*3/13,0)+0.99)*VLOOKUP((TRUNC($AN311*3/13,0)+0.99),'Tax scales - NAT 3539'!$A$43:$C$69,2,1)-VLOOKUP((TRUNC($AN311*3/13,0)+0.99),'Tax scales - NAT 3539'!$A$43:$C$69,3,1)),0)
*13/3,
0),
""))),
""),
"")</f>
        <v/>
      </c>
      <c r="AW311" s="118" t="str">
        <f>IFERROR(
IF(VLOOKUP($C311,'Employee information'!$B:$M,COLUMNS('Employee information'!$B:$M),0)=33,
IF($E$2="Fortnightly",
ROUND(
ROUND((((TRUNC($AN311/2,0)+0.99))*VLOOKUP((TRUNC($AN311/2,0)+0.99),'Tax scales - NAT 3539'!$A$74:$C$94,2,1)-VLOOKUP((TRUNC($AN311/2,0)+0.99),'Tax scales - NAT 3539'!$A$74:$C$94,3,1)),0)
*2,
0),
IF(AND($E$2="Monthly",ROUND($AN311-TRUNC($AN311),2)=0.33),
ROUND(
ROUND(((TRUNC(($AN311+0.01)*3/13,0)+0.99)*VLOOKUP((TRUNC(($AN311+0.01)*3/13,0)+0.99),'Tax scales - NAT 3539'!$A$74:$C$94,2,1)-VLOOKUP((TRUNC(($AN311+0.01)*3/13,0)+0.99),'Tax scales - NAT 3539'!$A$74:$C$94,3,1)),0)
*13/3,
0),
IF($E$2="Monthly",
ROUND(
ROUND(((TRUNC($AN311*3/13,0)+0.99)*VLOOKUP((TRUNC($AN311*3/13,0)+0.99),'Tax scales - NAT 3539'!$A$74:$C$94,2,1)-VLOOKUP((TRUNC($AN311*3/13,0)+0.99),'Tax scales - NAT 3539'!$A$74:$C$94,3,1)),0)
*13/3,
0),
""))),
""),
"")</f>
        <v/>
      </c>
      <c r="AX311" s="118" t="str">
        <f>IFERROR(
IF(VLOOKUP($C311,'Employee information'!$B:$M,COLUMNS('Employee information'!$B:$M),0)=55,
IF($E$2="Fortnightly",
ROUND(
ROUND((((TRUNC($AN311/2,0)+0.99))*VLOOKUP((TRUNC($AN311/2,0)+0.99),'Tax scales - NAT 3539'!$A$99:$C$123,2,1)-VLOOKUP((TRUNC($AN311/2,0)+0.99),'Tax scales - NAT 3539'!$A$99:$C$123,3,1)),0)
*2,
0),
IF(AND($E$2="Monthly",ROUND($AN311-TRUNC($AN311),2)=0.33),
ROUND(
ROUND(((TRUNC(($AN311+0.01)*3/13,0)+0.99)*VLOOKUP((TRUNC(($AN311+0.01)*3/13,0)+0.99),'Tax scales - NAT 3539'!$A$99:$C$123,2,1)-VLOOKUP((TRUNC(($AN311+0.01)*3/13,0)+0.99),'Tax scales - NAT 3539'!$A$99:$C$123,3,1)),0)
*13/3,
0),
IF($E$2="Monthly",
ROUND(
ROUND(((TRUNC($AN311*3/13,0)+0.99)*VLOOKUP((TRUNC($AN311*3/13,0)+0.99),'Tax scales - NAT 3539'!$A$99:$C$123,2,1)-VLOOKUP((TRUNC($AN311*3/13,0)+0.99),'Tax scales - NAT 3539'!$A$99:$C$123,3,1)),0)
*13/3,
0),
""))),
""),
"")</f>
        <v/>
      </c>
      <c r="AY311" s="118" t="str">
        <f>IFERROR(
IF(VLOOKUP($C311,'Employee information'!$B:$M,COLUMNS('Employee information'!$B:$M),0)=66,
IF($E$2="Fortnightly",
ROUND(
ROUND((((TRUNC($AN311/2,0)+0.99))*VLOOKUP((TRUNC($AN311/2,0)+0.99),'Tax scales - NAT 3539'!$A$127:$C$154,2,1)-VLOOKUP((TRUNC($AN311/2,0)+0.99),'Tax scales - NAT 3539'!$A$127:$C$154,3,1)),0)
*2,
0),
IF(AND($E$2="Monthly",ROUND($AN311-TRUNC($AN311),2)=0.33),
ROUND(
ROUND(((TRUNC(($AN311+0.01)*3/13,0)+0.99)*VLOOKUP((TRUNC(($AN311+0.01)*3/13,0)+0.99),'Tax scales - NAT 3539'!$A$127:$C$154,2,1)-VLOOKUP((TRUNC(($AN311+0.01)*3/13,0)+0.99),'Tax scales - NAT 3539'!$A$127:$C$154,3,1)),0)
*13/3,
0),
IF($E$2="Monthly",
ROUND(
ROUND(((TRUNC($AN311*3/13,0)+0.99)*VLOOKUP((TRUNC($AN311*3/13,0)+0.99),'Tax scales - NAT 3539'!$A$127:$C$154,2,1)-VLOOKUP((TRUNC($AN311*3/13,0)+0.99),'Tax scales - NAT 3539'!$A$127:$C$154,3,1)),0)
*13/3,
0),
""))),
""),
"")</f>
        <v/>
      </c>
      <c r="AZ311" s="118">
        <f>IFERROR(
HLOOKUP(VLOOKUP($C311,'Employee information'!$B:$M,COLUMNS('Employee information'!$B:$M),0),'PAYG worksheet'!$AO$300:$AY$319,COUNTA($C$301:$C311)+1,0),
0)</f>
        <v>0</v>
      </c>
      <c r="BA311" s="118"/>
      <c r="BB311" s="118">
        <f t="shared" si="325"/>
        <v>0</v>
      </c>
      <c r="BC311" s="119">
        <f>IFERROR(
IF(OR($AE311=1,$AE311=""),SUM($P311,$AA311,$AC311,$AK311)*VLOOKUP($C311,'Employee information'!$B:$Q,COLUMNS('Employee information'!$B:$H),0),
IF($AE311=0,SUM($P311,$AA311,$AK311)*VLOOKUP($C311,'Employee information'!$B:$Q,COLUMNS('Employee information'!$B:$H),0),
0)),
0)</f>
        <v>0</v>
      </c>
      <c r="BE311" s="114">
        <f t="shared" si="310"/>
        <v>0</v>
      </c>
      <c r="BF311" s="114">
        <f t="shared" si="311"/>
        <v>0</v>
      </c>
      <c r="BG311" s="114">
        <f t="shared" si="312"/>
        <v>0</v>
      </c>
      <c r="BH311" s="114">
        <f t="shared" si="313"/>
        <v>0</v>
      </c>
      <c r="BI311" s="114">
        <f t="shared" si="314"/>
        <v>0</v>
      </c>
      <c r="BJ311" s="114">
        <f t="shared" si="315"/>
        <v>0</v>
      </c>
      <c r="BK311" s="114">
        <f t="shared" si="316"/>
        <v>0</v>
      </c>
      <c r="BL311" s="114">
        <f t="shared" si="326"/>
        <v>0</v>
      </c>
      <c r="BM311" s="114">
        <f t="shared" si="317"/>
        <v>0</v>
      </c>
    </row>
    <row r="312" spans="1:65" x14ac:dyDescent="0.25">
      <c r="A312" s="228">
        <f t="shared" si="305"/>
        <v>11</v>
      </c>
      <c r="C312" s="278"/>
      <c r="E312" s="103">
        <f>IF($C312="",0,
IF(AND($E$2="Monthly",$A312&gt;12),0,
IF($E$2="Monthly",VLOOKUP($C312,'Employee information'!$B:$AM,COLUMNS('Employee information'!$B:S),0),
IF($E$2="Fortnightly",VLOOKUP($C312,'Employee information'!$B:$AM,COLUMNS('Employee information'!$B:R),0),
0))))</f>
        <v>0</v>
      </c>
      <c r="F312" s="106"/>
      <c r="G312" s="106"/>
      <c r="H312" s="106"/>
      <c r="I312" s="106"/>
      <c r="J312" s="103">
        <f t="shared" si="318"/>
        <v>0</v>
      </c>
      <c r="L312" s="113">
        <f>IF(AND($E$2="Monthly",$A312&gt;12),"",
IFERROR($J312*VLOOKUP($C312,'Employee information'!$B:$AI,COLUMNS('Employee information'!$B:$P),0),0))</f>
        <v>0</v>
      </c>
      <c r="M312" s="114">
        <f t="shared" si="319"/>
        <v>0</v>
      </c>
      <c r="O312" s="103">
        <f t="shared" si="320"/>
        <v>0</v>
      </c>
      <c r="P312" s="113">
        <f>IFERROR(
IF(AND($E$2="Monthly",$A312&gt;12),0,
$O312*VLOOKUP($C312,'Employee information'!$B:$AI,COLUMNS('Employee information'!$B:$P),0)),
0)</f>
        <v>0</v>
      </c>
      <c r="R312" s="114">
        <f t="shared" si="306"/>
        <v>0</v>
      </c>
      <c r="T312" s="103"/>
      <c r="U312" s="103"/>
      <c r="V312" s="282" t="str">
        <f>IF($C312="","",
IF(AND($E$2="Monthly",$A312&gt;12),"",
$T312*VLOOKUP($C312,'Employee information'!$B:$P,COLUMNS('Employee information'!$B:$P),0)))</f>
        <v/>
      </c>
      <c r="W312" s="282" t="str">
        <f>IF($C312="","",
IF(AND($E$2="Monthly",$A312&gt;12),"",
$U312*VLOOKUP($C312,'Employee information'!$B:$P,COLUMNS('Employee information'!$B:$P),0)))</f>
        <v/>
      </c>
      <c r="X312" s="114">
        <f t="shared" si="307"/>
        <v>0</v>
      </c>
      <c r="Y312" s="114">
        <f t="shared" si="308"/>
        <v>0</v>
      </c>
      <c r="AA312" s="118">
        <f>IFERROR(
IF(OR('Basic payroll data'!$D$12="",'Basic payroll data'!$D$12="No"),0,
$T312*VLOOKUP($C312,'Employee information'!$B:$P,COLUMNS('Employee information'!$B:$P),0)*AL_loading_perc),
0)</f>
        <v>0</v>
      </c>
      <c r="AC312" s="118"/>
      <c r="AD312" s="118"/>
      <c r="AE312" s="283" t="str">
        <f t="shared" si="321"/>
        <v/>
      </c>
      <c r="AF312" s="283" t="str">
        <f t="shared" si="322"/>
        <v/>
      </c>
      <c r="AG312" s="118"/>
      <c r="AH312" s="118"/>
      <c r="AI312" s="283" t="str">
        <f t="shared" si="323"/>
        <v/>
      </c>
      <c r="AJ312" s="118"/>
      <c r="AK312" s="118"/>
      <c r="AM312" s="118">
        <f t="shared" si="324"/>
        <v>0</v>
      </c>
      <c r="AN312" s="118">
        <f t="shared" si="309"/>
        <v>0</v>
      </c>
      <c r="AO312" s="118" t="str">
        <f>IFERROR(
IF(VLOOKUP($C312,'Employee information'!$B:$M,COLUMNS('Employee information'!$B:$M),0)=1,
IF($E$2="Fortnightly",
ROUND(
ROUND((((TRUNC($AN312/2,0)+0.99))*VLOOKUP((TRUNC($AN312/2,0)+0.99),'Tax scales - NAT 1004'!$A$12:$C$18,2,1)-VLOOKUP((TRUNC($AN312/2,0)+0.99),'Tax scales - NAT 1004'!$A$12:$C$18,3,1)),0)
*2,
0),
IF(AND($E$2="Monthly",ROUND($AN312-TRUNC($AN312),2)=0.33),
ROUND(
ROUND(((TRUNC(($AN312+0.01)*3/13,0)+0.99)*VLOOKUP((TRUNC(($AN312+0.01)*3/13,0)+0.99),'Tax scales - NAT 1004'!$A$12:$C$18,2,1)-VLOOKUP((TRUNC(($AN312+0.01)*3/13,0)+0.99),'Tax scales - NAT 1004'!$A$12:$C$18,3,1)),0)
*13/3,
0),
IF($E$2="Monthly",
ROUND(
ROUND(((TRUNC($AN312*3/13,0)+0.99)*VLOOKUP((TRUNC($AN312*3/13,0)+0.99),'Tax scales - NAT 1004'!$A$12:$C$18,2,1)-VLOOKUP((TRUNC($AN312*3/13,0)+0.99),'Tax scales - NAT 1004'!$A$12:$C$18,3,1)),0)
*13/3,
0),
""))),
""),
"")</f>
        <v/>
      </c>
      <c r="AP312" s="118" t="str">
        <f>IFERROR(
IF(VLOOKUP($C312,'Employee information'!$B:$M,COLUMNS('Employee information'!$B:$M),0)=2,
IF($E$2="Fortnightly",
ROUND(
ROUND((((TRUNC($AN312/2,0)+0.99))*VLOOKUP((TRUNC($AN312/2,0)+0.99),'Tax scales - NAT 1004'!$A$25:$C$33,2,1)-VLOOKUP((TRUNC($AN312/2,0)+0.99),'Tax scales - NAT 1004'!$A$25:$C$33,3,1)),0)
*2,
0),
IF(AND($E$2="Monthly",ROUND($AN312-TRUNC($AN312),2)=0.33),
ROUND(
ROUND(((TRUNC(($AN312+0.01)*3/13,0)+0.99)*VLOOKUP((TRUNC(($AN312+0.01)*3/13,0)+0.99),'Tax scales - NAT 1004'!$A$25:$C$33,2,1)-VLOOKUP((TRUNC(($AN312+0.01)*3/13,0)+0.99),'Tax scales - NAT 1004'!$A$25:$C$33,3,1)),0)
*13/3,
0),
IF($E$2="Monthly",
ROUND(
ROUND(((TRUNC($AN312*3/13,0)+0.99)*VLOOKUP((TRUNC($AN312*3/13,0)+0.99),'Tax scales - NAT 1004'!$A$25:$C$33,2,1)-VLOOKUP((TRUNC($AN312*3/13,0)+0.99),'Tax scales - NAT 1004'!$A$25:$C$33,3,1)),0)
*13/3,
0),
""))),
""),
"")</f>
        <v/>
      </c>
      <c r="AQ312" s="118" t="str">
        <f>IFERROR(
IF(VLOOKUP($C312,'Employee information'!$B:$M,COLUMNS('Employee information'!$B:$M),0)=3,
IF($E$2="Fortnightly",
ROUND(
ROUND((((TRUNC($AN312/2,0)+0.99))*VLOOKUP((TRUNC($AN312/2,0)+0.99),'Tax scales - NAT 1004'!$A$39:$C$41,2,1)-VLOOKUP((TRUNC($AN312/2,0)+0.99),'Tax scales - NAT 1004'!$A$39:$C$41,3,1)),0)
*2,
0),
IF(AND($E$2="Monthly",ROUND($AN312-TRUNC($AN312),2)=0.33),
ROUND(
ROUND(((TRUNC(($AN312+0.01)*3/13,0)+0.99)*VLOOKUP((TRUNC(($AN312+0.01)*3/13,0)+0.99),'Tax scales - NAT 1004'!$A$39:$C$41,2,1)-VLOOKUP((TRUNC(($AN312+0.01)*3/13,0)+0.99),'Tax scales - NAT 1004'!$A$39:$C$41,3,1)),0)
*13/3,
0),
IF($E$2="Monthly",
ROUND(
ROUND(((TRUNC($AN312*3/13,0)+0.99)*VLOOKUP((TRUNC($AN312*3/13,0)+0.99),'Tax scales - NAT 1004'!$A$39:$C$41,2,1)-VLOOKUP((TRUNC($AN312*3/13,0)+0.99),'Tax scales - NAT 1004'!$A$39:$C$41,3,1)),0)
*13/3,
0),
""))),
""),
"")</f>
        <v/>
      </c>
      <c r="AR312" s="118" t="str">
        <f>IFERROR(
IF(AND(VLOOKUP($C312,'Employee information'!$B:$M,COLUMNS('Employee information'!$B:$M),0)=4,
VLOOKUP($C312,'Employee information'!$B:$J,COLUMNS('Employee information'!$B:$J),0)="Resident"),
TRUNC(TRUNC($AN312)*'Tax scales - NAT 1004'!$B$47),
IF(AND(VLOOKUP($C312,'Employee information'!$B:$M,COLUMNS('Employee information'!$B:$M),0)=4,
VLOOKUP($C312,'Employee information'!$B:$J,COLUMNS('Employee information'!$B:$J),0)="Foreign resident"),
TRUNC(TRUNC($AN312)*'Tax scales - NAT 1004'!$B$48),
"")),
"")</f>
        <v/>
      </c>
      <c r="AS312" s="118" t="str">
        <f>IFERROR(
IF(VLOOKUP($C312,'Employee information'!$B:$M,COLUMNS('Employee information'!$B:$M),0)=5,
IF($E$2="Fortnightly",
ROUND(
ROUND((((TRUNC($AN312/2,0)+0.99))*VLOOKUP((TRUNC($AN312/2,0)+0.99),'Tax scales - NAT 1004'!$A$53:$C$59,2,1)-VLOOKUP((TRUNC($AN312/2,0)+0.99),'Tax scales - NAT 1004'!$A$53:$C$59,3,1)),0)
*2,
0),
IF(AND($E$2="Monthly",ROUND($AN312-TRUNC($AN312),2)=0.33),
ROUND(
ROUND(((TRUNC(($AN312+0.01)*3/13,0)+0.99)*VLOOKUP((TRUNC(($AN312+0.01)*3/13,0)+0.99),'Tax scales - NAT 1004'!$A$53:$C$59,2,1)-VLOOKUP((TRUNC(($AN312+0.01)*3/13,0)+0.99),'Tax scales - NAT 1004'!$A$53:$C$59,3,1)),0)
*13/3,
0),
IF($E$2="Monthly",
ROUND(
ROUND(((TRUNC($AN312*3/13,0)+0.99)*VLOOKUP((TRUNC($AN312*3/13,0)+0.99),'Tax scales - NAT 1004'!$A$53:$C$59,2,1)-VLOOKUP((TRUNC($AN312*3/13,0)+0.99),'Tax scales - NAT 1004'!$A$53:$C$59,3,1)),0)
*13/3,
0),
""))),
""),
"")</f>
        <v/>
      </c>
      <c r="AT312" s="118" t="str">
        <f>IFERROR(
IF(VLOOKUP($C312,'Employee information'!$B:$M,COLUMNS('Employee information'!$B:$M),0)=6,
IF($E$2="Fortnightly",
ROUND(
ROUND((((TRUNC($AN312/2,0)+0.99))*VLOOKUP((TRUNC($AN312/2,0)+0.99),'Tax scales - NAT 1004'!$A$65:$C$73,2,1)-VLOOKUP((TRUNC($AN312/2,0)+0.99),'Tax scales - NAT 1004'!$A$65:$C$73,3,1)),0)
*2,
0),
IF(AND($E$2="Monthly",ROUND($AN312-TRUNC($AN312),2)=0.33),
ROUND(
ROUND(((TRUNC(($AN312+0.01)*3/13,0)+0.99)*VLOOKUP((TRUNC(($AN312+0.01)*3/13,0)+0.99),'Tax scales - NAT 1004'!$A$65:$C$73,2,1)-VLOOKUP((TRUNC(($AN312+0.01)*3/13,0)+0.99),'Tax scales - NAT 1004'!$A$65:$C$73,3,1)),0)
*13/3,
0),
IF($E$2="Monthly",
ROUND(
ROUND(((TRUNC($AN312*3/13,0)+0.99)*VLOOKUP((TRUNC($AN312*3/13,0)+0.99),'Tax scales - NAT 1004'!$A$65:$C$73,2,1)-VLOOKUP((TRUNC($AN312*3/13,0)+0.99),'Tax scales - NAT 1004'!$A$65:$C$73,3,1)),0)
*13/3,
0),
""))),
""),
"")</f>
        <v/>
      </c>
      <c r="AU312" s="118" t="str">
        <f>IFERROR(
IF(VLOOKUP($C312,'Employee information'!$B:$M,COLUMNS('Employee information'!$B:$M),0)=11,
IF($E$2="Fortnightly",
ROUND(
ROUND((((TRUNC($AN312/2,0)+0.99))*VLOOKUP((TRUNC($AN312/2,0)+0.99),'Tax scales - NAT 3539'!$A$14:$C$38,2,1)-VLOOKUP((TRUNC($AN312/2,0)+0.99),'Tax scales - NAT 3539'!$A$14:$C$38,3,1)),0)
*2,
0),
IF(AND($E$2="Monthly",ROUND($AN312-TRUNC($AN312),2)=0.33),
ROUND(
ROUND(((TRUNC(($AN312+0.01)*3/13,0)+0.99)*VLOOKUP((TRUNC(($AN312+0.01)*3/13,0)+0.99),'Tax scales - NAT 3539'!$A$14:$C$38,2,1)-VLOOKUP((TRUNC(($AN312+0.01)*3/13,0)+0.99),'Tax scales - NAT 3539'!$A$14:$C$38,3,1)),0)
*13/3,
0),
IF($E$2="Monthly",
ROUND(
ROUND(((TRUNC($AN312*3/13,0)+0.99)*VLOOKUP((TRUNC($AN312*3/13,0)+0.99),'Tax scales - NAT 3539'!$A$14:$C$38,2,1)-VLOOKUP((TRUNC($AN312*3/13,0)+0.99),'Tax scales - NAT 3539'!$A$14:$C$38,3,1)),0)
*13/3,
0),
""))),
""),
"")</f>
        <v/>
      </c>
      <c r="AV312" s="118" t="str">
        <f>IFERROR(
IF(VLOOKUP($C312,'Employee information'!$B:$M,COLUMNS('Employee information'!$B:$M),0)=22,
IF($E$2="Fortnightly",
ROUND(
ROUND((((TRUNC($AN312/2,0)+0.99))*VLOOKUP((TRUNC($AN312/2,0)+0.99),'Tax scales - NAT 3539'!$A$43:$C$69,2,1)-VLOOKUP((TRUNC($AN312/2,0)+0.99),'Tax scales - NAT 3539'!$A$43:$C$69,3,1)),0)
*2,
0),
IF(AND($E$2="Monthly",ROUND($AN312-TRUNC($AN312),2)=0.33),
ROUND(
ROUND(((TRUNC(($AN312+0.01)*3/13,0)+0.99)*VLOOKUP((TRUNC(($AN312+0.01)*3/13,0)+0.99),'Tax scales - NAT 3539'!$A$43:$C$69,2,1)-VLOOKUP((TRUNC(($AN312+0.01)*3/13,0)+0.99),'Tax scales - NAT 3539'!$A$43:$C$69,3,1)),0)
*13/3,
0),
IF($E$2="Monthly",
ROUND(
ROUND(((TRUNC($AN312*3/13,0)+0.99)*VLOOKUP((TRUNC($AN312*3/13,0)+0.99),'Tax scales - NAT 3539'!$A$43:$C$69,2,1)-VLOOKUP((TRUNC($AN312*3/13,0)+0.99),'Tax scales - NAT 3539'!$A$43:$C$69,3,1)),0)
*13/3,
0),
""))),
""),
"")</f>
        <v/>
      </c>
      <c r="AW312" s="118" t="str">
        <f>IFERROR(
IF(VLOOKUP($C312,'Employee information'!$B:$M,COLUMNS('Employee information'!$B:$M),0)=33,
IF($E$2="Fortnightly",
ROUND(
ROUND((((TRUNC($AN312/2,0)+0.99))*VLOOKUP((TRUNC($AN312/2,0)+0.99),'Tax scales - NAT 3539'!$A$74:$C$94,2,1)-VLOOKUP((TRUNC($AN312/2,0)+0.99),'Tax scales - NAT 3539'!$A$74:$C$94,3,1)),0)
*2,
0),
IF(AND($E$2="Monthly",ROUND($AN312-TRUNC($AN312),2)=0.33),
ROUND(
ROUND(((TRUNC(($AN312+0.01)*3/13,0)+0.99)*VLOOKUP((TRUNC(($AN312+0.01)*3/13,0)+0.99),'Tax scales - NAT 3539'!$A$74:$C$94,2,1)-VLOOKUP((TRUNC(($AN312+0.01)*3/13,0)+0.99),'Tax scales - NAT 3539'!$A$74:$C$94,3,1)),0)
*13/3,
0),
IF($E$2="Monthly",
ROUND(
ROUND(((TRUNC($AN312*3/13,0)+0.99)*VLOOKUP((TRUNC($AN312*3/13,0)+0.99),'Tax scales - NAT 3539'!$A$74:$C$94,2,1)-VLOOKUP((TRUNC($AN312*3/13,0)+0.99),'Tax scales - NAT 3539'!$A$74:$C$94,3,1)),0)
*13/3,
0),
""))),
""),
"")</f>
        <v/>
      </c>
      <c r="AX312" s="118" t="str">
        <f>IFERROR(
IF(VLOOKUP($C312,'Employee information'!$B:$M,COLUMNS('Employee information'!$B:$M),0)=55,
IF($E$2="Fortnightly",
ROUND(
ROUND((((TRUNC($AN312/2,0)+0.99))*VLOOKUP((TRUNC($AN312/2,0)+0.99),'Tax scales - NAT 3539'!$A$99:$C$123,2,1)-VLOOKUP((TRUNC($AN312/2,0)+0.99),'Tax scales - NAT 3539'!$A$99:$C$123,3,1)),0)
*2,
0),
IF(AND($E$2="Monthly",ROUND($AN312-TRUNC($AN312),2)=0.33),
ROUND(
ROUND(((TRUNC(($AN312+0.01)*3/13,0)+0.99)*VLOOKUP((TRUNC(($AN312+0.01)*3/13,0)+0.99),'Tax scales - NAT 3539'!$A$99:$C$123,2,1)-VLOOKUP((TRUNC(($AN312+0.01)*3/13,0)+0.99),'Tax scales - NAT 3539'!$A$99:$C$123,3,1)),0)
*13/3,
0),
IF($E$2="Monthly",
ROUND(
ROUND(((TRUNC($AN312*3/13,0)+0.99)*VLOOKUP((TRUNC($AN312*3/13,0)+0.99),'Tax scales - NAT 3539'!$A$99:$C$123,2,1)-VLOOKUP((TRUNC($AN312*3/13,0)+0.99),'Tax scales - NAT 3539'!$A$99:$C$123,3,1)),0)
*13/3,
0),
""))),
""),
"")</f>
        <v/>
      </c>
      <c r="AY312" s="118" t="str">
        <f>IFERROR(
IF(VLOOKUP($C312,'Employee information'!$B:$M,COLUMNS('Employee information'!$B:$M),0)=66,
IF($E$2="Fortnightly",
ROUND(
ROUND((((TRUNC($AN312/2,0)+0.99))*VLOOKUP((TRUNC($AN312/2,0)+0.99),'Tax scales - NAT 3539'!$A$127:$C$154,2,1)-VLOOKUP((TRUNC($AN312/2,0)+0.99),'Tax scales - NAT 3539'!$A$127:$C$154,3,1)),0)
*2,
0),
IF(AND($E$2="Monthly",ROUND($AN312-TRUNC($AN312),2)=0.33),
ROUND(
ROUND(((TRUNC(($AN312+0.01)*3/13,0)+0.99)*VLOOKUP((TRUNC(($AN312+0.01)*3/13,0)+0.99),'Tax scales - NAT 3539'!$A$127:$C$154,2,1)-VLOOKUP((TRUNC(($AN312+0.01)*3/13,0)+0.99),'Tax scales - NAT 3539'!$A$127:$C$154,3,1)),0)
*13/3,
0),
IF($E$2="Monthly",
ROUND(
ROUND(((TRUNC($AN312*3/13,0)+0.99)*VLOOKUP((TRUNC($AN312*3/13,0)+0.99),'Tax scales - NAT 3539'!$A$127:$C$154,2,1)-VLOOKUP((TRUNC($AN312*3/13,0)+0.99),'Tax scales - NAT 3539'!$A$127:$C$154,3,1)),0)
*13/3,
0),
""))),
""),
"")</f>
        <v/>
      </c>
      <c r="AZ312" s="118">
        <f>IFERROR(
HLOOKUP(VLOOKUP($C312,'Employee information'!$B:$M,COLUMNS('Employee information'!$B:$M),0),'PAYG worksheet'!$AO$300:$AY$319,COUNTA($C$301:$C312)+1,0),
0)</f>
        <v>0</v>
      </c>
      <c r="BA312" s="118"/>
      <c r="BB312" s="118">
        <f t="shared" si="325"/>
        <v>0</v>
      </c>
      <c r="BC312" s="119">
        <f>IFERROR(
IF(OR($AE312=1,$AE312=""),SUM($P312,$AA312,$AC312,$AK312)*VLOOKUP($C312,'Employee information'!$B:$Q,COLUMNS('Employee information'!$B:$H),0),
IF($AE312=0,SUM($P312,$AA312,$AK312)*VLOOKUP($C312,'Employee information'!$B:$Q,COLUMNS('Employee information'!$B:$H),0),
0)),
0)</f>
        <v>0</v>
      </c>
      <c r="BE312" s="114">
        <f t="shared" si="310"/>
        <v>0</v>
      </c>
      <c r="BF312" s="114">
        <f t="shared" si="311"/>
        <v>0</v>
      </c>
      <c r="BG312" s="114">
        <f t="shared" si="312"/>
        <v>0</v>
      </c>
      <c r="BH312" s="114">
        <f t="shared" si="313"/>
        <v>0</v>
      </c>
      <c r="BI312" s="114">
        <f t="shared" si="314"/>
        <v>0</v>
      </c>
      <c r="BJ312" s="114">
        <f t="shared" si="315"/>
        <v>0</v>
      </c>
      <c r="BK312" s="114">
        <f t="shared" si="316"/>
        <v>0</v>
      </c>
      <c r="BL312" s="114">
        <f t="shared" si="326"/>
        <v>0</v>
      </c>
      <c r="BM312" s="114">
        <f t="shared" si="317"/>
        <v>0</v>
      </c>
    </row>
    <row r="313" spans="1:65" x14ac:dyDescent="0.25">
      <c r="A313" s="228">
        <f t="shared" si="305"/>
        <v>11</v>
      </c>
      <c r="C313" s="278"/>
      <c r="E313" s="103">
        <f>IF($C313="",0,
IF(AND($E$2="Monthly",$A313&gt;12),0,
IF($E$2="Monthly",VLOOKUP($C313,'Employee information'!$B:$AM,COLUMNS('Employee information'!$B:S),0),
IF($E$2="Fortnightly",VLOOKUP($C313,'Employee information'!$B:$AM,COLUMNS('Employee information'!$B:R),0),
0))))</f>
        <v>0</v>
      </c>
      <c r="F313" s="106"/>
      <c r="G313" s="106"/>
      <c r="H313" s="106"/>
      <c r="I313" s="106"/>
      <c r="J313" s="103">
        <f t="shared" si="318"/>
        <v>0</v>
      </c>
      <c r="L313" s="113">
        <f>IF(AND($E$2="Monthly",$A313&gt;12),"",
IFERROR($J313*VLOOKUP($C313,'Employee information'!$B:$AI,COLUMNS('Employee information'!$B:$P),0),0))</f>
        <v>0</v>
      </c>
      <c r="M313" s="114">
        <f t="shared" si="319"/>
        <v>0</v>
      </c>
      <c r="O313" s="103">
        <f t="shared" si="320"/>
        <v>0</v>
      </c>
      <c r="P313" s="113">
        <f>IFERROR(
IF(AND($E$2="Monthly",$A313&gt;12),0,
$O313*VLOOKUP($C313,'Employee information'!$B:$AI,COLUMNS('Employee information'!$B:$P),0)),
0)</f>
        <v>0</v>
      </c>
      <c r="R313" s="114">
        <f t="shared" si="306"/>
        <v>0</v>
      </c>
      <c r="T313" s="103"/>
      <c r="U313" s="103"/>
      <c r="V313" s="282" t="str">
        <f>IF($C313="","",
IF(AND($E$2="Monthly",$A313&gt;12),"",
$T313*VLOOKUP($C313,'Employee information'!$B:$P,COLUMNS('Employee information'!$B:$P),0)))</f>
        <v/>
      </c>
      <c r="W313" s="282" t="str">
        <f>IF($C313="","",
IF(AND($E$2="Monthly",$A313&gt;12),"",
$U313*VLOOKUP($C313,'Employee information'!$B:$P,COLUMNS('Employee information'!$B:$P),0)))</f>
        <v/>
      </c>
      <c r="X313" s="114">
        <f t="shared" si="307"/>
        <v>0</v>
      </c>
      <c r="Y313" s="114">
        <f t="shared" si="308"/>
        <v>0</v>
      </c>
      <c r="AA313" s="118">
        <f>IFERROR(
IF(OR('Basic payroll data'!$D$12="",'Basic payroll data'!$D$12="No"),0,
$T313*VLOOKUP($C313,'Employee information'!$B:$P,COLUMNS('Employee information'!$B:$P),0)*AL_loading_perc),
0)</f>
        <v>0</v>
      </c>
      <c r="AC313" s="118"/>
      <c r="AD313" s="118"/>
      <c r="AE313" s="283" t="str">
        <f t="shared" si="321"/>
        <v/>
      </c>
      <c r="AF313" s="283" t="str">
        <f t="shared" si="322"/>
        <v/>
      </c>
      <c r="AG313" s="118"/>
      <c r="AH313" s="118"/>
      <c r="AI313" s="283" t="str">
        <f t="shared" si="323"/>
        <v/>
      </c>
      <c r="AJ313" s="118"/>
      <c r="AK313" s="118"/>
      <c r="AM313" s="118">
        <f t="shared" si="324"/>
        <v>0</v>
      </c>
      <c r="AN313" s="118">
        <f t="shared" si="309"/>
        <v>0</v>
      </c>
      <c r="AO313" s="118" t="str">
        <f>IFERROR(
IF(VLOOKUP($C313,'Employee information'!$B:$M,COLUMNS('Employee information'!$B:$M),0)=1,
IF($E$2="Fortnightly",
ROUND(
ROUND((((TRUNC($AN313/2,0)+0.99))*VLOOKUP((TRUNC($AN313/2,0)+0.99),'Tax scales - NAT 1004'!$A$12:$C$18,2,1)-VLOOKUP((TRUNC($AN313/2,0)+0.99),'Tax scales - NAT 1004'!$A$12:$C$18,3,1)),0)
*2,
0),
IF(AND($E$2="Monthly",ROUND($AN313-TRUNC($AN313),2)=0.33),
ROUND(
ROUND(((TRUNC(($AN313+0.01)*3/13,0)+0.99)*VLOOKUP((TRUNC(($AN313+0.01)*3/13,0)+0.99),'Tax scales - NAT 1004'!$A$12:$C$18,2,1)-VLOOKUP((TRUNC(($AN313+0.01)*3/13,0)+0.99),'Tax scales - NAT 1004'!$A$12:$C$18,3,1)),0)
*13/3,
0),
IF($E$2="Monthly",
ROUND(
ROUND(((TRUNC($AN313*3/13,0)+0.99)*VLOOKUP((TRUNC($AN313*3/13,0)+0.99),'Tax scales - NAT 1004'!$A$12:$C$18,2,1)-VLOOKUP((TRUNC($AN313*3/13,0)+0.99),'Tax scales - NAT 1004'!$A$12:$C$18,3,1)),0)
*13/3,
0),
""))),
""),
"")</f>
        <v/>
      </c>
      <c r="AP313" s="118" t="str">
        <f>IFERROR(
IF(VLOOKUP($C313,'Employee information'!$B:$M,COLUMNS('Employee information'!$B:$M),0)=2,
IF($E$2="Fortnightly",
ROUND(
ROUND((((TRUNC($AN313/2,0)+0.99))*VLOOKUP((TRUNC($AN313/2,0)+0.99),'Tax scales - NAT 1004'!$A$25:$C$33,2,1)-VLOOKUP((TRUNC($AN313/2,0)+0.99),'Tax scales - NAT 1004'!$A$25:$C$33,3,1)),0)
*2,
0),
IF(AND($E$2="Monthly",ROUND($AN313-TRUNC($AN313),2)=0.33),
ROUND(
ROUND(((TRUNC(($AN313+0.01)*3/13,0)+0.99)*VLOOKUP((TRUNC(($AN313+0.01)*3/13,0)+0.99),'Tax scales - NAT 1004'!$A$25:$C$33,2,1)-VLOOKUP((TRUNC(($AN313+0.01)*3/13,0)+0.99),'Tax scales - NAT 1004'!$A$25:$C$33,3,1)),0)
*13/3,
0),
IF($E$2="Monthly",
ROUND(
ROUND(((TRUNC($AN313*3/13,0)+0.99)*VLOOKUP((TRUNC($AN313*3/13,0)+0.99),'Tax scales - NAT 1004'!$A$25:$C$33,2,1)-VLOOKUP((TRUNC($AN313*3/13,0)+0.99),'Tax scales - NAT 1004'!$A$25:$C$33,3,1)),0)
*13/3,
0),
""))),
""),
"")</f>
        <v/>
      </c>
      <c r="AQ313" s="118" t="str">
        <f>IFERROR(
IF(VLOOKUP($C313,'Employee information'!$B:$M,COLUMNS('Employee information'!$B:$M),0)=3,
IF($E$2="Fortnightly",
ROUND(
ROUND((((TRUNC($AN313/2,0)+0.99))*VLOOKUP((TRUNC($AN313/2,0)+0.99),'Tax scales - NAT 1004'!$A$39:$C$41,2,1)-VLOOKUP((TRUNC($AN313/2,0)+0.99),'Tax scales - NAT 1004'!$A$39:$C$41,3,1)),0)
*2,
0),
IF(AND($E$2="Monthly",ROUND($AN313-TRUNC($AN313),2)=0.33),
ROUND(
ROUND(((TRUNC(($AN313+0.01)*3/13,0)+0.99)*VLOOKUP((TRUNC(($AN313+0.01)*3/13,0)+0.99),'Tax scales - NAT 1004'!$A$39:$C$41,2,1)-VLOOKUP((TRUNC(($AN313+0.01)*3/13,0)+0.99),'Tax scales - NAT 1004'!$A$39:$C$41,3,1)),0)
*13/3,
0),
IF($E$2="Monthly",
ROUND(
ROUND(((TRUNC($AN313*3/13,0)+0.99)*VLOOKUP((TRUNC($AN313*3/13,0)+0.99),'Tax scales - NAT 1004'!$A$39:$C$41,2,1)-VLOOKUP((TRUNC($AN313*3/13,0)+0.99),'Tax scales - NAT 1004'!$A$39:$C$41,3,1)),0)
*13/3,
0),
""))),
""),
"")</f>
        <v/>
      </c>
      <c r="AR313" s="118" t="str">
        <f>IFERROR(
IF(AND(VLOOKUP($C313,'Employee information'!$B:$M,COLUMNS('Employee information'!$B:$M),0)=4,
VLOOKUP($C313,'Employee information'!$B:$J,COLUMNS('Employee information'!$B:$J),0)="Resident"),
TRUNC(TRUNC($AN313)*'Tax scales - NAT 1004'!$B$47),
IF(AND(VLOOKUP($C313,'Employee information'!$B:$M,COLUMNS('Employee information'!$B:$M),0)=4,
VLOOKUP($C313,'Employee information'!$B:$J,COLUMNS('Employee information'!$B:$J),0)="Foreign resident"),
TRUNC(TRUNC($AN313)*'Tax scales - NAT 1004'!$B$48),
"")),
"")</f>
        <v/>
      </c>
      <c r="AS313" s="118" t="str">
        <f>IFERROR(
IF(VLOOKUP($C313,'Employee information'!$B:$M,COLUMNS('Employee information'!$B:$M),0)=5,
IF($E$2="Fortnightly",
ROUND(
ROUND((((TRUNC($AN313/2,0)+0.99))*VLOOKUP((TRUNC($AN313/2,0)+0.99),'Tax scales - NAT 1004'!$A$53:$C$59,2,1)-VLOOKUP((TRUNC($AN313/2,0)+0.99),'Tax scales - NAT 1004'!$A$53:$C$59,3,1)),0)
*2,
0),
IF(AND($E$2="Monthly",ROUND($AN313-TRUNC($AN313),2)=0.33),
ROUND(
ROUND(((TRUNC(($AN313+0.01)*3/13,0)+0.99)*VLOOKUP((TRUNC(($AN313+0.01)*3/13,0)+0.99),'Tax scales - NAT 1004'!$A$53:$C$59,2,1)-VLOOKUP((TRUNC(($AN313+0.01)*3/13,0)+0.99),'Tax scales - NAT 1004'!$A$53:$C$59,3,1)),0)
*13/3,
0),
IF($E$2="Monthly",
ROUND(
ROUND(((TRUNC($AN313*3/13,0)+0.99)*VLOOKUP((TRUNC($AN313*3/13,0)+0.99),'Tax scales - NAT 1004'!$A$53:$C$59,2,1)-VLOOKUP((TRUNC($AN313*3/13,0)+0.99),'Tax scales - NAT 1004'!$A$53:$C$59,3,1)),0)
*13/3,
0),
""))),
""),
"")</f>
        <v/>
      </c>
      <c r="AT313" s="118" t="str">
        <f>IFERROR(
IF(VLOOKUP($C313,'Employee information'!$B:$M,COLUMNS('Employee information'!$B:$M),0)=6,
IF($E$2="Fortnightly",
ROUND(
ROUND((((TRUNC($AN313/2,0)+0.99))*VLOOKUP((TRUNC($AN313/2,0)+0.99),'Tax scales - NAT 1004'!$A$65:$C$73,2,1)-VLOOKUP((TRUNC($AN313/2,0)+0.99),'Tax scales - NAT 1004'!$A$65:$C$73,3,1)),0)
*2,
0),
IF(AND($E$2="Monthly",ROUND($AN313-TRUNC($AN313),2)=0.33),
ROUND(
ROUND(((TRUNC(($AN313+0.01)*3/13,0)+0.99)*VLOOKUP((TRUNC(($AN313+0.01)*3/13,0)+0.99),'Tax scales - NAT 1004'!$A$65:$C$73,2,1)-VLOOKUP((TRUNC(($AN313+0.01)*3/13,0)+0.99),'Tax scales - NAT 1004'!$A$65:$C$73,3,1)),0)
*13/3,
0),
IF($E$2="Monthly",
ROUND(
ROUND(((TRUNC($AN313*3/13,0)+0.99)*VLOOKUP((TRUNC($AN313*3/13,0)+0.99),'Tax scales - NAT 1004'!$A$65:$C$73,2,1)-VLOOKUP((TRUNC($AN313*3/13,0)+0.99),'Tax scales - NAT 1004'!$A$65:$C$73,3,1)),0)
*13/3,
0),
""))),
""),
"")</f>
        <v/>
      </c>
      <c r="AU313" s="118" t="str">
        <f>IFERROR(
IF(VLOOKUP($C313,'Employee information'!$B:$M,COLUMNS('Employee information'!$B:$M),0)=11,
IF($E$2="Fortnightly",
ROUND(
ROUND((((TRUNC($AN313/2,0)+0.99))*VLOOKUP((TRUNC($AN313/2,0)+0.99),'Tax scales - NAT 3539'!$A$14:$C$38,2,1)-VLOOKUP((TRUNC($AN313/2,0)+0.99),'Tax scales - NAT 3539'!$A$14:$C$38,3,1)),0)
*2,
0),
IF(AND($E$2="Monthly",ROUND($AN313-TRUNC($AN313),2)=0.33),
ROUND(
ROUND(((TRUNC(($AN313+0.01)*3/13,0)+0.99)*VLOOKUP((TRUNC(($AN313+0.01)*3/13,0)+0.99),'Tax scales - NAT 3539'!$A$14:$C$38,2,1)-VLOOKUP((TRUNC(($AN313+0.01)*3/13,0)+0.99),'Tax scales - NAT 3539'!$A$14:$C$38,3,1)),0)
*13/3,
0),
IF($E$2="Monthly",
ROUND(
ROUND(((TRUNC($AN313*3/13,0)+0.99)*VLOOKUP((TRUNC($AN313*3/13,0)+0.99),'Tax scales - NAT 3539'!$A$14:$C$38,2,1)-VLOOKUP((TRUNC($AN313*3/13,0)+0.99),'Tax scales - NAT 3539'!$A$14:$C$38,3,1)),0)
*13/3,
0),
""))),
""),
"")</f>
        <v/>
      </c>
      <c r="AV313" s="118" t="str">
        <f>IFERROR(
IF(VLOOKUP($C313,'Employee information'!$B:$M,COLUMNS('Employee information'!$B:$M),0)=22,
IF($E$2="Fortnightly",
ROUND(
ROUND((((TRUNC($AN313/2,0)+0.99))*VLOOKUP((TRUNC($AN313/2,0)+0.99),'Tax scales - NAT 3539'!$A$43:$C$69,2,1)-VLOOKUP((TRUNC($AN313/2,0)+0.99),'Tax scales - NAT 3539'!$A$43:$C$69,3,1)),0)
*2,
0),
IF(AND($E$2="Monthly",ROUND($AN313-TRUNC($AN313),2)=0.33),
ROUND(
ROUND(((TRUNC(($AN313+0.01)*3/13,0)+0.99)*VLOOKUP((TRUNC(($AN313+0.01)*3/13,0)+0.99),'Tax scales - NAT 3539'!$A$43:$C$69,2,1)-VLOOKUP((TRUNC(($AN313+0.01)*3/13,0)+0.99),'Tax scales - NAT 3539'!$A$43:$C$69,3,1)),0)
*13/3,
0),
IF($E$2="Monthly",
ROUND(
ROUND(((TRUNC($AN313*3/13,0)+0.99)*VLOOKUP((TRUNC($AN313*3/13,0)+0.99),'Tax scales - NAT 3539'!$A$43:$C$69,2,1)-VLOOKUP((TRUNC($AN313*3/13,0)+0.99),'Tax scales - NAT 3539'!$A$43:$C$69,3,1)),0)
*13/3,
0),
""))),
""),
"")</f>
        <v/>
      </c>
      <c r="AW313" s="118" t="str">
        <f>IFERROR(
IF(VLOOKUP($C313,'Employee information'!$B:$M,COLUMNS('Employee information'!$B:$M),0)=33,
IF($E$2="Fortnightly",
ROUND(
ROUND((((TRUNC($AN313/2,0)+0.99))*VLOOKUP((TRUNC($AN313/2,0)+0.99),'Tax scales - NAT 3539'!$A$74:$C$94,2,1)-VLOOKUP((TRUNC($AN313/2,0)+0.99),'Tax scales - NAT 3539'!$A$74:$C$94,3,1)),0)
*2,
0),
IF(AND($E$2="Monthly",ROUND($AN313-TRUNC($AN313),2)=0.33),
ROUND(
ROUND(((TRUNC(($AN313+0.01)*3/13,0)+0.99)*VLOOKUP((TRUNC(($AN313+0.01)*3/13,0)+0.99),'Tax scales - NAT 3539'!$A$74:$C$94,2,1)-VLOOKUP((TRUNC(($AN313+0.01)*3/13,0)+0.99),'Tax scales - NAT 3539'!$A$74:$C$94,3,1)),0)
*13/3,
0),
IF($E$2="Monthly",
ROUND(
ROUND(((TRUNC($AN313*3/13,0)+0.99)*VLOOKUP((TRUNC($AN313*3/13,0)+0.99),'Tax scales - NAT 3539'!$A$74:$C$94,2,1)-VLOOKUP((TRUNC($AN313*3/13,0)+0.99),'Tax scales - NAT 3539'!$A$74:$C$94,3,1)),0)
*13/3,
0),
""))),
""),
"")</f>
        <v/>
      </c>
      <c r="AX313" s="118" t="str">
        <f>IFERROR(
IF(VLOOKUP($C313,'Employee information'!$B:$M,COLUMNS('Employee information'!$B:$M),0)=55,
IF($E$2="Fortnightly",
ROUND(
ROUND((((TRUNC($AN313/2,0)+0.99))*VLOOKUP((TRUNC($AN313/2,0)+0.99),'Tax scales - NAT 3539'!$A$99:$C$123,2,1)-VLOOKUP((TRUNC($AN313/2,0)+0.99),'Tax scales - NAT 3539'!$A$99:$C$123,3,1)),0)
*2,
0),
IF(AND($E$2="Monthly",ROUND($AN313-TRUNC($AN313),2)=0.33),
ROUND(
ROUND(((TRUNC(($AN313+0.01)*3/13,0)+0.99)*VLOOKUP((TRUNC(($AN313+0.01)*3/13,0)+0.99),'Tax scales - NAT 3539'!$A$99:$C$123,2,1)-VLOOKUP((TRUNC(($AN313+0.01)*3/13,0)+0.99),'Tax scales - NAT 3539'!$A$99:$C$123,3,1)),0)
*13/3,
0),
IF($E$2="Monthly",
ROUND(
ROUND(((TRUNC($AN313*3/13,0)+0.99)*VLOOKUP((TRUNC($AN313*3/13,0)+0.99),'Tax scales - NAT 3539'!$A$99:$C$123,2,1)-VLOOKUP((TRUNC($AN313*3/13,0)+0.99),'Tax scales - NAT 3539'!$A$99:$C$123,3,1)),0)
*13/3,
0),
""))),
""),
"")</f>
        <v/>
      </c>
      <c r="AY313" s="118" t="str">
        <f>IFERROR(
IF(VLOOKUP($C313,'Employee information'!$B:$M,COLUMNS('Employee information'!$B:$M),0)=66,
IF($E$2="Fortnightly",
ROUND(
ROUND((((TRUNC($AN313/2,0)+0.99))*VLOOKUP((TRUNC($AN313/2,0)+0.99),'Tax scales - NAT 3539'!$A$127:$C$154,2,1)-VLOOKUP((TRUNC($AN313/2,0)+0.99),'Tax scales - NAT 3539'!$A$127:$C$154,3,1)),0)
*2,
0),
IF(AND($E$2="Monthly",ROUND($AN313-TRUNC($AN313),2)=0.33),
ROUND(
ROUND(((TRUNC(($AN313+0.01)*3/13,0)+0.99)*VLOOKUP((TRUNC(($AN313+0.01)*3/13,0)+0.99),'Tax scales - NAT 3539'!$A$127:$C$154,2,1)-VLOOKUP((TRUNC(($AN313+0.01)*3/13,0)+0.99),'Tax scales - NAT 3539'!$A$127:$C$154,3,1)),0)
*13/3,
0),
IF($E$2="Monthly",
ROUND(
ROUND(((TRUNC($AN313*3/13,0)+0.99)*VLOOKUP((TRUNC($AN313*3/13,0)+0.99),'Tax scales - NAT 3539'!$A$127:$C$154,2,1)-VLOOKUP((TRUNC($AN313*3/13,0)+0.99),'Tax scales - NAT 3539'!$A$127:$C$154,3,1)),0)
*13/3,
0),
""))),
""),
"")</f>
        <v/>
      </c>
      <c r="AZ313" s="118">
        <f>IFERROR(
HLOOKUP(VLOOKUP($C313,'Employee information'!$B:$M,COLUMNS('Employee information'!$B:$M),0),'PAYG worksheet'!$AO$300:$AY$319,COUNTA($C$301:$C313)+1,0),
0)</f>
        <v>0</v>
      </c>
      <c r="BA313" s="118"/>
      <c r="BB313" s="118">
        <f t="shared" si="325"/>
        <v>0</v>
      </c>
      <c r="BC313" s="119">
        <f>IFERROR(
IF(OR($AE313=1,$AE313=""),SUM($P313,$AA313,$AC313,$AK313)*VLOOKUP($C313,'Employee information'!$B:$Q,COLUMNS('Employee information'!$B:$H),0),
IF($AE313=0,SUM($P313,$AA313,$AK313)*VLOOKUP($C313,'Employee information'!$B:$Q,COLUMNS('Employee information'!$B:$H),0),
0)),
0)</f>
        <v>0</v>
      </c>
      <c r="BE313" s="114">
        <f t="shared" si="310"/>
        <v>0</v>
      </c>
      <c r="BF313" s="114">
        <f t="shared" si="311"/>
        <v>0</v>
      </c>
      <c r="BG313" s="114">
        <f t="shared" si="312"/>
        <v>0</v>
      </c>
      <c r="BH313" s="114">
        <f t="shared" si="313"/>
        <v>0</v>
      </c>
      <c r="BI313" s="114">
        <f t="shared" si="314"/>
        <v>0</v>
      </c>
      <c r="BJ313" s="114">
        <f t="shared" si="315"/>
        <v>0</v>
      </c>
      <c r="BK313" s="114">
        <f t="shared" si="316"/>
        <v>0</v>
      </c>
      <c r="BL313" s="114">
        <f t="shared" si="326"/>
        <v>0</v>
      </c>
      <c r="BM313" s="114">
        <f t="shared" si="317"/>
        <v>0</v>
      </c>
    </row>
    <row r="314" spans="1:65" x14ac:dyDescent="0.25">
      <c r="A314" s="228">
        <f t="shared" si="305"/>
        <v>11</v>
      </c>
      <c r="C314" s="278"/>
      <c r="E314" s="103">
        <f>IF($C314="",0,
IF(AND($E$2="Monthly",$A314&gt;12),0,
IF($E$2="Monthly",VLOOKUP($C314,'Employee information'!$B:$AM,COLUMNS('Employee information'!$B:S),0),
IF($E$2="Fortnightly",VLOOKUP($C314,'Employee information'!$B:$AM,COLUMNS('Employee information'!$B:R),0),
0))))</f>
        <v>0</v>
      </c>
      <c r="F314" s="106"/>
      <c r="G314" s="106"/>
      <c r="H314" s="106"/>
      <c r="I314" s="106"/>
      <c r="J314" s="103">
        <f t="shared" si="318"/>
        <v>0</v>
      </c>
      <c r="L314" s="113">
        <f>IF(AND($E$2="Monthly",$A314&gt;12),"",
IFERROR($J314*VLOOKUP($C314,'Employee information'!$B:$AI,COLUMNS('Employee information'!$B:$P),0),0))</f>
        <v>0</v>
      </c>
      <c r="M314" s="114">
        <f t="shared" si="319"/>
        <v>0</v>
      </c>
      <c r="O314" s="103">
        <f t="shared" si="320"/>
        <v>0</v>
      </c>
      <c r="P314" s="113">
        <f>IFERROR(
IF(AND($E$2="Monthly",$A314&gt;12),0,
$O314*VLOOKUP($C314,'Employee information'!$B:$AI,COLUMNS('Employee information'!$B:$P),0)),
0)</f>
        <v>0</v>
      </c>
      <c r="R314" s="114">
        <f t="shared" si="306"/>
        <v>0</v>
      </c>
      <c r="T314" s="103"/>
      <c r="U314" s="103"/>
      <c r="V314" s="282" t="str">
        <f>IF($C314="","",
IF(AND($E$2="Monthly",$A314&gt;12),"",
$T314*VLOOKUP($C314,'Employee information'!$B:$P,COLUMNS('Employee information'!$B:$P),0)))</f>
        <v/>
      </c>
      <c r="W314" s="282" t="str">
        <f>IF($C314="","",
IF(AND($E$2="Monthly",$A314&gt;12),"",
$U314*VLOOKUP($C314,'Employee information'!$B:$P,COLUMNS('Employee information'!$B:$P),0)))</f>
        <v/>
      </c>
      <c r="X314" s="114">
        <f t="shared" si="307"/>
        <v>0</v>
      </c>
      <c r="Y314" s="114">
        <f t="shared" si="308"/>
        <v>0</v>
      </c>
      <c r="AA314" s="118">
        <f>IFERROR(
IF(OR('Basic payroll data'!$D$12="",'Basic payroll data'!$D$12="No"),0,
$T314*VLOOKUP($C314,'Employee information'!$B:$P,COLUMNS('Employee information'!$B:$P),0)*AL_loading_perc),
0)</f>
        <v>0</v>
      </c>
      <c r="AC314" s="118"/>
      <c r="AD314" s="118"/>
      <c r="AE314" s="283" t="str">
        <f t="shared" si="321"/>
        <v/>
      </c>
      <c r="AF314" s="283" t="str">
        <f t="shared" si="322"/>
        <v/>
      </c>
      <c r="AG314" s="118"/>
      <c r="AH314" s="118"/>
      <c r="AI314" s="283" t="str">
        <f t="shared" si="323"/>
        <v/>
      </c>
      <c r="AJ314" s="118"/>
      <c r="AK314" s="118"/>
      <c r="AM314" s="118">
        <f t="shared" si="324"/>
        <v>0</v>
      </c>
      <c r="AN314" s="118">
        <f t="shared" si="309"/>
        <v>0</v>
      </c>
      <c r="AO314" s="118" t="str">
        <f>IFERROR(
IF(VLOOKUP($C314,'Employee information'!$B:$M,COLUMNS('Employee information'!$B:$M),0)=1,
IF($E$2="Fortnightly",
ROUND(
ROUND((((TRUNC($AN314/2,0)+0.99))*VLOOKUP((TRUNC($AN314/2,0)+0.99),'Tax scales - NAT 1004'!$A$12:$C$18,2,1)-VLOOKUP((TRUNC($AN314/2,0)+0.99),'Tax scales - NAT 1004'!$A$12:$C$18,3,1)),0)
*2,
0),
IF(AND($E$2="Monthly",ROUND($AN314-TRUNC($AN314),2)=0.33),
ROUND(
ROUND(((TRUNC(($AN314+0.01)*3/13,0)+0.99)*VLOOKUP((TRUNC(($AN314+0.01)*3/13,0)+0.99),'Tax scales - NAT 1004'!$A$12:$C$18,2,1)-VLOOKUP((TRUNC(($AN314+0.01)*3/13,0)+0.99),'Tax scales - NAT 1004'!$A$12:$C$18,3,1)),0)
*13/3,
0),
IF($E$2="Monthly",
ROUND(
ROUND(((TRUNC($AN314*3/13,0)+0.99)*VLOOKUP((TRUNC($AN314*3/13,0)+0.99),'Tax scales - NAT 1004'!$A$12:$C$18,2,1)-VLOOKUP((TRUNC($AN314*3/13,0)+0.99),'Tax scales - NAT 1004'!$A$12:$C$18,3,1)),0)
*13/3,
0),
""))),
""),
"")</f>
        <v/>
      </c>
      <c r="AP314" s="118" t="str">
        <f>IFERROR(
IF(VLOOKUP($C314,'Employee information'!$B:$M,COLUMNS('Employee information'!$B:$M),0)=2,
IF($E$2="Fortnightly",
ROUND(
ROUND((((TRUNC($AN314/2,0)+0.99))*VLOOKUP((TRUNC($AN314/2,0)+0.99),'Tax scales - NAT 1004'!$A$25:$C$33,2,1)-VLOOKUP((TRUNC($AN314/2,0)+0.99),'Tax scales - NAT 1004'!$A$25:$C$33,3,1)),0)
*2,
0),
IF(AND($E$2="Monthly",ROUND($AN314-TRUNC($AN314),2)=0.33),
ROUND(
ROUND(((TRUNC(($AN314+0.01)*3/13,0)+0.99)*VLOOKUP((TRUNC(($AN314+0.01)*3/13,0)+0.99),'Tax scales - NAT 1004'!$A$25:$C$33,2,1)-VLOOKUP((TRUNC(($AN314+0.01)*3/13,0)+0.99),'Tax scales - NAT 1004'!$A$25:$C$33,3,1)),0)
*13/3,
0),
IF($E$2="Monthly",
ROUND(
ROUND(((TRUNC($AN314*3/13,0)+0.99)*VLOOKUP((TRUNC($AN314*3/13,0)+0.99),'Tax scales - NAT 1004'!$A$25:$C$33,2,1)-VLOOKUP((TRUNC($AN314*3/13,0)+0.99),'Tax scales - NAT 1004'!$A$25:$C$33,3,1)),0)
*13/3,
0),
""))),
""),
"")</f>
        <v/>
      </c>
      <c r="AQ314" s="118" t="str">
        <f>IFERROR(
IF(VLOOKUP($C314,'Employee information'!$B:$M,COLUMNS('Employee information'!$B:$M),0)=3,
IF($E$2="Fortnightly",
ROUND(
ROUND((((TRUNC($AN314/2,0)+0.99))*VLOOKUP((TRUNC($AN314/2,0)+0.99),'Tax scales - NAT 1004'!$A$39:$C$41,2,1)-VLOOKUP((TRUNC($AN314/2,0)+0.99),'Tax scales - NAT 1004'!$A$39:$C$41,3,1)),0)
*2,
0),
IF(AND($E$2="Monthly",ROUND($AN314-TRUNC($AN314),2)=0.33),
ROUND(
ROUND(((TRUNC(($AN314+0.01)*3/13,0)+0.99)*VLOOKUP((TRUNC(($AN314+0.01)*3/13,0)+0.99),'Tax scales - NAT 1004'!$A$39:$C$41,2,1)-VLOOKUP((TRUNC(($AN314+0.01)*3/13,0)+0.99),'Tax scales - NAT 1004'!$A$39:$C$41,3,1)),0)
*13/3,
0),
IF($E$2="Monthly",
ROUND(
ROUND(((TRUNC($AN314*3/13,0)+0.99)*VLOOKUP((TRUNC($AN314*3/13,0)+0.99),'Tax scales - NAT 1004'!$A$39:$C$41,2,1)-VLOOKUP((TRUNC($AN314*3/13,0)+0.99),'Tax scales - NAT 1004'!$A$39:$C$41,3,1)),0)
*13/3,
0),
""))),
""),
"")</f>
        <v/>
      </c>
      <c r="AR314" s="118" t="str">
        <f>IFERROR(
IF(AND(VLOOKUP($C314,'Employee information'!$B:$M,COLUMNS('Employee information'!$B:$M),0)=4,
VLOOKUP($C314,'Employee information'!$B:$J,COLUMNS('Employee information'!$B:$J),0)="Resident"),
TRUNC(TRUNC($AN314)*'Tax scales - NAT 1004'!$B$47),
IF(AND(VLOOKUP($C314,'Employee information'!$B:$M,COLUMNS('Employee information'!$B:$M),0)=4,
VLOOKUP($C314,'Employee information'!$B:$J,COLUMNS('Employee information'!$B:$J),0)="Foreign resident"),
TRUNC(TRUNC($AN314)*'Tax scales - NAT 1004'!$B$48),
"")),
"")</f>
        <v/>
      </c>
      <c r="AS314" s="118" t="str">
        <f>IFERROR(
IF(VLOOKUP($C314,'Employee information'!$B:$M,COLUMNS('Employee information'!$B:$M),0)=5,
IF($E$2="Fortnightly",
ROUND(
ROUND((((TRUNC($AN314/2,0)+0.99))*VLOOKUP((TRUNC($AN314/2,0)+0.99),'Tax scales - NAT 1004'!$A$53:$C$59,2,1)-VLOOKUP((TRUNC($AN314/2,0)+0.99),'Tax scales - NAT 1004'!$A$53:$C$59,3,1)),0)
*2,
0),
IF(AND($E$2="Monthly",ROUND($AN314-TRUNC($AN314),2)=0.33),
ROUND(
ROUND(((TRUNC(($AN314+0.01)*3/13,0)+0.99)*VLOOKUP((TRUNC(($AN314+0.01)*3/13,0)+0.99),'Tax scales - NAT 1004'!$A$53:$C$59,2,1)-VLOOKUP((TRUNC(($AN314+0.01)*3/13,0)+0.99),'Tax scales - NAT 1004'!$A$53:$C$59,3,1)),0)
*13/3,
0),
IF($E$2="Monthly",
ROUND(
ROUND(((TRUNC($AN314*3/13,0)+0.99)*VLOOKUP((TRUNC($AN314*3/13,0)+0.99),'Tax scales - NAT 1004'!$A$53:$C$59,2,1)-VLOOKUP((TRUNC($AN314*3/13,0)+0.99),'Tax scales - NAT 1004'!$A$53:$C$59,3,1)),0)
*13/3,
0),
""))),
""),
"")</f>
        <v/>
      </c>
      <c r="AT314" s="118" t="str">
        <f>IFERROR(
IF(VLOOKUP($C314,'Employee information'!$B:$M,COLUMNS('Employee information'!$B:$M),0)=6,
IF($E$2="Fortnightly",
ROUND(
ROUND((((TRUNC($AN314/2,0)+0.99))*VLOOKUP((TRUNC($AN314/2,0)+0.99),'Tax scales - NAT 1004'!$A$65:$C$73,2,1)-VLOOKUP((TRUNC($AN314/2,0)+0.99),'Tax scales - NAT 1004'!$A$65:$C$73,3,1)),0)
*2,
0),
IF(AND($E$2="Monthly",ROUND($AN314-TRUNC($AN314),2)=0.33),
ROUND(
ROUND(((TRUNC(($AN314+0.01)*3/13,0)+0.99)*VLOOKUP((TRUNC(($AN314+0.01)*3/13,0)+0.99),'Tax scales - NAT 1004'!$A$65:$C$73,2,1)-VLOOKUP((TRUNC(($AN314+0.01)*3/13,0)+0.99),'Tax scales - NAT 1004'!$A$65:$C$73,3,1)),0)
*13/3,
0),
IF($E$2="Monthly",
ROUND(
ROUND(((TRUNC($AN314*3/13,0)+0.99)*VLOOKUP((TRUNC($AN314*3/13,0)+0.99),'Tax scales - NAT 1004'!$A$65:$C$73,2,1)-VLOOKUP((TRUNC($AN314*3/13,0)+0.99),'Tax scales - NAT 1004'!$A$65:$C$73,3,1)),0)
*13/3,
0),
""))),
""),
"")</f>
        <v/>
      </c>
      <c r="AU314" s="118" t="str">
        <f>IFERROR(
IF(VLOOKUP($C314,'Employee information'!$B:$M,COLUMNS('Employee information'!$B:$M),0)=11,
IF($E$2="Fortnightly",
ROUND(
ROUND((((TRUNC($AN314/2,0)+0.99))*VLOOKUP((TRUNC($AN314/2,0)+0.99),'Tax scales - NAT 3539'!$A$14:$C$38,2,1)-VLOOKUP((TRUNC($AN314/2,0)+0.99),'Tax scales - NAT 3539'!$A$14:$C$38,3,1)),0)
*2,
0),
IF(AND($E$2="Monthly",ROUND($AN314-TRUNC($AN314),2)=0.33),
ROUND(
ROUND(((TRUNC(($AN314+0.01)*3/13,0)+0.99)*VLOOKUP((TRUNC(($AN314+0.01)*3/13,0)+0.99),'Tax scales - NAT 3539'!$A$14:$C$38,2,1)-VLOOKUP((TRUNC(($AN314+0.01)*3/13,0)+0.99),'Tax scales - NAT 3539'!$A$14:$C$38,3,1)),0)
*13/3,
0),
IF($E$2="Monthly",
ROUND(
ROUND(((TRUNC($AN314*3/13,0)+0.99)*VLOOKUP((TRUNC($AN314*3/13,0)+0.99),'Tax scales - NAT 3539'!$A$14:$C$38,2,1)-VLOOKUP((TRUNC($AN314*3/13,0)+0.99),'Tax scales - NAT 3539'!$A$14:$C$38,3,1)),0)
*13/3,
0),
""))),
""),
"")</f>
        <v/>
      </c>
      <c r="AV314" s="118" t="str">
        <f>IFERROR(
IF(VLOOKUP($C314,'Employee information'!$B:$M,COLUMNS('Employee information'!$B:$M),0)=22,
IF($E$2="Fortnightly",
ROUND(
ROUND((((TRUNC($AN314/2,0)+0.99))*VLOOKUP((TRUNC($AN314/2,0)+0.99),'Tax scales - NAT 3539'!$A$43:$C$69,2,1)-VLOOKUP((TRUNC($AN314/2,0)+0.99),'Tax scales - NAT 3539'!$A$43:$C$69,3,1)),0)
*2,
0),
IF(AND($E$2="Monthly",ROUND($AN314-TRUNC($AN314),2)=0.33),
ROUND(
ROUND(((TRUNC(($AN314+0.01)*3/13,0)+0.99)*VLOOKUP((TRUNC(($AN314+0.01)*3/13,0)+0.99),'Tax scales - NAT 3539'!$A$43:$C$69,2,1)-VLOOKUP((TRUNC(($AN314+0.01)*3/13,0)+0.99),'Tax scales - NAT 3539'!$A$43:$C$69,3,1)),0)
*13/3,
0),
IF($E$2="Monthly",
ROUND(
ROUND(((TRUNC($AN314*3/13,0)+0.99)*VLOOKUP((TRUNC($AN314*3/13,0)+0.99),'Tax scales - NAT 3539'!$A$43:$C$69,2,1)-VLOOKUP((TRUNC($AN314*3/13,0)+0.99),'Tax scales - NAT 3539'!$A$43:$C$69,3,1)),0)
*13/3,
0),
""))),
""),
"")</f>
        <v/>
      </c>
      <c r="AW314" s="118" t="str">
        <f>IFERROR(
IF(VLOOKUP($C314,'Employee information'!$B:$M,COLUMNS('Employee information'!$B:$M),0)=33,
IF($E$2="Fortnightly",
ROUND(
ROUND((((TRUNC($AN314/2,0)+0.99))*VLOOKUP((TRUNC($AN314/2,0)+0.99),'Tax scales - NAT 3539'!$A$74:$C$94,2,1)-VLOOKUP((TRUNC($AN314/2,0)+0.99),'Tax scales - NAT 3539'!$A$74:$C$94,3,1)),0)
*2,
0),
IF(AND($E$2="Monthly",ROUND($AN314-TRUNC($AN314),2)=0.33),
ROUND(
ROUND(((TRUNC(($AN314+0.01)*3/13,0)+0.99)*VLOOKUP((TRUNC(($AN314+0.01)*3/13,0)+0.99),'Tax scales - NAT 3539'!$A$74:$C$94,2,1)-VLOOKUP((TRUNC(($AN314+0.01)*3/13,0)+0.99),'Tax scales - NAT 3539'!$A$74:$C$94,3,1)),0)
*13/3,
0),
IF($E$2="Monthly",
ROUND(
ROUND(((TRUNC($AN314*3/13,0)+0.99)*VLOOKUP((TRUNC($AN314*3/13,0)+0.99),'Tax scales - NAT 3539'!$A$74:$C$94,2,1)-VLOOKUP((TRUNC($AN314*3/13,0)+0.99),'Tax scales - NAT 3539'!$A$74:$C$94,3,1)),0)
*13/3,
0),
""))),
""),
"")</f>
        <v/>
      </c>
      <c r="AX314" s="118" t="str">
        <f>IFERROR(
IF(VLOOKUP($C314,'Employee information'!$B:$M,COLUMNS('Employee information'!$B:$M),0)=55,
IF($E$2="Fortnightly",
ROUND(
ROUND((((TRUNC($AN314/2,0)+0.99))*VLOOKUP((TRUNC($AN314/2,0)+0.99),'Tax scales - NAT 3539'!$A$99:$C$123,2,1)-VLOOKUP((TRUNC($AN314/2,0)+0.99),'Tax scales - NAT 3539'!$A$99:$C$123,3,1)),0)
*2,
0),
IF(AND($E$2="Monthly",ROUND($AN314-TRUNC($AN314),2)=0.33),
ROUND(
ROUND(((TRUNC(($AN314+0.01)*3/13,0)+0.99)*VLOOKUP((TRUNC(($AN314+0.01)*3/13,0)+0.99),'Tax scales - NAT 3539'!$A$99:$C$123,2,1)-VLOOKUP((TRUNC(($AN314+0.01)*3/13,0)+0.99),'Tax scales - NAT 3539'!$A$99:$C$123,3,1)),0)
*13/3,
0),
IF($E$2="Monthly",
ROUND(
ROUND(((TRUNC($AN314*3/13,0)+0.99)*VLOOKUP((TRUNC($AN314*3/13,0)+0.99),'Tax scales - NAT 3539'!$A$99:$C$123,2,1)-VLOOKUP((TRUNC($AN314*3/13,0)+0.99),'Tax scales - NAT 3539'!$A$99:$C$123,3,1)),0)
*13/3,
0),
""))),
""),
"")</f>
        <v/>
      </c>
      <c r="AY314" s="118" t="str">
        <f>IFERROR(
IF(VLOOKUP($C314,'Employee information'!$B:$M,COLUMNS('Employee information'!$B:$M),0)=66,
IF($E$2="Fortnightly",
ROUND(
ROUND((((TRUNC($AN314/2,0)+0.99))*VLOOKUP((TRUNC($AN314/2,0)+0.99),'Tax scales - NAT 3539'!$A$127:$C$154,2,1)-VLOOKUP((TRUNC($AN314/2,0)+0.99),'Tax scales - NAT 3539'!$A$127:$C$154,3,1)),0)
*2,
0),
IF(AND($E$2="Monthly",ROUND($AN314-TRUNC($AN314),2)=0.33),
ROUND(
ROUND(((TRUNC(($AN314+0.01)*3/13,0)+0.99)*VLOOKUP((TRUNC(($AN314+0.01)*3/13,0)+0.99),'Tax scales - NAT 3539'!$A$127:$C$154,2,1)-VLOOKUP((TRUNC(($AN314+0.01)*3/13,0)+0.99),'Tax scales - NAT 3539'!$A$127:$C$154,3,1)),0)
*13/3,
0),
IF($E$2="Monthly",
ROUND(
ROUND(((TRUNC($AN314*3/13,0)+0.99)*VLOOKUP((TRUNC($AN314*3/13,0)+0.99),'Tax scales - NAT 3539'!$A$127:$C$154,2,1)-VLOOKUP((TRUNC($AN314*3/13,0)+0.99),'Tax scales - NAT 3539'!$A$127:$C$154,3,1)),0)
*13/3,
0),
""))),
""),
"")</f>
        <v/>
      </c>
      <c r="AZ314" s="118">
        <f>IFERROR(
HLOOKUP(VLOOKUP($C314,'Employee information'!$B:$M,COLUMNS('Employee information'!$B:$M),0),'PAYG worksheet'!$AO$300:$AY$319,COUNTA($C$301:$C314)+1,0),
0)</f>
        <v>0</v>
      </c>
      <c r="BA314" s="118"/>
      <c r="BB314" s="118">
        <f t="shared" si="325"/>
        <v>0</v>
      </c>
      <c r="BC314" s="119">
        <f>IFERROR(
IF(OR($AE314=1,$AE314=""),SUM($P314,$AA314,$AC314,$AK314)*VLOOKUP($C314,'Employee information'!$B:$Q,COLUMNS('Employee information'!$B:$H),0),
IF($AE314=0,SUM($P314,$AA314,$AK314)*VLOOKUP($C314,'Employee information'!$B:$Q,COLUMNS('Employee information'!$B:$H),0),
0)),
0)</f>
        <v>0</v>
      </c>
      <c r="BE314" s="114">
        <f t="shared" si="310"/>
        <v>0</v>
      </c>
      <c r="BF314" s="114">
        <f t="shared" si="311"/>
        <v>0</v>
      </c>
      <c r="BG314" s="114">
        <f t="shared" si="312"/>
        <v>0</v>
      </c>
      <c r="BH314" s="114">
        <f t="shared" si="313"/>
        <v>0</v>
      </c>
      <c r="BI314" s="114">
        <f t="shared" si="314"/>
        <v>0</v>
      </c>
      <c r="BJ314" s="114">
        <f t="shared" si="315"/>
        <v>0</v>
      </c>
      <c r="BK314" s="114">
        <f t="shared" si="316"/>
        <v>0</v>
      </c>
      <c r="BL314" s="114">
        <f t="shared" si="326"/>
        <v>0</v>
      </c>
      <c r="BM314" s="114">
        <f t="shared" si="317"/>
        <v>0</v>
      </c>
    </row>
    <row r="315" spans="1:65" x14ac:dyDescent="0.25">
      <c r="A315" s="228">
        <f t="shared" si="305"/>
        <v>11</v>
      </c>
      <c r="C315" s="278"/>
      <c r="E315" s="103">
        <f>IF($C315="",0,
IF(AND($E$2="Monthly",$A315&gt;12),0,
IF($E$2="Monthly",VLOOKUP($C315,'Employee information'!$B:$AM,COLUMNS('Employee information'!$B:S),0),
IF($E$2="Fortnightly",VLOOKUP($C315,'Employee information'!$B:$AM,COLUMNS('Employee information'!$B:R),0),
0))))</f>
        <v>0</v>
      </c>
      <c r="F315" s="106"/>
      <c r="G315" s="106"/>
      <c r="H315" s="106"/>
      <c r="I315" s="106"/>
      <c r="J315" s="103">
        <f t="shared" si="318"/>
        <v>0</v>
      </c>
      <c r="L315" s="113">
        <f>IF(AND($E$2="Monthly",$A315&gt;12),"",
IFERROR($J315*VLOOKUP($C315,'Employee information'!$B:$AI,COLUMNS('Employee information'!$B:$P),0),0))</f>
        <v>0</v>
      </c>
      <c r="M315" s="114">
        <f t="shared" si="319"/>
        <v>0</v>
      </c>
      <c r="O315" s="103">
        <f t="shared" si="320"/>
        <v>0</v>
      </c>
      <c r="P315" s="113">
        <f>IFERROR(
IF(AND($E$2="Monthly",$A315&gt;12),0,
$O315*VLOOKUP($C315,'Employee information'!$B:$AI,COLUMNS('Employee information'!$B:$P),0)),
0)</f>
        <v>0</v>
      </c>
      <c r="R315" s="114">
        <f t="shared" si="306"/>
        <v>0</v>
      </c>
      <c r="T315" s="103"/>
      <c r="U315" s="103"/>
      <c r="V315" s="282" t="str">
        <f>IF($C315="","",
IF(AND($E$2="Monthly",$A315&gt;12),"",
$T315*VLOOKUP($C315,'Employee information'!$B:$P,COLUMNS('Employee information'!$B:$P),0)))</f>
        <v/>
      </c>
      <c r="W315" s="282" t="str">
        <f>IF($C315="","",
IF(AND($E$2="Monthly",$A315&gt;12),"",
$U315*VLOOKUP($C315,'Employee information'!$B:$P,COLUMNS('Employee information'!$B:$P),0)))</f>
        <v/>
      </c>
      <c r="X315" s="114">
        <f t="shared" si="307"/>
        <v>0</v>
      </c>
      <c r="Y315" s="114">
        <f t="shared" si="308"/>
        <v>0</v>
      </c>
      <c r="AA315" s="118">
        <f>IFERROR(
IF(OR('Basic payroll data'!$D$12="",'Basic payroll data'!$D$12="No"),0,
$T315*VLOOKUP($C315,'Employee information'!$B:$P,COLUMNS('Employee information'!$B:$P),0)*AL_loading_perc),
0)</f>
        <v>0</v>
      </c>
      <c r="AC315" s="118"/>
      <c r="AD315" s="118"/>
      <c r="AE315" s="283" t="str">
        <f t="shared" si="321"/>
        <v/>
      </c>
      <c r="AF315" s="283" t="str">
        <f t="shared" si="322"/>
        <v/>
      </c>
      <c r="AG315" s="118"/>
      <c r="AH315" s="118"/>
      <c r="AI315" s="283" t="str">
        <f t="shared" si="323"/>
        <v/>
      </c>
      <c r="AJ315" s="118"/>
      <c r="AK315" s="118"/>
      <c r="AM315" s="118">
        <f t="shared" si="324"/>
        <v>0</v>
      </c>
      <c r="AN315" s="118">
        <f t="shared" si="309"/>
        <v>0</v>
      </c>
      <c r="AO315" s="118" t="str">
        <f>IFERROR(
IF(VLOOKUP($C315,'Employee information'!$B:$M,COLUMNS('Employee information'!$B:$M),0)=1,
IF($E$2="Fortnightly",
ROUND(
ROUND((((TRUNC($AN315/2,0)+0.99))*VLOOKUP((TRUNC($AN315/2,0)+0.99),'Tax scales - NAT 1004'!$A$12:$C$18,2,1)-VLOOKUP((TRUNC($AN315/2,0)+0.99),'Tax scales - NAT 1004'!$A$12:$C$18,3,1)),0)
*2,
0),
IF(AND($E$2="Monthly",ROUND($AN315-TRUNC($AN315),2)=0.33),
ROUND(
ROUND(((TRUNC(($AN315+0.01)*3/13,0)+0.99)*VLOOKUP((TRUNC(($AN315+0.01)*3/13,0)+0.99),'Tax scales - NAT 1004'!$A$12:$C$18,2,1)-VLOOKUP((TRUNC(($AN315+0.01)*3/13,0)+0.99),'Tax scales - NAT 1004'!$A$12:$C$18,3,1)),0)
*13/3,
0),
IF($E$2="Monthly",
ROUND(
ROUND(((TRUNC($AN315*3/13,0)+0.99)*VLOOKUP((TRUNC($AN315*3/13,0)+0.99),'Tax scales - NAT 1004'!$A$12:$C$18,2,1)-VLOOKUP((TRUNC($AN315*3/13,0)+0.99),'Tax scales - NAT 1004'!$A$12:$C$18,3,1)),0)
*13/3,
0),
""))),
""),
"")</f>
        <v/>
      </c>
      <c r="AP315" s="118" t="str">
        <f>IFERROR(
IF(VLOOKUP($C315,'Employee information'!$B:$M,COLUMNS('Employee information'!$B:$M),0)=2,
IF($E$2="Fortnightly",
ROUND(
ROUND((((TRUNC($AN315/2,0)+0.99))*VLOOKUP((TRUNC($AN315/2,0)+0.99),'Tax scales - NAT 1004'!$A$25:$C$33,2,1)-VLOOKUP((TRUNC($AN315/2,0)+0.99),'Tax scales - NAT 1004'!$A$25:$C$33,3,1)),0)
*2,
0),
IF(AND($E$2="Monthly",ROUND($AN315-TRUNC($AN315),2)=0.33),
ROUND(
ROUND(((TRUNC(($AN315+0.01)*3/13,0)+0.99)*VLOOKUP((TRUNC(($AN315+0.01)*3/13,0)+0.99),'Tax scales - NAT 1004'!$A$25:$C$33,2,1)-VLOOKUP((TRUNC(($AN315+0.01)*3/13,0)+0.99),'Tax scales - NAT 1004'!$A$25:$C$33,3,1)),0)
*13/3,
0),
IF($E$2="Monthly",
ROUND(
ROUND(((TRUNC($AN315*3/13,0)+0.99)*VLOOKUP((TRUNC($AN315*3/13,0)+0.99),'Tax scales - NAT 1004'!$A$25:$C$33,2,1)-VLOOKUP((TRUNC($AN315*3/13,0)+0.99),'Tax scales - NAT 1004'!$A$25:$C$33,3,1)),0)
*13/3,
0),
""))),
""),
"")</f>
        <v/>
      </c>
      <c r="AQ315" s="118" t="str">
        <f>IFERROR(
IF(VLOOKUP($C315,'Employee information'!$B:$M,COLUMNS('Employee information'!$B:$M),0)=3,
IF($E$2="Fortnightly",
ROUND(
ROUND((((TRUNC($AN315/2,0)+0.99))*VLOOKUP((TRUNC($AN315/2,0)+0.99),'Tax scales - NAT 1004'!$A$39:$C$41,2,1)-VLOOKUP((TRUNC($AN315/2,0)+0.99),'Tax scales - NAT 1004'!$A$39:$C$41,3,1)),0)
*2,
0),
IF(AND($E$2="Monthly",ROUND($AN315-TRUNC($AN315),2)=0.33),
ROUND(
ROUND(((TRUNC(($AN315+0.01)*3/13,0)+0.99)*VLOOKUP((TRUNC(($AN315+0.01)*3/13,0)+0.99),'Tax scales - NAT 1004'!$A$39:$C$41,2,1)-VLOOKUP((TRUNC(($AN315+0.01)*3/13,0)+0.99),'Tax scales - NAT 1004'!$A$39:$C$41,3,1)),0)
*13/3,
0),
IF($E$2="Monthly",
ROUND(
ROUND(((TRUNC($AN315*3/13,0)+0.99)*VLOOKUP((TRUNC($AN315*3/13,0)+0.99),'Tax scales - NAT 1004'!$A$39:$C$41,2,1)-VLOOKUP((TRUNC($AN315*3/13,0)+0.99),'Tax scales - NAT 1004'!$A$39:$C$41,3,1)),0)
*13/3,
0),
""))),
""),
"")</f>
        <v/>
      </c>
      <c r="AR315" s="118" t="str">
        <f>IFERROR(
IF(AND(VLOOKUP($C315,'Employee information'!$B:$M,COLUMNS('Employee information'!$B:$M),0)=4,
VLOOKUP($C315,'Employee information'!$B:$J,COLUMNS('Employee information'!$B:$J),0)="Resident"),
TRUNC(TRUNC($AN315)*'Tax scales - NAT 1004'!$B$47),
IF(AND(VLOOKUP($C315,'Employee information'!$B:$M,COLUMNS('Employee information'!$B:$M),0)=4,
VLOOKUP($C315,'Employee information'!$B:$J,COLUMNS('Employee information'!$B:$J),0)="Foreign resident"),
TRUNC(TRUNC($AN315)*'Tax scales - NAT 1004'!$B$48),
"")),
"")</f>
        <v/>
      </c>
      <c r="AS315" s="118" t="str">
        <f>IFERROR(
IF(VLOOKUP($C315,'Employee information'!$B:$M,COLUMNS('Employee information'!$B:$M),0)=5,
IF($E$2="Fortnightly",
ROUND(
ROUND((((TRUNC($AN315/2,0)+0.99))*VLOOKUP((TRUNC($AN315/2,0)+0.99),'Tax scales - NAT 1004'!$A$53:$C$59,2,1)-VLOOKUP((TRUNC($AN315/2,0)+0.99),'Tax scales - NAT 1004'!$A$53:$C$59,3,1)),0)
*2,
0),
IF(AND($E$2="Monthly",ROUND($AN315-TRUNC($AN315),2)=0.33),
ROUND(
ROUND(((TRUNC(($AN315+0.01)*3/13,0)+0.99)*VLOOKUP((TRUNC(($AN315+0.01)*3/13,0)+0.99),'Tax scales - NAT 1004'!$A$53:$C$59,2,1)-VLOOKUP((TRUNC(($AN315+0.01)*3/13,0)+0.99),'Tax scales - NAT 1004'!$A$53:$C$59,3,1)),0)
*13/3,
0),
IF($E$2="Monthly",
ROUND(
ROUND(((TRUNC($AN315*3/13,0)+0.99)*VLOOKUP((TRUNC($AN315*3/13,0)+0.99),'Tax scales - NAT 1004'!$A$53:$C$59,2,1)-VLOOKUP((TRUNC($AN315*3/13,0)+0.99),'Tax scales - NAT 1004'!$A$53:$C$59,3,1)),0)
*13/3,
0),
""))),
""),
"")</f>
        <v/>
      </c>
      <c r="AT315" s="118" t="str">
        <f>IFERROR(
IF(VLOOKUP($C315,'Employee information'!$B:$M,COLUMNS('Employee information'!$B:$M),0)=6,
IF($E$2="Fortnightly",
ROUND(
ROUND((((TRUNC($AN315/2,0)+0.99))*VLOOKUP((TRUNC($AN315/2,0)+0.99),'Tax scales - NAT 1004'!$A$65:$C$73,2,1)-VLOOKUP((TRUNC($AN315/2,0)+0.99),'Tax scales - NAT 1004'!$A$65:$C$73,3,1)),0)
*2,
0),
IF(AND($E$2="Monthly",ROUND($AN315-TRUNC($AN315),2)=0.33),
ROUND(
ROUND(((TRUNC(($AN315+0.01)*3/13,0)+0.99)*VLOOKUP((TRUNC(($AN315+0.01)*3/13,0)+0.99),'Tax scales - NAT 1004'!$A$65:$C$73,2,1)-VLOOKUP((TRUNC(($AN315+0.01)*3/13,0)+0.99),'Tax scales - NAT 1004'!$A$65:$C$73,3,1)),0)
*13/3,
0),
IF($E$2="Monthly",
ROUND(
ROUND(((TRUNC($AN315*3/13,0)+0.99)*VLOOKUP((TRUNC($AN315*3/13,0)+0.99),'Tax scales - NAT 1004'!$A$65:$C$73,2,1)-VLOOKUP((TRUNC($AN315*3/13,0)+0.99),'Tax scales - NAT 1004'!$A$65:$C$73,3,1)),0)
*13/3,
0),
""))),
""),
"")</f>
        <v/>
      </c>
      <c r="AU315" s="118" t="str">
        <f>IFERROR(
IF(VLOOKUP($C315,'Employee information'!$B:$M,COLUMNS('Employee information'!$B:$M),0)=11,
IF($E$2="Fortnightly",
ROUND(
ROUND((((TRUNC($AN315/2,0)+0.99))*VLOOKUP((TRUNC($AN315/2,0)+0.99),'Tax scales - NAT 3539'!$A$14:$C$38,2,1)-VLOOKUP((TRUNC($AN315/2,0)+0.99),'Tax scales - NAT 3539'!$A$14:$C$38,3,1)),0)
*2,
0),
IF(AND($E$2="Monthly",ROUND($AN315-TRUNC($AN315),2)=0.33),
ROUND(
ROUND(((TRUNC(($AN315+0.01)*3/13,0)+0.99)*VLOOKUP((TRUNC(($AN315+0.01)*3/13,0)+0.99),'Tax scales - NAT 3539'!$A$14:$C$38,2,1)-VLOOKUP((TRUNC(($AN315+0.01)*3/13,0)+0.99),'Tax scales - NAT 3539'!$A$14:$C$38,3,1)),0)
*13/3,
0),
IF($E$2="Monthly",
ROUND(
ROUND(((TRUNC($AN315*3/13,0)+0.99)*VLOOKUP((TRUNC($AN315*3/13,0)+0.99),'Tax scales - NAT 3539'!$A$14:$C$38,2,1)-VLOOKUP((TRUNC($AN315*3/13,0)+0.99),'Tax scales - NAT 3539'!$A$14:$C$38,3,1)),0)
*13/3,
0),
""))),
""),
"")</f>
        <v/>
      </c>
      <c r="AV315" s="118" t="str">
        <f>IFERROR(
IF(VLOOKUP($C315,'Employee information'!$B:$M,COLUMNS('Employee information'!$B:$M),0)=22,
IF($E$2="Fortnightly",
ROUND(
ROUND((((TRUNC($AN315/2,0)+0.99))*VLOOKUP((TRUNC($AN315/2,0)+0.99),'Tax scales - NAT 3539'!$A$43:$C$69,2,1)-VLOOKUP((TRUNC($AN315/2,0)+0.99),'Tax scales - NAT 3539'!$A$43:$C$69,3,1)),0)
*2,
0),
IF(AND($E$2="Monthly",ROUND($AN315-TRUNC($AN315),2)=0.33),
ROUND(
ROUND(((TRUNC(($AN315+0.01)*3/13,0)+0.99)*VLOOKUP((TRUNC(($AN315+0.01)*3/13,0)+0.99),'Tax scales - NAT 3539'!$A$43:$C$69,2,1)-VLOOKUP((TRUNC(($AN315+0.01)*3/13,0)+0.99),'Tax scales - NAT 3539'!$A$43:$C$69,3,1)),0)
*13/3,
0),
IF($E$2="Monthly",
ROUND(
ROUND(((TRUNC($AN315*3/13,0)+0.99)*VLOOKUP((TRUNC($AN315*3/13,0)+0.99),'Tax scales - NAT 3539'!$A$43:$C$69,2,1)-VLOOKUP((TRUNC($AN315*3/13,0)+0.99),'Tax scales - NAT 3539'!$A$43:$C$69,3,1)),0)
*13/3,
0),
""))),
""),
"")</f>
        <v/>
      </c>
      <c r="AW315" s="118" t="str">
        <f>IFERROR(
IF(VLOOKUP($C315,'Employee information'!$B:$M,COLUMNS('Employee information'!$B:$M),0)=33,
IF($E$2="Fortnightly",
ROUND(
ROUND((((TRUNC($AN315/2,0)+0.99))*VLOOKUP((TRUNC($AN315/2,0)+0.99),'Tax scales - NAT 3539'!$A$74:$C$94,2,1)-VLOOKUP((TRUNC($AN315/2,0)+0.99),'Tax scales - NAT 3539'!$A$74:$C$94,3,1)),0)
*2,
0),
IF(AND($E$2="Monthly",ROUND($AN315-TRUNC($AN315),2)=0.33),
ROUND(
ROUND(((TRUNC(($AN315+0.01)*3/13,0)+0.99)*VLOOKUP((TRUNC(($AN315+0.01)*3/13,0)+0.99),'Tax scales - NAT 3539'!$A$74:$C$94,2,1)-VLOOKUP((TRUNC(($AN315+0.01)*3/13,0)+0.99),'Tax scales - NAT 3539'!$A$74:$C$94,3,1)),0)
*13/3,
0),
IF($E$2="Monthly",
ROUND(
ROUND(((TRUNC($AN315*3/13,0)+0.99)*VLOOKUP((TRUNC($AN315*3/13,0)+0.99),'Tax scales - NAT 3539'!$A$74:$C$94,2,1)-VLOOKUP((TRUNC($AN315*3/13,0)+0.99),'Tax scales - NAT 3539'!$A$74:$C$94,3,1)),0)
*13/3,
0),
""))),
""),
"")</f>
        <v/>
      </c>
      <c r="AX315" s="118" t="str">
        <f>IFERROR(
IF(VLOOKUP($C315,'Employee information'!$B:$M,COLUMNS('Employee information'!$B:$M),0)=55,
IF($E$2="Fortnightly",
ROUND(
ROUND((((TRUNC($AN315/2,0)+0.99))*VLOOKUP((TRUNC($AN315/2,0)+0.99),'Tax scales - NAT 3539'!$A$99:$C$123,2,1)-VLOOKUP((TRUNC($AN315/2,0)+0.99),'Tax scales - NAT 3539'!$A$99:$C$123,3,1)),0)
*2,
0),
IF(AND($E$2="Monthly",ROUND($AN315-TRUNC($AN315),2)=0.33),
ROUND(
ROUND(((TRUNC(($AN315+0.01)*3/13,0)+0.99)*VLOOKUP((TRUNC(($AN315+0.01)*3/13,0)+0.99),'Tax scales - NAT 3539'!$A$99:$C$123,2,1)-VLOOKUP((TRUNC(($AN315+0.01)*3/13,0)+0.99),'Tax scales - NAT 3539'!$A$99:$C$123,3,1)),0)
*13/3,
0),
IF($E$2="Monthly",
ROUND(
ROUND(((TRUNC($AN315*3/13,0)+0.99)*VLOOKUP((TRUNC($AN315*3/13,0)+0.99),'Tax scales - NAT 3539'!$A$99:$C$123,2,1)-VLOOKUP((TRUNC($AN315*3/13,0)+0.99),'Tax scales - NAT 3539'!$A$99:$C$123,3,1)),0)
*13/3,
0),
""))),
""),
"")</f>
        <v/>
      </c>
      <c r="AY315" s="118" t="str">
        <f>IFERROR(
IF(VLOOKUP($C315,'Employee information'!$B:$M,COLUMNS('Employee information'!$B:$M),0)=66,
IF($E$2="Fortnightly",
ROUND(
ROUND((((TRUNC($AN315/2,0)+0.99))*VLOOKUP((TRUNC($AN315/2,0)+0.99),'Tax scales - NAT 3539'!$A$127:$C$154,2,1)-VLOOKUP((TRUNC($AN315/2,0)+0.99),'Tax scales - NAT 3539'!$A$127:$C$154,3,1)),0)
*2,
0),
IF(AND($E$2="Monthly",ROUND($AN315-TRUNC($AN315),2)=0.33),
ROUND(
ROUND(((TRUNC(($AN315+0.01)*3/13,0)+0.99)*VLOOKUP((TRUNC(($AN315+0.01)*3/13,0)+0.99),'Tax scales - NAT 3539'!$A$127:$C$154,2,1)-VLOOKUP((TRUNC(($AN315+0.01)*3/13,0)+0.99),'Tax scales - NAT 3539'!$A$127:$C$154,3,1)),0)
*13/3,
0),
IF($E$2="Monthly",
ROUND(
ROUND(((TRUNC($AN315*3/13,0)+0.99)*VLOOKUP((TRUNC($AN315*3/13,0)+0.99),'Tax scales - NAT 3539'!$A$127:$C$154,2,1)-VLOOKUP((TRUNC($AN315*3/13,0)+0.99),'Tax scales - NAT 3539'!$A$127:$C$154,3,1)),0)
*13/3,
0),
""))),
""),
"")</f>
        <v/>
      </c>
      <c r="AZ315" s="118">
        <f>IFERROR(
HLOOKUP(VLOOKUP($C315,'Employee information'!$B:$M,COLUMNS('Employee information'!$B:$M),0),'PAYG worksheet'!$AO$300:$AY$319,COUNTA($C$301:$C315)+1,0),
0)</f>
        <v>0</v>
      </c>
      <c r="BA315" s="118"/>
      <c r="BB315" s="118">
        <f t="shared" si="325"/>
        <v>0</v>
      </c>
      <c r="BC315" s="119">
        <f>IFERROR(
IF(OR($AE315=1,$AE315=""),SUM($P315,$AA315,$AC315,$AK315)*VLOOKUP($C315,'Employee information'!$B:$Q,COLUMNS('Employee information'!$B:$H),0),
IF($AE315=0,SUM($P315,$AA315,$AK315)*VLOOKUP($C315,'Employee information'!$B:$Q,COLUMNS('Employee information'!$B:$H),0),
0)),
0)</f>
        <v>0</v>
      </c>
      <c r="BE315" s="114">
        <f t="shared" si="310"/>
        <v>0</v>
      </c>
      <c r="BF315" s="114">
        <f t="shared" si="311"/>
        <v>0</v>
      </c>
      <c r="BG315" s="114">
        <f t="shared" si="312"/>
        <v>0</v>
      </c>
      <c r="BH315" s="114">
        <f t="shared" si="313"/>
        <v>0</v>
      </c>
      <c r="BI315" s="114">
        <f t="shared" si="314"/>
        <v>0</v>
      </c>
      <c r="BJ315" s="114">
        <f t="shared" si="315"/>
        <v>0</v>
      </c>
      <c r="BK315" s="114">
        <f t="shared" si="316"/>
        <v>0</v>
      </c>
      <c r="BL315" s="114">
        <f t="shared" si="326"/>
        <v>0</v>
      </c>
      <c r="BM315" s="114">
        <f t="shared" si="317"/>
        <v>0</v>
      </c>
    </row>
    <row r="316" spans="1:65" x14ac:dyDescent="0.25">
      <c r="A316" s="228">
        <f t="shared" si="305"/>
        <v>11</v>
      </c>
      <c r="C316" s="278"/>
      <c r="E316" s="103">
        <f>IF($C316="",0,
IF(AND($E$2="Monthly",$A316&gt;12),0,
IF($E$2="Monthly",VLOOKUP($C316,'Employee information'!$B:$AM,COLUMNS('Employee information'!$B:S),0),
IF($E$2="Fortnightly",VLOOKUP($C316,'Employee information'!$B:$AM,COLUMNS('Employee information'!$B:R),0),
0))))</f>
        <v>0</v>
      </c>
      <c r="F316" s="106"/>
      <c r="G316" s="106"/>
      <c r="H316" s="106"/>
      <c r="I316" s="106"/>
      <c r="J316" s="103">
        <f t="shared" si="318"/>
        <v>0</v>
      </c>
      <c r="L316" s="113">
        <f>IF(AND($E$2="Monthly",$A316&gt;12),"",
IFERROR($J316*VLOOKUP($C316,'Employee information'!$B:$AI,COLUMNS('Employee information'!$B:$P),0),0))</f>
        <v>0</v>
      </c>
      <c r="M316" s="114">
        <f t="shared" si="319"/>
        <v>0</v>
      </c>
      <c r="O316" s="103">
        <f t="shared" si="320"/>
        <v>0</v>
      </c>
      <c r="P316" s="113">
        <f>IFERROR(
IF(AND($E$2="Monthly",$A316&gt;12),0,
$O316*VLOOKUP($C316,'Employee information'!$B:$AI,COLUMNS('Employee information'!$B:$P),0)),
0)</f>
        <v>0</v>
      </c>
      <c r="R316" s="114">
        <f t="shared" si="306"/>
        <v>0</v>
      </c>
      <c r="T316" s="103"/>
      <c r="U316" s="103"/>
      <c r="V316" s="282" t="str">
        <f>IF($C316="","",
IF(AND($E$2="Monthly",$A316&gt;12),"",
$T316*VLOOKUP($C316,'Employee information'!$B:$P,COLUMNS('Employee information'!$B:$P),0)))</f>
        <v/>
      </c>
      <c r="W316" s="282" t="str">
        <f>IF($C316="","",
IF(AND($E$2="Monthly",$A316&gt;12),"",
$U316*VLOOKUP($C316,'Employee information'!$B:$P,COLUMNS('Employee information'!$B:$P),0)))</f>
        <v/>
      </c>
      <c r="X316" s="114">
        <f t="shared" si="307"/>
        <v>0</v>
      </c>
      <c r="Y316" s="114">
        <f t="shared" si="308"/>
        <v>0</v>
      </c>
      <c r="AA316" s="118">
        <f>IFERROR(
IF(OR('Basic payroll data'!$D$12="",'Basic payroll data'!$D$12="No"),0,
$T316*VLOOKUP($C316,'Employee information'!$B:$P,COLUMNS('Employee information'!$B:$P),0)*AL_loading_perc),
0)</f>
        <v>0</v>
      </c>
      <c r="AC316" s="118"/>
      <c r="AD316" s="118"/>
      <c r="AE316" s="283" t="str">
        <f t="shared" si="321"/>
        <v/>
      </c>
      <c r="AF316" s="283" t="str">
        <f t="shared" si="322"/>
        <v/>
      </c>
      <c r="AG316" s="118"/>
      <c r="AH316" s="118"/>
      <c r="AI316" s="283" t="str">
        <f t="shared" si="323"/>
        <v/>
      </c>
      <c r="AJ316" s="118"/>
      <c r="AK316" s="118"/>
      <c r="AM316" s="118">
        <f t="shared" si="324"/>
        <v>0</v>
      </c>
      <c r="AN316" s="118">
        <f t="shared" si="309"/>
        <v>0</v>
      </c>
      <c r="AO316" s="118" t="str">
        <f>IFERROR(
IF(VLOOKUP($C316,'Employee information'!$B:$M,COLUMNS('Employee information'!$B:$M),0)=1,
IF($E$2="Fortnightly",
ROUND(
ROUND((((TRUNC($AN316/2,0)+0.99))*VLOOKUP((TRUNC($AN316/2,0)+0.99),'Tax scales - NAT 1004'!$A$12:$C$18,2,1)-VLOOKUP((TRUNC($AN316/2,0)+0.99),'Tax scales - NAT 1004'!$A$12:$C$18,3,1)),0)
*2,
0),
IF(AND($E$2="Monthly",ROUND($AN316-TRUNC($AN316),2)=0.33),
ROUND(
ROUND(((TRUNC(($AN316+0.01)*3/13,0)+0.99)*VLOOKUP((TRUNC(($AN316+0.01)*3/13,0)+0.99),'Tax scales - NAT 1004'!$A$12:$C$18,2,1)-VLOOKUP((TRUNC(($AN316+0.01)*3/13,0)+0.99),'Tax scales - NAT 1004'!$A$12:$C$18,3,1)),0)
*13/3,
0),
IF($E$2="Monthly",
ROUND(
ROUND(((TRUNC($AN316*3/13,0)+0.99)*VLOOKUP((TRUNC($AN316*3/13,0)+0.99),'Tax scales - NAT 1004'!$A$12:$C$18,2,1)-VLOOKUP((TRUNC($AN316*3/13,0)+0.99),'Tax scales - NAT 1004'!$A$12:$C$18,3,1)),0)
*13/3,
0),
""))),
""),
"")</f>
        <v/>
      </c>
      <c r="AP316" s="118" t="str">
        <f>IFERROR(
IF(VLOOKUP($C316,'Employee information'!$B:$M,COLUMNS('Employee information'!$B:$M),0)=2,
IF($E$2="Fortnightly",
ROUND(
ROUND((((TRUNC($AN316/2,0)+0.99))*VLOOKUP((TRUNC($AN316/2,0)+0.99),'Tax scales - NAT 1004'!$A$25:$C$33,2,1)-VLOOKUP((TRUNC($AN316/2,0)+0.99),'Tax scales - NAT 1004'!$A$25:$C$33,3,1)),0)
*2,
0),
IF(AND($E$2="Monthly",ROUND($AN316-TRUNC($AN316),2)=0.33),
ROUND(
ROUND(((TRUNC(($AN316+0.01)*3/13,0)+0.99)*VLOOKUP((TRUNC(($AN316+0.01)*3/13,0)+0.99),'Tax scales - NAT 1004'!$A$25:$C$33,2,1)-VLOOKUP((TRUNC(($AN316+0.01)*3/13,0)+0.99),'Tax scales - NAT 1004'!$A$25:$C$33,3,1)),0)
*13/3,
0),
IF($E$2="Monthly",
ROUND(
ROUND(((TRUNC($AN316*3/13,0)+0.99)*VLOOKUP((TRUNC($AN316*3/13,0)+0.99),'Tax scales - NAT 1004'!$A$25:$C$33,2,1)-VLOOKUP((TRUNC($AN316*3/13,0)+0.99),'Tax scales - NAT 1004'!$A$25:$C$33,3,1)),0)
*13/3,
0),
""))),
""),
"")</f>
        <v/>
      </c>
      <c r="AQ316" s="118" t="str">
        <f>IFERROR(
IF(VLOOKUP($C316,'Employee information'!$B:$M,COLUMNS('Employee information'!$B:$M),0)=3,
IF($E$2="Fortnightly",
ROUND(
ROUND((((TRUNC($AN316/2,0)+0.99))*VLOOKUP((TRUNC($AN316/2,0)+0.99),'Tax scales - NAT 1004'!$A$39:$C$41,2,1)-VLOOKUP((TRUNC($AN316/2,0)+0.99),'Tax scales - NAT 1004'!$A$39:$C$41,3,1)),0)
*2,
0),
IF(AND($E$2="Monthly",ROUND($AN316-TRUNC($AN316),2)=0.33),
ROUND(
ROUND(((TRUNC(($AN316+0.01)*3/13,0)+0.99)*VLOOKUP((TRUNC(($AN316+0.01)*3/13,0)+0.99),'Tax scales - NAT 1004'!$A$39:$C$41,2,1)-VLOOKUP((TRUNC(($AN316+0.01)*3/13,0)+0.99),'Tax scales - NAT 1004'!$A$39:$C$41,3,1)),0)
*13/3,
0),
IF($E$2="Monthly",
ROUND(
ROUND(((TRUNC($AN316*3/13,0)+0.99)*VLOOKUP((TRUNC($AN316*3/13,0)+0.99),'Tax scales - NAT 1004'!$A$39:$C$41,2,1)-VLOOKUP((TRUNC($AN316*3/13,0)+0.99),'Tax scales - NAT 1004'!$A$39:$C$41,3,1)),0)
*13/3,
0),
""))),
""),
"")</f>
        <v/>
      </c>
      <c r="AR316" s="118" t="str">
        <f>IFERROR(
IF(AND(VLOOKUP($C316,'Employee information'!$B:$M,COLUMNS('Employee information'!$B:$M),0)=4,
VLOOKUP($C316,'Employee information'!$B:$J,COLUMNS('Employee information'!$B:$J),0)="Resident"),
TRUNC(TRUNC($AN316)*'Tax scales - NAT 1004'!$B$47),
IF(AND(VLOOKUP($C316,'Employee information'!$B:$M,COLUMNS('Employee information'!$B:$M),0)=4,
VLOOKUP($C316,'Employee information'!$B:$J,COLUMNS('Employee information'!$B:$J),0)="Foreign resident"),
TRUNC(TRUNC($AN316)*'Tax scales - NAT 1004'!$B$48),
"")),
"")</f>
        <v/>
      </c>
      <c r="AS316" s="118" t="str">
        <f>IFERROR(
IF(VLOOKUP($C316,'Employee information'!$B:$M,COLUMNS('Employee information'!$B:$M),0)=5,
IF($E$2="Fortnightly",
ROUND(
ROUND((((TRUNC($AN316/2,0)+0.99))*VLOOKUP((TRUNC($AN316/2,0)+0.99),'Tax scales - NAT 1004'!$A$53:$C$59,2,1)-VLOOKUP((TRUNC($AN316/2,0)+0.99),'Tax scales - NAT 1004'!$A$53:$C$59,3,1)),0)
*2,
0),
IF(AND($E$2="Monthly",ROUND($AN316-TRUNC($AN316),2)=0.33),
ROUND(
ROUND(((TRUNC(($AN316+0.01)*3/13,0)+0.99)*VLOOKUP((TRUNC(($AN316+0.01)*3/13,0)+0.99),'Tax scales - NAT 1004'!$A$53:$C$59,2,1)-VLOOKUP((TRUNC(($AN316+0.01)*3/13,0)+0.99),'Tax scales - NAT 1004'!$A$53:$C$59,3,1)),0)
*13/3,
0),
IF($E$2="Monthly",
ROUND(
ROUND(((TRUNC($AN316*3/13,0)+0.99)*VLOOKUP((TRUNC($AN316*3/13,0)+0.99),'Tax scales - NAT 1004'!$A$53:$C$59,2,1)-VLOOKUP((TRUNC($AN316*3/13,0)+0.99),'Tax scales - NAT 1004'!$A$53:$C$59,3,1)),0)
*13/3,
0),
""))),
""),
"")</f>
        <v/>
      </c>
      <c r="AT316" s="118" t="str">
        <f>IFERROR(
IF(VLOOKUP($C316,'Employee information'!$B:$M,COLUMNS('Employee information'!$B:$M),0)=6,
IF($E$2="Fortnightly",
ROUND(
ROUND((((TRUNC($AN316/2,0)+0.99))*VLOOKUP((TRUNC($AN316/2,0)+0.99),'Tax scales - NAT 1004'!$A$65:$C$73,2,1)-VLOOKUP((TRUNC($AN316/2,0)+0.99),'Tax scales - NAT 1004'!$A$65:$C$73,3,1)),0)
*2,
0),
IF(AND($E$2="Monthly",ROUND($AN316-TRUNC($AN316),2)=0.33),
ROUND(
ROUND(((TRUNC(($AN316+0.01)*3/13,0)+0.99)*VLOOKUP((TRUNC(($AN316+0.01)*3/13,0)+0.99),'Tax scales - NAT 1004'!$A$65:$C$73,2,1)-VLOOKUP((TRUNC(($AN316+0.01)*3/13,0)+0.99),'Tax scales - NAT 1004'!$A$65:$C$73,3,1)),0)
*13/3,
0),
IF($E$2="Monthly",
ROUND(
ROUND(((TRUNC($AN316*3/13,0)+0.99)*VLOOKUP((TRUNC($AN316*3/13,0)+0.99),'Tax scales - NAT 1004'!$A$65:$C$73,2,1)-VLOOKUP((TRUNC($AN316*3/13,0)+0.99),'Tax scales - NAT 1004'!$A$65:$C$73,3,1)),0)
*13/3,
0),
""))),
""),
"")</f>
        <v/>
      </c>
      <c r="AU316" s="118" t="str">
        <f>IFERROR(
IF(VLOOKUP($C316,'Employee information'!$B:$M,COLUMNS('Employee information'!$B:$M),0)=11,
IF($E$2="Fortnightly",
ROUND(
ROUND((((TRUNC($AN316/2,0)+0.99))*VLOOKUP((TRUNC($AN316/2,0)+0.99),'Tax scales - NAT 3539'!$A$14:$C$38,2,1)-VLOOKUP((TRUNC($AN316/2,0)+0.99),'Tax scales - NAT 3539'!$A$14:$C$38,3,1)),0)
*2,
0),
IF(AND($E$2="Monthly",ROUND($AN316-TRUNC($AN316),2)=0.33),
ROUND(
ROUND(((TRUNC(($AN316+0.01)*3/13,0)+0.99)*VLOOKUP((TRUNC(($AN316+0.01)*3/13,0)+0.99),'Tax scales - NAT 3539'!$A$14:$C$38,2,1)-VLOOKUP((TRUNC(($AN316+0.01)*3/13,0)+0.99),'Tax scales - NAT 3539'!$A$14:$C$38,3,1)),0)
*13/3,
0),
IF($E$2="Monthly",
ROUND(
ROUND(((TRUNC($AN316*3/13,0)+0.99)*VLOOKUP((TRUNC($AN316*3/13,0)+0.99),'Tax scales - NAT 3539'!$A$14:$C$38,2,1)-VLOOKUP((TRUNC($AN316*3/13,0)+0.99),'Tax scales - NAT 3539'!$A$14:$C$38,3,1)),0)
*13/3,
0),
""))),
""),
"")</f>
        <v/>
      </c>
      <c r="AV316" s="118" t="str">
        <f>IFERROR(
IF(VLOOKUP($C316,'Employee information'!$B:$M,COLUMNS('Employee information'!$B:$M),0)=22,
IF($E$2="Fortnightly",
ROUND(
ROUND((((TRUNC($AN316/2,0)+0.99))*VLOOKUP((TRUNC($AN316/2,0)+0.99),'Tax scales - NAT 3539'!$A$43:$C$69,2,1)-VLOOKUP((TRUNC($AN316/2,0)+0.99),'Tax scales - NAT 3539'!$A$43:$C$69,3,1)),0)
*2,
0),
IF(AND($E$2="Monthly",ROUND($AN316-TRUNC($AN316),2)=0.33),
ROUND(
ROUND(((TRUNC(($AN316+0.01)*3/13,0)+0.99)*VLOOKUP((TRUNC(($AN316+0.01)*3/13,0)+0.99),'Tax scales - NAT 3539'!$A$43:$C$69,2,1)-VLOOKUP((TRUNC(($AN316+0.01)*3/13,0)+0.99),'Tax scales - NAT 3539'!$A$43:$C$69,3,1)),0)
*13/3,
0),
IF($E$2="Monthly",
ROUND(
ROUND(((TRUNC($AN316*3/13,0)+0.99)*VLOOKUP((TRUNC($AN316*3/13,0)+0.99),'Tax scales - NAT 3539'!$A$43:$C$69,2,1)-VLOOKUP((TRUNC($AN316*3/13,0)+0.99),'Tax scales - NAT 3539'!$A$43:$C$69,3,1)),0)
*13/3,
0),
""))),
""),
"")</f>
        <v/>
      </c>
      <c r="AW316" s="118" t="str">
        <f>IFERROR(
IF(VLOOKUP($C316,'Employee information'!$B:$M,COLUMNS('Employee information'!$B:$M),0)=33,
IF($E$2="Fortnightly",
ROUND(
ROUND((((TRUNC($AN316/2,0)+0.99))*VLOOKUP((TRUNC($AN316/2,0)+0.99),'Tax scales - NAT 3539'!$A$74:$C$94,2,1)-VLOOKUP((TRUNC($AN316/2,0)+0.99),'Tax scales - NAT 3539'!$A$74:$C$94,3,1)),0)
*2,
0),
IF(AND($E$2="Monthly",ROUND($AN316-TRUNC($AN316),2)=0.33),
ROUND(
ROUND(((TRUNC(($AN316+0.01)*3/13,0)+0.99)*VLOOKUP((TRUNC(($AN316+0.01)*3/13,0)+0.99),'Tax scales - NAT 3539'!$A$74:$C$94,2,1)-VLOOKUP((TRUNC(($AN316+0.01)*3/13,0)+0.99),'Tax scales - NAT 3539'!$A$74:$C$94,3,1)),0)
*13/3,
0),
IF($E$2="Monthly",
ROUND(
ROUND(((TRUNC($AN316*3/13,0)+0.99)*VLOOKUP((TRUNC($AN316*3/13,0)+0.99),'Tax scales - NAT 3539'!$A$74:$C$94,2,1)-VLOOKUP((TRUNC($AN316*3/13,0)+0.99),'Tax scales - NAT 3539'!$A$74:$C$94,3,1)),0)
*13/3,
0),
""))),
""),
"")</f>
        <v/>
      </c>
      <c r="AX316" s="118" t="str">
        <f>IFERROR(
IF(VLOOKUP($C316,'Employee information'!$B:$M,COLUMNS('Employee information'!$B:$M),0)=55,
IF($E$2="Fortnightly",
ROUND(
ROUND((((TRUNC($AN316/2,0)+0.99))*VLOOKUP((TRUNC($AN316/2,0)+0.99),'Tax scales - NAT 3539'!$A$99:$C$123,2,1)-VLOOKUP((TRUNC($AN316/2,0)+0.99),'Tax scales - NAT 3539'!$A$99:$C$123,3,1)),0)
*2,
0),
IF(AND($E$2="Monthly",ROUND($AN316-TRUNC($AN316),2)=0.33),
ROUND(
ROUND(((TRUNC(($AN316+0.01)*3/13,0)+0.99)*VLOOKUP((TRUNC(($AN316+0.01)*3/13,0)+0.99),'Tax scales - NAT 3539'!$A$99:$C$123,2,1)-VLOOKUP((TRUNC(($AN316+0.01)*3/13,0)+0.99),'Tax scales - NAT 3539'!$A$99:$C$123,3,1)),0)
*13/3,
0),
IF($E$2="Monthly",
ROUND(
ROUND(((TRUNC($AN316*3/13,0)+0.99)*VLOOKUP((TRUNC($AN316*3/13,0)+0.99),'Tax scales - NAT 3539'!$A$99:$C$123,2,1)-VLOOKUP((TRUNC($AN316*3/13,0)+0.99),'Tax scales - NAT 3539'!$A$99:$C$123,3,1)),0)
*13/3,
0),
""))),
""),
"")</f>
        <v/>
      </c>
      <c r="AY316" s="118" t="str">
        <f>IFERROR(
IF(VLOOKUP($C316,'Employee information'!$B:$M,COLUMNS('Employee information'!$B:$M),0)=66,
IF($E$2="Fortnightly",
ROUND(
ROUND((((TRUNC($AN316/2,0)+0.99))*VLOOKUP((TRUNC($AN316/2,0)+0.99),'Tax scales - NAT 3539'!$A$127:$C$154,2,1)-VLOOKUP((TRUNC($AN316/2,0)+0.99),'Tax scales - NAT 3539'!$A$127:$C$154,3,1)),0)
*2,
0),
IF(AND($E$2="Monthly",ROUND($AN316-TRUNC($AN316),2)=0.33),
ROUND(
ROUND(((TRUNC(($AN316+0.01)*3/13,0)+0.99)*VLOOKUP((TRUNC(($AN316+0.01)*3/13,0)+0.99),'Tax scales - NAT 3539'!$A$127:$C$154,2,1)-VLOOKUP((TRUNC(($AN316+0.01)*3/13,0)+0.99),'Tax scales - NAT 3539'!$A$127:$C$154,3,1)),0)
*13/3,
0),
IF($E$2="Monthly",
ROUND(
ROUND(((TRUNC($AN316*3/13,0)+0.99)*VLOOKUP((TRUNC($AN316*3/13,0)+0.99),'Tax scales - NAT 3539'!$A$127:$C$154,2,1)-VLOOKUP((TRUNC($AN316*3/13,0)+0.99),'Tax scales - NAT 3539'!$A$127:$C$154,3,1)),0)
*13/3,
0),
""))),
""),
"")</f>
        <v/>
      </c>
      <c r="AZ316" s="118">
        <f>IFERROR(
HLOOKUP(VLOOKUP($C316,'Employee information'!$B:$M,COLUMNS('Employee information'!$B:$M),0),'PAYG worksheet'!$AO$300:$AY$319,COUNTA($C$301:$C316)+1,0),
0)</f>
        <v>0</v>
      </c>
      <c r="BA316" s="118"/>
      <c r="BB316" s="118">
        <f t="shared" si="325"/>
        <v>0</v>
      </c>
      <c r="BC316" s="119">
        <f>IFERROR(
IF(OR($AE316=1,$AE316=""),SUM($P316,$AA316,$AC316,$AK316)*VLOOKUP($C316,'Employee information'!$B:$Q,COLUMNS('Employee information'!$B:$H),0),
IF($AE316=0,SUM($P316,$AA316,$AK316)*VLOOKUP($C316,'Employee information'!$B:$Q,COLUMNS('Employee information'!$B:$H),0),
0)),
0)</f>
        <v>0</v>
      </c>
      <c r="BE316" s="114">
        <f t="shared" si="310"/>
        <v>0</v>
      </c>
      <c r="BF316" s="114">
        <f t="shared" si="311"/>
        <v>0</v>
      </c>
      <c r="BG316" s="114">
        <f t="shared" si="312"/>
        <v>0</v>
      </c>
      <c r="BH316" s="114">
        <f t="shared" si="313"/>
        <v>0</v>
      </c>
      <c r="BI316" s="114">
        <f t="shared" si="314"/>
        <v>0</v>
      </c>
      <c r="BJ316" s="114">
        <f t="shared" si="315"/>
        <v>0</v>
      </c>
      <c r="BK316" s="114">
        <f t="shared" si="316"/>
        <v>0</v>
      </c>
      <c r="BL316" s="114">
        <f t="shared" si="326"/>
        <v>0</v>
      </c>
      <c r="BM316" s="114">
        <f t="shared" si="317"/>
        <v>0</v>
      </c>
    </row>
    <row r="317" spans="1:65" x14ac:dyDescent="0.25">
      <c r="A317" s="228">
        <f t="shared" si="305"/>
        <v>11</v>
      </c>
      <c r="C317" s="278"/>
      <c r="E317" s="103">
        <f>IF($C317="",0,
IF(AND($E$2="Monthly",$A317&gt;12),0,
IF($E$2="Monthly",VLOOKUP($C317,'Employee information'!$B:$AM,COLUMNS('Employee information'!$B:S),0),
IF($E$2="Fortnightly",VLOOKUP($C317,'Employee information'!$B:$AM,COLUMNS('Employee information'!$B:R),0),
0))))</f>
        <v>0</v>
      </c>
      <c r="F317" s="106"/>
      <c r="G317" s="106"/>
      <c r="H317" s="106"/>
      <c r="I317" s="106"/>
      <c r="J317" s="103">
        <f t="shared" si="318"/>
        <v>0</v>
      </c>
      <c r="L317" s="113">
        <f>IF(AND($E$2="Monthly",$A317&gt;12),"",
IFERROR($J317*VLOOKUP($C317,'Employee information'!$B:$AI,COLUMNS('Employee information'!$B:$P),0),0))</f>
        <v>0</v>
      </c>
      <c r="M317" s="114">
        <f t="shared" si="319"/>
        <v>0</v>
      </c>
      <c r="O317" s="103">
        <f t="shared" si="320"/>
        <v>0</v>
      </c>
      <c r="P317" s="113">
        <f>IFERROR(
IF(AND($E$2="Monthly",$A317&gt;12),0,
$O317*VLOOKUP($C317,'Employee information'!$B:$AI,COLUMNS('Employee information'!$B:$P),0)),
0)</f>
        <v>0</v>
      </c>
      <c r="R317" s="114">
        <f t="shared" si="306"/>
        <v>0</v>
      </c>
      <c r="T317" s="103"/>
      <c r="U317" s="103"/>
      <c r="V317" s="282" t="str">
        <f>IF($C317="","",
IF(AND($E$2="Monthly",$A317&gt;12),"",
$T317*VLOOKUP($C317,'Employee information'!$B:$P,COLUMNS('Employee information'!$B:$P),0)))</f>
        <v/>
      </c>
      <c r="W317" s="282" t="str">
        <f>IF($C317="","",
IF(AND($E$2="Monthly",$A317&gt;12),"",
$U317*VLOOKUP($C317,'Employee information'!$B:$P,COLUMNS('Employee information'!$B:$P),0)))</f>
        <v/>
      </c>
      <c r="X317" s="114">
        <f t="shared" si="307"/>
        <v>0</v>
      </c>
      <c r="Y317" s="114">
        <f t="shared" si="308"/>
        <v>0</v>
      </c>
      <c r="AA317" s="118">
        <f>IFERROR(
IF(OR('Basic payroll data'!$D$12="",'Basic payroll data'!$D$12="No"),0,
$T317*VLOOKUP($C317,'Employee information'!$B:$P,COLUMNS('Employee information'!$B:$P),0)*AL_loading_perc),
0)</f>
        <v>0</v>
      </c>
      <c r="AC317" s="118"/>
      <c r="AD317" s="118"/>
      <c r="AE317" s="283" t="str">
        <f t="shared" si="321"/>
        <v/>
      </c>
      <c r="AF317" s="283" t="str">
        <f t="shared" si="322"/>
        <v/>
      </c>
      <c r="AG317" s="118"/>
      <c r="AH317" s="118"/>
      <c r="AI317" s="283" t="str">
        <f t="shared" si="323"/>
        <v/>
      </c>
      <c r="AJ317" s="118"/>
      <c r="AK317" s="118"/>
      <c r="AM317" s="118">
        <f t="shared" si="324"/>
        <v>0</v>
      </c>
      <c r="AN317" s="118">
        <f t="shared" si="309"/>
        <v>0</v>
      </c>
      <c r="AO317" s="118" t="str">
        <f>IFERROR(
IF(VLOOKUP($C317,'Employee information'!$B:$M,COLUMNS('Employee information'!$B:$M),0)=1,
IF($E$2="Fortnightly",
ROUND(
ROUND((((TRUNC($AN317/2,0)+0.99))*VLOOKUP((TRUNC($AN317/2,0)+0.99),'Tax scales - NAT 1004'!$A$12:$C$18,2,1)-VLOOKUP((TRUNC($AN317/2,0)+0.99),'Tax scales - NAT 1004'!$A$12:$C$18,3,1)),0)
*2,
0),
IF(AND($E$2="Monthly",ROUND($AN317-TRUNC($AN317),2)=0.33),
ROUND(
ROUND(((TRUNC(($AN317+0.01)*3/13,0)+0.99)*VLOOKUP((TRUNC(($AN317+0.01)*3/13,0)+0.99),'Tax scales - NAT 1004'!$A$12:$C$18,2,1)-VLOOKUP((TRUNC(($AN317+0.01)*3/13,0)+0.99),'Tax scales - NAT 1004'!$A$12:$C$18,3,1)),0)
*13/3,
0),
IF($E$2="Monthly",
ROUND(
ROUND(((TRUNC($AN317*3/13,0)+0.99)*VLOOKUP((TRUNC($AN317*3/13,0)+0.99),'Tax scales - NAT 1004'!$A$12:$C$18,2,1)-VLOOKUP((TRUNC($AN317*3/13,0)+0.99),'Tax scales - NAT 1004'!$A$12:$C$18,3,1)),0)
*13/3,
0),
""))),
""),
"")</f>
        <v/>
      </c>
      <c r="AP317" s="118" t="str">
        <f>IFERROR(
IF(VLOOKUP($C317,'Employee information'!$B:$M,COLUMNS('Employee information'!$B:$M),0)=2,
IF($E$2="Fortnightly",
ROUND(
ROUND((((TRUNC($AN317/2,0)+0.99))*VLOOKUP((TRUNC($AN317/2,0)+0.99),'Tax scales - NAT 1004'!$A$25:$C$33,2,1)-VLOOKUP((TRUNC($AN317/2,0)+0.99),'Tax scales - NAT 1004'!$A$25:$C$33,3,1)),0)
*2,
0),
IF(AND($E$2="Monthly",ROUND($AN317-TRUNC($AN317),2)=0.33),
ROUND(
ROUND(((TRUNC(($AN317+0.01)*3/13,0)+0.99)*VLOOKUP((TRUNC(($AN317+0.01)*3/13,0)+0.99),'Tax scales - NAT 1004'!$A$25:$C$33,2,1)-VLOOKUP((TRUNC(($AN317+0.01)*3/13,0)+0.99),'Tax scales - NAT 1004'!$A$25:$C$33,3,1)),0)
*13/3,
0),
IF($E$2="Monthly",
ROUND(
ROUND(((TRUNC($AN317*3/13,0)+0.99)*VLOOKUP((TRUNC($AN317*3/13,0)+0.99),'Tax scales - NAT 1004'!$A$25:$C$33,2,1)-VLOOKUP((TRUNC($AN317*3/13,0)+0.99),'Tax scales - NAT 1004'!$A$25:$C$33,3,1)),0)
*13/3,
0),
""))),
""),
"")</f>
        <v/>
      </c>
      <c r="AQ317" s="118" t="str">
        <f>IFERROR(
IF(VLOOKUP($C317,'Employee information'!$B:$M,COLUMNS('Employee information'!$B:$M),0)=3,
IF($E$2="Fortnightly",
ROUND(
ROUND((((TRUNC($AN317/2,0)+0.99))*VLOOKUP((TRUNC($AN317/2,0)+0.99),'Tax scales - NAT 1004'!$A$39:$C$41,2,1)-VLOOKUP((TRUNC($AN317/2,0)+0.99),'Tax scales - NAT 1004'!$A$39:$C$41,3,1)),0)
*2,
0),
IF(AND($E$2="Monthly",ROUND($AN317-TRUNC($AN317),2)=0.33),
ROUND(
ROUND(((TRUNC(($AN317+0.01)*3/13,0)+0.99)*VLOOKUP((TRUNC(($AN317+0.01)*3/13,0)+0.99),'Tax scales - NAT 1004'!$A$39:$C$41,2,1)-VLOOKUP((TRUNC(($AN317+0.01)*3/13,0)+0.99),'Tax scales - NAT 1004'!$A$39:$C$41,3,1)),0)
*13/3,
0),
IF($E$2="Monthly",
ROUND(
ROUND(((TRUNC($AN317*3/13,0)+0.99)*VLOOKUP((TRUNC($AN317*3/13,0)+0.99),'Tax scales - NAT 1004'!$A$39:$C$41,2,1)-VLOOKUP((TRUNC($AN317*3/13,0)+0.99),'Tax scales - NAT 1004'!$A$39:$C$41,3,1)),0)
*13/3,
0),
""))),
""),
"")</f>
        <v/>
      </c>
      <c r="AR317" s="118" t="str">
        <f>IFERROR(
IF(AND(VLOOKUP($C317,'Employee information'!$B:$M,COLUMNS('Employee information'!$B:$M),0)=4,
VLOOKUP($C317,'Employee information'!$B:$J,COLUMNS('Employee information'!$B:$J),0)="Resident"),
TRUNC(TRUNC($AN317)*'Tax scales - NAT 1004'!$B$47),
IF(AND(VLOOKUP($C317,'Employee information'!$B:$M,COLUMNS('Employee information'!$B:$M),0)=4,
VLOOKUP($C317,'Employee information'!$B:$J,COLUMNS('Employee information'!$B:$J),0)="Foreign resident"),
TRUNC(TRUNC($AN317)*'Tax scales - NAT 1004'!$B$48),
"")),
"")</f>
        <v/>
      </c>
      <c r="AS317" s="118" t="str">
        <f>IFERROR(
IF(VLOOKUP($C317,'Employee information'!$B:$M,COLUMNS('Employee information'!$B:$M),0)=5,
IF($E$2="Fortnightly",
ROUND(
ROUND((((TRUNC($AN317/2,0)+0.99))*VLOOKUP((TRUNC($AN317/2,0)+0.99),'Tax scales - NAT 1004'!$A$53:$C$59,2,1)-VLOOKUP((TRUNC($AN317/2,0)+0.99),'Tax scales - NAT 1004'!$A$53:$C$59,3,1)),0)
*2,
0),
IF(AND($E$2="Monthly",ROUND($AN317-TRUNC($AN317),2)=0.33),
ROUND(
ROUND(((TRUNC(($AN317+0.01)*3/13,0)+0.99)*VLOOKUP((TRUNC(($AN317+0.01)*3/13,0)+0.99),'Tax scales - NAT 1004'!$A$53:$C$59,2,1)-VLOOKUP((TRUNC(($AN317+0.01)*3/13,0)+0.99),'Tax scales - NAT 1004'!$A$53:$C$59,3,1)),0)
*13/3,
0),
IF($E$2="Monthly",
ROUND(
ROUND(((TRUNC($AN317*3/13,0)+0.99)*VLOOKUP((TRUNC($AN317*3/13,0)+0.99),'Tax scales - NAT 1004'!$A$53:$C$59,2,1)-VLOOKUP((TRUNC($AN317*3/13,0)+0.99),'Tax scales - NAT 1004'!$A$53:$C$59,3,1)),0)
*13/3,
0),
""))),
""),
"")</f>
        <v/>
      </c>
      <c r="AT317" s="118" t="str">
        <f>IFERROR(
IF(VLOOKUP($C317,'Employee information'!$B:$M,COLUMNS('Employee information'!$B:$M),0)=6,
IF($E$2="Fortnightly",
ROUND(
ROUND((((TRUNC($AN317/2,0)+0.99))*VLOOKUP((TRUNC($AN317/2,0)+0.99),'Tax scales - NAT 1004'!$A$65:$C$73,2,1)-VLOOKUP((TRUNC($AN317/2,0)+0.99),'Tax scales - NAT 1004'!$A$65:$C$73,3,1)),0)
*2,
0),
IF(AND($E$2="Monthly",ROUND($AN317-TRUNC($AN317),2)=0.33),
ROUND(
ROUND(((TRUNC(($AN317+0.01)*3/13,0)+0.99)*VLOOKUP((TRUNC(($AN317+0.01)*3/13,0)+0.99),'Tax scales - NAT 1004'!$A$65:$C$73,2,1)-VLOOKUP((TRUNC(($AN317+0.01)*3/13,0)+0.99),'Tax scales - NAT 1004'!$A$65:$C$73,3,1)),0)
*13/3,
0),
IF($E$2="Monthly",
ROUND(
ROUND(((TRUNC($AN317*3/13,0)+0.99)*VLOOKUP((TRUNC($AN317*3/13,0)+0.99),'Tax scales - NAT 1004'!$A$65:$C$73,2,1)-VLOOKUP((TRUNC($AN317*3/13,0)+0.99),'Tax scales - NAT 1004'!$A$65:$C$73,3,1)),0)
*13/3,
0),
""))),
""),
"")</f>
        <v/>
      </c>
      <c r="AU317" s="118" t="str">
        <f>IFERROR(
IF(VLOOKUP($C317,'Employee information'!$B:$M,COLUMNS('Employee information'!$B:$M),0)=11,
IF($E$2="Fortnightly",
ROUND(
ROUND((((TRUNC($AN317/2,0)+0.99))*VLOOKUP((TRUNC($AN317/2,0)+0.99),'Tax scales - NAT 3539'!$A$14:$C$38,2,1)-VLOOKUP((TRUNC($AN317/2,0)+0.99),'Tax scales - NAT 3539'!$A$14:$C$38,3,1)),0)
*2,
0),
IF(AND($E$2="Monthly",ROUND($AN317-TRUNC($AN317),2)=0.33),
ROUND(
ROUND(((TRUNC(($AN317+0.01)*3/13,0)+0.99)*VLOOKUP((TRUNC(($AN317+0.01)*3/13,0)+0.99),'Tax scales - NAT 3539'!$A$14:$C$38,2,1)-VLOOKUP((TRUNC(($AN317+0.01)*3/13,0)+0.99),'Tax scales - NAT 3539'!$A$14:$C$38,3,1)),0)
*13/3,
0),
IF($E$2="Monthly",
ROUND(
ROUND(((TRUNC($AN317*3/13,0)+0.99)*VLOOKUP((TRUNC($AN317*3/13,0)+0.99),'Tax scales - NAT 3539'!$A$14:$C$38,2,1)-VLOOKUP((TRUNC($AN317*3/13,0)+0.99),'Tax scales - NAT 3539'!$A$14:$C$38,3,1)),0)
*13/3,
0),
""))),
""),
"")</f>
        <v/>
      </c>
      <c r="AV317" s="118" t="str">
        <f>IFERROR(
IF(VLOOKUP($C317,'Employee information'!$B:$M,COLUMNS('Employee information'!$B:$M),0)=22,
IF($E$2="Fortnightly",
ROUND(
ROUND((((TRUNC($AN317/2,0)+0.99))*VLOOKUP((TRUNC($AN317/2,0)+0.99),'Tax scales - NAT 3539'!$A$43:$C$69,2,1)-VLOOKUP((TRUNC($AN317/2,0)+0.99),'Tax scales - NAT 3539'!$A$43:$C$69,3,1)),0)
*2,
0),
IF(AND($E$2="Monthly",ROUND($AN317-TRUNC($AN317),2)=0.33),
ROUND(
ROUND(((TRUNC(($AN317+0.01)*3/13,0)+0.99)*VLOOKUP((TRUNC(($AN317+0.01)*3/13,0)+0.99),'Tax scales - NAT 3539'!$A$43:$C$69,2,1)-VLOOKUP((TRUNC(($AN317+0.01)*3/13,0)+0.99),'Tax scales - NAT 3539'!$A$43:$C$69,3,1)),0)
*13/3,
0),
IF($E$2="Monthly",
ROUND(
ROUND(((TRUNC($AN317*3/13,0)+0.99)*VLOOKUP((TRUNC($AN317*3/13,0)+0.99),'Tax scales - NAT 3539'!$A$43:$C$69,2,1)-VLOOKUP((TRUNC($AN317*3/13,0)+0.99),'Tax scales - NAT 3539'!$A$43:$C$69,3,1)),0)
*13/3,
0),
""))),
""),
"")</f>
        <v/>
      </c>
      <c r="AW317" s="118" t="str">
        <f>IFERROR(
IF(VLOOKUP($C317,'Employee information'!$B:$M,COLUMNS('Employee information'!$B:$M),0)=33,
IF($E$2="Fortnightly",
ROUND(
ROUND((((TRUNC($AN317/2,0)+0.99))*VLOOKUP((TRUNC($AN317/2,0)+0.99),'Tax scales - NAT 3539'!$A$74:$C$94,2,1)-VLOOKUP((TRUNC($AN317/2,0)+0.99),'Tax scales - NAT 3539'!$A$74:$C$94,3,1)),0)
*2,
0),
IF(AND($E$2="Monthly",ROUND($AN317-TRUNC($AN317),2)=0.33),
ROUND(
ROUND(((TRUNC(($AN317+0.01)*3/13,0)+0.99)*VLOOKUP((TRUNC(($AN317+0.01)*3/13,0)+0.99),'Tax scales - NAT 3539'!$A$74:$C$94,2,1)-VLOOKUP((TRUNC(($AN317+0.01)*3/13,0)+0.99),'Tax scales - NAT 3539'!$A$74:$C$94,3,1)),0)
*13/3,
0),
IF($E$2="Monthly",
ROUND(
ROUND(((TRUNC($AN317*3/13,0)+0.99)*VLOOKUP((TRUNC($AN317*3/13,0)+0.99),'Tax scales - NAT 3539'!$A$74:$C$94,2,1)-VLOOKUP((TRUNC($AN317*3/13,0)+0.99),'Tax scales - NAT 3539'!$A$74:$C$94,3,1)),0)
*13/3,
0),
""))),
""),
"")</f>
        <v/>
      </c>
      <c r="AX317" s="118" t="str">
        <f>IFERROR(
IF(VLOOKUP($C317,'Employee information'!$B:$M,COLUMNS('Employee information'!$B:$M),0)=55,
IF($E$2="Fortnightly",
ROUND(
ROUND((((TRUNC($AN317/2,0)+0.99))*VLOOKUP((TRUNC($AN317/2,0)+0.99),'Tax scales - NAT 3539'!$A$99:$C$123,2,1)-VLOOKUP((TRUNC($AN317/2,0)+0.99),'Tax scales - NAT 3539'!$A$99:$C$123,3,1)),0)
*2,
0),
IF(AND($E$2="Monthly",ROUND($AN317-TRUNC($AN317),2)=0.33),
ROUND(
ROUND(((TRUNC(($AN317+0.01)*3/13,0)+0.99)*VLOOKUP((TRUNC(($AN317+0.01)*3/13,0)+0.99),'Tax scales - NAT 3539'!$A$99:$C$123,2,1)-VLOOKUP((TRUNC(($AN317+0.01)*3/13,0)+0.99),'Tax scales - NAT 3539'!$A$99:$C$123,3,1)),0)
*13/3,
0),
IF($E$2="Monthly",
ROUND(
ROUND(((TRUNC($AN317*3/13,0)+0.99)*VLOOKUP((TRUNC($AN317*3/13,0)+0.99),'Tax scales - NAT 3539'!$A$99:$C$123,2,1)-VLOOKUP((TRUNC($AN317*3/13,0)+0.99),'Tax scales - NAT 3539'!$A$99:$C$123,3,1)),0)
*13/3,
0),
""))),
""),
"")</f>
        <v/>
      </c>
      <c r="AY317" s="118" t="str">
        <f>IFERROR(
IF(VLOOKUP($C317,'Employee information'!$B:$M,COLUMNS('Employee information'!$B:$M),0)=66,
IF($E$2="Fortnightly",
ROUND(
ROUND((((TRUNC($AN317/2,0)+0.99))*VLOOKUP((TRUNC($AN317/2,0)+0.99),'Tax scales - NAT 3539'!$A$127:$C$154,2,1)-VLOOKUP((TRUNC($AN317/2,0)+0.99),'Tax scales - NAT 3539'!$A$127:$C$154,3,1)),0)
*2,
0),
IF(AND($E$2="Monthly",ROUND($AN317-TRUNC($AN317),2)=0.33),
ROUND(
ROUND(((TRUNC(($AN317+0.01)*3/13,0)+0.99)*VLOOKUP((TRUNC(($AN317+0.01)*3/13,0)+0.99),'Tax scales - NAT 3539'!$A$127:$C$154,2,1)-VLOOKUP((TRUNC(($AN317+0.01)*3/13,0)+0.99),'Tax scales - NAT 3539'!$A$127:$C$154,3,1)),0)
*13/3,
0),
IF($E$2="Monthly",
ROUND(
ROUND(((TRUNC($AN317*3/13,0)+0.99)*VLOOKUP((TRUNC($AN317*3/13,0)+0.99),'Tax scales - NAT 3539'!$A$127:$C$154,2,1)-VLOOKUP((TRUNC($AN317*3/13,0)+0.99),'Tax scales - NAT 3539'!$A$127:$C$154,3,1)),0)
*13/3,
0),
""))),
""),
"")</f>
        <v/>
      </c>
      <c r="AZ317" s="118">
        <f>IFERROR(
HLOOKUP(VLOOKUP($C317,'Employee information'!$B:$M,COLUMNS('Employee information'!$B:$M),0),'PAYG worksheet'!$AO$300:$AY$319,COUNTA($C$301:$C317)+1,0),
0)</f>
        <v>0</v>
      </c>
      <c r="BA317" s="118"/>
      <c r="BB317" s="118">
        <f t="shared" si="325"/>
        <v>0</v>
      </c>
      <c r="BC317" s="119">
        <f>IFERROR(
IF(OR($AE317=1,$AE317=""),SUM($P317,$AA317,$AC317,$AK317)*VLOOKUP($C317,'Employee information'!$B:$Q,COLUMNS('Employee information'!$B:$H),0),
IF($AE317=0,SUM($P317,$AA317,$AK317)*VLOOKUP($C317,'Employee information'!$B:$Q,COLUMNS('Employee information'!$B:$H),0),
0)),
0)</f>
        <v>0</v>
      </c>
      <c r="BE317" s="114">
        <f t="shared" si="310"/>
        <v>0</v>
      </c>
      <c r="BF317" s="114">
        <f t="shared" si="311"/>
        <v>0</v>
      </c>
      <c r="BG317" s="114">
        <f t="shared" si="312"/>
        <v>0</v>
      </c>
      <c r="BH317" s="114">
        <f t="shared" si="313"/>
        <v>0</v>
      </c>
      <c r="BI317" s="114">
        <f t="shared" si="314"/>
        <v>0</v>
      </c>
      <c r="BJ317" s="114">
        <f t="shared" si="315"/>
        <v>0</v>
      </c>
      <c r="BK317" s="114">
        <f t="shared" si="316"/>
        <v>0</v>
      </c>
      <c r="BL317" s="114">
        <f t="shared" si="326"/>
        <v>0</v>
      </c>
      <c r="BM317" s="114">
        <f t="shared" si="317"/>
        <v>0</v>
      </c>
    </row>
    <row r="318" spans="1:65" x14ac:dyDescent="0.25">
      <c r="A318" s="228">
        <f t="shared" si="305"/>
        <v>11</v>
      </c>
      <c r="C318" s="278"/>
      <c r="E318" s="103">
        <f>IF($C318="",0,
IF(AND($E$2="Monthly",$A318&gt;12),0,
IF($E$2="Monthly",VLOOKUP($C318,'Employee information'!$B:$AM,COLUMNS('Employee information'!$B:S),0),
IF($E$2="Fortnightly",VLOOKUP($C318,'Employee information'!$B:$AM,COLUMNS('Employee information'!$B:R),0),
0))))</f>
        <v>0</v>
      </c>
      <c r="F318" s="106"/>
      <c r="G318" s="106"/>
      <c r="H318" s="106"/>
      <c r="I318" s="106"/>
      <c r="J318" s="103">
        <f t="shared" si="318"/>
        <v>0</v>
      </c>
      <c r="L318" s="113">
        <f>IF(AND($E$2="Monthly",$A318&gt;12),"",
IFERROR($J318*VLOOKUP($C318,'Employee information'!$B:$AI,COLUMNS('Employee information'!$B:$P),0),0))</f>
        <v>0</v>
      </c>
      <c r="M318" s="114">
        <f t="shared" si="319"/>
        <v>0</v>
      </c>
      <c r="O318" s="103">
        <f t="shared" si="320"/>
        <v>0</v>
      </c>
      <c r="P318" s="113">
        <f>IFERROR(
IF(AND($E$2="Monthly",$A318&gt;12),0,
$O318*VLOOKUP($C318,'Employee information'!$B:$AI,COLUMNS('Employee information'!$B:$P),0)),
0)</f>
        <v>0</v>
      </c>
      <c r="R318" s="114">
        <f t="shared" si="306"/>
        <v>0</v>
      </c>
      <c r="T318" s="103"/>
      <c r="U318" s="103"/>
      <c r="V318" s="282" t="str">
        <f>IF($C318="","",
IF(AND($E$2="Monthly",$A318&gt;12),"",
$T318*VLOOKUP($C318,'Employee information'!$B:$P,COLUMNS('Employee information'!$B:$P),0)))</f>
        <v/>
      </c>
      <c r="W318" s="282" t="str">
        <f>IF($C318="","",
IF(AND($E$2="Monthly",$A318&gt;12),"",
$U318*VLOOKUP($C318,'Employee information'!$B:$P,COLUMNS('Employee information'!$B:$P),0)))</f>
        <v/>
      </c>
      <c r="X318" s="114">
        <f t="shared" si="307"/>
        <v>0</v>
      </c>
      <c r="Y318" s="114">
        <f t="shared" si="308"/>
        <v>0</v>
      </c>
      <c r="AA318" s="118">
        <f>IFERROR(
IF(OR('Basic payroll data'!$D$12="",'Basic payroll data'!$D$12="No"),0,
$T318*VLOOKUP($C318,'Employee information'!$B:$P,COLUMNS('Employee information'!$B:$P),0)*AL_loading_perc),
0)</f>
        <v>0</v>
      </c>
      <c r="AC318" s="118"/>
      <c r="AD318" s="118"/>
      <c r="AE318" s="283" t="str">
        <f t="shared" si="321"/>
        <v/>
      </c>
      <c r="AF318" s="283" t="str">
        <f t="shared" si="322"/>
        <v/>
      </c>
      <c r="AG318" s="118"/>
      <c r="AH318" s="118"/>
      <c r="AI318" s="283" t="str">
        <f t="shared" si="323"/>
        <v/>
      </c>
      <c r="AJ318" s="118"/>
      <c r="AK318" s="118"/>
      <c r="AM318" s="118">
        <f t="shared" si="324"/>
        <v>0</v>
      </c>
      <c r="AN318" s="118">
        <f t="shared" si="309"/>
        <v>0</v>
      </c>
      <c r="AO318" s="118" t="str">
        <f>IFERROR(
IF(VLOOKUP($C318,'Employee information'!$B:$M,COLUMNS('Employee information'!$B:$M),0)=1,
IF($E$2="Fortnightly",
ROUND(
ROUND((((TRUNC($AN318/2,0)+0.99))*VLOOKUP((TRUNC($AN318/2,0)+0.99),'Tax scales - NAT 1004'!$A$12:$C$18,2,1)-VLOOKUP((TRUNC($AN318/2,0)+0.99),'Tax scales - NAT 1004'!$A$12:$C$18,3,1)),0)
*2,
0),
IF(AND($E$2="Monthly",ROUND($AN318-TRUNC($AN318),2)=0.33),
ROUND(
ROUND(((TRUNC(($AN318+0.01)*3/13,0)+0.99)*VLOOKUP((TRUNC(($AN318+0.01)*3/13,0)+0.99),'Tax scales - NAT 1004'!$A$12:$C$18,2,1)-VLOOKUP((TRUNC(($AN318+0.01)*3/13,0)+0.99),'Tax scales - NAT 1004'!$A$12:$C$18,3,1)),0)
*13/3,
0),
IF($E$2="Monthly",
ROUND(
ROUND(((TRUNC($AN318*3/13,0)+0.99)*VLOOKUP((TRUNC($AN318*3/13,0)+0.99),'Tax scales - NAT 1004'!$A$12:$C$18,2,1)-VLOOKUP((TRUNC($AN318*3/13,0)+0.99),'Tax scales - NAT 1004'!$A$12:$C$18,3,1)),0)
*13/3,
0),
""))),
""),
"")</f>
        <v/>
      </c>
      <c r="AP318" s="118" t="str">
        <f>IFERROR(
IF(VLOOKUP($C318,'Employee information'!$B:$M,COLUMNS('Employee information'!$B:$M),0)=2,
IF($E$2="Fortnightly",
ROUND(
ROUND((((TRUNC($AN318/2,0)+0.99))*VLOOKUP((TRUNC($AN318/2,0)+0.99),'Tax scales - NAT 1004'!$A$25:$C$33,2,1)-VLOOKUP((TRUNC($AN318/2,0)+0.99),'Tax scales - NAT 1004'!$A$25:$C$33,3,1)),0)
*2,
0),
IF(AND($E$2="Monthly",ROUND($AN318-TRUNC($AN318),2)=0.33),
ROUND(
ROUND(((TRUNC(($AN318+0.01)*3/13,0)+0.99)*VLOOKUP((TRUNC(($AN318+0.01)*3/13,0)+0.99),'Tax scales - NAT 1004'!$A$25:$C$33,2,1)-VLOOKUP((TRUNC(($AN318+0.01)*3/13,0)+0.99),'Tax scales - NAT 1004'!$A$25:$C$33,3,1)),0)
*13/3,
0),
IF($E$2="Monthly",
ROUND(
ROUND(((TRUNC($AN318*3/13,0)+0.99)*VLOOKUP((TRUNC($AN318*3/13,0)+0.99),'Tax scales - NAT 1004'!$A$25:$C$33,2,1)-VLOOKUP((TRUNC($AN318*3/13,0)+0.99),'Tax scales - NAT 1004'!$A$25:$C$33,3,1)),0)
*13/3,
0),
""))),
""),
"")</f>
        <v/>
      </c>
      <c r="AQ318" s="118" t="str">
        <f>IFERROR(
IF(VLOOKUP($C318,'Employee information'!$B:$M,COLUMNS('Employee information'!$B:$M),0)=3,
IF($E$2="Fortnightly",
ROUND(
ROUND((((TRUNC($AN318/2,0)+0.99))*VLOOKUP((TRUNC($AN318/2,0)+0.99),'Tax scales - NAT 1004'!$A$39:$C$41,2,1)-VLOOKUP((TRUNC($AN318/2,0)+0.99),'Tax scales - NAT 1004'!$A$39:$C$41,3,1)),0)
*2,
0),
IF(AND($E$2="Monthly",ROUND($AN318-TRUNC($AN318),2)=0.33),
ROUND(
ROUND(((TRUNC(($AN318+0.01)*3/13,0)+0.99)*VLOOKUP((TRUNC(($AN318+0.01)*3/13,0)+0.99),'Tax scales - NAT 1004'!$A$39:$C$41,2,1)-VLOOKUP((TRUNC(($AN318+0.01)*3/13,0)+0.99),'Tax scales - NAT 1004'!$A$39:$C$41,3,1)),0)
*13/3,
0),
IF($E$2="Monthly",
ROUND(
ROUND(((TRUNC($AN318*3/13,0)+0.99)*VLOOKUP((TRUNC($AN318*3/13,0)+0.99),'Tax scales - NAT 1004'!$A$39:$C$41,2,1)-VLOOKUP((TRUNC($AN318*3/13,0)+0.99),'Tax scales - NAT 1004'!$A$39:$C$41,3,1)),0)
*13/3,
0),
""))),
""),
"")</f>
        <v/>
      </c>
      <c r="AR318" s="118" t="str">
        <f>IFERROR(
IF(AND(VLOOKUP($C318,'Employee information'!$B:$M,COLUMNS('Employee information'!$B:$M),0)=4,
VLOOKUP($C318,'Employee information'!$B:$J,COLUMNS('Employee information'!$B:$J),0)="Resident"),
TRUNC(TRUNC($AN318)*'Tax scales - NAT 1004'!$B$47),
IF(AND(VLOOKUP($C318,'Employee information'!$B:$M,COLUMNS('Employee information'!$B:$M),0)=4,
VLOOKUP($C318,'Employee information'!$B:$J,COLUMNS('Employee information'!$B:$J),0)="Foreign resident"),
TRUNC(TRUNC($AN318)*'Tax scales - NAT 1004'!$B$48),
"")),
"")</f>
        <v/>
      </c>
      <c r="AS318" s="118" t="str">
        <f>IFERROR(
IF(VLOOKUP($C318,'Employee information'!$B:$M,COLUMNS('Employee information'!$B:$M),0)=5,
IF($E$2="Fortnightly",
ROUND(
ROUND((((TRUNC($AN318/2,0)+0.99))*VLOOKUP((TRUNC($AN318/2,0)+0.99),'Tax scales - NAT 1004'!$A$53:$C$59,2,1)-VLOOKUP((TRUNC($AN318/2,0)+0.99),'Tax scales - NAT 1004'!$A$53:$C$59,3,1)),0)
*2,
0),
IF(AND($E$2="Monthly",ROUND($AN318-TRUNC($AN318),2)=0.33),
ROUND(
ROUND(((TRUNC(($AN318+0.01)*3/13,0)+0.99)*VLOOKUP((TRUNC(($AN318+0.01)*3/13,0)+0.99),'Tax scales - NAT 1004'!$A$53:$C$59,2,1)-VLOOKUP((TRUNC(($AN318+0.01)*3/13,0)+0.99),'Tax scales - NAT 1004'!$A$53:$C$59,3,1)),0)
*13/3,
0),
IF($E$2="Monthly",
ROUND(
ROUND(((TRUNC($AN318*3/13,0)+0.99)*VLOOKUP((TRUNC($AN318*3/13,0)+0.99),'Tax scales - NAT 1004'!$A$53:$C$59,2,1)-VLOOKUP((TRUNC($AN318*3/13,0)+0.99),'Tax scales - NAT 1004'!$A$53:$C$59,3,1)),0)
*13/3,
0),
""))),
""),
"")</f>
        <v/>
      </c>
      <c r="AT318" s="118" t="str">
        <f>IFERROR(
IF(VLOOKUP($C318,'Employee information'!$B:$M,COLUMNS('Employee information'!$B:$M),0)=6,
IF($E$2="Fortnightly",
ROUND(
ROUND((((TRUNC($AN318/2,0)+0.99))*VLOOKUP((TRUNC($AN318/2,0)+0.99),'Tax scales - NAT 1004'!$A$65:$C$73,2,1)-VLOOKUP((TRUNC($AN318/2,0)+0.99),'Tax scales - NAT 1004'!$A$65:$C$73,3,1)),0)
*2,
0),
IF(AND($E$2="Monthly",ROUND($AN318-TRUNC($AN318),2)=0.33),
ROUND(
ROUND(((TRUNC(($AN318+0.01)*3/13,0)+0.99)*VLOOKUP((TRUNC(($AN318+0.01)*3/13,0)+0.99),'Tax scales - NAT 1004'!$A$65:$C$73,2,1)-VLOOKUP((TRUNC(($AN318+0.01)*3/13,0)+0.99),'Tax scales - NAT 1004'!$A$65:$C$73,3,1)),0)
*13/3,
0),
IF($E$2="Monthly",
ROUND(
ROUND(((TRUNC($AN318*3/13,0)+0.99)*VLOOKUP((TRUNC($AN318*3/13,0)+0.99),'Tax scales - NAT 1004'!$A$65:$C$73,2,1)-VLOOKUP((TRUNC($AN318*3/13,0)+0.99),'Tax scales - NAT 1004'!$A$65:$C$73,3,1)),0)
*13/3,
0),
""))),
""),
"")</f>
        <v/>
      </c>
      <c r="AU318" s="118" t="str">
        <f>IFERROR(
IF(VLOOKUP($C318,'Employee information'!$B:$M,COLUMNS('Employee information'!$B:$M),0)=11,
IF($E$2="Fortnightly",
ROUND(
ROUND((((TRUNC($AN318/2,0)+0.99))*VLOOKUP((TRUNC($AN318/2,0)+0.99),'Tax scales - NAT 3539'!$A$14:$C$38,2,1)-VLOOKUP((TRUNC($AN318/2,0)+0.99),'Tax scales - NAT 3539'!$A$14:$C$38,3,1)),0)
*2,
0),
IF(AND($E$2="Monthly",ROUND($AN318-TRUNC($AN318),2)=0.33),
ROUND(
ROUND(((TRUNC(($AN318+0.01)*3/13,0)+0.99)*VLOOKUP((TRUNC(($AN318+0.01)*3/13,0)+0.99),'Tax scales - NAT 3539'!$A$14:$C$38,2,1)-VLOOKUP((TRUNC(($AN318+0.01)*3/13,0)+0.99),'Tax scales - NAT 3539'!$A$14:$C$38,3,1)),0)
*13/3,
0),
IF($E$2="Monthly",
ROUND(
ROUND(((TRUNC($AN318*3/13,0)+0.99)*VLOOKUP((TRUNC($AN318*3/13,0)+0.99),'Tax scales - NAT 3539'!$A$14:$C$38,2,1)-VLOOKUP((TRUNC($AN318*3/13,0)+0.99),'Tax scales - NAT 3539'!$A$14:$C$38,3,1)),0)
*13/3,
0),
""))),
""),
"")</f>
        <v/>
      </c>
      <c r="AV318" s="118" t="str">
        <f>IFERROR(
IF(VLOOKUP($C318,'Employee information'!$B:$M,COLUMNS('Employee information'!$B:$M),0)=22,
IF($E$2="Fortnightly",
ROUND(
ROUND((((TRUNC($AN318/2,0)+0.99))*VLOOKUP((TRUNC($AN318/2,0)+0.99),'Tax scales - NAT 3539'!$A$43:$C$69,2,1)-VLOOKUP((TRUNC($AN318/2,0)+0.99),'Tax scales - NAT 3539'!$A$43:$C$69,3,1)),0)
*2,
0),
IF(AND($E$2="Monthly",ROUND($AN318-TRUNC($AN318),2)=0.33),
ROUND(
ROUND(((TRUNC(($AN318+0.01)*3/13,0)+0.99)*VLOOKUP((TRUNC(($AN318+0.01)*3/13,0)+0.99),'Tax scales - NAT 3539'!$A$43:$C$69,2,1)-VLOOKUP((TRUNC(($AN318+0.01)*3/13,0)+0.99),'Tax scales - NAT 3539'!$A$43:$C$69,3,1)),0)
*13/3,
0),
IF($E$2="Monthly",
ROUND(
ROUND(((TRUNC($AN318*3/13,0)+0.99)*VLOOKUP((TRUNC($AN318*3/13,0)+0.99),'Tax scales - NAT 3539'!$A$43:$C$69,2,1)-VLOOKUP((TRUNC($AN318*3/13,0)+0.99),'Tax scales - NAT 3539'!$A$43:$C$69,3,1)),0)
*13/3,
0),
""))),
""),
"")</f>
        <v/>
      </c>
      <c r="AW318" s="118" t="str">
        <f>IFERROR(
IF(VLOOKUP($C318,'Employee information'!$B:$M,COLUMNS('Employee information'!$B:$M),0)=33,
IF($E$2="Fortnightly",
ROUND(
ROUND((((TRUNC($AN318/2,0)+0.99))*VLOOKUP((TRUNC($AN318/2,0)+0.99),'Tax scales - NAT 3539'!$A$74:$C$94,2,1)-VLOOKUP((TRUNC($AN318/2,0)+0.99),'Tax scales - NAT 3539'!$A$74:$C$94,3,1)),0)
*2,
0),
IF(AND($E$2="Monthly",ROUND($AN318-TRUNC($AN318),2)=0.33),
ROUND(
ROUND(((TRUNC(($AN318+0.01)*3/13,0)+0.99)*VLOOKUP((TRUNC(($AN318+0.01)*3/13,0)+0.99),'Tax scales - NAT 3539'!$A$74:$C$94,2,1)-VLOOKUP((TRUNC(($AN318+0.01)*3/13,0)+0.99),'Tax scales - NAT 3539'!$A$74:$C$94,3,1)),0)
*13/3,
0),
IF($E$2="Monthly",
ROUND(
ROUND(((TRUNC($AN318*3/13,0)+0.99)*VLOOKUP((TRUNC($AN318*3/13,0)+0.99),'Tax scales - NAT 3539'!$A$74:$C$94,2,1)-VLOOKUP((TRUNC($AN318*3/13,0)+0.99),'Tax scales - NAT 3539'!$A$74:$C$94,3,1)),0)
*13/3,
0),
""))),
""),
"")</f>
        <v/>
      </c>
      <c r="AX318" s="118" t="str">
        <f>IFERROR(
IF(VLOOKUP($C318,'Employee information'!$B:$M,COLUMNS('Employee information'!$B:$M),0)=55,
IF($E$2="Fortnightly",
ROUND(
ROUND((((TRUNC($AN318/2,0)+0.99))*VLOOKUP((TRUNC($AN318/2,0)+0.99),'Tax scales - NAT 3539'!$A$99:$C$123,2,1)-VLOOKUP((TRUNC($AN318/2,0)+0.99),'Tax scales - NAT 3539'!$A$99:$C$123,3,1)),0)
*2,
0),
IF(AND($E$2="Monthly",ROUND($AN318-TRUNC($AN318),2)=0.33),
ROUND(
ROUND(((TRUNC(($AN318+0.01)*3/13,0)+0.99)*VLOOKUP((TRUNC(($AN318+0.01)*3/13,0)+0.99),'Tax scales - NAT 3539'!$A$99:$C$123,2,1)-VLOOKUP((TRUNC(($AN318+0.01)*3/13,0)+0.99),'Tax scales - NAT 3539'!$A$99:$C$123,3,1)),0)
*13/3,
0),
IF($E$2="Monthly",
ROUND(
ROUND(((TRUNC($AN318*3/13,0)+0.99)*VLOOKUP((TRUNC($AN318*3/13,0)+0.99),'Tax scales - NAT 3539'!$A$99:$C$123,2,1)-VLOOKUP((TRUNC($AN318*3/13,0)+0.99),'Tax scales - NAT 3539'!$A$99:$C$123,3,1)),0)
*13/3,
0),
""))),
""),
"")</f>
        <v/>
      </c>
      <c r="AY318" s="118" t="str">
        <f>IFERROR(
IF(VLOOKUP($C318,'Employee information'!$B:$M,COLUMNS('Employee information'!$B:$M),0)=66,
IF($E$2="Fortnightly",
ROUND(
ROUND((((TRUNC($AN318/2,0)+0.99))*VLOOKUP((TRUNC($AN318/2,0)+0.99),'Tax scales - NAT 3539'!$A$127:$C$154,2,1)-VLOOKUP((TRUNC($AN318/2,0)+0.99),'Tax scales - NAT 3539'!$A$127:$C$154,3,1)),0)
*2,
0),
IF(AND($E$2="Monthly",ROUND($AN318-TRUNC($AN318),2)=0.33),
ROUND(
ROUND(((TRUNC(($AN318+0.01)*3/13,0)+0.99)*VLOOKUP((TRUNC(($AN318+0.01)*3/13,0)+0.99),'Tax scales - NAT 3539'!$A$127:$C$154,2,1)-VLOOKUP((TRUNC(($AN318+0.01)*3/13,0)+0.99),'Tax scales - NAT 3539'!$A$127:$C$154,3,1)),0)
*13/3,
0),
IF($E$2="Monthly",
ROUND(
ROUND(((TRUNC($AN318*3/13,0)+0.99)*VLOOKUP((TRUNC($AN318*3/13,0)+0.99),'Tax scales - NAT 3539'!$A$127:$C$154,2,1)-VLOOKUP((TRUNC($AN318*3/13,0)+0.99),'Tax scales - NAT 3539'!$A$127:$C$154,3,1)),0)
*13/3,
0),
""))),
""),
"")</f>
        <v/>
      </c>
      <c r="AZ318" s="118">
        <f>IFERROR(
HLOOKUP(VLOOKUP($C318,'Employee information'!$B:$M,COLUMNS('Employee information'!$B:$M),0),'PAYG worksheet'!$AO$300:$AY$319,COUNTA($C$301:$C318)+1,0),
0)</f>
        <v>0</v>
      </c>
      <c r="BA318" s="118"/>
      <c r="BB318" s="118">
        <f t="shared" si="325"/>
        <v>0</v>
      </c>
      <c r="BC318" s="119">
        <f>IFERROR(
IF(OR($AE318=1,$AE318=""),SUM($P318,$AA318,$AC318,$AK318)*VLOOKUP($C318,'Employee information'!$B:$Q,COLUMNS('Employee information'!$B:$H),0),
IF($AE318=0,SUM($P318,$AA318,$AK318)*VLOOKUP($C318,'Employee information'!$B:$Q,COLUMNS('Employee information'!$B:$H),0),
0)),
0)</f>
        <v>0</v>
      </c>
      <c r="BE318" s="114">
        <f t="shared" si="310"/>
        <v>0</v>
      </c>
      <c r="BF318" s="114">
        <f t="shared" si="311"/>
        <v>0</v>
      </c>
      <c r="BG318" s="114">
        <f t="shared" si="312"/>
        <v>0</v>
      </c>
      <c r="BH318" s="114">
        <f t="shared" si="313"/>
        <v>0</v>
      </c>
      <c r="BI318" s="114">
        <f t="shared" si="314"/>
        <v>0</v>
      </c>
      <c r="BJ318" s="114">
        <f t="shared" si="315"/>
        <v>0</v>
      </c>
      <c r="BK318" s="114">
        <f t="shared" si="316"/>
        <v>0</v>
      </c>
      <c r="BL318" s="114">
        <f t="shared" si="326"/>
        <v>0</v>
      </c>
      <c r="BM318" s="114">
        <f t="shared" si="317"/>
        <v>0</v>
      </c>
    </row>
    <row r="319" spans="1:65" x14ac:dyDescent="0.25">
      <c r="A319" s="228">
        <f t="shared" si="305"/>
        <v>11</v>
      </c>
      <c r="C319" s="278"/>
      <c r="E319" s="103">
        <f>IF($C319="",0,
IF(AND($E$2="Monthly",$A319&gt;12),0,
IF($E$2="Monthly",VLOOKUP($C319,'Employee information'!$B:$AM,COLUMNS('Employee information'!$B:S),0),
IF($E$2="Fortnightly",VLOOKUP($C319,'Employee information'!$B:$AM,COLUMNS('Employee information'!$B:R),0),
0))))</f>
        <v>0</v>
      </c>
      <c r="F319" s="106"/>
      <c r="G319" s="106"/>
      <c r="H319" s="106"/>
      <c r="I319" s="106"/>
      <c r="J319" s="103">
        <f t="shared" si="318"/>
        <v>0</v>
      </c>
      <c r="L319" s="113">
        <f>IF(AND($E$2="Monthly",$A319&gt;12),"",
IFERROR($J319*VLOOKUP($C319,'Employee information'!$B:$AI,COLUMNS('Employee information'!$B:$P),0),0))</f>
        <v>0</v>
      </c>
      <c r="M319" s="114">
        <f t="shared" si="319"/>
        <v>0</v>
      </c>
      <c r="O319" s="103">
        <f t="shared" si="320"/>
        <v>0</v>
      </c>
      <c r="P319" s="113">
        <f>IFERROR(
IF(AND($E$2="Monthly",$A319&gt;12),0,
$O319*VLOOKUP($C319,'Employee information'!$B:$AI,COLUMNS('Employee information'!$B:$P),0)),
0)</f>
        <v>0</v>
      </c>
      <c r="R319" s="114">
        <f t="shared" si="306"/>
        <v>0</v>
      </c>
      <c r="T319" s="103"/>
      <c r="U319" s="103"/>
      <c r="V319" s="282" t="str">
        <f>IF($C319="","",
IF(AND($E$2="Monthly",$A319&gt;12),"",
$T319*VLOOKUP($C319,'Employee information'!$B:$P,COLUMNS('Employee information'!$B:$P),0)))</f>
        <v/>
      </c>
      <c r="W319" s="282" t="str">
        <f>IF($C319="","",
IF(AND($E$2="Monthly",$A319&gt;12),"",
$U319*VLOOKUP($C319,'Employee information'!$B:$P,COLUMNS('Employee information'!$B:$P),0)))</f>
        <v/>
      </c>
      <c r="X319" s="114">
        <f t="shared" si="307"/>
        <v>0</v>
      </c>
      <c r="Y319" s="114">
        <f t="shared" si="308"/>
        <v>0</v>
      </c>
      <c r="AA319" s="118">
        <f>IFERROR(
IF(OR('Basic payroll data'!$D$12="",'Basic payroll data'!$D$12="No"),0,
$T319*VLOOKUP($C319,'Employee information'!$B:$P,COLUMNS('Employee information'!$B:$P),0)*AL_loading_perc),
0)</f>
        <v>0</v>
      </c>
      <c r="AC319" s="118"/>
      <c r="AD319" s="118"/>
      <c r="AE319" s="283" t="str">
        <f t="shared" si="321"/>
        <v/>
      </c>
      <c r="AF319" s="283" t="str">
        <f t="shared" si="322"/>
        <v/>
      </c>
      <c r="AG319" s="118"/>
      <c r="AH319" s="118"/>
      <c r="AI319" s="283" t="str">
        <f t="shared" si="323"/>
        <v/>
      </c>
      <c r="AJ319" s="118"/>
      <c r="AK319" s="118"/>
      <c r="AM319" s="118">
        <f t="shared" si="324"/>
        <v>0</v>
      </c>
      <c r="AN319" s="118">
        <f t="shared" si="309"/>
        <v>0</v>
      </c>
      <c r="AO319" s="118" t="str">
        <f>IFERROR(
IF(VLOOKUP($C319,'Employee information'!$B:$M,COLUMNS('Employee information'!$B:$M),0)=1,
IF($E$2="Fortnightly",
ROUND(
ROUND((((TRUNC($AN319/2,0)+0.99))*VLOOKUP((TRUNC($AN319/2,0)+0.99),'Tax scales - NAT 1004'!$A$12:$C$18,2,1)-VLOOKUP((TRUNC($AN319/2,0)+0.99),'Tax scales - NAT 1004'!$A$12:$C$18,3,1)),0)
*2,
0),
IF(AND($E$2="Monthly",ROUND($AN319-TRUNC($AN319),2)=0.33),
ROUND(
ROUND(((TRUNC(($AN319+0.01)*3/13,0)+0.99)*VLOOKUP((TRUNC(($AN319+0.01)*3/13,0)+0.99),'Tax scales - NAT 1004'!$A$12:$C$18,2,1)-VLOOKUP((TRUNC(($AN319+0.01)*3/13,0)+0.99),'Tax scales - NAT 1004'!$A$12:$C$18,3,1)),0)
*13/3,
0),
IF($E$2="Monthly",
ROUND(
ROUND(((TRUNC($AN319*3/13,0)+0.99)*VLOOKUP((TRUNC($AN319*3/13,0)+0.99),'Tax scales - NAT 1004'!$A$12:$C$18,2,1)-VLOOKUP((TRUNC($AN319*3/13,0)+0.99),'Tax scales - NAT 1004'!$A$12:$C$18,3,1)),0)
*13/3,
0),
""))),
""),
"")</f>
        <v/>
      </c>
      <c r="AP319" s="118" t="str">
        <f>IFERROR(
IF(VLOOKUP($C319,'Employee information'!$B:$M,COLUMNS('Employee information'!$B:$M),0)=2,
IF($E$2="Fortnightly",
ROUND(
ROUND((((TRUNC($AN319/2,0)+0.99))*VLOOKUP((TRUNC($AN319/2,0)+0.99),'Tax scales - NAT 1004'!$A$25:$C$33,2,1)-VLOOKUP((TRUNC($AN319/2,0)+0.99),'Tax scales - NAT 1004'!$A$25:$C$33,3,1)),0)
*2,
0),
IF(AND($E$2="Monthly",ROUND($AN319-TRUNC($AN319),2)=0.33),
ROUND(
ROUND(((TRUNC(($AN319+0.01)*3/13,0)+0.99)*VLOOKUP((TRUNC(($AN319+0.01)*3/13,0)+0.99),'Tax scales - NAT 1004'!$A$25:$C$33,2,1)-VLOOKUP((TRUNC(($AN319+0.01)*3/13,0)+0.99),'Tax scales - NAT 1004'!$A$25:$C$33,3,1)),0)
*13/3,
0),
IF($E$2="Monthly",
ROUND(
ROUND(((TRUNC($AN319*3/13,0)+0.99)*VLOOKUP((TRUNC($AN319*3/13,0)+0.99),'Tax scales - NAT 1004'!$A$25:$C$33,2,1)-VLOOKUP((TRUNC($AN319*3/13,0)+0.99),'Tax scales - NAT 1004'!$A$25:$C$33,3,1)),0)
*13/3,
0),
""))),
""),
"")</f>
        <v/>
      </c>
      <c r="AQ319" s="118" t="str">
        <f>IFERROR(
IF(VLOOKUP($C319,'Employee information'!$B:$M,COLUMNS('Employee information'!$B:$M),0)=3,
IF($E$2="Fortnightly",
ROUND(
ROUND((((TRUNC($AN319/2,0)+0.99))*VLOOKUP((TRUNC($AN319/2,0)+0.99),'Tax scales - NAT 1004'!$A$39:$C$41,2,1)-VLOOKUP((TRUNC($AN319/2,0)+0.99),'Tax scales - NAT 1004'!$A$39:$C$41,3,1)),0)
*2,
0),
IF(AND($E$2="Monthly",ROUND($AN319-TRUNC($AN319),2)=0.33),
ROUND(
ROUND(((TRUNC(($AN319+0.01)*3/13,0)+0.99)*VLOOKUP((TRUNC(($AN319+0.01)*3/13,0)+0.99),'Tax scales - NAT 1004'!$A$39:$C$41,2,1)-VLOOKUP((TRUNC(($AN319+0.01)*3/13,0)+0.99),'Tax scales - NAT 1004'!$A$39:$C$41,3,1)),0)
*13/3,
0),
IF($E$2="Monthly",
ROUND(
ROUND(((TRUNC($AN319*3/13,0)+0.99)*VLOOKUP((TRUNC($AN319*3/13,0)+0.99),'Tax scales - NAT 1004'!$A$39:$C$41,2,1)-VLOOKUP((TRUNC($AN319*3/13,0)+0.99),'Tax scales - NAT 1004'!$A$39:$C$41,3,1)),0)
*13/3,
0),
""))),
""),
"")</f>
        <v/>
      </c>
      <c r="AR319" s="118" t="str">
        <f>IFERROR(
IF(AND(VLOOKUP($C319,'Employee information'!$B:$M,COLUMNS('Employee information'!$B:$M),0)=4,
VLOOKUP($C319,'Employee information'!$B:$J,COLUMNS('Employee information'!$B:$J),0)="Resident"),
TRUNC(TRUNC($AN319)*'Tax scales - NAT 1004'!$B$47),
IF(AND(VLOOKUP($C319,'Employee information'!$B:$M,COLUMNS('Employee information'!$B:$M),0)=4,
VLOOKUP($C319,'Employee information'!$B:$J,COLUMNS('Employee information'!$B:$J),0)="Foreign resident"),
TRUNC(TRUNC($AN319)*'Tax scales - NAT 1004'!$B$48),
"")),
"")</f>
        <v/>
      </c>
      <c r="AS319" s="118" t="str">
        <f>IFERROR(
IF(VLOOKUP($C319,'Employee information'!$B:$M,COLUMNS('Employee information'!$B:$M),0)=5,
IF($E$2="Fortnightly",
ROUND(
ROUND((((TRUNC($AN319/2,0)+0.99))*VLOOKUP((TRUNC($AN319/2,0)+0.99),'Tax scales - NAT 1004'!$A$53:$C$59,2,1)-VLOOKUP((TRUNC($AN319/2,0)+0.99),'Tax scales - NAT 1004'!$A$53:$C$59,3,1)),0)
*2,
0),
IF(AND($E$2="Monthly",ROUND($AN319-TRUNC($AN319),2)=0.33),
ROUND(
ROUND(((TRUNC(($AN319+0.01)*3/13,0)+0.99)*VLOOKUP((TRUNC(($AN319+0.01)*3/13,0)+0.99),'Tax scales - NAT 1004'!$A$53:$C$59,2,1)-VLOOKUP((TRUNC(($AN319+0.01)*3/13,0)+0.99),'Tax scales - NAT 1004'!$A$53:$C$59,3,1)),0)
*13/3,
0),
IF($E$2="Monthly",
ROUND(
ROUND(((TRUNC($AN319*3/13,0)+0.99)*VLOOKUP((TRUNC($AN319*3/13,0)+0.99),'Tax scales - NAT 1004'!$A$53:$C$59,2,1)-VLOOKUP((TRUNC($AN319*3/13,0)+0.99),'Tax scales - NAT 1004'!$A$53:$C$59,3,1)),0)
*13/3,
0),
""))),
""),
"")</f>
        <v/>
      </c>
      <c r="AT319" s="118" t="str">
        <f>IFERROR(
IF(VLOOKUP($C319,'Employee information'!$B:$M,COLUMNS('Employee information'!$B:$M),0)=6,
IF($E$2="Fortnightly",
ROUND(
ROUND((((TRUNC($AN319/2,0)+0.99))*VLOOKUP((TRUNC($AN319/2,0)+0.99),'Tax scales - NAT 1004'!$A$65:$C$73,2,1)-VLOOKUP((TRUNC($AN319/2,0)+0.99),'Tax scales - NAT 1004'!$A$65:$C$73,3,1)),0)
*2,
0),
IF(AND($E$2="Monthly",ROUND($AN319-TRUNC($AN319),2)=0.33),
ROUND(
ROUND(((TRUNC(($AN319+0.01)*3/13,0)+0.99)*VLOOKUP((TRUNC(($AN319+0.01)*3/13,0)+0.99),'Tax scales - NAT 1004'!$A$65:$C$73,2,1)-VLOOKUP((TRUNC(($AN319+0.01)*3/13,0)+0.99),'Tax scales - NAT 1004'!$A$65:$C$73,3,1)),0)
*13/3,
0),
IF($E$2="Monthly",
ROUND(
ROUND(((TRUNC($AN319*3/13,0)+0.99)*VLOOKUP((TRUNC($AN319*3/13,0)+0.99),'Tax scales - NAT 1004'!$A$65:$C$73,2,1)-VLOOKUP((TRUNC($AN319*3/13,0)+0.99),'Tax scales - NAT 1004'!$A$65:$C$73,3,1)),0)
*13/3,
0),
""))),
""),
"")</f>
        <v/>
      </c>
      <c r="AU319" s="118" t="str">
        <f>IFERROR(
IF(VLOOKUP($C319,'Employee information'!$B:$M,COLUMNS('Employee information'!$B:$M),0)=11,
IF($E$2="Fortnightly",
ROUND(
ROUND((((TRUNC($AN319/2,0)+0.99))*VLOOKUP((TRUNC($AN319/2,0)+0.99),'Tax scales - NAT 3539'!$A$14:$C$38,2,1)-VLOOKUP((TRUNC($AN319/2,0)+0.99),'Tax scales - NAT 3539'!$A$14:$C$38,3,1)),0)
*2,
0),
IF(AND($E$2="Monthly",ROUND($AN319-TRUNC($AN319),2)=0.33),
ROUND(
ROUND(((TRUNC(($AN319+0.01)*3/13,0)+0.99)*VLOOKUP((TRUNC(($AN319+0.01)*3/13,0)+0.99),'Tax scales - NAT 3539'!$A$14:$C$38,2,1)-VLOOKUP((TRUNC(($AN319+0.01)*3/13,0)+0.99),'Tax scales - NAT 3539'!$A$14:$C$38,3,1)),0)
*13/3,
0),
IF($E$2="Monthly",
ROUND(
ROUND(((TRUNC($AN319*3/13,0)+0.99)*VLOOKUP((TRUNC($AN319*3/13,0)+0.99),'Tax scales - NAT 3539'!$A$14:$C$38,2,1)-VLOOKUP((TRUNC($AN319*3/13,0)+0.99),'Tax scales - NAT 3539'!$A$14:$C$38,3,1)),0)
*13/3,
0),
""))),
""),
"")</f>
        <v/>
      </c>
      <c r="AV319" s="118" t="str">
        <f>IFERROR(
IF(VLOOKUP($C319,'Employee information'!$B:$M,COLUMNS('Employee information'!$B:$M),0)=22,
IF($E$2="Fortnightly",
ROUND(
ROUND((((TRUNC($AN319/2,0)+0.99))*VLOOKUP((TRUNC($AN319/2,0)+0.99),'Tax scales - NAT 3539'!$A$43:$C$69,2,1)-VLOOKUP((TRUNC($AN319/2,0)+0.99),'Tax scales - NAT 3539'!$A$43:$C$69,3,1)),0)
*2,
0),
IF(AND($E$2="Monthly",ROUND($AN319-TRUNC($AN319),2)=0.33),
ROUND(
ROUND(((TRUNC(($AN319+0.01)*3/13,0)+0.99)*VLOOKUP((TRUNC(($AN319+0.01)*3/13,0)+0.99),'Tax scales - NAT 3539'!$A$43:$C$69,2,1)-VLOOKUP((TRUNC(($AN319+0.01)*3/13,0)+0.99),'Tax scales - NAT 3539'!$A$43:$C$69,3,1)),0)
*13/3,
0),
IF($E$2="Monthly",
ROUND(
ROUND(((TRUNC($AN319*3/13,0)+0.99)*VLOOKUP((TRUNC($AN319*3/13,0)+0.99),'Tax scales - NAT 3539'!$A$43:$C$69,2,1)-VLOOKUP((TRUNC($AN319*3/13,0)+0.99),'Tax scales - NAT 3539'!$A$43:$C$69,3,1)),0)
*13/3,
0),
""))),
""),
"")</f>
        <v/>
      </c>
      <c r="AW319" s="118" t="str">
        <f>IFERROR(
IF(VLOOKUP($C319,'Employee information'!$B:$M,COLUMNS('Employee information'!$B:$M),0)=33,
IF($E$2="Fortnightly",
ROUND(
ROUND((((TRUNC($AN319/2,0)+0.99))*VLOOKUP((TRUNC($AN319/2,0)+0.99),'Tax scales - NAT 3539'!$A$74:$C$94,2,1)-VLOOKUP((TRUNC($AN319/2,0)+0.99),'Tax scales - NAT 3539'!$A$74:$C$94,3,1)),0)
*2,
0),
IF(AND($E$2="Monthly",ROUND($AN319-TRUNC($AN319),2)=0.33),
ROUND(
ROUND(((TRUNC(($AN319+0.01)*3/13,0)+0.99)*VLOOKUP((TRUNC(($AN319+0.01)*3/13,0)+0.99),'Tax scales - NAT 3539'!$A$74:$C$94,2,1)-VLOOKUP((TRUNC(($AN319+0.01)*3/13,0)+0.99),'Tax scales - NAT 3539'!$A$74:$C$94,3,1)),0)
*13/3,
0),
IF($E$2="Monthly",
ROUND(
ROUND(((TRUNC($AN319*3/13,0)+0.99)*VLOOKUP((TRUNC($AN319*3/13,0)+0.99),'Tax scales - NAT 3539'!$A$74:$C$94,2,1)-VLOOKUP((TRUNC($AN319*3/13,0)+0.99),'Tax scales - NAT 3539'!$A$74:$C$94,3,1)),0)
*13/3,
0),
""))),
""),
"")</f>
        <v/>
      </c>
      <c r="AX319" s="118" t="str">
        <f>IFERROR(
IF(VLOOKUP($C319,'Employee information'!$B:$M,COLUMNS('Employee information'!$B:$M),0)=55,
IF($E$2="Fortnightly",
ROUND(
ROUND((((TRUNC($AN319/2,0)+0.99))*VLOOKUP((TRUNC($AN319/2,0)+0.99),'Tax scales - NAT 3539'!$A$99:$C$123,2,1)-VLOOKUP((TRUNC($AN319/2,0)+0.99),'Tax scales - NAT 3539'!$A$99:$C$123,3,1)),0)
*2,
0),
IF(AND($E$2="Monthly",ROUND($AN319-TRUNC($AN319),2)=0.33),
ROUND(
ROUND(((TRUNC(($AN319+0.01)*3/13,0)+0.99)*VLOOKUP((TRUNC(($AN319+0.01)*3/13,0)+0.99),'Tax scales - NAT 3539'!$A$99:$C$123,2,1)-VLOOKUP((TRUNC(($AN319+0.01)*3/13,0)+0.99),'Tax scales - NAT 3539'!$A$99:$C$123,3,1)),0)
*13/3,
0),
IF($E$2="Monthly",
ROUND(
ROUND(((TRUNC($AN319*3/13,0)+0.99)*VLOOKUP((TRUNC($AN319*3/13,0)+0.99),'Tax scales - NAT 3539'!$A$99:$C$123,2,1)-VLOOKUP((TRUNC($AN319*3/13,0)+0.99),'Tax scales - NAT 3539'!$A$99:$C$123,3,1)),0)
*13/3,
0),
""))),
""),
"")</f>
        <v/>
      </c>
      <c r="AY319" s="118" t="str">
        <f>IFERROR(
IF(VLOOKUP($C319,'Employee information'!$B:$M,COLUMNS('Employee information'!$B:$M),0)=66,
IF($E$2="Fortnightly",
ROUND(
ROUND((((TRUNC($AN319/2,0)+0.99))*VLOOKUP((TRUNC($AN319/2,0)+0.99),'Tax scales - NAT 3539'!$A$127:$C$154,2,1)-VLOOKUP((TRUNC($AN319/2,0)+0.99),'Tax scales - NAT 3539'!$A$127:$C$154,3,1)),0)
*2,
0),
IF(AND($E$2="Monthly",ROUND($AN319-TRUNC($AN319),2)=0.33),
ROUND(
ROUND(((TRUNC(($AN319+0.01)*3/13,0)+0.99)*VLOOKUP((TRUNC(($AN319+0.01)*3/13,0)+0.99),'Tax scales - NAT 3539'!$A$127:$C$154,2,1)-VLOOKUP((TRUNC(($AN319+0.01)*3/13,0)+0.99),'Tax scales - NAT 3539'!$A$127:$C$154,3,1)),0)
*13/3,
0),
IF($E$2="Monthly",
ROUND(
ROUND(((TRUNC($AN319*3/13,0)+0.99)*VLOOKUP((TRUNC($AN319*3/13,0)+0.99),'Tax scales - NAT 3539'!$A$127:$C$154,2,1)-VLOOKUP((TRUNC($AN319*3/13,0)+0.99),'Tax scales - NAT 3539'!$A$127:$C$154,3,1)),0)
*13/3,
0),
""))),
""),
"")</f>
        <v/>
      </c>
      <c r="AZ319" s="118">
        <f>IFERROR(
HLOOKUP(VLOOKUP($C319,'Employee information'!$B:$M,COLUMNS('Employee information'!$B:$M),0),'PAYG worksheet'!$AO$300:$AY$319,COUNTA($C$301:$C319)+1,0),
0)</f>
        <v>0</v>
      </c>
      <c r="BA319" s="118"/>
      <c r="BB319" s="118">
        <f t="shared" si="325"/>
        <v>0</v>
      </c>
      <c r="BC319" s="119">
        <f>IFERROR(
IF(OR($AE319=1,$AE319=""),SUM($P319,$AA319,$AC319,$AK319)*VLOOKUP($C319,'Employee information'!$B:$Q,COLUMNS('Employee information'!$B:$H),0),
IF($AE319=0,SUM($P319,$AA319,$AK319)*VLOOKUP($C319,'Employee information'!$B:$Q,COLUMNS('Employee information'!$B:$H),0),
0)),
0)</f>
        <v>0</v>
      </c>
      <c r="BE319" s="114">
        <f t="shared" si="310"/>
        <v>0</v>
      </c>
      <c r="BF319" s="114">
        <f t="shared" si="311"/>
        <v>0</v>
      </c>
      <c r="BG319" s="114">
        <f t="shared" si="312"/>
        <v>0</v>
      </c>
      <c r="BH319" s="114">
        <f t="shared" si="313"/>
        <v>0</v>
      </c>
      <c r="BI319" s="114">
        <f t="shared" si="314"/>
        <v>0</v>
      </c>
      <c r="BJ319" s="114">
        <f t="shared" si="315"/>
        <v>0</v>
      </c>
      <c r="BK319" s="114">
        <f t="shared" si="316"/>
        <v>0</v>
      </c>
      <c r="BL319" s="114">
        <f t="shared" si="326"/>
        <v>0</v>
      </c>
      <c r="BM319" s="114">
        <f t="shared" si="317"/>
        <v>0</v>
      </c>
    </row>
    <row r="320" spans="1:65" x14ac:dyDescent="0.25">
      <c r="C320" s="284" t="s">
        <v>39</v>
      </c>
      <c r="D320" s="223"/>
      <c r="E320" s="111">
        <f>SUM(E301:E319)</f>
        <v>345</v>
      </c>
      <c r="F320" s="112">
        <f t="shared" ref="F320:H320" si="327">SUM(F301:F319)</f>
        <v>0</v>
      </c>
      <c r="G320" s="112">
        <f t="shared" si="327"/>
        <v>0</v>
      </c>
      <c r="H320" s="112">
        <f t="shared" si="327"/>
        <v>0</v>
      </c>
      <c r="I320" s="112"/>
      <c r="J320" s="111">
        <f t="shared" ref="J320" si="328">SUM(J301:J319)</f>
        <v>345</v>
      </c>
      <c r="K320" s="223"/>
      <c r="L320" s="115">
        <f>SUM(L301:L319)</f>
        <v>19122.576396206536</v>
      </c>
      <c r="M320" s="115">
        <f>SUM(M301:M319)</f>
        <v>212863.72497365647</v>
      </c>
      <c r="N320" s="223"/>
      <c r="O320" s="116">
        <f>SUM(O301:O319)</f>
        <v>345</v>
      </c>
      <c r="P320" s="117">
        <f>SUM(P301:P319)</f>
        <v>19122.576396206536</v>
      </c>
      <c r="R320" s="117">
        <f>SUM(R301:R319)</f>
        <v>212863.72497365647</v>
      </c>
      <c r="S320" s="223"/>
      <c r="T320" s="116">
        <f>SUM(T301:T319)</f>
        <v>0</v>
      </c>
      <c r="U320" s="116">
        <f t="shared" ref="U320:Y320" si="329">SUM(U301:U319)</f>
        <v>0</v>
      </c>
      <c r="V320" s="285">
        <f t="shared" si="329"/>
        <v>0</v>
      </c>
      <c r="W320" s="285">
        <f t="shared" si="329"/>
        <v>0</v>
      </c>
      <c r="X320" s="285">
        <f t="shared" si="329"/>
        <v>1538.4615384615386</v>
      </c>
      <c r="Y320" s="285">
        <f t="shared" si="329"/>
        <v>801.28205128205127</v>
      </c>
      <c r="Z320" s="223"/>
      <c r="AA320" s="117">
        <f t="shared" ref="AA320" si="330">SUM(AA301:AA319)</f>
        <v>0</v>
      </c>
      <c r="AC320" s="117">
        <f t="shared" ref="AC320" si="331">SUM(AC301:AC319)</f>
        <v>0</v>
      </c>
      <c r="AD320" s="117"/>
      <c r="AE320" s="117"/>
      <c r="AF320" s="117"/>
      <c r="AG320" s="117">
        <f t="shared" ref="AG320" si="332">SUM(AG301:AG319)</f>
        <v>0</v>
      </c>
      <c r="AH320" s="117"/>
      <c r="AI320" s="117"/>
      <c r="AJ320" s="117">
        <f>SUM(AJ301:AJ319)</f>
        <v>0</v>
      </c>
      <c r="AK320" s="117">
        <f>SUM(AK301:AK319)</f>
        <v>0</v>
      </c>
      <c r="AM320" s="117">
        <f t="shared" ref="AM320:AN320" si="333">SUM(AM301:AM319)</f>
        <v>19122.576396206536</v>
      </c>
      <c r="AN320" s="117">
        <f t="shared" si="333"/>
        <v>19122.576396206536</v>
      </c>
      <c r="AO320" s="117"/>
      <c r="AP320" s="117"/>
      <c r="AQ320" s="117"/>
      <c r="AR320" s="117"/>
      <c r="AS320" s="117"/>
      <c r="AT320" s="117"/>
      <c r="AU320" s="117"/>
      <c r="AV320" s="117"/>
      <c r="AW320" s="117"/>
      <c r="AX320" s="117"/>
      <c r="AY320" s="117"/>
      <c r="AZ320" s="117">
        <f>SUM(AZ301:AZ319)</f>
        <v>7481</v>
      </c>
      <c r="BA320" s="117">
        <f>SUM(BA301:BA319)</f>
        <v>0</v>
      </c>
      <c r="BB320" s="117">
        <f>SUM(BB301:BB319)</f>
        <v>11641.576396206534</v>
      </c>
      <c r="BC320" s="117">
        <f t="shared" ref="BC320" si="334">SUM(BC301:BC319)</f>
        <v>1816.6447576396208</v>
      </c>
      <c r="BD320" s="136"/>
      <c r="BE320" s="117">
        <f t="shared" ref="BE320:BM320" si="335">SUM(BE301:BE319)</f>
        <v>213103.72497365647</v>
      </c>
      <c r="BF320" s="117">
        <f t="shared" si="335"/>
        <v>212963.72497365647</v>
      </c>
      <c r="BG320" s="117">
        <f t="shared" si="335"/>
        <v>0</v>
      </c>
      <c r="BH320" s="117">
        <f t="shared" si="335"/>
        <v>140</v>
      </c>
      <c r="BI320" s="117">
        <f t="shared" si="335"/>
        <v>83105</v>
      </c>
      <c r="BJ320" s="117">
        <f t="shared" si="335"/>
        <v>0</v>
      </c>
      <c r="BK320" s="117">
        <f t="shared" si="335"/>
        <v>0</v>
      </c>
      <c r="BL320" s="117">
        <f t="shared" si="335"/>
        <v>100</v>
      </c>
      <c r="BM320" s="117">
        <f t="shared" si="335"/>
        <v>20231.553872497367</v>
      </c>
    </row>
    <row r="321" spans="1:65" x14ac:dyDescent="0.25">
      <c r="L321" s="161"/>
      <c r="M321" s="161"/>
      <c r="O321" s="287"/>
    </row>
    <row r="322" spans="1:65" x14ac:dyDescent="0.25">
      <c r="B322" s="228">
        <v>12</v>
      </c>
      <c r="C322" s="230" t="s">
        <v>2</v>
      </c>
      <c r="E322" s="232">
        <v>44348</v>
      </c>
      <c r="F322" s="148" t="s">
        <v>91</v>
      </c>
      <c r="L322" s="286"/>
      <c r="T322" s="127"/>
      <c r="U322" s="127"/>
      <c r="V322" s="127"/>
      <c r="W322" s="127"/>
      <c r="X322" s="127"/>
      <c r="Y322" s="127"/>
    </row>
    <row r="323" spans="1:65" x14ac:dyDescent="0.25">
      <c r="C323" s="230" t="s">
        <v>3</v>
      </c>
      <c r="E323" s="232">
        <v>44377</v>
      </c>
      <c r="F323" s="148" t="s">
        <v>90</v>
      </c>
      <c r="G323" s="229"/>
      <c r="H323" s="229"/>
      <c r="I323" s="229"/>
      <c r="J323" s="229"/>
      <c r="T323" s="120"/>
      <c r="U323" s="120"/>
      <c r="V323" s="120"/>
      <c r="W323" s="127"/>
      <c r="X323" s="127"/>
      <c r="Y323" s="127"/>
    </row>
    <row r="324" spans="1:65" x14ac:dyDescent="0.25">
      <c r="C324" s="233"/>
      <c r="T324" s="120"/>
      <c r="U324" s="120"/>
      <c r="V324" s="120"/>
    </row>
    <row r="325" spans="1:65" ht="34.5" customHeight="1" x14ac:dyDescent="0.25">
      <c r="C325" s="234"/>
      <c r="D325" s="235"/>
      <c r="E325" s="441" t="s">
        <v>4</v>
      </c>
      <c r="F325" s="442"/>
      <c r="G325" s="442"/>
      <c r="H325" s="442"/>
      <c r="I325" s="442"/>
      <c r="J325" s="443"/>
      <c r="L325" s="444" t="s">
        <v>253</v>
      </c>
      <c r="M325" s="445"/>
      <c r="N325" s="235"/>
      <c r="O325" s="444" t="s">
        <v>148</v>
      </c>
      <c r="P325" s="445"/>
      <c r="R325" s="235"/>
      <c r="T325" s="446" t="s">
        <v>269</v>
      </c>
      <c r="U325" s="447"/>
      <c r="V325" s="447"/>
      <c r="W325" s="447"/>
      <c r="X325" s="447"/>
      <c r="Y325" s="447"/>
      <c r="Z325" s="447"/>
      <c r="AA325" s="447"/>
      <c r="AC325" s="438" t="s">
        <v>274</v>
      </c>
      <c r="AD325" s="438"/>
      <c r="AE325" s="438"/>
      <c r="AF325" s="438"/>
      <c r="AG325" s="438"/>
      <c r="AH325" s="438"/>
      <c r="AI325" s="438"/>
      <c r="AJ325" s="438"/>
      <c r="AK325" s="438"/>
      <c r="AM325" s="439" t="s">
        <v>270</v>
      </c>
      <c r="AN325" s="439"/>
      <c r="AO325" s="439"/>
      <c r="AP325" s="439"/>
      <c r="AQ325" s="439"/>
      <c r="AR325" s="439"/>
      <c r="AS325" s="439"/>
      <c r="AT325" s="439"/>
      <c r="AU325" s="439"/>
      <c r="AV325" s="439"/>
      <c r="AW325" s="439"/>
      <c r="AX325" s="439"/>
      <c r="AY325" s="439"/>
      <c r="AZ325" s="439"/>
      <c r="BA325" s="439"/>
      <c r="BB325" s="439"/>
      <c r="BC325" s="440"/>
      <c r="BE325" s="439" t="s">
        <v>246</v>
      </c>
      <c r="BF325" s="439"/>
      <c r="BG325" s="439"/>
      <c r="BH325" s="439"/>
      <c r="BI325" s="439"/>
      <c r="BJ325" s="439"/>
      <c r="BK325" s="439"/>
      <c r="BL325" s="439"/>
      <c r="BM325" s="439"/>
    </row>
    <row r="326" spans="1:65" x14ac:dyDescent="0.25">
      <c r="C326" s="236"/>
      <c r="E326" s="229"/>
      <c r="F326" s="229"/>
      <c r="G326" s="229"/>
      <c r="H326" s="229"/>
      <c r="I326" s="229"/>
      <c r="J326" s="229"/>
      <c r="L326" s="164"/>
      <c r="O326" s="229"/>
      <c r="P326" s="164"/>
      <c r="T326" s="127"/>
      <c r="U326" s="127"/>
      <c r="V326" s="127"/>
      <c r="W326" s="127"/>
      <c r="X326" s="127"/>
      <c r="Y326" s="127"/>
      <c r="AA326" s="229"/>
      <c r="AC326" s="229"/>
      <c r="AD326" s="229"/>
      <c r="AE326" s="229"/>
      <c r="AF326" s="229"/>
      <c r="AG326" s="229"/>
      <c r="AH326" s="229"/>
      <c r="AI326" s="229"/>
      <c r="AJ326" s="229"/>
      <c r="AK326" s="127"/>
      <c r="AM326" s="229"/>
      <c r="AN326" s="229"/>
      <c r="AO326" s="229"/>
      <c r="AP326" s="229"/>
      <c r="AQ326" s="229"/>
      <c r="AR326" s="229"/>
      <c r="AS326" s="229"/>
      <c r="AT326" s="229"/>
      <c r="AU326" s="229"/>
      <c r="AV326" s="229"/>
      <c r="AW326" s="229"/>
      <c r="AX326" s="229"/>
      <c r="AY326" s="229"/>
      <c r="AZ326" s="229"/>
      <c r="BA326" s="229"/>
      <c r="BB326" s="229"/>
      <c r="BC326" s="229"/>
    </row>
    <row r="327" spans="1:65" ht="60" x14ac:dyDescent="0.25">
      <c r="C327" s="238" t="s">
        <v>5</v>
      </c>
      <c r="D327" s="239"/>
      <c r="E327" s="240" t="s">
        <v>268</v>
      </c>
      <c r="F327" s="241" t="s">
        <v>271</v>
      </c>
      <c r="G327" s="242" t="s">
        <v>267</v>
      </c>
      <c r="H327" s="243" t="s">
        <v>266</v>
      </c>
      <c r="I327" s="242" t="s">
        <v>265</v>
      </c>
      <c r="J327" s="244" t="s">
        <v>6</v>
      </c>
      <c r="L327" s="245" t="s">
        <v>7</v>
      </c>
      <c r="M327" s="246" t="s">
        <v>254</v>
      </c>
      <c r="N327" s="247"/>
      <c r="O327" s="248" t="s">
        <v>272</v>
      </c>
      <c r="P327" s="249" t="s">
        <v>200</v>
      </c>
      <c r="R327" s="250" t="s">
        <v>151</v>
      </c>
      <c r="T327" s="251" t="s">
        <v>8</v>
      </c>
      <c r="U327" s="252" t="s">
        <v>9</v>
      </c>
      <c r="V327" s="252" t="s">
        <v>120</v>
      </c>
      <c r="W327" s="252" t="s">
        <v>121</v>
      </c>
      <c r="X327" s="253" t="s">
        <v>118</v>
      </c>
      <c r="Y327" s="254" t="s">
        <v>119</v>
      </c>
      <c r="AA327" s="255" t="s">
        <v>84</v>
      </c>
      <c r="AC327" s="256" t="s">
        <v>142</v>
      </c>
      <c r="AD327" s="256" t="s">
        <v>138</v>
      </c>
      <c r="AE327" s="257" t="s">
        <v>147</v>
      </c>
      <c r="AF327" s="257" t="s">
        <v>149</v>
      </c>
      <c r="AG327" s="256" t="s">
        <v>305</v>
      </c>
      <c r="AH327" s="256" t="s">
        <v>306</v>
      </c>
      <c r="AI327" s="257" t="s">
        <v>150</v>
      </c>
      <c r="AJ327" s="258" t="s">
        <v>250</v>
      </c>
      <c r="AK327" s="259" t="s">
        <v>373</v>
      </c>
      <c r="AM327" s="260" t="s">
        <v>256</v>
      </c>
      <c r="AN327" s="261" t="s">
        <v>372</v>
      </c>
      <c r="AO327" s="253" t="s">
        <v>170</v>
      </c>
      <c r="AP327" s="253" t="s">
        <v>171</v>
      </c>
      <c r="AQ327" s="253" t="s">
        <v>172</v>
      </c>
      <c r="AR327" s="253" t="s">
        <v>173</v>
      </c>
      <c r="AS327" s="253" t="s">
        <v>174</v>
      </c>
      <c r="AT327" s="253" t="s">
        <v>175</v>
      </c>
      <c r="AU327" s="262" t="s">
        <v>210</v>
      </c>
      <c r="AV327" s="262" t="s">
        <v>211</v>
      </c>
      <c r="AW327" s="262" t="s">
        <v>212</v>
      </c>
      <c r="AX327" s="262" t="s">
        <v>213</v>
      </c>
      <c r="AY327" s="263" t="s">
        <v>214</v>
      </c>
      <c r="AZ327" s="264" t="s">
        <v>111</v>
      </c>
      <c r="BA327" s="265" t="s">
        <v>199</v>
      </c>
      <c r="BB327" s="252" t="s">
        <v>223</v>
      </c>
      <c r="BC327" s="260" t="s">
        <v>112</v>
      </c>
      <c r="BE327" s="260" t="s">
        <v>257</v>
      </c>
      <c r="BF327" s="266" t="s">
        <v>255</v>
      </c>
      <c r="BG327" s="262" t="s">
        <v>247</v>
      </c>
      <c r="BH327" s="262" t="s">
        <v>248</v>
      </c>
      <c r="BI327" s="260" t="s">
        <v>249</v>
      </c>
      <c r="BJ327" s="253" t="s">
        <v>199</v>
      </c>
      <c r="BK327" s="262" t="s">
        <v>251</v>
      </c>
      <c r="BL327" s="259" t="s">
        <v>373</v>
      </c>
      <c r="BM327" s="260" t="s">
        <v>252</v>
      </c>
    </row>
    <row r="328" spans="1:65" x14ac:dyDescent="0.25">
      <c r="T328" s="120"/>
      <c r="U328" s="120"/>
      <c r="V328" s="120"/>
      <c r="W328" s="120"/>
      <c r="X328" s="120"/>
      <c r="Y328" s="120"/>
      <c r="AM328" s="267" t="s">
        <v>322</v>
      </c>
      <c r="AN328" s="237"/>
      <c r="AO328" s="237"/>
      <c r="AP328" s="237"/>
      <c r="AQ328" s="237"/>
      <c r="AR328" s="237"/>
      <c r="AS328" s="237"/>
      <c r="AT328" s="237"/>
      <c r="AU328" s="237"/>
      <c r="AV328" s="237"/>
      <c r="AW328" s="237"/>
      <c r="AX328" s="237"/>
      <c r="AY328" s="237"/>
      <c r="AZ328" s="436" t="s">
        <v>320</v>
      </c>
      <c r="BA328" s="437"/>
      <c r="BB328" s="237"/>
      <c r="BC328" s="267" t="s">
        <v>321</v>
      </c>
    </row>
    <row r="329" spans="1:65" x14ac:dyDescent="0.25">
      <c r="A329" s="228">
        <f t="shared" ref="A329:A348" si="336">IF($E$323="","",$B$322)</f>
        <v>12</v>
      </c>
      <c r="C329" s="268"/>
      <c r="D329" s="239"/>
      <c r="E329" s="269"/>
      <c r="F329" s="270"/>
      <c r="G329" s="271"/>
      <c r="H329" s="272"/>
      <c r="I329" s="271"/>
      <c r="J329" s="273"/>
      <c r="O329" s="274"/>
      <c r="P329" s="247"/>
      <c r="T329" s="271"/>
      <c r="U329" s="271"/>
      <c r="V329" s="275"/>
      <c r="W329" s="269"/>
      <c r="X329" s="269"/>
      <c r="Y329" s="269"/>
      <c r="AA329" s="271"/>
      <c r="AC329" s="271"/>
      <c r="AD329" s="271"/>
      <c r="AE329" s="271"/>
      <c r="AF329" s="271"/>
      <c r="AG329" s="271"/>
      <c r="AH329" s="271"/>
      <c r="AI329" s="271"/>
      <c r="AJ329" s="271"/>
      <c r="AK329" s="275"/>
      <c r="AM329" s="271"/>
      <c r="AN329" s="271"/>
      <c r="AO329" s="276">
        <v>1</v>
      </c>
      <c r="AP329" s="276">
        <v>2</v>
      </c>
      <c r="AQ329" s="276">
        <v>3</v>
      </c>
      <c r="AR329" s="277">
        <v>4</v>
      </c>
      <c r="AS329" s="276">
        <v>5</v>
      </c>
      <c r="AT329" s="276">
        <v>6</v>
      </c>
      <c r="AU329" s="276">
        <v>11</v>
      </c>
      <c r="AV329" s="276">
        <v>22</v>
      </c>
      <c r="AW329" s="276">
        <v>33</v>
      </c>
      <c r="AX329" s="276">
        <v>55</v>
      </c>
      <c r="AY329" s="276">
        <v>66</v>
      </c>
      <c r="AZ329" s="271"/>
      <c r="BA329" s="271"/>
      <c r="BB329" s="271"/>
      <c r="BC329" s="273"/>
    </row>
    <row r="330" spans="1:65" x14ac:dyDescent="0.25">
      <c r="A330" s="228">
        <f t="shared" si="336"/>
        <v>12</v>
      </c>
      <c r="C330" s="278" t="s">
        <v>12</v>
      </c>
      <c r="E330" s="103">
        <f>IF($C330="",0,
IF(AND($E$2="Monthly",$A330&gt;12),0,
IF($E$2="Monthly",VLOOKUP($C330,'Employee information'!$B:$AM,COLUMNS('Employee information'!$B:S),0),
IF($E$2="Fortnightly",VLOOKUP($C330,'Employee information'!$B:$AM,COLUMNS('Employee information'!$B:R),0),
0))))</f>
        <v>75</v>
      </c>
      <c r="F330" s="279"/>
      <c r="G330" s="106"/>
      <c r="H330" s="280"/>
      <c r="I330" s="106"/>
      <c r="J330" s="103">
        <f>IF($E$2="Monthly",
IF(AND($E$2="Monthly",$H330&lt;&gt;""),$H330,
IF(AND($E$2="Monthly",$E330=0),SUM($F330:$G330),
$E330)),
IF($E$2="Fortnightly",
IF(AND($E$2="Fortnightly",$H330&lt;&gt;""),$H330,
IF(AND($E$2="Fortnightly",$F330&lt;&gt;"",$E330&lt;&gt;0),$F330,
IF(AND($E$2="Fortnightly",$E330=0),SUM($F330:$G330),
$E330)))))</f>
        <v>75</v>
      </c>
      <c r="L330" s="113">
        <f>IF(AND($E$2="Monthly",$A330&gt;12),"",
IFERROR($J330*VLOOKUP($C330,'Employee information'!$B:$AI,COLUMNS('Employee information'!$B:$P),0),0))</f>
        <v>3697.576396206533</v>
      </c>
      <c r="M330" s="114">
        <f>IF(AND($E$2="Monthly",$A330&gt;12),"",
SUMIFS($L:$L,$C:$C,$C330,$A:$A,"&lt;="&amp;$A330)
)</f>
        <v>44370.916754478392</v>
      </c>
      <c r="O330" s="103">
        <f>IF($E$2="Monthly",
IF(AND($E$2="Monthly",$H330&lt;&gt;""),$H330,
IF(AND($E$2="Monthly",$E330=0),$F330,
$E330)),
IF($E$2="Fortnightly",
IF(AND($E$2="Fortnightly",$H330&lt;&gt;""),$H330,
IF(AND($E$2="Fortnightly",$F330&lt;&gt;"",$E330&lt;&gt;0),$F330,
IF(AND($E$2="Fortnightly",$E330=0),$F330,
$E330)))))</f>
        <v>75</v>
      </c>
      <c r="P330" s="113">
        <f>IFERROR(
IF(AND($E$2="Monthly",$A330&gt;12),0,
$O330*VLOOKUP($C330,'Employee information'!$B:$AI,COLUMNS('Employee information'!$B:$P),0)),
0)</f>
        <v>3697.576396206533</v>
      </c>
      <c r="R330" s="114">
        <f t="shared" ref="R330:R348" si="337">IF(AND($E$2="Monthly",$A330&gt;12),"",
SUMIFS($P:$P,$C:$C,$C330,$A:$A,"&lt;="&amp;$A330)
)</f>
        <v>44370.916754478392</v>
      </c>
      <c r="T330" s="281"/>
      <c r="U330" s="103"/>
      <c r="V330" s="282">
        <f>IF($C330="","",
IF(AND($E$2="Monthly",$A330&gt;12),"",
$T330*VLOOKUP($C330,'Employee information'!$B:$P,COLUMNS('Employee information'!$B:$P),0)))</f>
        <v>0</v>
      </c>
      <c r="W330" s="282">
        <f>IF($C330="","",
IF(AND($E$2="Monthly",$A330&gt;12),"",
$U330*VLOOKUP($C330,'Employee information'!$B:$P,COLUMNS('Employee information'!$B:$P),0)))</f>
        <v>0</v>
      </c>
      <c r="X330" s="114">
        <f t="shared" ref="X330:X348" si="338">IF(AND($E$2="Monthly",$A330&gt;12),"",
SUMIFS($V:$V,$C:$C,$C330,$A:$A,"&lt;="&amp;$A330)
)</f>
        <v>0</v>
      </c>
      <c r="Y330" s="114">
        <f t="shared" ref="Y330:Y348" si="339">IF(AND($E$2="Monthly",$A330&gt;12),"",
SUMIFS($W:$W,$C:$C,$C330,$A:$A,"&lt;="&amp;$A330)
)</f>
        <v>0</v>
      </c>
      <c r="AA330" s="118">
        <f>IFERROR(
IF(OR('Basic payroll data'!$D$12="",'Basic payroll data'!$D$12="No"),0,
$T330*VLOOKUP($C330,'Employee information'!$B:$P,COLUMNS('Employee information'!$B:$P),0)*AL_loading_perc),
0)</f>
        <v>0</v>
      </c>
      <c r="AC330" s="118"/>
      <c r="AD330" s="118"/>
      <c r="AE330" s="283" t="str">
        <f>IF(LEFT($AD330,6)="Is OTE",1,
IF(LEFT($AD330,10)="Is not OTE",0,
""))</f>
        <v/>
      </c>
      <c r="AF330" s="283" t="str">
        <f>IF(RIGHT($AD330,12)="tax withheld",1,
IF(RIGHT($AD330,16)="tax not withheld",0,
""))</f>
        <v/>
      </c>
      <c r="AG330" s="118"/>
      <c r="AH330" s="118"/>
      <c r="AI330" s="283" t="str">
        <f>IF($AH330="FBT",0,
IF($AH330="Not FBT",1,
""))</f>
        <v/>
      </c>
      <c r="AJ330" s="118"/>
      <c r="AK330" s="118"/>
      <c r="AM330" s="118">
        <f>SUM($L330,$AA330,$AC330,$AG330,$AK330)-$AJ330</f>
        <v>3697.576396206533</v>
      </c>
      <c r="AN330" s="118">
        <f t="shared" ref="AN330:AN348" si="340">IF(AND(OR($AF330=1,$AF330=""),OR($AI330=1,$AI330="")),SUM($L330,$AA330,$AC330,$AG330,$AK330)-$AJ330,
IF(AND(OR($AF330=1,$AF330=""),$AI330=0),SUM($L330,$AA330,$AC330,$AK330)-$AJ330,
IF(AND($AF330=0,OR($AI330=1,$AI330="")),SUM($L330,$AA330,$AG330,$AK330)-$AJ330,
IF(AND($AF330=0,$AI330=0),SUM($L330,$AA330,$AK330)-$AJ330,
""))))</f>
        <v>3697.576396206533</v>
      </c>
      <c r="AO330" s="118" t="str">
        <f>IFERROR(
IF(VLOOKUP($C330,'Employee information'!$B:$M,COLUMNS('Employee information'!$B:$M),0)=1,
IF($E$2="Fortnightly",
ROUND(
ROUND((((TRUNC($AN330/2,0)+0.99))*VLOOKUP((TRUNC($AN330/2,0)+0.99),'Tax scales - NAT 1004'!$A$12:$C$18,2,1)-VLOOKUP((TRUNC($AN330/2,0)+0.99),'Tax scales - NAT 1004'!$A$12:$C$18,3,1)),0)
*2,
0),
IF(AND($E$2="Monthly",ROUND($AN330-TRUNC($AN330),2)=0.33),
ROUND(
ROUND(((TRUNC(($AN330+0.01)*3/13,0)+0.99)*VLOOKUP((TRUNC(($AN330+0.01)*3/13,0)+0.99),'Tax scales - NAT 1004'!$A$12:$C$18,2,1)-VLOOKUP((TRUNC(($AN330+0.01)*3/13,0)+0.99),'Tax scales - NAT 1004'!$A$12:$C$18,3,1)),0)
*13/3,
0),
IF($E$2="Monthly",
ROUND(
ROUND(((TRUNC($AN330*3/13,0)+0.99)*VLOOKUP((TRUNC($AN330*3/13,0)+0.99),'Tax scales - NAT 1004'!$A$12:$C$18,2,1)-VLOOKUP((TRUNC($AN330*3/13,0)+0.99),'Tax scales - NAT 1004'!$A$12:$C$18,3,1)),0)
*13/3,
0),
""))),
""),
"")</f>
        <v/>
      </c>
      <c r="AP330" s="118" t="str">
        <f>IFERROR(
IF(VLOOKUP($C330,'Employee information'!$B:$M,COLUMNS('Employee information'!$B:$M),0)=2,
IF($E$2="Fortnightly",
ROUND(
ROUND((((TRUNC($AN330/2,0)+0.99))*VLOOKUP((TRUNC($AN330/2,0)+0.99),'Tax scales - NAT 1004'!$A$25:$C$33,2,1)-VLOOKUP((TRUNC($AN330/2,0)+0.99),'Tax scales - NAT 1004'!$A$25:$C$33,3,1)),0)
*2,
0),
IF(AND($E$2="Monthly",ROUND($AN330-TRUNC($AN330),2)=0.33),
ROUND(
ROUND(((TRUNC(($AN330+0.01)*3/13,0)+0.99)*VLOOKUP((TRUNC(($AN330+0.01)*3/13,0)+0.99),'Tax scales - NAT 1004'!$A$25:$C$33,2,1)-VLOOKUP((TRUNC(($AN330+0.01)*3/13,0)+0.99),'Tax scales - NAT 1004'!$A$25:$C$33,3,1)),0)
*13/3,
0),
IF($E$2="Monthly",
ROUND(
ROUND(((TRUNC($AN330*3/13,0)+0.99)*VLOOKUP((TRUNC($AN330*3/13,0)+0.99),'Tax scales - NAT 1004'!$A$25:$C$33,2,1)-VLOOKUP((TRUNC($AN330*3/13,0)+0.99),'Tax scales - NAT 1004'!$A$25:$C$33,3,1)),0)
*13/3,
0),
""))),
""),
"")</f>
        <v/>
      </c>
      <c r="AQ330" s="118" t="str">
        <f>IFERROR(
IF(VLOOKUP($C330,'Employee information'!$B:$M,COLUMNS('Employee information'!$B:$M),0)=3,
IF($E$2="Fortnightly",
ROUND(
ROUND((((TRUNC($AN330/2,0)+0.99))*VLOOKUP((TRUNC($AN330/2,0)+0.99),'Tax scales - NAT 1004'!$A$39:$C$41,2,1)-VLOOKUP((TRUNC($AN330/2,0)+0.99),'Tax scales - NAT 1004'!$A$39:$C$41,3,1)),0)
*2,
0),
IF(AND($E$2="Monthly",ROUND($AN330-TRUNC($AN330),2)=0.33),
ROUND(
ROUND(((TRUNC(($AN330+0.01)*3/13,0)+0.99)*VLOOKUP((TRUNC(($AN330+0.01)*3/13,0)+0.99),'Tax scales - NAT 1004'!$A$39:$C$41,2,1)-VLOOKUP((TRUNC(($AN330+0.01)*3/13,0)+0.99),'Tax scales - NAT 1004'!$A$39:$C$41,3,1)),0)
*13/3,
0),
IF($E$2="Monthly",
ROUND(
ROUND(((TRUNC($AN330*3/13,0)+0.99)*VLOOKUP((TRUNC($AN330*3/13,0)+0.99),'Tax scales - NAT 1004'!$A$39:$C$41,2,1)-VLOOKUP((TRUNC($AN330*3/13,0)+0.99),'Tax scales - NAT 1004'!$A$39:$C$41,3,1)),0)
*13/3,
0),
""))),
""),
"")</f>
        <v/>
      </c>
      <c r="AR330" s="118" t="str">
        <f>IFERROR(
IF(AND(VLOOKUP($C330,'Employee information'!$B:$M,COLUMNS('Employee information'!$B:$M),0)=4,
VLOOKUP($C330,'Employee information'!$B:$J,COLUMNS('Employee information'!$B:$J),0)="Resident"),
TRUNC(TRUNC($AN330)*'Tax scales - NAT 1004'!$B$47),
IF(AND(VLOOKUP($C330,'Employee information'!$B:$M,COLUMNS('Employee information'!$B:$M),0)=4,
VLOOKUP($C330,'Employee information'!$B:$J,COLUMNS('Employee information'!$B:$J),0)="Foreign resident"),
TRUNC(TRUNC($AN330)*'Tax scales - NAT 1004'!$B$48),
"")),
"")</f>
        <v/>
      </c>
      <c r="AS330" s="118" t="str">
        <f>IFERROR(
IF(VLOOKUP($C330,'Employee information'!$B:$M,COLUMNS('Employee information'!$B:$M),0)=5,
IF($E$2="Fortnightly",
ROUND(
ROUND((((TRUNC($AN330/2,0)+0.99))*VLOOKUP((TRUNC($AN330/2,0)+0.99),'Tax scales - NAT 1004'!$A$53:$C$59,2,1)-VLOOKUP((TRUNC($AN330/2,0)+0.99),'Tax scales - NAT 1004'!$A$53:$C$59,3,1)),0)
*2,
0),
IF(AND($E$2="Monthly",ROUND($AN330-TRUNC($AN330),2)=0.33),
ROUND(
ROUND(((TRUNC(($AN330+0.01)*3/13,0)+0.99)*VLOOKUP((TRUNC(($AN330+0.01)*3/13,0)+0.99),'Tax scales - NAT 1004'!$A$53:$C$59,2,1)-VLOOKUP((TRUNC(($AN330+0.01)*3/13,0)+0.99),'Tax scales - NAT 1004'!$A$53:$C$59,3,1)),0)
*13/3,
0),
IF($E$2="Monthly",
ROUND(
ROUND(((TRUNC($AN330*3/13,0)+0.99)*VLOOKUP((TRUNC($AN330*3/13,0)+0.99),'Tax scales - NAT 1004'!$A$53:$C$59,2,1)-VLOOKUP((TRUNC($AN330*3/13,0)+0.99),'Tax scales - NAT 1004'!$A$53:$C$59,3,1)),0)
*13/3,
0),
""))),
""),
"")</f>
        <v/>
      </c>
      <c r="AT330" s="118" t="str">
        <f>IFERROR(
IF(VLOOKUP($C330,'Employee information'!$B:$M,COLUMNS('Employee information'!$B:$M),0)=6,
IF($E$2="Fortnightly",
ROUND(
ROUND((((TRUNC($AN330/2,0)+0.99))*VLOOKUP((TRUNC($AN330/2,0)+0.99),'Tax scales - NAT 1004'!$A$65:$C$73,2,1)-VLOOKUP((TRUNC($AN330/2,0)+0.99),'Tax scales - NAT 1004'!$A$65:$C$73,3,1)),0)
*2,
0),
IF(AND($E$2="Monthly",ROUND($AN330-TRUNC($AN330),2)=0.33),
ROUND(
ROUND(((TRUNC(($AN330+0.01)*3/13,0)+0.99)*VLOOKUP((TRUNC(($AN330+0.01)*3/13,0)+0.99),'Tax scales - NAT 1004'!$A$65:$C$73,2,1)-VLOOKUP((TRUNC(($AN330+0.01)*3/13,0)+0.99),'Tax scales - NAT 1004'!$A$65:$C$73,3,1)),0)
*13/3,
0),
IF($E$2="Monthly",
ROUND(
ROUND(((TRUNC($AN330*3/13,0)+0.99)*VLOOKUP((TRUNC($AN330*3/13,0)+0.99),'Tax scales - NAT 1004'!$A$65:$C$73,2,1)-VLOOKUP((TRUNC($AN330*3/13,0)+0.99),'Tax scales - NAT 1004'!$A$65:$C$73,3,1)),0)
*13/3,
0),
""))),
""),
"")</f>
        <v/>
      </c>
      <c r="AU330" s="118">
        <f>IFERROR(
IF(VLOOKUP($C330,'Employee information'!$B:$M,COLUMNS('Employee information'!$B:$M),0)=11,
IF($E$2="Fortnightly",
ROUND(
ROUND((((TRUNC($AN330/2,0)+0.99))*VLOOKUP((TRUNC($AN330/2,0)+0.99),'Tax scales - NAT 3539'!$A$14:$C$38,2,1)-VLOOKUP((TRUNC($AN330/2,0)+0.99),'Tax scales - NAT 3539'!$A$14:$C$38,3,1)),0)
*2,
0),
IF(AND($E$2="Monthly",ROUND($AN330-TRUNC($AN330),2)=0.33),
ROUND(
ROUND(((TRUNC(($AN330+0.01)*3/13,0)+0.99)*VLOOKUP((TRUNC(($AN330+0.01)*3/13,0)+0.99),'Tax scales - NAT 3539'!$A$14:$C$38,2,1)-VLOOKUP((TRUNC(($AN330+0.01)*3/13,0)+0.99),'Tax scales - NAT 3539'!$A$14:$C$38,3,1)),0)
*13/3,
0),
IF($E$2="Monthly",
ROUND(
ROUND(((TRUNC($AN330*3/13,0)+0.99)*VLOOKUP((TRUNC($AN330*3/13,0)+0.99),'Tax scales - NAT 3539'!$A$14:$C$38,2,1)-VLOOKUP((TRUNC($AN330*3/13,0)+0.99),'Tax scales - NAT 3539'!$A$14:$C$38,3,1)),0)
*13/3,
0),
""))),
""),
"")</f>
        <v>1448</v>
      </c>
      <c r="AV330" s="118" t="str">
        <f>IFERROR(
IF(VLOOKUP($C330,'Employee information'!$B:$M,COLUMNS('Employee information'!$B:$M),0)=22,
IF($E$2="Fortnightly",
ROUND(
ROUND((((TRUNC($AN330/2,0)+0.99))*VLOOKUP((TRUNC($AN330/2,0)+0.99),'Tax scales - NAT 3539'!$A$43:$C$69,2,1)-VLOOKUP((TRUNC($AN330/2,0)+0.99),'Tax scales - NAT 3539'!$A$43:$C$69,3,1)),0)
*2,
0),
IF(AND($E$2="Monthly",ROUND($AN330-TRUNC($AN330),2)=0.33),
ROUND(
ROUND(((TRUNC(($AN330+0.01)*3/13,0)+0.99)*VLOOKUP((TRUNC(($AN330+0.01)*3/13,0)+0.99),'Tax scales - NAT 3539'!$A$43:$C$69,2,1)-VLOOKUP((TRUNC(($AN330+0.01)*3/13,0)+0.99),'Tax scales - NAT 3539'!$A$43:$C$69,3,1)),0)
*13/3,
0),
IF($E$2="Monthly",
ROUND(
ROUND(((TRUNC($AN330*3/13,0)+0.99)*VLOOKUP((TRUNC($AN330*3/13,0)+0.99),'Tax scales - NAT 3539'!$A$43:$C$69,2,1)-VLOOKUP((TRUNC($AN330*3/13,0)+0.99),'Tax scales - NAT 3539'!$A$43:$C$69,3,1)),0)
*13/3,
0),
""))),
""),
"")</f>
        <v/>
      </c>
      <c r="AW330" s="118" t="str">
        <f>IFERROR(
IF(VLOOKUP($C330,'Employee information'!$B:$M,COLUMNS('Employee information'!$B:$M),0)=33,
IF($E$2="Fortnightly",
ROUND(
ROUND((((TRUNC($AN330/2,0)+0.99))*VLOOKUP((TRUNC($AN330/2,0)+0.99),'Tax scales - NAT 3539'!$A$74:$C$94,2,1)-VLOOKUP((TRUNC($AN330/2,0)+0.99),'Tax scales - NAT 3539'!$A$74:$C$94,3,1)),0)
*2,
0),
IF(AND($E$2="Monthly",ROUND($AN330-TRUNC($AN330),2)=0.33),
ROUND(
ROUND(((TRUNC(($AN330+0.01)*3/13,0)+0.99)*VLOOKUP((TRUNC(($AN330+0.01)*3/13,0)+0.99),'Tax scales - NAT 3539'!$A$74:$C$94,2,1)-VLOOKUP((TRUNC(($AN330+0.01)*3/13,0)+0.99),'Tax scales - NAT 3539'!$A$74:$C$94,3,1)),0)
*13/3,
0),
IF($E$2="Monthly",
ROUND(
ROUND(((TRUNC($AN330*3/13,0)+0.99)*VLOOKUP((TRUNC($AN330*3/13,0)+0.99),'Tax scales - NAT 3539'!$A$74:$C$94,2,1)-VLOOKUP((TRUNC($AN330*3/13,0)+0.99),'Tax scales - NAT 3539'!$A$74:$C$94,3,1)),0)
*13/3,
0),
""))),
""),
"")</f>
        <v/>
      </c>
      <c r="AX330" s="118" t="str">
        <f>IFERROR(
IF(VLOOKUP($C330,'Employee information'!$B:$M,COLUMNS('Employee information'!$B:$M),0)=55,
IF($E$2="Fortnightly",
ROUND(
ROUND((((TRUNC($AN330/2,0)+0.99))*VLOOKUP((TRUNC($AN330/2,0)+0.99),'Tax scales - NAT 3539'!$A$99:$C$123,2,1)-VLOOKUP((TRUNC($AN330/2,0)+0.99),'Tax scales - NAT 3539'!$A$99:$C$123,3,1)),0)
*2,
0),
IF(AND($E$2="Monthly",ROUND($AN330-TRUNC($AN330),2)=0.33),
ROUND(
ROUND(((TRUNC(($AN330+0.01)*3/13,0)+0.99)*VLOOKUP((TRUNC(($AN330+0.01)*3/13,0)+0.99),'Tax scales - NAT 3539'!$A$99:$C$123,2,1)-VLOOKUP((TRUNC(($AN330+0.01)*3/13,0)+0.99),'Tax scales - NAT 3539'!$A$99:$C$123,3,1)),0)
*13/3,
0),
IF($E$2="Monthly",
ROUND(
ROUND(((TRUNC($AN330*3/13,0)+0.99)*VLOOKUP((TRUNC($AN330*3/13,0)+0.99),'Tax scales - NAT 3539'!$A$99:$C$123,2,1)-VLOOKUP((TRUNC($AN330*3/13,0)+0.99),'Tax scales - NAT 3539'!$A$99:$C$123,3,1)),0)
*13/3,
0),
""))),
""),
"")</f>
        <v/>
      </c>
      <c r="AY330" s="118" t="str">
        <f>IFERROR(
IF(VLOOKUP($C330,'Employee information'!$B:$M,COLUMNS('Employee information'!$B:$M),0)=66,
IF($E$2="Fortnightly",
ROUND(
ROUND((((TRUNC($AN330/2,0)+0.99))*VLOOKUP((TRUNC($AN330/2,0)+0.99),'Tax scales - NAT 3539'!$A$127:$C$154,2,1)-VLOOKUP((TRUNC($AN330/2,0)+0.99),'Tax scales - NAT 3539'!$A$127:$C$154,3,1)),0)
*2,
0),
IF(AND($E$2="Monthly",ROUND($AN330-TRUNC($AN330),2)=0.33),
ROUND(
ROUND(((TRUNC(($AN330+0.01)*3/13,0)+0.99)*VLOOKUP((TRUNC(($AN330+0.01)*3/13,0)+0.99),'Tax scales - NAT 3539'!$A$127:$C$154,2,1)-VLOOKUP((TRUNC(($AN330+0.01)*3/13,0)+0.99),'Tax scales - NAT 3539'!$A$127:$C$154,3,1)),0)
*13/3,
0),
IF($E$2="Monthly",
ROUND(
ROUND(((TRUNC($AN330*3/13,0)+0.99)*VLOOKUP((TRUNC($AN330*3/13,0)+0.99),'Tax scales - NAT 3539'!$A$127:$C$154,2,1)-VLOOKUP((TRUNC($AN330*3/13,0)+0.99),'Tax scales - NAT 3539'!$A$127:$C$154,3,1)),0)
*13/3,
0),
""))),
""),
"")</f>
        <v/>
      </c>
      <c r="AZ330" s="118">
        <f>IFERROR(
HLOOKUP(VLOOKUP($C330,'Employee information'!$B:$M,COLUMNS('Employee information'!$B:$M),0),'PAYG worksheet'!$AO$329:$AY$348,COUNTA($C$330:$C330)+1,0),
0)</f>
        <v>1448</v>
      </c>
      <c r="BA330" s="118"/>
      <c r="BB330" s="118">
        <f>IFERROR($AM330-$AZ330-$BA330,"")</f>
        <v>2249.576396206533</v>
      </c>
      <c r="BC330" s="119">
        <f>IFERROR(
IF(OR($AE330=1,$AE330=""),SUM($P330,$AA330,$AC330,$AK330)*VLOOKUP($C330,'Employee information'!$B:$Q,COLUMNS('Employee information'!$B:$H),0),
IF($AE330=0,SUM($P330,$AA330,$AK330)*VLOOKUP($C330,'Employee information'!$B:$Q,COLUMNS('Employee information'!$B:$H),0),
0)),
0)</f>
        <v>351.26975763962065</v>
      </c>
      <c r="BE330" s="114">
        <f t="shared" ref="BE330:BE348" si="341">IF(AND($E$2="Monthly",$A330&gt;12),"",
SUMIFS($AM:$AM,$C:$C,$C330,$A:$A,"&lt;="&amp;$A330)
)</f>
        <v>44370.916754478392</v>
      </c>
      <c r="BF330" s="114">
        <f t="shared" ref="BF330:BF348" si="342">IF(AND($E$2="Monthly",$A330&gt;12),"",
SUMIFS($AN:$AN,$C:$C,$C330,$A:$A,"&lt;="&amp;$A330)
)</f>
        <v>44370.916754478392</v>
      </c>
      <c r="BG330" s="114">
        <f t="shared" ref="BG330:BG348" si="343">IF(AND($E$2="Monthly",$A330&gt;12),"",
SUMIFS($AC:$AC,$C:$C,$C330,$A:$A,"&lt;="&amp;$A330)
)</f>
        <v>0</v>
      </c>
      <c r="BH330" s="114">
        <f t="shared" ref="BH330:BH348" si="344">IF(AND($E$2="Monthly",$A330&gt;12),"",
SUMIFS($AG:$AG,$C:$C,$C330,$A:$A,"&lt;="&amp;$A330)
)</f>
        <v>0</v>
      </c>
      <c r="BI330" s="114">
        <f t="shared" ref="BI330:BI348" si="345">IF(AND($E$2="Monthly",$A330&gt;12),"",
SUMIFS($AZ:$AZ,$C:$C,$C330,$A:$A,"&lt;="&amp;$A330)
)</f>
        <v>17376</v>
      </c>
      <c r="BJ330" s="114">
        <f t="shared" ref="BJ330:BJ348" si="346">IF(AND($E$2="Monthly",$A330&gt;12),"",
SUMIFS($BA:$BA,$C:$C,$C330,$A:$A,"&lt;="&amp;$A330)
)</f>
        <v>0</v>
      </c>
      <c r="BK330" s="114">
        <f t="shared" ref="BK330:BK348" si="347">IF(AND($E$2="Monthly",$A330&gt;12),"",
SUMIFS($AJ:$AJ,$C:$C,$C330,$A:$A,"&lt;="&amp;$A330)
)</f>
        <v>0</v>
      </c>
      <c r="BL330" s="114">
        <f>IF(AND($E$2="Monthly",$A330&gt;12),"",
SUMIFS($AK:$AK,$C:$C,$C330,$A:$A,"&lt;="&amp;$A330)
)</f>
        <v>0</v>
      </c>
      <c r="BM330" s="114">
        <f t="shared" ref="BM330:BM348" si="348">IF(AND($E$2="Monthly",$A330&gt;12),"",
SUMIFS($BC:$BC,$C:$C,$C330,$A:$A,"&lt;="&amp;$A330)
)</f>
        <v>4215.2370916754489</v>
      </c>
    </row>
    <row r="331" spans="1:65" x14ac:dyDescent="0.25">
      <c r="A331" s="228">
        <f t="shared" si="336"/>
        <v>12</v>
      </c>
      <c r="C331" s="278" t="s">
        <v>13</v>
      </c>
      <c r="E331" s="103">
        <f>IF($C331="",0,
IF(AND($E$2="Monthly",$A331&gt;12),0,
IF($E$2="Monthly",VLOOKUP($C331,'Employee information'!$B:$AM,COLUMNS('Employee information'!$B:S),0),
IF($E$2="Fortnightly",VLOOKUP($C331,'Employee information'!$B:$AM,COLUMNS('Employee information'!$B:R),0),
0))))</f>
        <v>0</v>
      </c>
      <c r="F331" s="106"/>
      <c r="G331" s="106"/>
      <c r="H331" s="106"/>
      <c r="I331" s="106"/>
      <c r="J331" s="103">
        <f t="shared" ref="J331:J348" si="349">IF($E$2="Monthly",
IF(AND($E$2="Monthly",$H331&lt;&gt;""),$H331,
IF(AND($E$2="Monthly",$E331=0),SUM($F331:$G331),
$E331)),
IF($E$2="Fortnightly",
IF(AND($E$2="Fortnightly",$H331&lt;&gt;""),$H331,
IF(AND($E$2="Fortnightly",$F331&lt;&gt;"",$E331&lt;&gt;0),$F331,
IF(AND($E$2="Fortnightly",$E331=0),SUM($F331:$G331),
$E331)))))</f>
        <v>0</v>
      </c>
      <c r="L331" s="113">
        <f>IF(AND($E$2="Monthly",$A331&gt;12),"",
IFERROR($J331*VLOOKUP($C331,'Employee information'!$B:$AI,COLUMNS('Employee information'!$B:$P),0),0))</f>
        <v>0</v>
      </c>
      <c r="M331" s="114">
        <f t="shared" ref="M331:M348" si="350">IF(AND($E$2="Monthly",$A331&gt;12),"",
SUMIFS($L:$L,$C:$C,$C331,$A:$A,"&lt;="&amp;$A331)
)</f>
        <v>1615.3846153846152</v>
      </c>
      <c r="O331" s="103">
        <f t="shared" ref="O331:O348" si="351">IF($E$2="Monthly",
IF(AND($E$2="Monthly",$H331&lt;&gt;""),$H331,
IF(AND($E$2="Monthly",$E331=0),$F331,
$E331)),
IF($E$2="Fortnightly",
IF(AND($E$2="Fortnightly",$H331&lt;&gt;""),$H331,
IF(AND($E$2="Fortnightly",$F331&lt;&gt;"",$E331&lt;&gt;0),$F331,
IF(AND($E$2="Fortnightly",$E331=0),$F331,
$E331)))))</f>
        <v>0</v>
      </c>
      <c r="P331" s="113">
        <f>IFERROR(
IF(AND($E$2="Monthly",$A331&gt;12),0,
$O331*VLOOKUP($C331,'Employee information'!$B:$AI,COLUMNS('Employee information'!$B:$P),0)),
0)</f>
        <v>0</v>
      </c>
      <c r="R331" s="114">
        <f t="shared" si="337"/>
        <v>1615.3846153846152</v>
      </c>
      <c r="T331" s="103"/>
      <c r="U331" s="103"/>
      <c r="V331" s="282">
        <f>IF($C331="","",
IF(AND($E$2="Monthly",$A331&gt;12),"",
$T331*VLOOKUP($C331,'Employee information'!$B:$P,COLUMNS('Employee information'!$B:$P),0)))</f>
        <v>0</v>
      </c>
      <c r="W331" s="282">
        <f>IF($C331="","",
IF(AND($E$2="Monthly",$A331&gt;12),"",
$U331*VLOOKUP($C331,'Employee information'!$B:$P,COLUMNS('Employee information'!$B:$P),0)))</f>
        <v>0</v>
      </c>
      <c r="X331" s="114">
        <f t="shared" si="338"/>
        <v>0</v>
      </c>
      <c r="Y331" s="114">
        <f t="shared" si="339"/>
        <v>288.46153846153845</v>
      </c>
      <c r="AA331" s="118">
        <f>IFERROR(
IF(OR('Basic payroll data'!$D$12="",'Basic payroll data'!$D$12="No"),0,
$T331*VLOOKUP($C331,'Employee information'!$B:$P,COLUMNS('Employee information'!$B:$P),0)*AL_loading_perc),
0)</f>
        <v>0</v>
      </c>
      <c r="AC331" s="118"/>
      <c r="AD331" s="118"/>
      <c r="AE331" s="283" t="str">
        <f t="shared" ref="AE331:AE348" si="352">IF(LEFT($AD331,6)="Is OTE",1,
IF(LEFT($AD331,10)="Is not OTE",0,
""))</f>
        <v/>
      </c>
      <c r="AF331" s="283" t="str">
        <f t="shared" ref="AF331:AF348" si="353">IF(RIGHT($AD331,12)="tax withheld",1,
IF(RIGHT($AD331,16)="tax not withheld",0,
""))</f>
        <v/>
      </c>
      <c r="AG331" s="118"/>
      <c r="AH331" s="118"/>
      <c r="AI331" s="283" t="str">
        <f t="shared" ref="AI331:AI348" si="354">IF($AH331="FBT",0,
IF($AH331="Not FBT",1,
""))</f>
        <v/>
      </c>
      <c r="AJ331" s="118"/>
      <c r="AK331" s="118"/>
      <c r="AM331" s="118">
        <f t="shared" ref="AM331:AM348" si="355">SUM($L331,$AA331,$AC331,$AG331,$AK331)-$AJ331</f>
        <v>0</v>
      </c>
      <c r="AN331" s="118">
        <f t="shared" si="340"/>
        <v>0</v>
      </c>
      <c r="AO331" s="118" t="str">
        <f>IFERROR(
IF(VLOOKUP($C331,'Employee information'!$B:$M,COLUMNS('Employee information'!$B:$M),0)=1,
IF($E$2="Fortnightly",
ROUND(
ROUND((((TRUNC($AN331/2,0)+0.99))*VLOOKUP((TRUNC($AN331/2,0)+0.99),'Tax scales - NAT 1004'!$A$12:$C$18,2,1)-VLOOKUP((TRUNC($AN331/2,0)+0.99),'Tax scales - NAT 1004'!$A$12:$C$18,3,1)),0)
*2,
0),
IF(AND($E$2="Monthly",ROUND($AN331-TRUNC($AN331),2)=0.33),
ROUND(
ROUND(((TRUNC(($AN331+0.01)*3/13,0)+0.99)*VLOOKUP((TRUNC(($AN331+0.01)*3/13,0)+0.99),'Tax scales - NAT 1004'!$A$12:$C$18,2,1)-VLOOKUP((TRUNC(($AN331+0.01)*3/13,0)+0.99),'Tax scales - NAT 1004'!$A$12:$C$18,3,1)),0)
*13/3,
0),
IF($E$2="Monthly",
ROUND(
ROUND(((TRUNC($AN331*3/13,0)+0.99)*VLOOKUP((TRUNC($AN331*3/13,0)+0.99),'Tax scales - NAT 1004'!$A$12:$C$18,2,1)-VLOOKUP((TRUNC($AN331*3/13,0)+0.99),'Tax scales - NAT 1004'!$A$12:$C$18,3,1)),0)
*13/3,
0),
""))),
""),
"")</f>
        <v/>
      </c>
      <c r="AP331" s="118" t="str">
        <f>IFERROR(
IF(VLOOKUP($C331,'Employee information'!$B:$M,COLUMNS('Employee information'!$B:$M),0)=2,
IF($E$2="Fortnightly",
ROUND(
ROUND((((TRUNC($AN331/2,0)+0.99))*VLOOKUP((TRUNC($AN331/2,0)+0.99),'Tax scales - NAT 1004'!$A$25:$C$33,2,1)-VLOOKUP((TRUNC($AN331/2,0)+0.99),'Tax scales - NAT 1004'!$A$25:$C$33,3,1)),0)
*2,
0),
IF(AND($E$2="Monthly",ROUND($AN331-TRUNC($AN331),2)=0.33),
ROUND(
ROUND(((TRUNC(($AN331+0.01)*3/13,0)+0.99)*VLOOKUP((TRUNC(($AN331+0.01)*3/13,0)+0.99),'Tax scales - NAT 1004'!$A$25:$C$33,2,1)-VLOOKUP((TRUNC(($AN331+0.01)*3/13,0)+0.99),'Tax scales - NAT 1004'!$A$25:$C$33,3,1)),0)
*13/3,
0),
IF($E$2="Monthly",
ROUND(
ROUND(((TRUNC($AN331*3/13,0)+0.99)*VLOOKUP((TRUNC($AN331*3/13,0)+0.99),'Tax scales - NAT 1004'!$A$25:$C$33,2,1)-VLOOKUP((TRUNC($AN331*3/13,0)+0.99),'Tax scales - NAT 1004'!$A$25:$C$33,3,1)),0)
*13/3,
0),
""))),
""),
"")</f>
        <v/>
      </c>
      <c r="AQ331" s="118" t="str">
        <f>IFERROR(
IF(VLOOKUP($C331,'Employee information'!$B:$M,COLUMNS('Employee information'!$B:$M),0)=3,
IF($E$2="Fortnightly",
ROUND(
ROUND((((TRUNC($AN331/2,0)+0.99))*VLOOKUP((TRUNC($AN331/2,0)+0.99),'Tax scales - NAT 1004'!$A$39:$C$41,2,1)-VLOOKUP((TRUNC($AN331/2,0)+0.99),'Tax scales - NAT 1004'!$A$39:$C$41,3,1)),0)
*2,
0),
IF(AND($E$2="Monthly",ROUND($AN331-TRUNC($AN331),2)=0.33),
ROUND(
ROUND(((TRUNC(($AN331+0.01)*3/13,0)+0.99)*VLOOKUP((TRUNC(($AN331+0.01)*3/13,0)+0.99),'Tax scales - NAT 1004'!$A$39:$C$41,2,1)-VLOOKUP((TRUNC(($AN331+0.01)*3/13,0)+0.99),'Tax scales - NAT 1004'!$A$39:$C$41,3,1)),0)
*13/3,
0),
IF($E$2="Monthly",
ROUND(
ROUND(((TRUNC($AN331*3/13,0)+0.99)*VLOOKUP((TRUNC($AN331*3/13,0)+0.99),'Tax scales - NAT 1004'!$A$39:$C$41,2,1)-VLOOKUP((TRUNC($AN331*3/13,0)+0.99),'Tax scales - NAT 1004'!$A$39:$C$41,3,1)),0)
*13/3,
0),
""))),
""),
"")</f>
        <v/>
      </c>
      <c r="AR331" s="118" t="str">
        <f>IFERROR(
IF(AND(VLOOKUP($C331,'Employee information'!$B:$M,COLUMNS('Employee information'!$B:$M),0)=4,
VLOOKUP($C331,'Employee information'!$B:$J,COLUMNS('Employee information'!$B:$J),0)="Resident"),
TRUNC(TRUNC($AN331)*'Tax scales - NAT 1004'!$B$47),
IF(AND(VLOOKUP($C331,'Employee information'!$B:$M,COLUMNS('Employee information'!$B:$M),0)=4,
VLOOKUP($C331,'Employee information'!$B:$J,COLUMNS('Employee information'!$B:$J),0)="Foreign resident"),
TRUNC(TRUNC($AN331)*'Tax scales - NAT 1004'!$B$48),
"")),
"")</f>
        <v/>
      </c>
      <c r="AS331" s="118" t="str">
        <f>IFERROR(
IF(VLOOKUP($C331,'Employee information'!$B:$M,COLUMNS('Employee information'!$B:$M),0)=5,
IF($E$2="Fortnightly",
ROUND(
ROUND((((TRUNC($AN331/2,0)+0.99))*VLOOKUP((TRUNC($AN331/2,0)+0.99),'Tax scales - NAT 1004'!$A$53:$C$59,2,1)-VLOOKUP((TRUNC($AN331/2,0)+0.99),'Tax scales - NAT 1004'!$A$53:$C$59,3,1)),0)
*2,
0),
IF(AND($E$2="Monthly",ROUND($AN331-TRUNC($AN331),2)=0.33),
ROUND(
ROUND(((TRUNC(($AN331+0.01)*3/13,0)+0.99)*VLOOKUP((TRUNC(($AN331+0.01)*3/13,0)+0.99),'Tax scales - NAT 1004'!$A$53:$C$59,2,1)-VLOOKUP((TRUNC(($AN331+0.01)*3/13,0)+0.99),'Tax scales - NAT 1004'!$A$53:$C$59,3,1)),0)
*13/3,
0),
IF($E$2="Monthly",
ROUND(
ROUND(((TRUNC($AN331*3/13,0)+0.99)*VLOOKUP((TRUNC($AN331*3/13,0)+0.99),'Tax scales - NAT 1004'!$A$53:$C$59,2,1)-VLOOKUP((TRUNC($AN331*3/13,0)+0.99),'Tax scales - NAT 1004'!$A$53:$C$59,3,1)),0)
*13/3,
0),
""))),
""),
"")</f>
        <v/>
      </c>
      <c r="AT331" s="118" t="str">
        <f>IFERROR(
IF(VLOOKUP($C331,'Employee information'!$B:$M,COLUMNS('Employee information'!$B:$M),0)=6,
IF($E$2="Fortnightly",
ROUND(
ROUND((((TRUNC($AN331/2,0)+0.99))*VLOOKUP((TRUNC($AN331/2,0)+0.99),'Tax scales - NAT 1004'!$A$65:$C$73,2,1)-VLOOKUP((TRUNC($AN331/2,0)+0.99),'Tax scales - NAT 1004'!$A$65:$C$73,3,1)),0)
*2,
0),
IF(AND($E$2="Monthly",ROUND($AN331-TRUNC($AN331),2)=0.33),
ROUND(
ROUND(((TRUNC(($AN331+0.01)*3/13,0)+0.99)*VLOOKUP((TRUNC(($AN331+0.01)*3/13,0)+0.99),'Tax scales - NAT 1004'!$A$65:$C$73,2,1)-VLOOKUP((TRUNC(($AN331+0.01)*3/13,0)+0.99),'Tax scales - NAT 1004'!$A$65:$C$73,3,1)),0)
*13/3,
0),
IF($E$2="Monthly",
ROUND(
ROUND(((TRUNC($AN331*3/13,0)+0.99)*VLOOKUP((TRUNC($AN331*3/13,0)+0.99),'Tax scales - NAT 1004'!$A$65:$C$73,2,1)-VLOOKUP((TRUNC($AN331*3/13,0)+0.99),'Tax scales - NAT 1004'!$A$65:$C$73,3,1)),0)
*13/3,
0),
""))),
""),
"")</f>
        <v/>
      </c>
      <c r="AU331" s="118">
        <f>IFERROR(
IF(VLOOKUP($C331,'Employee information'!$B:$M,COLUMNS('Employee information'!$B:$M),0)=11,
IF($E$2="Fortnightly",
ROUND(
ROUND((((TRUNC($AN331/2,0)+0.99))*VLOOKUP((TRUNC($AN331/2,0)+0.99),'Tax scales - NAT 3539'!$A$14:$C$38,2,1)-VLOOKUP((TRUNC($AN331/2,0)+0.99),'Tax scales - NAT 3539'!$A$14:$C$38,3,1)),0)
*2,
0),
IF(AND($E$2="Monthly",ROUND($AN331-TRUNC($AN331),2)=0.33),
ROUND(
ROUND(((TRUNC(($AN331+0.01)*3/13,0)+0.99)*VLOOKUP((TRUNC(($AN331+0.01)*3/13,0)+0.99),'Tax scales - NAT 3539'!$A$14:$C$38,2,1)-VLOOKUP((TRUNC(($AN331+0.01)*3/13,0)+0.99),'Tax scales - NAT 3539'!$A$14:$C$38,3,1)),0)
*13/3,
0),
IF($E$2="Monthly",
ROUND(
ROUND(((TRUNC($AN331*3/13,0)+0.99)*VLOOKUP((TRUNC($AN331*3/13,0)+0.99),'Tax scales - NAT 3539'!$A$14:$C$38,2,1)-VLOOKUP((TRUNC($AN331*3/13,0)+0.99),'Tax scales - NAT 3539'!$A$14:$C$38,3,1)),0)
*13/3,
0),
""))),
""),
"")</f>
        <v>0</v>
      </c>
      <c r="AV331" s="118" t="str">
        <f>IFERROR(
IF(VLOOKUP($C331,'Employee information'!$B:$M,COLUMNS('Employee information'!$B:$M),0)=22,
IF($E$2="Fortnightly",
ROUND(
ROUND((((TRUNC($AN331/2,0)+0.99))*VLOOKUP((TRUNC($AN331/2,0)+0.99),'Tax scales - NAT 3539'!$A$43:$C$69,2,1)-VLOOKUP((TRUNC($AN331/2,0)+0.99),'Tax scales - NAT 3539'!$A$43:$C$69,3,1)),0)
*2,
0),
IF(AND($E$2="Monthly",ROUND($AN331-TRUNC($AN331),2)=0.33),
ROUND(
ROUND(((TRUNC(($AN331+0.01)*3/13,0)+0.99)*VLOOKUP((TRUNC(($AN331+0.01)*3/13,0)+0.99),'Tax scales - NAT 3539'!$A$43:$C$69,2,1)-VLOOKUP((TRUNC(($AN331+0.01)*3/13,0)+0.99),'Tax scales - NAT 3539'!$A$43:$C$69,3,1)),0)
*13/3,
0),
IF($E$2="Monthly",
ROUND(
ROUND(((TRUNC($AN331*3/13,0)+0.99)*VLOOKUP((TRUNC($AN331*3/13,0)+0.99),'Tax scales - NAT 3539'!$A$43:$C$69,2,1)-VLOOKUP((TRUNC($AN331*3/13,0)+0.99),'Tax scales - NAT 3539'!$A$43:$C$69,3,1)),0)
*13/3,
0),
""))),
""),
"")</f>
        <v/>
      </c>
      <c r="AW331" s="118" t="str">
        <f>IFERROR(
IF(VLOOKUP($C331,'Employee information'!$B:$M,COLUMNS('Employee information'!$B:$M),0)=33,
IF($E$2="Fortnightly",
ROUND(
ROUND((((TRUNC($AN331/2,0)+0.99))*VLOOKUP((TRUNC($AN331/2,0)+0.99),'Tax scales - NAT 3539'!$A$74:$C$94,2,1)-VLOOKUP((TRUNC($AN331/2,0)+0.99),'Tax scales - NAT 3539'!$A$74:$C$94,3,1)),0)
*2,
0),
IF(AND($E$2="Monthly",ROUND($AN331-TRUNC($AN331),2)=0.33),
ROUND(
ROUND(((TRUNC(($AN331+0.01)*3/13,0)+0.99)*VLOOKUP((TRUNC(($AN331+0.01)*3/13,0)+0.99),'Tax scales - NAT 3539'!$A$74:$C$94,2,1)-VLOOKUP((TRUNC(($AN331+0.01)*3/13,0)+0.99),'Tax scales - NAT 3539'!$A$74:$C$94,3,1)),0)
*13/3,
0),
IF($E$2="Monthly",
ROUND(
ROUND(((TRUNC($AN331*3/13,0)+0.99)*VLOOKUP((TRUNC($AN331*3/13,0)+0.99),'Tax scales - NAT 3539'!$A$74:$C$94,2,1)-VLOOKUP((TRUNC($AN331*3/13,0)+0.99),'Tax scales - NAT 3539'!$A$74:$C$94,3,1)),0)
*13/3,
0),
""))),
""),
"")</f>
        <v/>
      </c>
      <c r="AX331" s="118" t="str">
        <f>IFERROR(
IF(VLOOKUP($C331,'Employee information'!$B:$M,COLUMNS('Employee information'!$B:$M),0)=55,
IF($E$2="Fortnightly",
ROUND(
ROUND((((TRUNC($AN331/2,0)+0.99))*VLOOKUP((TRUNC($AN331/2,0)+0.99),'Tax scales - NAT 3539'!$A$99:$C$123,2,1)-VLOOKUP((TRUNC($AN331/2,0)+0.99),'Tax scales - NAT 3539'!$A$99:$C$123,3,1)),0)
*2,
0),
IF(AND($E$2="Monthly",ROUND($AN331-TRUNC($AN331),2)=0.33),
ROUND(
ROUND(((TRUNC(($AN331+0.01)*3/13,0)+0.99)*VLOOKUP((TRUNC(($AN331+0.01)*3/13,0)+0.99),'Tax scales - NAT 3539'!$A$99:$C$123,2,1)-VLOOKUP((TRUNC(($AN331+0.01)*3/13,0)+0.99),'Tax scales - NAT 3539'!$A$99:$C$123,3,1)),0)
*13/3,
0),
IF($E$2="Monthly",
ROUND(
ROUND(((TRUNC($AN331*3/13,0)+0.99)*VLOOKUP((TRUNC($AN331*3/13,0)+0.99),'Tax scales - NAT 3539'!$A$99:$C$123,2,1)-VLOOKUP((TRUNC($AN331*3/13,0)+0.99),'Tax scales - NAT 3539'!$A$99:$C$123,3,1)),0)
*13/3,
0),
""))),
""),
"")</f>
        <v/>
      </c>
      <c r="AY331" s="118" t="str">
        <f>IFERROR(
IF(VLOOKUP($C331,'Employee information'!$B:$M,COLUMNS('Employee information'!$B:$M),0)=66,
IF($E$2="Fortnightly",
ROUND(
ROUND((((TRUNC($AN331/2,0)+0.99))*VLOOKUP((TRUNC($AN331/2,0)+0.99),'Tax scales - NAT 3539'!$A$127:$C$154,2,1)-VLOOKUP((TRUNC($AN331/2,0)+0.99),'Tax scales - NAT 3539'!$A$127:$C$154,3,1)),0)
*2,
0),
IF(AND($E$2="Monthly",ROUND($AN331-TRUNC($AN331),2)=0.33),
ROUND(
ROUND(((TRUNC(($AN331+0.01)*3/13,0)+0.99)*VLOOKUP((TRUNC(($AN331+0.01)*3/13,0)+0.99),'Tax scales - NAT 3539'!$A$127:$C$154,2,1)-VLOOKUP((TRUNC(($AN331+0.01)*3/13,0)+0.99),'Tax scales - NAT 3539'!$A$127:$C$154,3,1)),0)
*13/3,
0),
IF($E$2="Monthly",
ROUND(
ROUND(((TRUNC($AN331*3/13,0)+0.99)*VLOOKUP((TRUNC($AN331*3/13,0)+0.99),'Tax scales - NAT 3539'!$A$127:$C$154,2,1)-VLOOKUP((TRUNC($AN331*3/13,0)+0.99),'Tax scales - NAT 3539'!$A$127:$C$154,3,1)),0)
*13/3,
0),
""))),
""),
"")</f>
        <v/>
      </c>
      <c r="AZ331" s="118">
        <f>IFERROR(
HLOOKUP(VLOOKUP($C331,'Employee information'!$B:$M,COLUMNS('Employee information'!$B:$M),0),'PAYG worksheet'!$AO$329:$AY$348,COUNTA($C$330:$C331)+1,0),
0)</f>
        <v>0</v>
      </c>
      <c r="BA331" s="118"/>
      <c r="BB331" s="118">
        <f t="shared" ref="BB331:BB348" si="356">IFERROR($AM331-$AZ331-$BA331,"")</f>
        <v>0</v>
      </c>
      <c r="BC331" s="119">
        <f>IFERROR(
IF(OR($AE331=1,$AE331=""),SUM($P331,$AA331,$AC331,$AK331)*VLOOKUP($C331,'Employee information'!$B:$Q,COLUMNS('Employee information'!$B:$H),0),
IF($AE331=0,SUM($P331,$AA331,$AK331)*VLOOKUP($C331,'Employee information'!$B:$Q,COLUMNS('Employee information'!$B:$H),0),
0)),
0)</f>
        <v>0</v>
      </c>
      <c r="BE331" s="114">
        <f t="shared" si="341"/>
        <v>1615.3846153846152</v>
      </c>
      <c r="BF331" s="114">
        <f t="shared" si="342"/>
        <v>1615.3846153846152</v>
      </c>
      <c r="BG331" s="114">
        <f t="shared" si="343"/>
        <v>0</v>
      </c>
      <c r="BH331" s="114">
        <f t="shared" si="344"/>
        <v>0</v>
      </c>
      <c r="BI331" s="114">
        <f t="shared" si="345"/>
        <v>474</v>
      </c>
      <c r="BJ331" s="114">
        <f t="shared" si="346"/>
        <v>0</v>
      </c>
      <c r="BK331" s="114">
        <f t="shared" si="347"/>
        <v>0</v>
      </c>
      <c r="BL331" s="114">
        <f t="shared" ref="BL331:BL348" si="357">IF(AND($E$2="Monthly",$A331&gt;12),"",
SUMIFS($AK:$AK,$C:$C,$C331,$A:$A,"&lt;="&amp;$A331)
)</f>
        <v>0</v>
      </c>
      <c r="BM331" s="114">
        <f t="shared" si="348"/>
        <v>153.46153846153845</v>
      </c>
    </row>
    <row r="332" spans="1:65" x14ac:dyDescent="0.25">
      <c r="A332" s="228">
        <f t="shared" si="336"/>
        <v>12</v>
      </c>
      <c r="C332" s="278" t="s">
        <v>14</v>
      </c>
      <c r="E332" s="103">
        <f>IF($C332="",0,
IF(AND($E$2="Monthly",$A332&gt;12),0,
IF($E$2="Monthly",VLOOKUP($C332,'Employee information'!$B:$AM,COLUMNS('Employee information'!$B:S),0),
IF($E$2="Fortnightly",VLOOKUP($C332,'Employee information'!$B:$AM,COLUMNS('Employee information'!$B:R),0),
0))))</f>
        <v>0</v>
      </c>
      <c r="F332" s="106"/>
      <c r="G332" s="106"/>
      <c r="H332" s="106"/>
      <c r="I332" s="106"/>
      <c r="J332" s="103">
        <f t="shared" si="349"/>
        <v>0</v>
      </c>
      <c r="L332" s="113">
        <f>IF(AND($E$2="Monthly",$A332&gt;12),"",
IFERROR($J332*VLOOKUP($C332,'Employee information'!$B:$AI,COLUMNS('Employee information'!$B:$P),0),0))</f>
        <v>0</v>
      </c>
      <c r="M332" s="114">
        <f t="shared" si="350"/>
        <v>900</v>
      </c>
      <c r="O332" s="103">
        <f t="shared" si="351"/>
        <v>0</v>
      </c>
      <c r="P332" s="113">
        <f>IFERROR(
IF(AND($E$2="Monthly",$A332&gt;12),0,
$O332*VLOOKUP($C332,'Employee information'!$B:$AI,COLUMNS('Employee information'!$B:$P),0)),
0)</f>
        <v>0</v>
      </c>
      <c r="R332" s="114">
        <f t="shared" si="337"/>
        <v>900</v>
      </c>
      <c r="T332" s="103"/>
      <c r="U332" s="103"/>
      <c r="V332" s="282">
        <f>IF($C332="","",
IF(AND($E$2="Monthly",$A332&gt;12),"",
$T332*VLOOKUP($C332,'Employee information'!$B:$P,COLUMNS('Employee information'!$B:$P),0)))</f>
        <v>0</v>
      </c>
      <c r="W332" s="282">
        <f>IF($C332="","",
IF(AND($E$2="Monthly",$A332&gt;12),"",
$U332*VLOOKUP($C332,'Employee information'!$B:$P,COLUMNS('Employee information'!$B:$P),0)))</f>
        <v>0</v>
      </c>
      <c r="X332" s="114">
        <f t="shared" si="338"/>
        <v>0</v>
      </c>
      <c r="Y332" s="114">
        <f t="shared" si="339"/>
        <v>0</v>
      </c>
      <c r="AA332" s="118">
        <f>IFERROR(
IF(OR('Basic payroll data'!$D$12="",'Basic payroll data'!$D$12="No"),0,
$T332*VLOOKUP($C332,'Employee information'!$B:$P,COLUMNS('Employee information'!$B:$P),0)*AL_loading_perc),
0)</f>
        <v>0</v>
      </c>
      <c r="AC332" s="118"/>
      <c r="AD332" s="118"/>
      <c r="AE332" s="283" t="str">
        <f t="shared" si="352"/>
        <v/>
      </c>
      <c r="AF332" s="283" t="str">
        <f t="shared" si="353"/>
        <v/>
      </c>
      <c r="AG332" s="118"/>
      <c r="AH332" s="118"/>
      <c r="AI332" s="283" t="str">
        <f t="shared" si="354"/>
        <v/>
      </c>
      <c r="AJ332" s="118"/>
      <c r="AK332" s="118"/>
      <c r="AM332" s="118">
        <f t="shared" si="355"/>
        <v>0</v>
      </c>
      <c r="AN332" s="118">
        <f t="shared" si="340"/>
        <v>0</v>
      </c>
      <c r="AO332" s="118" t="str">
        <f>IFERROR(
IF(VLOOKUP($C332,'Employee information'!$B:$M,COLUMNS('Employee information'!$B:$M),0)=1,
IF($E$2="Fortnightly",
ROUND(
ROUND((((TRUNC($AN332/2,0)+0.99))*VLOOKUP((TRUNC($AN332/2,0)+0.99),'Tax scales - NAT 1004'!$A$12:$C$18,2,1)-VLOOKUP((TRUNC($AN332/2,0)+0.99),'Tax scales - NAT 1004'!$A$12:$C$18,3,1)),0)
*2,
0),
IF(AND($E$2="Monthly",ROUND($AN332-TRUNC($AN332),2)=0.33),
ROUND(
ROUND(((TRUNC(($AN332+0.01)*3/13,0)+0.99)*VLOOKUP((TRUNC(($AN332+0.01)*3/13,0)+0.99),'Tax scales - NAT 1004'!$A$12:$C$18,2,1)-VLOOKUP((TRUNC(($AN332+0.01)*3/13,0)+0.99),'Tax scales - NAT 1004'!$A$12:$C$18,3,1)),0)
*13/3,
0),
IF($E$2="Monthly",
ROUND(
ROUND(((TRUNC($AN332*3/13,0)+0.99)*VLOOKUP((TRUNC($AN332*3/13,0)+0.99),'Tax scales - NAT 1004'!$A$12:$C$18,2,1)-VLOOKUP((TRUNC($AN332*3/13,0)+0.99),'Tax scales - NAT 1004'!$A$12:$C$18,3,1)),0)
*13/3,
0),
""))),
""),
"")</f>
        <v/>
      </c>
      <c r="AP332" s="118" t="str">
        <f>IFERROR(
IF(VLOOKUP($C332,'Employee information'!$B:$M,COLUMNS('Employee information'!$B:$M),0)=2,
IF($E$2="Fortnightly",
ROUND(
ROUND((((TRUNC($AN332/2,0)+0.99))*VLOOKUP((TRUNC($AN332/2,0)+0.99),'Tax scales - NAT 1004'!$A$25:$C$33,2,1)-VLOOKUP((TRUNC($AN332/2,0)+0.99),'Tax scales - NAT 1004'!$A$25:$C$33,3,1)),0)
*2,
0),
IF(AND($E$2="Monthly",ROUND($AN332-TRUNC($AN332),2)=0.33),
ROUND(
ROUND(((TRUNC(($AN332+0.01)*3/13,0)+0.99)*VLOOKUP((TRUNC(($AN332+0.01)*3/13,0)+0.99),'Tax scales - NAT 1004'!$A$25:$C$33,2,1)-VLOOKUP((TRUNC(($AN332+0.01)*3/13,0)+0.99),'Tax scales - NAT 1004'!$A$25:$C$33,3,1)),0)
*13/3,
0),
IF($E$2="Monthly",
ROUND(
ROUND(((TRUNC($AN332*3/13,0)+0.99)*VLOOKUP((TRUNC($AN332*3/13,0)+0.99),'Tax scales - NAT 1004'!$A$25:$C$33,2,1)-VLOOKUP((TRUNC($AN332*3/13,0)+0.99),'Tax scales - NAT 1004'!$A$25:$C$33,3,1)),0)
*13/3,
0),
""))),
""),
"")</f>
        <v/>
      </c>
      <c r="AQ332" s="118" t="str">
        <f>IFERROR(
IF(VLOOKUP($C332,'Employee information'!$B:$M,COLUMNS('Employee information'!$B:$M),0)=3,
IF($E$2="Fortnightly",
ROUND(
ROUND((((TRUNC($AN332/2,0)+0.99))*VLOOKUP((TRUNC($AN332/2,0)+0.99),'Tax scales - NAT 1004'!$A$39:$C$41,2,1)-VLOOKUP((TRUNC($AN332/2,0)+0.99),'Tax scales - NAT 1004'!$A$39:$C$41,3,1)),0)
*2,
0),
IF(AND($E$2="Monthly",ROUND($AN332-TRUNC($AN332),2)=0.33),
ROUND(
ROUND(((TRUNC(($AN332+0.01)*3/13,0)+0.99)*VLOOKUP((TRUNC(($AN332+0.01)*3/13,0)+0.99),'Tax scales - NAT 1004'!$A$39:$C$41,2,1)-VLOOKUP((TRUNC(($AN332+0.01)*3/13,0)+0.99),'Tax scales - NAT 1004'!$A$39:$C$41,3,1)),0)
*13/3,
0),
IF($E$2="Monthly",
ROUND(
ROUND(((TRUNC($AN332*3/13,0)+0.99)*VLOOKUP((TRUNC($AN332*3/13,0)+0.99),'Tax scales - NAT 1004'!$A$39:$C$41,2,1)-VLOOKUP((TRUNC($AN332*3/13,0)+0.99),'Tax scales - NAT 1004'!$A$39:$C$41,3,1)),0)
*13/3,
0),
""))),
""),
"")</f>
        <v/>
      </c>
      <c r="AR332" s="118" t="str">
        <f>IFERROR(
IF(AND(VLOOKUP($C332,'Employee information'!$B:$M,COLUMNS('Employee information'!$B:$M),0)=4,
VLOOKUP($C332,'Employee information'!$B:$J,COLUMNS('Employee information'!$B:$J),0)="Resident"),
TRUNC(TRUNC($AN332)*'Tax scales - NAT 1004'!$B$47),
IF(AND(VLOOKUP($C332,'Employee information'!$B:$M,COLUMNS('Employee information'!$B:$M),0)=4,
VLOOKUP($C332,'Employee information'!$B:$J,COLUMNS('Employee information'!$B:$J),0)="Foreign resident"),
TRUNC(TRUNC($AN332)*'Tax scales - NAT 1004'!$B$48),
"")),
"")</f>
        <v/>
      </c>
      <c r="AS332" s="118" t="str">
        <f>IFERROR(
IF(VLOOKUP($C332,'Employee information'!$B:$M,COLUMNS('Employee information'!$B:$M),0)=5,
IF($E$2="Fortnightly",
ROUND(
ROUND((((TRUNC($AN332/2,0)+0.99))*VLOOKUP((TRUNC($AN332/2,0)+0.99),'Tax scales - NAT 1004'!$A$53:$C$59,2,1)-VLOOKUP((TRUNC($AN332/2,0)+0.99),'Tax scales - NAT 1004'!$A$53:$C$59,3,1)),0)
*2,
0),
IF(AND($E$2="Monthly",ROUND($AN332-TRUNC($AN332),2)=0.33),
ROUND(
ROUND(((TRUNC(($AN332+0.01)*3/13,0)+0.99)*VLOOKUP((TRUNC(($AN332+0.01)*3/13,0)+0.99),'Tax scales - NAT 1004'!$A$53:$C$59,2,1)-VLOOKUP((TRUNC(($AN332+0.01)*3/13,0)+0.99),'Tax scales - NAT 1004'!$A$53:$C$59,3,1)),0)
*13/3,
0),
IF($E$2="Monthly",
ROUND(
ROUND(((TRUNC($AN332*3/13,0)+0.99)*VLOOKUP((TRUNC($AN332*3/13,0)+0.99),'Tax scales - NAT 1004'!$A$53:$C$59,2,1)-VLOOKUP((TRUNC($AN332*3/13,0)+0.99),'Tax scales - NAT 1004'!$A$53:$C$59,3,1)),0)
*13/3,
0),
""))),
""),
"")</f>
        <v/>
      </c>
      <c r="AT332" s="118" t="str">
        <f>IFERROR(
IF(VLOOKUP($C332,'Employee information'!$B:$M,COLUMNS('Employee information'!$B:$M),0)=6,
IF($E$2="Fortnightly",
ROUND(
ROUND((((TRUNC($AN332/2,0)+0.99))*VLOOKUP((TRUNC($AN332/2,0)+0.99),'Tax scales - NAT 1004'!$A$65:$C$73,2,1)-VLOOKUP((TRUNC($AN332/2,0)+0.99),'Tax scales - NAT 1004'!$A$65:$C$73,3,1)),0)
*2,
0),
IF(AND($E$2="Monthly",ROUND($AN332-TRUNC($AN332),2)=0.33),
ROUND(
ROUND(((TRUNC(($AN332+0.01)*3/13,0)+0.99)*VLOOKUP((TRUNC(($AN332+0.01)*3/13,0)+0.99),'Tax scales - NAT 1004'!$A$65:$C$73,2,1)-VLOOKUP((TRUNC(($AN332+0.01)*3/13,0)+0.99),'Tax scales - NAT 1004'!$A$65:$C$73,3,1)),0)
*13/3,
0),
IF($E$2="Monthly",
ROUND(
ROUND(((TRUNC($AN332*3/13,0)+0.99)*VLOOKUP((TRUNC($AN332*3/13,0)+0.99),'Tax scales - NAT 1004'!$A$65:$C$73,2,1)-VLOOKUP((TRUNC($AN332*3/13,0)+0.99),'Tax scales - NAT 1004'!$A$65:$C$73,3,1)),0)
*13/3,
0),
""))),
""),
"")</f>
        <v/>
      </c>
      <c r="AU332" s="118" t="str">
        <f>IFERROR(
IF(VLOOKUP($C332,'Employee information'!$B:$M,COLUMNS('Employee information'!$B:$M),0)=11,
IF($E$2="Fortnightly",
ROUND(
ROUND((((TRUNC($AN332/2,0)+0.99))*VLOOKUP((TRUNC($AN332/2,0)+0.99),'Tax scales - NAT 3539'!$A$14:$C$38,2,1)-VLOOKUP((TRUNC($AN332/2,0)+0.99),'Tax scales - NAT 3539'!$A$14:$C$38,3,1)),0)
*2,
0),
IF(AND($E$2="Monthly",ROUND($AN332-TRUNC($AN332),2)=0.33),
ROUND(
ROUND(((TRUNC(($AN332+0.01)*3/13,0)+0.99)*VLOOKUP((TRUNC(($AN332+0.01)*3/13,0)+0.99),'Tax scales - NAT 3539'!$A$14:$C$38,2,1)-VLOOKUP((TRUNC(($AN332+0.01)*3/13,0)+0.99),'Tax scales - NAT 3539'!$A$14:$C$38,3,1)),0)
*13/3,
0),
IF($E$2="Monthly",
ROUND(
ROUND(((TRUNC($AN332*3/13,0)+0.99)*VLOOKUP((TRUNC($AN332*3/13,0)+0.99),'Tax scales - NAT 3539'!$A$14:$C$38,2,1)-VLOOKUP((TRUNC($AN332*3/13,0)+0.99),'Tax scales - NAT 3539'!$A$14:$C$38,3,1)),0)
*13/3,
0),
""))),
""),
"")</f>
        <v/>
      </c>
      <c r="AV332" s="118" t="str">
        <f>IFERROR(
IF(VLOOKUP($C332,'Employee information'!$B:$M,COLUMNS('Employee information'!$B:$M),0)=22,
IF($E$2="Fortnightly",
ROUND(
ROUND((((TRUNC($AN332/2,0)+0.99))*VLOOKUP((TRUNC($AN332/2,0)+0.99),'Tax scales - NAT 3539'!$A$43:$C$69,2,1)-VLOOKUP((TRUNC($AN332/2,0)+0.99),'Tax scales - NAT 3539'!$A$43:$C$69,3,1)),0)
*2,
0),
IF(AND($E$2="Monthly",ROUND($AN332-TRUNC($AN332),2)=0.33),
ROUND(
ROUND(((TRUNC(($AN332+0.01)*3/13,0)+0.99)*VLOOKUP((TRUNC(($AN332+0.01)*3/13,0)+0.99),'Tax scales - NAT 3539'!$A$43:$C$69,2,1)-VLOOKUP((TRUNC(($AN332+0.01)*3/13,0)+0.99),'Tax scales - NAT 3539'!$A$43:$C$69,3,1)),0)
*13/3,
0),
IF($E$2="Monthly",
ROUND(
ROUND(((TRUNC($AN332*3/13,0)+0.99)*VLOOKUP((TRUNC($AN332*3/13,0)+0.99),'Tax scales - NAT 3539'!$A$43:$C$69,2,1)-VLOOKUP((TRUNC($AN332*3/13,0)+0.99),'Tax scales - NAT 3539'!$A$43:$C$69,3,1)),0)
*13/3,
0),
""))),
""),
"")</f>
        <v/>
      </c>
      <c r="AW332" s="118">
        <f>IFERROR(
IF(VLOOKUP($C332,'Employee information'!$B:$M,COLUMNS('Employee information'!$B:$M),0)=33,
IF($E$2="Fortnightly",
ROUND(
ROUND((((TRUNC($AN332/2,0)+0.99))*VLOOKUP((TRUNC($AN332/2,0)+0.99),'Tax scales - NAT 3539'!$A$74:$C$94,2,1)-VLOOKUP((TRUNC($AN332/2,0)+0.99),'Tax scales - NAT 3539'!$A$74:$C$94,3,1)),0)
*2,
0),
IF(AND($E$2="Monthly",ROUND($AN332-TRUNC($AN332),2)=0.33),
ROUND(
ROUND(((TRUNC(($AN332+0.01)*3/13,0)+0.99)*VLOOKUP((TRUNC(($AN332+0.01)*3/13,0)+0.99),'Tax scales - NAT 3539'!$A$74:$C$94,2,1)-VLOOKUP((TRUNC(($AN332+0.01)*3/13,0)+0.99),'Tax scales - NAT 3539'!$A$74:$C$94,3,1)),0)
*13/3,
0),
IF($E$2="Monthly",
ROUND(
ROUND(((TRUNC($AN332*3/13,0)+0.99)*VLOOKUP((TRUNC($AN332*3/13,0)+0.99),'Tax scales - NAT 3539'!$A$74:$C$94,2,1)-VLOOKUP((TRUNC($AN332*3/13,0)+0.99),'Tax scales - NAT 3539'!$A$74:$C$94,3,1)),0)
*13/3,
0),
""))),
""),
"")</f>
        <v>0</v>
      </c>
      <c r="AX332" s="118" t="str">
        <f>IFERROR(
IF(VLOOKUP($C332,'Employee information'!$B:$M,COLUMNS('Employee information'!$B:$M),0)=55,
IF($E$2="Fortnightly",
ROUND(
ROUND((((TRUNC($AN332/2,0)+0.99))*VLOOKUP((TRUNC($AN332/2,0)+0.99),'Tax scales - NAT 3539'!$A$99:$C$123,2,1)-VLOOKUP((TRUNC($AN332/2,0)+0.99),'Tax scales - NAT 3539'!$A$99:$C$123,3,1)),0)
*2,
0),
IF(AND($E$2="Monthly",ROUND($AN332-TRUNC($AN332),2)=0.33),
ROUND(
ROUND(((TRUNC(($AN332+0.01)*3/13,0)+0.99)*VLOOKUP((TRUNC(($AN332+0.01)*3/13,0)+0.99),'Tax scales - NAT 3539'!$A$99:$C$123,2,1)-VLOOKUP((TRUNC(($AN332+0.01)*3/13,0)+0.99),'Tax scales - NAT 3539'!$A$99:$C$123,3,1)),0)
*13/3,
0),
IF($E$2="Monthly",
ROUND(
ROUND(((TRUNC($AN332*3/13,0)+0.99)*VLOOKUP((TRUNC($AN332*3/13,0)+0.99),'Tax scales - NAT 3539'!$A$99:$C$123,2,1)-VLOOKUP((TRUNC($AN332*3/13,0)+0.99),'Tax scales - NAT 3539'!$A$99:$C$123,3,1)),0)
*13/3,
0),
""))),
""),
"")</f>
        <v/>
      </c>
      <c r="AY332" s="118" t="str">
        <f>IFERROR(
IF(VLOOKUP($C332,'Employee information'!$B:$M,COLUMNS('Employee information'!$B:$M),0)=66,
IF($E$2="Fortnightly",
ROUND(
ROUND((((TRUNC($AN332/2,0)+0.99))*VLOOKUP((TRUNC($AN332/2,0)+0.99),'Tax scales - NAT 3539'!$A$127:$C$154,2,1)-VLOOKUP((TRUNC($AN332/2,0)+0.99),'Tax scales - NAT 3539'!$A$127:$C$154,3,1)),0)
*2,
0),
IF(AND($E$2="Monthly",ROUND($AN332-TRUNC($AN332),2)=0.33),
ROUND(
ROUND(((TRUNC(($AN332+0.01)*3/13,0)+0.99)*VLOOKUP((TRUNC(($AN332+0.01)*3/13,0)+0.99),'Tax scales - NAT 3539'!$A$127:$C$154,2,1)-VLOOKUP((TRUNC(($AN332+0.01)*3/13,0)+0.99),'Tax scales - NAT 3539'!$A$127:$C$154,3,1)),0)
*13/3,
0),
IF($E$2="Monthly",
ROUND(
ROUND(((TRUNC($AN332*3/13,0)+0.99)*VLOOKUP((TRUNC($AN332*3/13,0)+0.99),'Tax scales - NAT 3539'!$A$127:$C$154,2,1)-VLOOKUP((TRUNC($AN332*3/13,0)+0.99),'Tax scales - NAT 3539'!$A$127:$C$154,3,1)),0)
*13/3,
0),
""))),
""),
"")</f>
        <v/>
      </c>
      <c r="AZ332" s="118">
        <f>IFERROR(
HLOOKUP(VLOOKUP($C332,'Employee information'!$B:$M,COLUMNS('Employee information'!$B:$M),0),'PAYG worksheet'!$AO$329:$AY$348,COUNTA($C$330:$C332)+1,0),
0)</f>
        <v>0</v>
      </c>
      <c r="BA332" s="118"/>
      <c r="BB332" s="118">
        <f t="shared" si="356"/>
        <v>0</v>
      </c>
      <c r="BC332" s="119">
        <f>IFERROR(
IF(OR($AE332=1,$AE332=""),SUM($P332,$AA332,$AC332,$AK332)*VLOOKUP($C332,'Employee information'!$B:$Q,COLUMNS('Employee information'!$B:$H),0),
IF($AE332=0,SUM($P332,$AA332,$AK332)*VLOOKUP($C332,'Employee information'!$B:$Q,COLUMNS('Employee information'!$B:$H),0),
0)),
0)</f>
        <v>0</v>
      </c>
      <c r="BE332" s="114">
        <f t="shared" si="341"/>
        <v>900</v>
      </c>
      <c r="BF332" s="114">
        <f t="shared" si="342"/>
        <v>900</v>
      </c>
      <c r="BG332" s="114">
        <f t="shared" si="343"/>
        <v>0</v>
      </c>
      <c r="BH332" s="114">
        <f t="shared" si="344"/>
        <v>0</v>
      </c>
      <c r="BI332" s="114">
        <f t="shared" si="345"/>
        <v>292</v>
      </c>
      <c r="BJ332" s="114">
        <f t="shared" si="346"/>
        <v>0</v>
      </c>
      <c r="BK332" s="114">
        <f t="shared" si="347"/>
        <v>0</v>
      </c>
      <c r="BL332" s="114">
        <f t="shared" si="357"/>
        <v>0</v>
      </c>
      <c r="BM332" s="114">
        <f t="shared" si="348"/>
        <v>85.5</v>
      </c>
    </row>
    <row r="333" spans="1:65" x14ac:dyDescent="0.25">
      <c r="A333" s="228">
        <f t="shared" si="336"/>
        <v>12</v>
      </c>
      <c r="C333" s="278" t="s">
        <v>15</v>
      </c>
      <c r="E333" s="103">
        <f>IF($C333="",0,
IF(AND($E$2="Monthly",$A333&gt;12),0,
IF($E$2="Monthly",VLOOKUP($C333,'Employee information'!$B:$AM,COLUMNS('Employee information'!$B:S),0),
IF($E$2="Fortnightly",VLOOKUP($C333,'Employee information'!$B:$AM,COLUMNS('Employee information'!$B:R),0),
0))))</f>
        <v>75</v>
      </c>
      <c r="F333" s="106"/>
      <c r="G333" s="106"/>
      <c r="H333" s="106"/>
      <c r="I333" s="106"/>
      <c r="J333" s="103">
        <f t="shared" si="349"/>
        <v>75</v>
      </c>
      <c r="L333" s="113">
        <f>IF(AND($E$2="Monthly",$A333&gt;12),"",
IFERROR($J333*VLOOKUP($C333,'Employee information'!$B:$AI,COLUMNS('Employee information'!$B:$P),0),0))</f>
        <v>7692.3076923076924</v>
      </c>
      <c r="M333" s="114">
        <f t="shared" si="350"/>
        <v>92307.692307692298</v>
      </c>
      <c r="O333" s="103">
        <f t="shared" si="351"/>
        <v>75</v>
      </c>
      <c r="P333" s="113">
        <f>IFERROR(
IF(AND($E$2="Monthly",$A333&gt;12),0,
$O333*VLOOKUP($C333,'Employee information'!$B:$AI,COLUMNS('Employee information'!$B:$P),0)),
0)</f>
        <v>7692.3076923076924</v>
      </c>
      <c r="R333" s="114">
        <f t="shared" si="337"/>
        <v>92307.692307692298</v>
      </c>
      <c r="T333" s="103"/>
      <c r="U333" s="103"/>
      <c r="V333" s="282">
        <f>IF($C333="","",
IF(AND($E$2="Monthly",$A333&gt;12),"",
$T333*VLOOKUP($C333,'Employee information'!$B:$P,COLUMNS('Employee information'!$B:$P),0)))</f>
        <v>0</v>
      </c>
      <c r="W333" s="282">
        <f>IF($C333="","",
IF(AND($E$2="Monthly",$A333&gt;12),"",
$U333*VLOOKUP($C333,'Employee information'!$B:$P,COLUMNS('Employee information'!$B:$P),0)))</f>
        <v>0</v>
      </c>
      <c r="X333" s="114">
        <f t="shared" si="338"/>
        <v>1538.4615384615386</v>
      </c>
      <c r="Y333" s="114">
        <f t="shared" si="339"/>
        <v>512.82051282051282</v>
      </c>
      <c r="AA333" s="118">
        <f>IFERROR(
IF(OR('Basic payroll data'!$D$12="",'Basic payroll data'!$D$12="No"),0,
$T333*VLOOKUP($C333,'Employee information'!$B:$P,COLUMNS('Employee information'!$B:$P),0)*AL_loading_perc),
0)</f>
        <v>0</v>
      </c>
      <c r="AC333" s="118"/>
      <c r="AD333" s="118"/>
      <c r="AE333" s="283" t="str">
        <f t="shared" si="352"/>
        <v/>
      </c>
      <c r="AF333" s="283" t="str">
        <f t="shared" si="353"/>
        <v/>
      </c>
      <c r="AG333" s="118"/>
      <c r="AH333" s="118"/>
      <c r="AI333" s="283" t="str">
        <f t="shared" si="354"/>
        <v/>
      </c>
      <c r="AJ333" s="118"/>
      <c r="AK333" s="118"/>
      <c r="AM333" s="118">
        <f t="shared" si="355"/>
        <v>7692.3076923076924</v>
      </c>
      <c r="AN333" s="118">
        <f t="shared" si="340"/>
        <v>7692.3076923076924</v>
      </c>
      <c r="AO333" s="118" t="str">
        <f>IFERROR(
IF(VLOOKUP($C333,'Employee information'!$B:$M,COLUMNS('Employee information'!$B:$M),0)=1,
IF($E$2="Fortnightly",
ROUND(
ROUND((((TRUNC($AN333/2,0)+0.99))*VLOOKUP((TRUNC($AN333/2,0)+0.99),'Tax scales - NAT 1004'!$A$12:$C$18,2,1)-VLOOKUP((TRUNC($AN333/2,0)+0.99),'Tax scales - NAT 1004'!$A$12:$C$18,3,1)),0)
*2,
0),
IF(AND($E$2="Monthly",ROUND($AN333-TRUNC($AN333),2)=0.33),
ROUND(
ROUND(((TRUNC(($AN333+0.01)*3/13,0)+0.99)*VLOOKUP((TRUNC(($AN333+0.01)*3/13,0)+0.99),'Tax scales - NAT 1004'!$A$12:$C$18,2,1)-VLOOKUP((TRUNC(($AN333+0.01)*3/13,0)+0.99),'Tax scales - NAT 1004'!$A$12:$C$18,3,1)),0)
*13/3,
0),
IF($E$2="Monthly",
ROUND(
ROUND(((TRUNC($AN333*3/13,0)+0.99)*VLOOKUP((TRUNC($AN333*3/13,0)+0.99),'Tax scales - NAT 1004'!$A$12:$C$18,2,1)-VLOOKUP((TRUNC($AN333*3/13,0)+0.99),'Tax scales - NAT 1004'!$A$12:$C$18,3,1)),0)
*13/3,
0),
""))),
""),
"")</f>
        <v/>
      </c>
      <c r="AP333" s="118" t="str">
        <f>IFERROR(
IF(VLOOKUP($C333,'Employee information'!$B:$M,COLUMNS('Employee information'!$B:$M),0)=2,
IF($E$2="Fortnightly",
ROUND(
ROUND((((TRUNC($AN333/2,0)+0.99))*VLOOKUP((TRUNC($AN333/2,0)+0.99),'Tax scales - NAT 1004'!$A$25:$C$33,2,1)-VLOOKUP((TRUNC($AN333/2,0)+0.99),'Tax scales - NAT 1004'!$A$25:$C$33,3,1)),0)
*2,
0),
IF(AND($E$2="Monthly",ROUND($AN333-TRUNC($AN333),2)=0.33),
ROUND(
ROUND(((TRUNC(($AN333+0.01)*3/13,0)+0.99)*VLOOKUP((TRUNC(($AN333+0.01)*3/13,0)+0.99),'Tax scales - NAT 1004'!$A$25:$C$33,2,1)-VLOOKUP((TRUNC(($AN333+0.01)*3/13,0)+0.99),'Tax scales - NAT 1004'!$A$25:$C$33,3,1)),0)
*13/3,
0),
IF($E$2="Monthly",
ROUND(
ROUND(((TRUNC($AN333*3/13,0)+0.99)*VLOOKUP((TRUNC($AN333*3/13,0)+0.99),'Tax scales - NAT 1004'!$A$25:$C$33,2,1)-VLOOKUP((TRUNC($AN333*3/13,0)+0.99),'Tax scales - NAT 1004'!$A$25:$C$33,3,1)),0)
*13/3,
0),
""))),
""),
"")</f>
        <v/>
      </c>
      <c r="AQ333" s="118" t="str">
        <f>IFERROR(
IF(VLOOKUP($C333,'Employee information'!$B:$M,COLUMNS('Employee information'!$B:$M),0)=3,
IF($E$2="Fortnightly",
ROUND(
ROUND((((TRUNC($AN333/2,0)+0.99))*VLOOKUP((TRUNC($AN333/2,0)+0.99),'Tax scales - NAT 1004'!$A$39:$C$41,2,1)-VLOOKUP((TRUNC($AN333/2,0)+0.99),'Tax scales - NAT 1004'!$A$39:$C$41,3,1)),0)
*2,
0),
IF(AND($E$2="Monthly",ROUND($AN333-TRUNC($AN333),2)=0.33),
ROUND(
ROUND(((TRUNC(($AN333+0.01)*3/13,0)+0.99)*VLOOKUP((TRUNC(($AN333+0.01)*3/13,0)+0.99),'Tax scales - NAT 1004'!$A$39:$C$41,2,1)-VLOOKUP((TRUNC(($AN333+0.01)*3/13,0)+0.99),'Tax scales - NAT 1004'!$A$39:$C$41,3,1)),0)
*13/3,
0),
IF($E$2="Monthly",
ROUND(
ROUND(((TRUNC($AN333*3/13,0)+0.99)*VLOOKUP((TRUNC($AN333*3/13,0)+0.99),'Tax scales - NAT 1004'!$A$39:$C$41,2,1)-VLOOKUP((TRUNC($AN333*3/13,0)+0.99),'Tax scales - NAT 1004'!$A$39:$C$41,3,1)),0)
*13/3,
0),
""))),
""),
"")</f>
        <v/>
      </c>
      <c r="AR333" s="118" t="str">
        <f>IFERROR(
IF(AND(VLOOKUP($C333,'Employee information'!$B:$M,COLUMNS('Employee information'!$B:$M),0)=4,
VLOOKUP($C333,'Employee information'!$B:$J,COLUMNS('Employee information'!$B:$J),0)="Resident"),
TRUNC(TRUNC($AN333)*'Tax scales - NAT 1004'!$B$47),
IF(AND(VLOOKUP($C333,'Employee information'!$B:$M,COLUMNS('Employee information'!$B:$M),0)=4,
VLOOKUP($C333,'Employee information'!$B:$J,COLUMNS('Employee information'!$B:$J),0)="Foreign resident"),
TRUNC(TRUNC($AN333)*'Tax scales - NAT 1004'!$B$48),
"")),
"")</f>
        <v/>
      </c>
      <c r="AS333" s="118" t="str">
        <f>IFERROR(
IF(VLOOKUP($C333,'Employee information'!$B:$M,COLUMNS('Employee information'!$B:$M),0)=5,
IF($E$2="Fortnightly",
ROUND(
ROUND((((TRUNC($AN333/2,0)+0.99))*VLOOKUP((TRUNC($AN333/2,0)+0.99),'Tax scales - NAT 1004'!$A$53:$C$59,2,1)-VLOOKUP((TRUNC($AN333/2,0)+0.99),'Tax scales - NAT 1004'!$A$53:$C$59,3,1)),0)
*2,
0),
IF(AND($E$2="Monthly",ROUND($AN333-TRUNC($AN333),2)=0.33),
ROUND(
ROUND(((TRUNC(($AN333+0.01)*3/13,0)+0.99)*VLOOKUP((TRUNC(($AN333+0.01)*3/13,0)+0.99),'Tax scales - NAT 1004'!$A$53:$C$59,2,1)-VLOOKUP((TRUNC(($AN333+0.01)*3/13,0)+0.99),'Tax scales - NAT 1004'!$A$53:$C$59,3,1)),0)
*13/3,
0),
IF($E$2="Monthly",
ROUND(
ROUND(((TRUNC($AN333*3/13,0)+0.99)*VLOOKUP((TRUNC($AN333*3/13,0)+0.99),'Tax scales - NAT 1004'!$A$53:$C$59,2,1)-VLOOKUP((TRUNC($AN333*3/13,0)+0.99),'Tax scales - NAT 1004'!$A$53:$C$59,3,1)),0)
*13/3,
0),
""))),
""),
"")</f>
        <v/>
      </c>
      <c r="AT333" s="118" t="str">
        <f>IFERROR(
IF(VLOOKUP($C333,'Employee information'!$B:$M,COLUMNS('Employee information'!$B:$M),0)=6,
IF($E$2="Fortnightly",
ROUND(
ROUND((((TRUNC($AN333/2,0)+0.99))*VLOOKUP((TRUNC($AN333/2,0)+0.99),'Tax scales - NAT 1004'!$A$65:$C$73,2,1)-VLOOKUP((TRUNC($AN333/2,0)+0.99),'Tax scales - NAT 1004'!$A$65:$C$73,3,1)),0)
*2,
0),
IF(AND($E$2="Monthly",ROUND($AN333-TRUNC($AN333),2)=0.33),
ROUND(
ROUND(((TRUNC(($AN333+0.01)*3/13,0)+0.99)*VLOOKUP((TRUNC(($AN333+0.01)*3/13,0)+0.99),'Tax scales - NAT 1004'!$A$65:$C$73,2,1)-VLOOKUP((TRUNC(($AN333+0.01)*3/13,0)+0.99),'Tax scales - NAT 1004'!$A$65:$C$73,3,1)),0)
*13/3,
0),
IF($E$2="Monthly",
ROUND(
ROUND(((TRUNC($AN333*3/13,0)+0.99)*VLOOKUP((TRUNC($AN333*3/13,0)+0.99),'Tax scales - NAT 1004'!$A$65:$C$73,2,1)-VLOOKUP((TRUNC($AN333*3/13,0)+0.99),'Tax scales - NAT 1004'!$A$65:$C$73,3,1)),0)
*13/3,
0),
""))),
""),
"")</f>
        <v/>
      </c>
      <c r="AU333" s="118" t="str">
        <f>IFERROR(
IF(VLOOKUP($C333,'Employee information'!$B:$M,COLUMNS('Employee information'!$B:$M),0)=11,
IF($E$2="Fortnightly",
ROUND(
ROUND((((TRUNC($AN333/2,0)+0.99))*VLOOKUP((TRUNC($AN333/2,0)+0.99),'Tax scales - NAT 3539'!$A$14:$C$38,2,1)-VLOOKUP((TRUNC($AN333/2,0)+0.99),'Tax scales - NAT 3539'!$A$14:$C$38,3,1)),0)
*2,
0),
IF(AND($E$2="Monthly",ROUND($AN333-TRUNC($AN333),2)=0.33),
ROUND(
ROUND(((TRUNC(($AN333+0.01)*3/13,0)+0.99)*VLOOKUP((TRUNC(($AN333+0.01)*3/13,0)+0.99),'Tax scales - NAT 3539'!$A$14:$C$38,2,1)-VLOOKUP((TRUNC(($AN333+0.01)*3/13,0)+0.99),'Tax scales - NAT 3539'!$A$14:$C$38,3,1)),0)
*13/3,
0),
IF($E$2="Monthly",
ROUND(
ROUND(((TRUNC($AN333*3/13,0)+0.99)*VLOOKUP((TRUNC($AN333*3/13,0)+0.99),'Tax scales - NAT 3539'!$A$14:$C$38,2,1)-VLOOKUP((TRUNC($AN333*3/13,0)+0.99),'Tax scales - NAT 3539'!$A$14:$C$38,3,1)),0)
*13/3,
0),
""))),
""),
"")</f>
        <v/>
      </c>
      <c r="AV333" s="118" t="str">
        <f>IFERROR(
IF(VLOOKUP($C333,'Employee information'!$B:$M,COLUMNS('Employee information'!$B:$M),0)=22,
IF($E$2="Fortnightly",
ROUND(
ROUND((((TRUNC($AN333/2,0)+0.99))*VLOOKUP((TRUNC($AN333/2,0)+0.99),'Tax scales - NAT 3539'!$A$43:$C$69,2,1)-VLOOKUP((TRUNC($AN333/2,0)+0.99),'Tax scales - NAT 3539'!$A$43:$C$69,3,1)),0)
*2,
0),
IF(AND($E$2="Monthly",ROUND($AN333-TRUNC($AN333),2)=0.33),
ROUND(
ROUND(((TRUNC(($AN333+0.01)*3/13,0)+0.99)*VLOOKUP((TRUNC(($AN333+0.01)*3/13,0)+0.99),'Tax scales - NAT 3539'!$A$43:$C$69,2,1)-VLOOKUP((TRUNC(($AN333+0.01)*3/13,0)+0.99),'Tax scales - NAT 3539'!$A$43:$C$69,3,1)),0)
*13/3,
0),
IF($E$2="Monthly",
ROUND(
ROUND(((TRUNC($AN333*3/13,0)+0.99)*VLOOKUP((TRUNC($AN333*3/13,0)+0.99),'Tax scales - NAT 3539'!$A$43:$C$69,2,1)-VLOOKUP((TRUNC($AN333*3/13,0)+0.99),'Tax scales - NAT 3539'!$A$43:$C$69,3,1)),0)
*13/3,
0),
""))),
""),
"")</f>
        <v/>
      </c>
      <c r="AW333" s="118" t="str">
        <f>IFERROR(
IF(VLOOKUP($C333,'Employee information'!$B:$M,COLUMNS('Employee information'!$B:$M),0)=33,
IF($E$2="Fortnightly",
ROUND(
ROUND((((TRUNC($AN333/2,0)+0.99))*VLOOKUP((TRUNC($AN333/2,0)+0.99),'Tax scales - NAT 3539'!$A$74:$C$94,2,1)-VLOOKUP((TRUNC($AN333/2,0)+0.99),'Tax scales - NAT 3539'!$A$74:$C$94,3,1)),0)
*2,
0),
IF(AND($E$2="Monthly",ROUND($AN333-TRUNC($AN333),2)=0.33),
ROUND(
ROUND(((TRUNC(($AN333+0.01)*3/13,0)+0.99)*VLOOKUP((TRUNC(($AN333+0.01)*3/13,0)+0.99),'Tax scales - NAT 3539'!$A$74:$C$94,2,1)-VLOOKUP((TRUNC(($AN333+0.01)*3/13,0)+0.99),'Tax scales - NAT 3539'!$A$74:$C$94,3,1)),0)
*13/3,
0),
IF($E$2="Monthly",
ROUND(
ROUND(((TRUNC($AN333*3/13,0)+0.99)*VLOOKUP((TRUNC($AN333*3/13,0)+0.99),'Tax scales - NAT 3539'!$A$74:$C$94,2,1)-VLOOKUP((TRUNC($AN333*3/13,0)+0.99),'Tax scales - NAT 3539'!$A$74:$C$94,3,1)),0)
*13/3,
0),
""))),
""),
"")</f>
        <v/>
      </c>
      <c r="AX333" s="118">
        <f>IFERROR(
IF(VLOOKUP($C333,'Employee information'!$B:$M,COLUMNS('Employee information'!$B:$M),0)=55,
IF($E$2="Fortnightly",
ROUND(
ROUND((((TRUNC($AN333/2,0)+0.99))*VLOOKUP((TRUNC($AN333/2,0)+0.99),'Tax scales - NAT 3539'!$A$99:$C$123,2,1)-VLOOKUP((TRUNC($AN333/2,0)+0.99),'Tax scales - NAT 3539'!$A$99:$C$123,3,1)),0)
*2,
0),
IF(AND($E$2="Monthly",ROUND($AN333-TRUNC($AN333),2)=0.33),
ROUND(
ROUND(((TRUNC(($AN333+0.01)*3/13,0)+0.99)*VLOOKUP((TRUNC(($AN333+0.01)*3/13,0)+0.99),'Tax scales - NAT 3539'!$A$99:$C$123,2,1)-VLOOKUP((TRUNC(($AN333+0.01)*3/13,0)+0.99),'Tax scales - NAT 3539'!$A$99:$C$123,3,1)),0)
*13/3,
0),
IF($E$2="Monthly",
ROUND(
ROUND(((TRUNC($AN333*3/13,0)+0.99)*VLOOKUP((TRUNC($AN333*3/13,0)+0.99),'Tax scales - NAT 3539'!$A$99:$C$123,2,1)-VLOOKUP((TRUNC($AN333*3/13,0)+0.99),'Tax scales - NAT 3539'!$A$99:$C$123,3,1)),0)
*13/3,
0),
""))),
""),
"")</f>
        <v>3104</v>
      </c>
      <c r="AY333" s="118" t="str">
        <f>IFERROR(
IF(VLOOKUP($C333,'Employee information'!$B:$M,COLUMNS('Employee information'!$B:$M),0)=66,
IF($E$2="Fortnightly",
ROUND(
ROUND((((TRUNC($AN333/2,0)+0.99))*VLOOKUP((TRUNC($AN333/2,0)+0.99),'Tax scales - NAT 3539'!$A$127:$C$154,2,1)-VLOOKUP((TRUNC($AN333/2,0)+0.99),'Tax scales - NAT 3539'!$A$127:$C$154,3,1)),0)
*2,
0),
IF(AND($E$2="Monthly",ROUND($AN333-TRUNC($AN333),2)=0.33),
ROUND(
ROUND(((TRUNC(($AN333+0.01)*3/13,0)+0.99)*VLOOKUP((TRUNC(($AN333+0.01)*3/13,0)+0.99),'Tax scales - NAT 3539'!$A$127:$C$154,2,1)-VLOOKUP((TRUNC(($AN333+0.01)*3/13,0)+0.99),'Tax scales - NAT 3539'!$A$127:$C$154,3,1)),0)
*13/3,
0),
IF($E$2="Monthly",
ROUND(
ROUND(((TRUNC($AN333*3/13,0)+0.99)*VLOOKUP((TRUNC($AN333*3/13,0)+0.99),'Tax scales - NAT 3539'!$A$127:$C$154,2,1)-VLOOKUP((TRUNC($AN333*3/13,0)+0.99),'Tax scales - NAT 3539'!$A$127:$C$154,3,1)),0)
*13/3,
0),
""))),
""),
"")</f>
        <v/>
      </c>
      <c r="AZ333" s="118">
        <f>IFERROR(
HLOOKUP(VLOOKUP($C333,'Employee information'!$B:$M,COLUMNS('Employee information'!$B:$M),0),'PAYG worksheet'!$AO$329:$AY$348,COUNTA($C$330:$C333)+1,0),
0)</f>
        <v>3104</v>
      </c>
      <c r="BA333" s="118"/>
      <c r="BB333" s="118">
        <f t="shared" si="356"/>
        <v>4588.3076923076924</v>
      </c>
      <c r="BC333" s="119">
        <f>IFERROR(
IF(OR($AE333=1,$AE333=""),SUM($P333,$AA333,$AC333,$AK333)*VLOOKUP($C333,'Employee information'!$B:$Q,COLUMNS('Employee information'!$B:$H),0),
IF($AE333=0,SUM($P333,$AA333,$AK333)*VLOOKUP($C333,'Employee information'!$B:$Q,COLUMNS('Employee information'!$B:$H),0),
0)),
0)</f>
        <v>730.76923076923083</v>
      </c>
      <c r="BE333" s="114">
        <f t="shared" si="341"/>
        <v>92447.692307692298</v>
      </c>
      <c r="BF333" s="114">
        <f t="shared" si="342"/>
        <v>92307.692307692298</v>
      </c>
      <c r="BG333" s="114">
        <f t="shared" si="343"/>
        <v>0</v>
      </c>
      <c r="BH333" s="114">
        <f t="shared" si="344"/>
        <v>140</v>
      </c>
      <c r="BI333" s="114">
        <f t="shared" si="345"/>
        <v>37248</v>
      </c>
      <c r="BJ333" s="114">
        <f t="shared" si="346"/>
        <v>0</v>
      </c>
      <c r="BK333" s="114">
        <f t="shared" si="347"/>
        <v>0</v>
      </c>
      <c r="BL333" s="114">
        <f t="shared" si="357"/>
        <v>0</v>
      </c>
      <c r="BM333" s="114">
        <f t="shared" si="348"/>
        <v>8769.2307692307677</v>
      </c>
    </row>
    <row r="334" spans="1:65" x14ac:dyDescent="0.25">
      <c r="A334" s="228">
        <f t="shared" si="336"/>
        <v>12</v>
      </c>
      <c r="C334" s="278" t="s">
        <v>16</v>
      </c>
      <c r="E334" s="103">
        <f>IF($C334="",0,
IF(AND($E$2="Monthly",$A334&gt;12),0,
IF($E$2="Monthly",VLOOKUP($C334,'Employee information'!$B:$AM,COLUMNS('Employee information'!$B:S),0),
IF($E$2="Fortnightly",VLOOKUP($C334,'Employee information'!$B:$AM,COLUMNS('Employee information'!$B:R),0),
0))))</f>
        <v>75</v>
      </c>
      <c r="F334" s="106"/>
      <c r="G334" s="106"/>
      <c r="H334" s="106"/>
      <c r="I334" s="106"/>
      <c r="J334" s="103">
        <f t="shared" si="349"/>
        <v>75</v>
      </c>
      <c r="L334" s="113">
        <f>IF(AND($E$2="Monthly",$A334&gt;12),"",
IFERROR($J334*VLOOKUP($C334,'Employee information'!$B:$AI,COLUMNS('Employee information'!$B:$P),0),0))</f>
        <v>4125</v>
      </c>
      <c r="M334" s="114">
        <f t="shared" si="350"/>
        <v>49500</v>
      </c>
      <c r="O334" s="103">
        <f t="shared" si="351"/>
        <v>75</v>
      </c>
      <c r="P334" s="113">
        <f>IFERROR(
IF(AND($E$2="Monthly",$A334&gt;12),0,
$O334*VLOOKUP($C334,'Employee information'!$B:$AI,COLUMNS('Employee information'!$B:$P),0)),
0)</f>
        <v>4125</v>
      </c>
      <c r="R334" s="114">
        <f t="shared" si="337"/>
        <v>49500</v>
      </c>
      <c r="T334" s="103"/>
      <c r="U334" s="103"/>
      <c r="V334" s="282">
        <f>IF($C334="","",
IF(AND($E$2="Monthly",$A334&gt;12),"",
$T334*VLOOKUP($C334,'Employee information'!$B:$P,COLUMNS('Employee information'!$B:$P),0)))</f>
        <v>0</v>
      </c>
      <c r="W334" s="282">
        <f>IF($C334="","",
IF(AND($E$2="Monthly",$A334&gt;12),"",
$U334*VLOOKUP($C334,'Employee information'!$B:$P,COLUMNS('Employee information'!$B:$P),0)))</f>
        <v>0</v>
      </c>
      <c r="X334" s="114">
        <f t="shared" si="338"/>
        <v>0</v>
      </c>
      <c r="Y334" s="114">
        <f t="shared" si="339"/>
        <v>0</v>
      </c>
      <c r="AA334" s="118">
        <f>IFERROR(
IF(OR('Basic payroll data'!$D$12="",'Basic payroll data'!$D$12="No"),0,
$T334*VLOOKUP($C334,'Employee information'!$B:$P,COLUMNS('Employee information'!$B:$P),0)*AL_loading_perc),
0)</f>
        <v>0</v>
      </c>
      <c r="AC334" s="118"/>
      <c r="AD334" s="118"/>
      <c r="AE334" s="283" t="str">
        <f t="shared" si="352"/>
        <v/>
      </c>
      <c r="AF334" s="283" t="str">
        <f t="shared" si="353"/>
        <v/>
      </c>
      <c r="AG334" s="118"/>
      <c r="AH334" s="118"/>
      <c r="AI334" s="283" t="str">
        <f t="shared" si="354"/>
        <v/>
      </c>
      <c r="AJ334" s="118"/>
      <c r="AK334" s="118"/>
      <c r="AM334" s="118">
        <f t="shared" si="355"/>
        <v>4125</v>
      </c>
      <c r="AN334" s="118">
        <f t="shared" si="340"/>
        <v>4125</v>
      </c>
      <c r="AO334" s="118" t="str">
        <f>IFERROR(
IF(VLOOKUP($C334,'Employee information'!$B:$M,COLUMNS('Employee information'!$B:$M),0)=1,
IF($E$2="Fortnightly",
ROUND(
ROUND((((TRUNC($AN334/2,0)+0.99))*VLOOKUP((TRUNC($AN334/2,0)+0.99),'Tax scales - NAT 1004'!$A$12:$C$18,2,1)-VLOOKUP((TRUNC($AN334/2,0)+0.99),'Tax scales - NAT 1004'!$A$12:$C$18,3,1)),0)
*2,
0),
IF(AND($E$2="Monthly",ROUND($AN334-TRUNC($AN334),2)=0.33),
ROUND(
ROUND(((TRUNC(($AN334+0.01)*3/13,0)+0.99)*VLOOKUP((TRUNC(($AN334+0.01)*3/13,0)+0.99),'Tax scales - NAT 1004'!$A$12:$C$18,2,1)-VLOOKUP((TRUNC(($AN334+0.01)*3/13,0)+0.99),'Tax scales - NAT 1004'!$A$12:$C$18,3,1)),0)
*13/3,
0),
IF($E$2="Monthly",
ROUND(
ROUND(((TRUNC($AN334*3/13,0)+0.99)*VLOOKUP((TRUNC($AN334*3/13,0)+0.99),'Tax scales - NAT 1004'!$A$12:$C$18,2,1)-VLOOKUP((TRUNC($AN334*3/13,0)+0.99),'Tax scales - NAT 1004'!$A$12:$C$18,3,1)),0)
*13/3,
0),
""))),
""),
"")</f>
        <v/>
      </c>
      <c r="AP334" s="118" t="str">
        <f>IFERROR(
IF(VLOOKUP($C334,'Employee information'!$B:$M,COLUMNS('Employee information'!$B:$M),0)=2,
IF($E$2="Fortnightly",
ROUND(
ROUND((((TRUNC($AN334/2,0)+0.99))*VLOOKUP((TRUNC($AN334/2,0)+0.99),'Tax scales - NAT 1004'!$A$25:$C$33,2,1)-VLOOKUP((TRUNC($AN334/2,0)+0.99),'Tax scales - NAT 1004'!$A$25:$C$33,3,1)),0)
*2,
0),
IF(AND($E$2="Monthly",ROUND($AN334-TRUNC($AN334),2)=0.33),
ROUND(
ROUND(((TRUNC(($AN334+0.01)*3/13,0)+0.99)*VLOOKUP((TRUNC(($AN334+0.01)*3/13,0)+0.99),'Tax scales - NAT 1004'!$A$25:$C$33,2,1)-VLOOKUP((TRUNC(($AN334+0.01)*3/13,0)+0.99),'Tax scales - NAT 1004'!$A$25:$C$33,3,1)),0)
*13/3,
0),
IF($E$2="Monthly",
ROUND(
ROUND(((TRUNC($AN334*3/13,0)+0.99)*VLOOKUP((TRUNC($AN334*3/13,0)+0.99),'Tax scales - NAT 1004'!$A$25:$C$33,2,1)-VLOOKUP((TRUNC($AN334*3/13,0)+0.99),'Tax scales - NAT 1004'!$A$25:$C$33,3,1)),0)
*13/3,
0),
""))),
""),
"")</f>
        <v/>
      </c>
      <c r="AQ334" s="118" t="str">
        <f>IFERROR(
IF(VLOOKUP($C334,'Employee information'!$B:$M,COLUMNS('Employee information'!$B:$M),0)=3,
IF($E$2="Fortnightly",
ROUND(
ROUND((((TRUNC($AN334/2,0)+0.99))*VLOOKUP((TRUNC($AN334/2,0)+0.99),'Tax scales - NAT 1004'!$A$39:$C$41,2,1)-VLOOKUP((TRUNC($AN334/2,0)+0.99),'Tax scales - NAT 1004'!$A$39:$C$41,3,1)),0)
*2,
0),
IF(AND($E$2="Monthly",ROUND($AN334-TRUNC($AN334),2)=0.33),
ROUND(
ROUND(((TRUNC(($AN334+0.01)*3/13,0)+0.99)*VLOOKUP((TRUNC(($AN334+0.01)*3/13,0)+0.99),'Tax scales - NAT 1004'!$A$39:$C$41,2,1)-VLOOKUP((TRUNC(($AN334+0.01)*3/13,0)+0.99),'Tax scales - NAT 1004'!$A$39:$C$41,3,1)),0)
*13/3,
0),
IF($E$2="Monthly",
ROUND(
ROUND(((TRUNC($AN334*3/13,0)+0.99)*VLOOKUP((TRUNC($AN334*3/13,0)+0.99),'Tax scales - NAT 1004'!$A$39:$C$41,2,1)-VLOOKUP((TRUNC($AN334*3/13,0)+0.99),'Tax scales - NAT 1004'!$A$39:$C$41,3,1)),0)
*13/3,
0),
""))),
""),
"")</f>
        <v/>
      </c>
      <c r="AR334" s="118" t="str">
        <f>IFERROR(
IF(AND(VLOOKUP($C334,'Employee information'!$B:$M,COLUMNS('Employee information'!$B:$M),0)=4,
VLOOKUP($C334,'Employee information'!$B:$J,COLUMNS('Employee information'!$B:$J),0)="Resident"),
TRUNC(TRUNC($AN334)*'Tax scales - NAT 1004'!$B$47),
IF(AND(VLOOKUP($C334,'Employee information'!$B:$M,COLUMNS('Employee information'!$B:$M),0)=4,
VLOOKUP($C334,'Employee information'!$B:$J,COLUMNS('Employee information'!$B:$J),0)="Foreign resident"),
TRUNC(TRUNC($AN334)*'Tax scales - NAT 1004'!$B$48),
"")),
"")</f>
        <v/>
      </c>
      <c r="AS334" s="118" t="str">
        <f>IFERROR(
IF(VLOOKUP($C334,'Employee information'!$B:$M,COLUMNS('Employee information'!$B:$M),0)=5,
IF($E$2="Fortnightly",
ROUND(
ROUND((((TRUNC($AN334/2,0)+0.99))*VLOOKUP((TRUNC($AN334/2,0)+0.99),'Tax scales - NAT 1004'!$A$53:$C$59,2,1)-VLOOKUP((TRUNC($AN334/2,0)+0.99),'Tax scales - NAT 1004'!$A$53:$C$59,3,1)),0)
*2,
0),
IF(AND($E$2="Monthly",ROUND($AN334-TRUNC($AN334),2)=0.33),
ROUND(
ROUND(((TRUNC(($AN334+0.01)*3/13,0)+0.99)*VLOOKUP((TRUNC(($AN334+0.01)*3/13,0)+0.99),'Tax scales - NAT 1004'!$A$53:$C$59,2,1)-VLOOKUP((TRUNC(($AN334+0.01)*3/13,0)+0.99),'Tax scales - NAT 1004'!$A$53:$C$59,3,1)),0)
*13/3,
0),
IF($E$2="Monthly",
ROUND(
ROUND(((TRUNC($AN334*3/13,0)+0.99)*VLOOKUP((TRUNC($AN334*3/13,0)+0.99),'Tax scales - NAT 1004'!$A$53:$C$59,2,1)-VLOOKUP((TRUNC($AN334*3/13,0)+0.99),'Tax scales - NAT 1004'!$A$53:$C$59,3,1)),0)
*13/3,
0),
""))),
""),
"")</f>
        <v/>
      </c>
      <c r="AT334" s="118" t="str">
        <f>IFERROR(
IF(VLOOKUP($C334,'Employee information'!$B:$M,COLUMNS('Employee information'!$B:$M),0)=6,
IF($E$2="Fortnightly",
ROUND(
ROUND((((TRUNC($AN334/2,0)+0.99))*VLOOKUP((TRUNC($AN334/2,0)+0.99),'Tax scales - NAT 1004'!$A$65:$C$73,2,1)-VLOOKUP((TRUNC($AN334/2,0)+0.99),'Tax scales - NAT 1004'!$A$65:$C$73,3,1)),0)
*2,
0),
IF(AND($E$2="Monthly",ROUND($AN334-TRUNC($AN334),2)=0.33),
ROUND(
ROUND(((TRUNC(($AN334+0.01)*3/13,0)+0.99)*VLOOKUP((TRUNC(($AN334+0.01)*3/13,0)+0.99),'Tax scales - NAT 1004'!$A$65:$C$73,2,1)-VLOOKUP((TRUNC(($AN334+0.01)*3/13,0)+0.99),'Tax scales - NAT 1004'!$A$65:$C$73,3,1)),0)
*13/3,
0),
IF($E$2="Monthly",
ROUND(
ROUND(((TRUNC($AN334*3/13,0)+0.99)*VLOOKUP((TRUNC($AN334*3/13,0)+0.99),'Tax scales - NAT 1004'!$A$65:$C$73,2,1)-VLOOKUP((TRUNC($AN334*3/13,0)+0.99),'Tax scales - NAT 1004'!$A$65:$C$73,3,1)),0)
*13/3,
0),
""))),
""),
"")</f>
        <v/>
      </c>
      <c r="AU334" s="118">
        <f>IFERROR(
IF(VLOOKUP($C334,'Employee information'!$B:$M,COLUMNS('Employee information'!$B:$M),0)=11,
IF($E$2="Fortnightly",
ROUND(
ROUND((((TRUNC($AN334/2,0)+0.99))*VLOOKUP((TRUNC($AN334/2,0)+0.99),'Tax scales - NAT 3539'!$A$14:$C$38,2,1)-VLOOKUP((TRUNC($AN334/2,0)+0.99),'Tax scales - NAT 3539'!$A$14:$C$38,3,1)),0)
*2,
0),
IF(AND($E$2="Monthly",ROUND($AN334-TRUNC($AN334),2)=0.33),
ROUND(
ROUND(((TRUNC(($AN334+0.01)*3/13,0)+0.99)*VLOOKUP((TRUNC(($AN334+0.01)*3/13,0)+0.99),'Tax scales - NAT 3539'!$A$14:$C$38,2,1)-VLOOKUP((TRUNC(($AN334+0.01)*3/13,0)+0.99),'Tax scales - NAT 3539'!$A$14:$C$38,3,1)),0)
*13/3,
0),
IF($E$2="Monthly",
ROUND(
ROUND(((TRUNC($AN334*3/13,0)+0.99)*VLOOKUP((TRUNC($AN334*3/13,0)+0.99),'Tax scales - NAT 3539'!$A$14:$C$38,2,1)-VLOOKUP((TRUNC($AN334*3/13,0)+0.99),'Tax scales - NAT 3539'!$A$14:$C$38,3,1)),0)
*13/3,
0),
""))),
""),
"")</f>
        <v>1680</v>
      </c>
      <c r="AV334" s="118" t="str">
        <f>IFERROR(
IF(VLOOKUP($C334,'Employee information'!$B:$M,COLUMNS('Employee information'!$B:$M),0)=22,
IF($E$2="Fortnightly",
ROUND(
ROUND((((TRUNC($AN334/2,0)+0.99))*VLOOKUP((TRUNC($AN334/2,0)+0.99),'Tax scales - NAT 3539'!$A$43:$C$69,2,1)-VLOOKUP((TRUNC($AN334/2,0)+0.99),'Tax scales - NAT 3539'!$A$43:$C$69,3,1)),0)
*2,
0),
IF(AND($E$2="Monthly",ROUND($AN334-TRUNC($AN334),2)=0.33),
ROUND(
ROUND(((TRUNC(($AN334+0.01)*3/13,0)+0.99)*VLOOKUP((TRUNC(($AN334+0.01)*3/13,0)+0.99),'Tax scales - NAT 3539'!$A$43:$C$69,2,1)-VLOOKUP((TRUNC(($AN334+0.01)*3/13,0)+0.99),'Tax scales - NAT 3539'!$A$43:$C$69,3,1)),0)
*13/3,
0),
IF($E$2="Monthly",
ROUND(
ROUND(((TRUNC($AN334*3/13,0)+0.99)*VLOOKUP((TRUNC($AN334*3/13,0)+0.99),'Tax scales - NAT 3539'!$A$43:$C$69,2,1)-VLOOKUP((TRUNC($AN334*3/13,0)+0.99),'Tax scales - NAT 3539'!$A$43:$C$69,3,1)),0)
*13/3,
0),
""))),
""),
"")</f>
        <v/>
      </c>
      <c r="AW334" s="118" t="str">
        <f>IFERROR(
IF(VLOOKUP($C334,'Employee information'!$B:$M,COLUMNS('Employee information'!$B:$M),0)=33,
IF($E$2="Fortnightly",
ROUND(
ROUND((((TRUNC($AN334/2,0)+0.99))*VLOOKUP((TRUNC($AN334/2,0)+0.99),'Tax scales - NAT 3539'!$A$74:$C$94,2,1)-VLOOKUP((TRUNC($AN334/2,0)+0.99),'Tax scales - NAT 3539'!$A$74:$C$94,3,1)),0)
*2,
0),
IF(AND($E$2="Monthly",ROUND($AN334-TRUNC($AN334),2)=0.33),
ROUND(
ROUND(((TRUNC(($AN334+0.01)*3/13,0)+0.99)*VLOOKUP((TRUNC(($AN334+0.01)*3/13,0)+0.99),'Tax scales - NAT 3539'!$A$74:$C$94,2,1)-VLOOKUP((TRUNC(($AN334+0.01)*3/13,0)+0.99),'Tax scales - NAT 3539'!$A$74:$C$94,3,1)),0)
*13/3,
0),
IF($E$2="Monthly",
ROUND(
ROUND(((TRUNC($AN334*3/13,0)+0.99)*VLOOKUP((TRUNC($AN334*3/13,0)+0.99),'Tax scales - NAT 3539'!$A$74:$C$94,2,1)-VLOOKUP((TRUNC($AN334*3/13,0)+0.99),'Tax scales - NAT 3539'!$A$74:$C$94,3,1)),0)
*13/3,
0),
""))),
""),
"")</f>
        <v/>
      </c>
      <c r="AX334" s="118" t="str">
        <f>IFERROR(
IF(VLOOKUP($C334,'Employee information'!$B:$M,COLUMNS('Employee information'!$B:$M),0)=55,
IF($E$2="Fortnightly",
ROUND(
ROUND((((TRUNC($AN334/2,0)+0.99))*VLOOKUP((TRUNC($AN334/2,0)+0.99),'Tax scales - NAT 3539'!$A$99:$C$123,2,1)-VLOOKUP((TRUNC($AN334/2,0)+0.99),'Tax scales - NAT 3539'!$A$99:$C$123,3,1)),0)
*2,
0),
IF(AND($E$2="Monthly",ROUND($AN334-TRUNC($AN334),2)=0.33),
ROUND(
ROUND(((TRUNC(($AN334+0.01)*3/13,0)+0.99)*VLOOKUP((TRUNC(($AN334+0.01)*3/13,0)+0.99),'Tax scales - NAT 3539'!$A$99:$C$123,2,1)-VLOOKUP((TRUNC(($AN334+0.01)*3/13,0)+0.99),'Tax scales - NAT 3539'!$A$99:$C$123,3,1)),0)
*13/3,
0),
IF($E$2="Monthly",
ROUND(
ROUND(((TRUNC($AN334*3/13,0)+0.99)*VLOOKUP((TRUNC($AN334*3/13,0)+0.99),'Tax scales - NAT 3539'!$A$99:$C$123,2,1)-VLOOKUP((TRUNC($AN334*3/13,0)+0.99),'Tax scales - NAT 3539'!$A$99:$C$123,3,1)),0)
*13/3,
0),
""))),
""),
"")</f>
        <v/>
      </c>
      <c r="AY334" s="118" t="str">
        <f>IFERROR(
IF(VLOOKUP($C334,'Employee information'!$B:$M,COLUMNS('Employee information'!$B:$M),0)=66,
IF($E$2="Fortnightly",
ROUND(
ROUND((((TRUNC($AN334/2,0)+0.99))*VLOOKUP((TRUNC($AN334/2,0)+0.99),'Tax scales - NAT 3539'!$A$127:$C$154,2,1)-VLOOKUP((TRUNC($AN334/2,0)+0.99),'Tax scales - NAT 3539'!$A$127:$C$154,3,1)),0)
*2,
0),
IF(AND($E$2="Monthly",ROUND($AN334-TRUNC($AN334),2)=0.33),
ROUND(
ROUND(((TRUNC(($AN334+0.01)*3/13,0)+0.99)*VLOOKUP((TRUNC(($AN334+0.01)*3/13,0)+0.99),'Tax scales - NAT 3539'!$A$127:$C$154,2,1)-VLOOKUP((TRUNC(($AN334+0.01)*3/13,0)+0.99),'Tax scales - NAT 3539'!$A$127:$C$154,3,1)),0)
*13/3,
0),
IF($E$2="Monthly",
ROUND(
ROUND(((TRUNC($AN334*3/13,0)+0.99)*VLOOKUP((TRUNC($AN334*3/13,0)+0.99),'Tax scales - NAT 3539'!$A$127:$C$154,2,1)-VLOOKUP((TRUNC($AN334*3/13,0)+0.99),'Tax scales - NAT 3539'!$A$127:$C$154,3,1)),0)
*13/3,
0),
""))),
""),
"")</f>
        <v/>
      </c>
      <c r="AZ334" s="118">
        <f>IFERROR(
HLOOKUP(VLOOKUP($C334,'Employee information'!$B:$M,COLUMNS('Employee information'!$B:$M),0),'PAYG worksheet'!$AO$329:$AY$348,COUNTA($C$330:$C334)+1,0),
0)</f>
        <v>1680</v>
      </c>
      <c r="BA334" s="118"/>
      <c r="BB334" s="118">
        <f t="shared" si="356"/>
        <v>2445</v>
      </c>
      <c r="BC334" s="119">
        <f>IFERROR(
IF(OR($AE334=1,$AE334=""),SUM($P334,$AA334,$AC334,$AK334)*VLOOKUP($C334,'Employee information'!$B:$Q,COLUMNS('Employee information'!$B:$H),0),
IF($AE334=0,SUM($P334,$AA334,$AK334)*VLOOKUP($C334,'Employee information'!$B:$Q,COLUMNS('Employee information'!$B:$H),0),
0)),
0)</f>
        <v>391.875</v>
      </c>
      <c r="BE334" s="114">
        <f t="shared" si="341"/>
        <v>49600</v>
      </c>
      <c r="BF334" s="114">
        <f t="shared" si="342"/>
        <v>49600</v>
      </c>
      <c r="BG334" s="114">
        <f t="shared" si="343"/>
        <v>0</v>
      </c>
      <c r="BH334" s="114">
        <f t="shared" si="344"/>
        <v>0</v>
      </c>
      <c r="BI334" s="114">
        <f t="shared" si="345"/>
        <v>20208</v>
      </c>
      <c r="BJ334" s="114">
        <f t="shared" si="346"/>
        <v>0</v>
      </c>
      <c r="BK334" s="114">
        <f t="shared" si="347"/>
        <v>0</v>
      </c>
      <c r="BL334" s="114">
        <f t="shared" si="357"/>
        <v>100</v>
      </c>
      <c r="BM334" s="114">
        <f t="shared" si="348"/>
        <v>4712</v>
      </c>
    </row>
    <row r="335" spans="1:65" x14ac:dyDescent="0.25">
      <c r="A335" s="228">
        <f t="shared" si="336"/>
        <v>12</v>
      </c>
      <c r="C335" s="278" t="s">
        <v>17</v>
      </c>
      <c r="E335" s="103">
        <f>IF($C335="",0,
IF(AND($E$2="Monthly",$A335&gt;12),0,
IF($E$2="Monthly",VLOOKUP($C335,'Employee information'!$B:$AM,COLUMNS('Employee information'!$B:S),0),
IF($E$2="Fortnightly",VLOOKUP($C335,'Employee information'!$B:$AM,COLUMNS('Employee information'!$B:R),0),
0))))</f>
        <v>75</v>
      </c>
      <c r="F335" s="106"/>
      <c r="G335" s="106"/>
      <c r="H335" s="106"/>
      <c r="I335" s="106"/>
      <c r="J335" s="103">
        <f t="shared" si="349"/>
        <v>75</v>
      </c>
      <c r="L335" s="113">
        <f>IF(AND($E$2="Monthly",$A335&gt;12),"",
IFERROR($J335*VLOOKUP($C335,'Employee information'!$B:$AI,COLUMNS('Employee information'!$B:$P),0),0))</f>
        <v>2500</v>
      </c>
      <c r="M335" s="114">
        <f t="shared" si="350"/>
        <v>30000</v>
      </c>
      <c r="O335" s="103">
        <f t="shared" si="351"/>
        <v>75</v>
      </c>
      <c r="P335" s="113">
        <f>IFERROR(
IF(AND($E$2="Monthly",$A335&gt;12),0,
$O335*VLOOKUP($C335,'Employee information'!$B:$AI,COLUMNS('Employee information'!$B:$P),0)),
0)</f>
        <v>2500</v>
      </c>
      <c r="R335" s="114">
        <f t="shared" si="337"/>
        <v>30000</v>
      </c>
      <c r="T335" s="103"/>
      <c r="U335" s="103"/>
      <c r="V335" s="282">
        <f>IF($C335="","",
IF(AND($E$2="Monthly",$A335&gt;12),"",
$T335*VLOOKUP($C335,'Employee information'!$B:$P,COLUMNS('Employee information'!$B:$P),0)))</f>
        <v>0</v>
      </c>
      <c r="W335" s="282">
        <f>IF($C335="","",
IF(AND($E$2="Monthly",$A335&gt;12),"",
$U335*VLOOKUP($C335,'Employee information'!$B:$P,COLUMNS('Employee information'!$B:$P),0)))</f>
        <v>0</v>
      </c>
      <c r="X335" s="114">
        <f t="shared" si="338"/>
        <v>0</v>
      </c>
      <c r="Y335" s="114">
        <f t="shared" si="339"/>
        <v>0</v>
      </c>
      <c r="AA335" s="118">
        <f>IFERROR(
IF(OR('Basic payroll data'!$D$12="",'Basic payroll data'!$D$12="No"),0,
$T335*VLOOKUP($C335,'Employee information'!$B:$P,COLUMNS('Employee information'!$B:$P),0)*AL_loading_perc),
0)</f>
        <v>0</v>
      </c>
      <c r="AC335" s="118"/>
      <c r="AD335" s="118"/>
      <c r="AE335" s="283" t="str">
        <f t="shared" si="352"/>
        <v/>
      </c>
      <c r="AF335" s="283" t="str">
        <f t="shared" si="353"/>
        <v/>
      </c>
      <c r="AG335" s="118"/>
      <c r="AH335" s="118"/>
      <c r="AI335" s="283" t="str">
        <f t="shared" si="354"/>
        <v/>
      </c>
      <c r="AJ335" s="118"/>
      <c r="AK335" s="118"/>
      <c r="AM335" s="118">
        <f t="shared" si="355"/>
        <v>2500</v>
      </c>
      <c r="AN335" s="118">
        <f t="shared" si="340"/>
        <v>2500</v>
      </c>
      <c r="AO335" s="118" t="str">
        <f>IFERROR(
IF(VLOOKUP($C335,'Employee information'!$B:$M,COLUMNS('Employee information'!$B:$M),0)=1,
IF($E$2="Fortnightly",
ROUND(
ROUND((((TRUNC($AN335/2,0)+0.99))*VLOOKUP((TRUNC($AN335/2,0)+0.99),'Tax scales - NAT 1004'!$A$12:$C$18,2,1)-VLOOKUP((TRUNC($AN335/2,0)+0.99),'Tax scales - NAT 1004'!$A$12:$C$18,3,1)),0)
*2,
0),
IF(AND($E$2="Monthly",ROUND($AN335-TRUNC($AN335),2)=0.33),
ROUND(
ROUND(((TRUNC(($AN335+0.01)*3/13,0)+0.99)*VLOOKUP((TRUNC(($AN335+0.01)*3/13,0)+0.99),'Tax scales - NAT 1004'!$A$12:$C$18,2,1)-VLOOKUP((TRUNC(($AN335+0.01)*3/13,0)+0.99),'Tax scales - NAT 1004'!$A$12:$C$18,3,1)),0)
*13/3,
0),
IF($E$2="Monthly",
ROUND(
ROUND(((TRUNC($AN335*3/13,0)+0.99)*VLOOKUP((TRUNC($AN335*3/13,0)+0.99),'Tax scales - NAT 1004'!$A$12:$C$18,2,1)-VLOOKUP((TRUNC($AN335*3/13,0)+0.99),'Tax scales - NAT 1004'!$A$12:$C$18,3,1)),0)
*13/3,
0),
""))),
""),
"")</f>
        <v/>
      </c>
      <c r="AP335" s="118" t="str">
        <f>IFERROR(
IF(VLOOKUP($C335,'Employee information'!$B:$M,COLUMNS('Employee information'!$B:$M),0)=2,
IF($E$2="Fortnightly",
ROUND(
ROUND((((TRUNC($AN335/2,0)+0.99))*VLOOKUP((TRUNC($AN335/2,0)+0.99),'Tax scales - NAT 1004'!$A$25:$C$33,2,1)-VLOOKUP((TRUNC($AN335/2,0)+0.99),'Tax scales - NAT 1004'!$A$25:$C$33,3,1)),0)
*2,
0),
IF(AND($E$2="Monthly",ROUND($AN335-TRUNC($AN335),2)=0.33),
ROUND(
ROUND(((TRUNC(($AN335+0.01)*3/13,0)+0.99)*VLOOKUP((TRUNC(($AN335+0.01)*3/13,0)+0.99),'Tax scales - NAT 1004'!$A$25:$C$33,2,1)-VLOOKUP((TRUNC(($AN335+0.01)*3/13,0)+0.99),'Tax scales - NAT 1004'!$A$25:$C$33,3,1)),0)
*13/3,
0),
IF($E$2="Monthly",
ROUND(
ROUND(((TRUNC($AN335*3/13,0)+0.99)*VLOOKUP((TRUNC($AN335*3/13,0)+0.99),'Tax scales - NAT 1004'!$A$25:$C$33,2,1)-VLOOKUP((TRUNC($AN335*3/13,0)+0.99),'Tax scales - NAT 1004'!$A$25:$C$33,3,1)),0)
*13/3,
0),
""))),
""),
"")</f>
        <v/>
      </c>
      <c r="AQ335" s="118" t="str">
        <f>IFERROR(
IF(VLOOKUP($C335,'Employee information'!$B:$M,COLUMNS('Employee information'!$B:$M),0)=3,
IF($E$2="Fortnightly",
ROUND(
ROUND((((TRUNC($AN335/2,0)+0.99))*VLOOKUP((TRUNC($AN335/2,0)+0.99),'Tax scales - NAT 1004'!$A$39:$C$41,2,1)-VLOOKUP((TRUNC($AN335/2,0)+0.99),'Tax scales - NAT 1004'!$A$39:$C$41,3,1)),0)
*2,
0),
IF(AND($E$2="Monthly",ROUND($AN335-TRUNC($AN335),2)=0.33),
ROUND(
ROUND(((TRUNC(($AN335+0.01)*3/13,0)+0.99)*VLOOKUP((TRUNC(($AN335+0.01)*3/13,0)+0.99),'Tax scales - NAT 1004'!$A$39:$C$41,2,1)-VLOOKUP((TRUNC(($AN335+0.01)*3/13,0)+0.99),'Tax scales - NAT 1004'!$A$39:$C$41,3,1)),0)
*13/3,
0),
IF($E$2="Monthly",
ROUND(
ROUND(((TRUNC($AN335*3/13,0)+0.99)*VLOOKUP((TRUNC($AN335*3/13,0)+0.99),'Tax scales - NAT 1004'!$A$39:$C$41,2,1)-VLOOKUP((TRUNC($AN335*3/13,0)+0.99),'Tax scales - NAT 1004'!$A$39:$C$41,3,1)),0)
*13/3,
0),
""))),
""),
"")</f>
        <v/>
      </c>
      <c r="AR335" s="118">
        <f>IFERROR(
IF(AND(VLOOKUP($C335,'Employee information'!$B:$M,COLUMNS('Employee information'!$B:$M),0)=4,
VLOOKUP($C335,'Employee information'!$B:$J,COLUMNS('Employee information'!$B:$J),0)="Resident"),
TRUNC(TRUNC($AN335)*'Tax scales - NAT 1004'!$B$47),
IF(AND(VLOOKUP($C335,'Employee information'!$B:$M,COLUMNS('Employee information'!$B:$M),0)=4,
VLOOKUP($C335,'Employee information'!$B:$J,COLUMNS('Employee information'!$B:$J),0)="Foreign resident"),
TRUNC(TRUNC($AN335)*'Tax scales - NAT 1004'!$B$48),
"")),
"")</f>
        <v>1175</v>
      </c>
      <c r="AS335" s="118" t="str">
        <f>IFERROR(
IF(VLOOKUP($C335,'Employee information'!$B:$M,COLUMNS('Employee information'!$B:$M),0)=5,
IF($E$2="Fortnightly",
ROUND(
ROUND((((TRUNC($AN335/2,0)+0.99))*VLOOKUP((TRUNC($AN335/2,0)+0.99),'Tax scales - NAT 1004'!$A$53:$C$59,2,1)-VLOOKUP((TRUNC($AN335/2,0)+0.99),'Tax scales - NAT 1004'!$A$53:$C$59,3,1)),0)
*2,
0),
IF(AND($E$2="Monthly",ROUND($AN335-TRUNC($AN335),2)=0.33),
ROUND(
ROUND(((TRUNC(($AN335+0.01)*3/13,0)+0.99)*VLOOKUP((TRUNC(($AN335+0.01)*3/13,0)+0.99),'Tax scales - NAT 1004'!$A$53:$C$59,2,1)-VLOOKUP((TRUNC(($AN335+0.01)*3/13,0)+0.99),'Tax scales - NAT 1004'!$A$53:$C$59,3,1)),0)
*13/3,
0),
IF($E$2="Monthly",
ROUND(
ROUND(((TRUNC($AN335*3/13,0)+0.99)*VLOOKUP((TRUNC($AN335*3/13,0)+0.99),'Tax scales - NAT 1004'!$A$53:$C$59,2,1)-VLOOKUP((TRUNC($AN335*3/13,0)+0.99),'Tax scales - NAT 1004'!$A$53:$C$59,3,1)),0)
*13/3,
0),
""))),
""),
"")</f>
        <v/>
      </c>
      <c r="AT335" s="118" t="str">
        <f>IFERROR(
IF(VLOOKUP($C335,'Employee information'!$B:$M,COLUMNS('Employee information'!$B:$M),0)=6,
IF($E$2="Fortnightly",
ROUND(
ROUND((((TRUNC($AN335/2,0)+0.99))*VLOOKUP((TRUNC($AN335/2,0)+0.99),'Tax scales - NAT 1004'!$A$65:$C$73,2,1)-VLOOKUP((TRUNC($AN335/2,0)+0.99),'Tax scales - NAT 1004'!$A$65:$C$73,3,1)),0)
*2,
0),
IF(AND($E$2="Monthly",ROUND($AN335-TRUNC($AN335),2)=0.33),
ROUND(
ROUND(((TRUNC(($AN335+0.01)*3/13,0)+0.99)*VLOOKUP((TRUNC(($AN335+0.01)*3/13,0)+0.99),'Tax scales - NAT 1004'!$A$65:$C$73,2,1)-VLOOKUP((TRUNC(($AN335+0.01)*3/13,0)+0.99),'Tax scales - NAT 1004'!$A$65:$C$73,3,1)),0)
*13/3,
0),
IF($E$2="Monthly",
ROUND(
ROUND(((TRUNC($AN335*3/13,0)+0.99)*VLOOKUP((TRUNC($AN335*3/13,0)+0.99),'Tax scales - NAT 1004'!$A$65:$C$73,2,1)-VLOOKUP((TRUNC($AN335*3/13,0)+0.99),'Tax scales - NAT 1004'!$A$65:$C$73,3,1)),0)
*13/3,
0),
""))),
""),
"")</f>
        <v/>
      </c>
      <c r="AU335" s="118" t="str">
        <f>IFERROR(
IF(VLOOKUP($C335,'Employee information'!$B:$M,COLUMNS('Employee information'!$B:$M),0)=11,
IF($E$2="Fortnightly",
ROUND(
ROUND((((TRUNC($AN335/2,0)+0.99))*VLOOKUP((TRUNC($AN335/2,0)+0.99),'Tax scales - NAT 3539'!$A$14:$C$38,2,1)-VLOOKUP((TRUNC($AN335/2,0)+0.99),'Tax scales - NAT 3539'!$A$14:$C$38,3,1)),0)
*2,
0),
IF(AND($E$2="Monthly",ROUND($AN335-TRUNC($AN335),2)=0.33),
ROUND(
ROUND(((TRUNC(($AN335+0.01)*3/13,0)+0.99)*VLOOKUP((TRUNC(($AN335+0.01)*3/13,0)+0.99),'Tax scales - NAT 3539'!$A$14:$C$38,2,1)-VLOOKUP((TRUNC(($AN335+0.01)*3/13,0)+0.99),'Tax scales - NAT 3539'!$A$14:$C$38,3,1)),0)
*13/3,
0),
IF($E$2="Monthly",
ROUND(
ROUND(((TRUNC($AN335*3/13,0)+0.99)*VLOOKUP((TRUNC($AN335*3/13,0)+0.99),'Tax scales - NAT 3539'!$A$14:$C$38,2,1)-VLOOKUP((TRUNC($AN335*3/13,0)+0.99),'Tax scales - NAT 3539'!$A$14:$C$38,3,1)),0)
*13/3,
0),
""))),
""),
"")</f>
        <v/>
      </c>
      <c r="AV335" s="118" t="str">
        <f>IFERROR(
IF(VLOOKUP($C335,'Employee information'!$B:$M,COLUMNS('Employee information'!$B:$M),0)=22,
IF($E$2="Fortnightly",
ROUND(
ROUND((((TRUNC($AN335/2,0)+0.99))*VLOOKUP((TRUNC($AN335/2,0)+0.99),'Tax scales - NAT 3539'!$A$43:$C$69,2,1)-VLOOKUP((TRUNC($AN335/2,0)+0.99),'Tax scales - NAT 3539'!$A$43:$C$69,3,1)),0)
*2,
0),
IF(AND($E$2="Monthly",ROUND($AN335-TRUNC($AN335),2)=0.33),
ROUND(
ROUND(((TRUNC(($AN335+0.01)*3/13,0)+0.99)*VLOOKUP((TRUNC(($AN335+0.01)*3/13,0)+0.99),'Tax scales - NAT 3539'!$A$43:$C$69,2,1)-VLOOKUP((TRUNC(($AN335+0.01)*3/13,0)+0.99),'Tax scales - NAT 3539'!$A$43:$C$69,3,1)),0)
*13/3,
0),
IF($E$2="Monthly",
ROUND(
ROUND(((TRUNC($AN335*3/13,0)+0.99)*VLOOKUP((TRUNC($AN335*3/13,0)+0.99),'Tax scales - NAT 3539'!$A$43:$C$69,2,1)-VLOOKUP((TRUNC($AN335*3/13,0)+0.99),'Tax scales - NAT 3539'!$A$43:$C$69,3,1)),0)
*13/3,
0),
""))),
""),
"")</f>
        <v/>
      </c>
      <c r="AW335" s="118" t="str">
        <f>IFERROR(
IF(VLOOKUP($C335,'Employee information'!$B:$M,COLUMNS('Employee information'!$B:$M),0)=33,
IF($E$2="Fortnightly",
ROUND(
ROUND((((TRUNC($AN335/2,0)+0.99))*VLOOKUP((TRUNC($AN335/2,0)+0.99),'Tax scales - NAT 3539'!$A$74:$C$94,2,1)-VLOOKUP((TRUNC($AN335/2,0)+0.99),'Tax scales - NAT 3539'!$A$74:$C$94,3,1)),0)
*2,
0),
IF(AND($E$2="Monthly",ROUND($AN335-TRUNC($AN335),2)=0.33),
ROUND(
ROUND(((TRUNC(($AN335+0.01)*3/13,0)+0.99)*VLOOKUP((TRUNC(($AN335+0.01)*3/13,0)+0.99),'Tax scales - NAT 3539'!$A$74:$C$94,2,1)-VLOOKUP((TRUNC(($AN335+0.01)*3/13,0)+0.99),'Tax scales - NAT 3539'!$A$74:$C$94,3,1)),0)
*13/3,
0),
IF($E$2="Monthly",
ROUND(
ROUND(((TRUNC($AN335*3/13,0)+0.99)*VLOOKUP((TRUNC($AN335*3/13,0)+0.99),'Tax scales - NAT 3539'!$A$74:$C$94,2,1)-VLOOKUP((TRUNC($AN335*3/13,0)+0.99),'Tax scales - NAT 3539'!$A$74:$C$94,3,1)),0)
*13/3,
0),
""))),
""),
"")</f>
        <v/>
      </c>
      <c r="AX335" s="118" t="str">
        <f>IFERROR(
IF(VLOOKUP($C335,'Employee information'!$B:$M,COLUMNS('Employee information'!$B:$M),0)=55,
IF($E$2="Fortnightly",
ROUND(
ROUND((((TRUNC($AN335/2,0)+0.99))*VLOOKUP((TRUNC($AN335/2,0)+0.99),'Tax scales - NAT 3539'!$A$99:$C$123,2,1)-VLOOKUP((TRUNC($AN335/2,0)+0.99),'Tax scales - NAT 3539'!$A$99:$C$123,3,1)),0)
*2,
0),
IF(AND($E$2="Monthly",ROUND($AN335-TRUNC($AN335),2)=0.33),
ROUND(
ROUND(((TRUNC(($AN335+0.01)*3/13,0)+0.99)*VLOOKUP((TRUNC(($AN335+0.01)*3/13,0)+0.99),'Tax scales - NAT 3539'!$A$99:$C$123,2,1)-VLOOKUP((TRUNC(($AN335+0.01)*3/13,0)+0.99),'Tax scales - NAT 3539'!$A$99:$C$123,3,1)),0)
*13/3,
0),
IF($E$2="Monthly",
ROUND(
ROUND(((TRUNC($AN335*3/13,0)+0.99)*VLOOKUP((TRUNC($AN335*3/13,0)+0.99),'Tax scales - NAT 3539'!$A$99:$C$123,2,1)-VLOOKUP((TRUNC($AN335*3/13,0)+0.99),'Tax scales - NAT 3539'!$A$99:$C$123,3,1)),0)
*13/3,
0),
""))),
""),
"")</f>
        <v/>
      </c>
      <c r="AY335" s="118" t="str">
        <f>IFERROR(
IF(VLOOKUP($C335,'Employee information'!$B:$M,COLUMNS('Employee information'!$B:$M),0)=66,
IF($E$2="Fortnightly",
ROUND(
ROUND((((TRUNC($AN335/2,0)+0.99))*VLOOKUP((TRUNC($AN335/2,0)+0.99),'Tax scales - NAT 3539'!$A$127:$C$154,2,1)-VLOOKUP((TRUNC($AN335/2,0)+0.99),'Tax scales - NAT 3539'!$A$127:$C$154,3,1)),0)
*2,
0),
IF(AND($E$2="Monthly",ROUND($AN335-TRUNC($AN335),2)=0.33),
ROUND(
ROUND(((TRUNC(($AN335+0.01)*3/13,0)+0.99)*VLOOKUP((TRUNC(($AN335+0.01)*3/13,0)+0.99),'Tax scales - NAT 3539'!$A$127:$C$154,2,1)-VLOOKUP((TRUNC(($AN335+0.01)*3/13,0)+0.99),'Tax scales - NAT 3539'!$A$127:$C$154,3,1)),0)
*13/3,
0),
IF($E$2="Monthly",
ROUND(
ROUND(((TRUNC($AN335*3/13,0)+0.99)*VLOOKUP((TRUNC($AN335*3/13,0)+0.99),'Tax scales - NAT 3539'!$A$127:$C$154,2,1)-VLOOKUP((TRUNC($AN335*3/13,0)+0.99),'Tax scales - NAT 3539'!$A$127:$C$154,3,1)),0)
*13/3,
0),
""))),
""),
"")</f>
        <v/>
      </c>
      <c r="AZ335" s="118">
        <f>IFERROR(
HLOOKUP(VLOOKUP($C335,'Employee information'!$B:$M,COLUMNS('Employee information'!$B:$M),0),'PAYG worksheet'!$AO$329:$AY$348,COUNTA($C$330:$C335)+1,0),
0)</f>
        <v>1175</v>
      </c>
      <c r="BA335" s="118"/>
      <c r="BB335" s="118">
        <f t="shared" si="356"/>
        <v>1325</v>
      </c>
      <c r="BC335" s="119">
        <f>IFERROR(
IF(OR($AE335=1,$AE335=""),SUM($P335,$AA335,$AC335,$AK335)*VLOOKUP($C335,'Employee information'!$B:$Q,COLUMNS('Employee information'!$B:$H),0),
IF($AE335=0,SUM($P335,$AA335,$AK335)*VLOOKUP($C335,'Employee information'!$B:$Q,COLUMNS('Employee information'!$B:$H),0),
0)),
0)</f>
        <v>237.5</v>
      </c>
      <c r="BE335" s="114">
        <f t="shared" si="341"/>
        <v>30000</v>
      </c>
      <c r="BF335" s="114">
        <f t="shared" si="342"/>
        <v>30000</v>
      </c>
      <c r="BG335" s="114">
        <f t="shared" si="343"/>
        <v>0</v>
      </c>
      <c r="BH335" s="114">
        <f t="shared" si="344"/>
        <v>0</v>
      </c>
      <c r="BI335" s="114">
        <f t="shared" si="345"/>
        <v>14100</v>
      </c>
      <c r="BJ335" s="114">
        <f t="shared" si="346"/>
        <v>0</v>
      </c>
      <c r="BK335" s="114">
        <f t="shared" si="347"/>
        <v>0</v>
      </c>
      <c r="BL335" s="114">
        <f t="shared" si="357"/>
        <v>0</v>
      </c>
      <c r="BM335" s="114">
        <f t="shared" si="348"/>
        <v>2850</v>
      </c>
    </row>
    <row r="336" spans="1:65" x14ac:dyDescent="0.25">
      <c r="A336" s="228">
        <f t="shared" si="336"/>
        <v>12</v>
      </c>
      <c r="C336" s="278" t="s">
        <v>95</v>
      </c>
      <c r="E336" s="103">
        <f>IF($C336="",0,
IF(AND($E$2="Monthly",$A336&gt;12),0,
IF($E$2="Monthly",VLOOKUP($C336,'Employee information'!$B:$AM,COLUMNS('Employee information'!$B:S),0),
IF($E$2="Fortnightly",VLOOKUP($C336,'Employee information'!$B:$AM,COLUMNS('Employee information'!$B:R),0),
0))))</f>
        <v>45</v>
      </c>
      <c r="F336" s="106"/>
      <c r="G336" s="106"/>
      <c r="H336" s="106"/>
      <c r="I336" s="106"/>
      <c r="J336" s="103">
        <f t="shared" si="349"/>
        <v>45</v>
      </c>
      <c r="L336" s="113">
        <f>IF(AND($E$2="Monthly",$A336&gt;12),"",
IFERROR($J336*VLOOKUP($C336,'Employee information'!$B:$AI,COLUMNS('Employee information'!$B:$P),0),0))</f>
        <v>1107.6923076923078</v>
      </c>
      <c r="M336" s="114">
        <f t="shared" si="350"/>
        <v>13292.307692307697</v>
      </c>
      <c r="O336" s="103">
        <f t="shared" si="351"/>
        <v>45</v>
      </c>
      <c r="P336" s="113">
        <f>IFERROR(
IF(AND($E$2="Monthly",$A336&gt;12),0,
$O336*VLOOKUP($C336,'Employee information'!$B:$AI,COLUMNS('Employee information'!$B:$P),0)),
0)</f>
        <v>1107.6923076923078</v>
      </c>
      <c r="R336" s="114">
        <f t="shared" si="337"/>
        <v>13292.307692307697</v>
      </c>
      <c r="T336" s="103"/>
      <c r="U336" s="103"/>
      <c r="V336" s="282">
        <f>IF($C336="","",
IF(AND($E$2="Monthly",$A336&gt;12),"",
$T336*VLOOKUP($C336,'Employee information'!$B:$P,COLUMNS('Employee information'!$B:$P),0)))</f>
        <v>0</v>
      </c>
      <c r="W336" s="282">
        <f>IF($C336="","",
IF(AND($E$2="Monthly",$A336&gt;12),"",
$U336*VLOOKUP($C336,'Employee information'!$B:$P,COLUMNS('Employee information'!$B:$P),0)))</f>
        <v>0</v>
      </c>
      <c r="X336" s="114">
        <f t="shared" si="338"/>
        <v>0</v>
      </c>
      <c r="Y336" s="114">
        <f t="shared" si="339"/>
        <v>0</v>
      </c>
      <c r="AA336" s="118">
        <f>IFERROR(
IF(OR('Basic payroll data'!$D$12="",'Basic payroll data'!$D$12="No"),0,
$T336*VLOOKUP($C336,'Employee information'!$B:$P,COLUMNS('Employee information'!$B:$P),0)*AL_loading_perc),
0)</f>
        <v>0</v>
      </c>
      <c r="AC336" s="118"/>
      <c r="AD336" s="118"/>
      <c r="AE336" s="283" t="str">
        <f t="shared" si="352"/>
        <v/>
      </c>
      <c r="AF336" s="283" t="str">
        <f t="shared" si="353"/>
        <v/>
      </c>
      <c r="AG336" s="118"/>
      <c r="AH336" s="118"/>
      <c r="AI336" s="283" t="str">
        <f t="shared" si="354"/>
        <v/>
      </c>
      <c r="AJ336" s="118"/>
      <c r="AK336" s="118"/>
      <c r="AM336" s="118">
        <f t="shared" si="355"/>
        <v>1107.6923076923078</v>
      </c>
      <c r="AN336" s="118">
        <f t="shared" si="340"/>
        <v>1107.6923076923078</v>
      </c>
      <c r="AO336" s="118" t="str">
        <f>IFERROR(
IF(VLOOKUP($C336,'Employee information'!$B:$M,COLUMNS('Employee information'!$B:$M),0)=1,
IF($E$2="Fortnightly",
ROUND(
ROUND((((TRUNC($AN336/2,0)+0.99))*VLOOKUP((TRUNC($AN336/2,0)+0.99),'Tax scales - NAT 1004'!$A$12:$C$18,2,1)-VLOOKUP((TRUNC($AN336/2,0)+0.99),'Tax scales - NAT 1004'!$A$12:$C$18,3,1)),0)
*2,
0),
IF(AND($E$2="Monthly",ROUND($AN336-TRUNC($AN336),2)=0.33),
ROUND(
ROUND(((TRUNC(($AN336+0.01)*3/13,0)+0.99)*VLOOKUP((TRUNC(($AN336+0.01)*3/13,0)+0.99),'Tax scales - NAT 1004'!$A$12:$C$18,2,1)-VLOOKUP((TRUNC(($AN336+0.01)*3/13,0)+0.99),'Tax scales - NAT 1004'!$A$12:$C$18,3,1)),0)
*13/3,
0),
IF($E$2="Monthly",
ROUND(
ROUND(((TRUNC($AN336*3/13,0)+0.99)*VLOOKUP((TRUNC($AN336*3/13,0)+0.99),'Tax scales - NAT 1004'!$A$12:$C$18,2,1)-VLOOKUP((TRUNC($AN336*3/13,0)+0.99),'Tax scales - NAT 1004'!$A$12:$C$18,3,1)),0)
*13/3,
0),
""))),
""),
"")</f>
        <v/>
      </c>
      <c r="AP336" s="118" t="str">
        <f>IFERROR(
IF(VLOOKUP($C336,'Employee information'!$B:$M,COLUMNS('Employee information'!$B:$M),0)=2,
IF($E$2="Fortnightly",
ROUND(
ROUND((((TRUNC($AN336/2,0)+0.99))*VLOOKUP((TRUNC($AN336/2,0)+0.99),'Tax scales - NAT 1004'!$A$25:$C$33,2,1)-VLOOKUP((TRUNC($AN336/2,0)+0.99),'Tax scales - NAT 1004'!$A$25:$C$33,3,1)),0)
*2,
0),
IF(AND($E$2="Monthly",ROUND($AN336-TRUNC($AN336),2)=0.33),
ROUND(
ROUND(((TRUNC(($AN336+0.01)*3/13,0)+0.99)*VLOOKUP((TRUNC(($AN336+0.01)*3/13,0)+0.99),'Tax scales - NAT 1004'!$A$25:$C$33,2,1)-VLOOKUP((TRUNC(($AN336+0.01)*3/13,0)+0.99),'Tax scales - NAT 1004'!$A$25:$C$33,3,1)),0)
*13/3,
0),
IF($E$2="Monthly",
ROUND(
ROUND(((TRUNC($AN336*3/13,0)+0.99)*VLOOKUP((TRUNC($AN336*3/13,0)+0.99),'Tax scales - NAT 1004'!$A$25:$C$33,2,1)-VLOOKUP((TRUNC($AN336*3/13,0)+0.99),'Tax scales - NAT 1004'!$A$25:$C$33,3,1)),0)
*13/3,
0),
""))),
""),
"")</f>
        <v/>
      </c>
      <c r="AQ336" s="118" t="str">
        <f>IFERROR(
IF(VLOOKUP($C336,'Employee information'!$B:$M,COLUMNS('Employee information'!$B:$M),0)=3,
IF($E$2="Fortnightly",
ROUND(
ROUND((((TRUNC($AN336/2,0)+0.99))*VLOOKUP((TRUNC($AN336/2,0)+0.99),'Tax scales - NAT 1004'!$A$39:$C$41,2,1)-VLOOKUP((TRUNC($AN336/2,0)+0.99),'Tax scales - NAT 1004'!$A$39:$C$41,3,1)),0)
*2,
0),
IF(AND($E$2="Monthly",ROUND($AN336-TRUNC($AN336),2)=0.33),
ROUND(
ROUND(((TRUNC(($AN336+0.01)*3/13,0)+0.99)*VLOOKUP((TRUNC(($AN336+0.01)*3/13,0)+0.99),'Tax scales - NAT 1004'!$A$39:$C$41,2,1)-VLOOKUP((TRUNC(($AN336+0.01)*3/13,0)+0.99),'Tax scales - NAT 1004'!$A$39:$C$41,3,1)),0)
*13/3,
0),
IF($E$2="Monthly",
ROUND(
ROUND(((TRUNC($AN336*3/13,0)+0.99)*VLOOKUP((TRUNC($AN336*3/13,0)+0.99),'Tax scales - NAT 1004'!$A$39:$C$41,2,1)-VLOOKUP((TRUNC($AN336*3/13,0)+0.99),'Tax scales - NAT 1004'!$A$39:$C$41,3,1)),0)
*13/3,
0),
""))),
""),
"")</f>
        <v/>
      </c>
      <c r="AR336" s="118" t="str">
        <f>IFERROR(
IF(AND(VLOOKUP($C336,'Employee information'!$B:$M,COLUMNS('Employee information'!$B:$M),0)=4,
VLOOKUP($C336,'Employee information'!$B:$J,COLUMNS('Employee information'!$B:$J),0)="Resident"),
TRUNC(TRUNC($AN336)*'Tax scales - NAT 1004'!$B$47),
IF(AND(VLOOKUP($C336,'Employee information'!$B:$M,COLUMNS('Employee information'!$B:$M),0)=4,
VLOOKUP($C336,'Employee information'!$B:$J,COLUMNS('Employee information'!$B:$J),0)="Foreign resident"),
TRUNC(TRUNC($AN336)*'Tax scales - NAT 1004'!$B$48),
"")),
"")</f>
        <v/>
      </c>
      <c r="AS336" s="118" t="str">
        <f>IFERROR(
IF(VLOOKUP($C336,'Employee information'!$B:$M,COLUMNS('Employee information'!$B:$M),0)=5,
IF($E$2="Fortnightly",
ROUND(
ROUND((((TRUNC($AN336/2,0)+0.99))*VLOOKUP((TRUNC($AN336/2,0)+0.99),'Tax scales - NAT 1004'!$A$53:$C$59,2,1)-VLOOKUP((TRUNC($AN336/2,0)+0.99),'Tax scales - NAT 1004'!$A$53:$C$59,3,1)),0)
*2,
0),
IF(AND($E$2="Monthly",ROUND($AN336-TRUNC($AN336),2)=0.33),
ROUND(
ROUND(((TRUNC(($AN336+0.01)*3/13,0)+0.99)*VLOOKUP((TRUNC(($AN336+0.01)*3/13,0)+0.99),'Tax scales - NAT 1004'!$A$53:$C$59,2,1)-VLOOKUP((TRUNC(($AN336+0.01)*3/13,0)+0.99),'Tax scales - NAT 1004'!$A$53:$C$59,3,1)),0)
*13/3,
0),
IF($E$2="Monthly",
ROUND(
ROUND(((TRUNC($AN336*3/13,0)+0.99)*VLOOKUP((TRUNC($AN336*3/13,0)+0.99),'Tax scales - NAT 1004'!$A$53:$C$59,2,1)-VLOOKUP((TRUNC($AN336*3/13,0)+0.99),'Tax scales - NAT 1004'!$A$53:$C$59,3,1)),0)
*13/3,
0),
""))),
""),
"")</f>
        <v/>
      </c>
      <c r="AT336" s="118" t="str">
        <f>IFERROR(
IF(VLOOKUP($C336,'Employee information'!$B:$M,COLUMNS('Employee information'!$B:$M),0)=6,
IF($E$2="Fortnightly",
ROUND(
ROUND((((TRUNC($AN336/2,0)+0.99))*VLOOKUP((TRUNC($AN336/2,0)+0.99),'Tax scales - NAT 1004'!$A$65:$C$73,2,1)-VLOOKUP((TRUNC($AN336/2,0)+0.99),'Tax scales - NAT 1004'!$A$65:$C$73,3,1)),0)
*2,
0),
IF(AND($E$2="Monthly",ROUND($AN336-TRUNC($AN336),2)=0.33),
ROUND(
ROUND(((TRUNC(($AN336+0.01)*3/13,0)+0.99)*VLOOKUP((TRUNC(($AN336+0.01)*3/13,0)+0.99),'Tax scales - NAT 1004'!$A$65:$C$73,2,1)-VLOOKUP((TRUNC(($AN336+0.01)*3/13,0)+0.99),'Tax scales - NAT 1004'!$A$65:$C$73,3,1)),0)
*13/3,
0),
IF($E$2="Monthly",
ROUND(
ROUND(((TRUNC($AN336*3/13,0)+0.99)*VLOOKUP((TRUNC($AN336*3/13,0)+0.99),'Tax scales - NAT 1004'!$A$65:$C$73,2,1)-VLOOKUP((TRUNC($AN336*3/13,0)+0.99),'Tax scales - NAT 1004'!$A$65:$C$73,3,1)),0)
*13/3,
0),
""))),
""),
"")</f>
        <v/>
      </c>
      <c r="AU336" s="118" t="str">
        <f>IFERROR(
IF(VLOOKUP($C336,'Employee information'!$B:$M,COLUMNS('Employee information'!$B:$M),0)=11,
IF($E$2="Fortnightly",
ROUND(
ROUND((((TRUNC($AN336/2,0)+0.99))*VLOOKUP((TRUNC($AN336/2,0)+0.99),'Tax scales - NAT 3539'!$A$14:$C$38,2,1)-VLOOKUP((TRUNC($AN336/2,0)+0.99),'Tax scales - NAT 3539'!$A$14:$C$38,3,1)),0)
*2,
0),
IF(AND($E$2="Monthly",ROUND($AN336-TRUNC($AN336),2)=0.33),
ROUND(
ROUND(((TRUNC(($AN336+0.01)*3/13,0)+0.99)*VLOOKUP((TRUNC(($AN336+0.01)*3/13,0)+0.99),'Tax scales - NAT 3539'!$A$14:$C$38,2,1)-VLOOKUP((TRUNC(($AN336+0.01)*3/13,0)+0.99),'Tax scales - NAT 3539'!$A$14:$C$38,3,1)),0)
*13/3,
0),
IF($E$2="Monthly",
ROUND(
ROUND(((TRUNC($AN336*3/13,0)+0.99)*VLOOKUP((TRUNC($AN336*3/13,0)+0.99),'Tax scales - NAT 3539'!$A$14:$C$38,2,1)-VLOOKUP((TRUNC($AN336*3/13,0)+0.99),'Tax scales - NAT 3539'!$A$14:$C$38,3,1)),0)
*13/3,
0),
""))),
""),
"")</f>
        <v/>
      </c>
      <c r="AV336" s="118" t="str">
        <f>IFERROR(
IF(VLOOKUP($C336,'Employee information'!$B:$M,COLUMNS('Employee information'!$B:$M),0)=22,
IF($E$2="Fortnightly",
ROUND(
ROUND((((TRUNC($AN336/2,0)+0.99))*VLOOKUP((TRUNC($AN336/2,0)+0.99),'Tax scales - NAT 3539'!$A$43:$C$69,2,1)-VLOOKUP((TRUNC($AN336/2,0)+0.99),'Tax scales - NAT 3539'!$A$43:$C$69,3,1)),0)
*2,
0),
IF(AND($E$2="Monthly",ROUND($AN336-TRUNC($AN336),2)=0.33),
ROUND(
ROUND(((TRUNC(($AN336+0.01)*3/13,0)+0.99)*VLOOKUP((TRUNC(($AN336+0.01)*3/13,0)+0.99),'Tax scales - NAT 3539'!$A$43:$C$69,2,1)-VLOOKUP((TRUNC(($AN336+0.01)*3/13,0)+0.99),'Tax scales - NAT 3539'!$A$43:$C$69,3,1)),0)
*13/3,
0),
IF($E$2="Monthly",
ROUND(
ROUND(((TRUNC($AN336*3/13,0)+0.99)*VLOOKUP((TRUNC($AN336*3/13,0)+0.99),'Tax scales - NAT 3539'!$A$43:$C$69,2,1)-VLOOKUP((TRUNC($AN336*3/13,0)+0.99),'Tax scales - NAT 3539'!$A$43:$C$69,3,1)),0)
*13/3,
0),
""))),
""),
"")</f>
        <v/>
      </c>
      <c r="AW336" s="118" t="str">
        <f>IFERROR(
IF(VLOOKUP($C336,'Employee information'!$B:$M,COLUMNS('Employee information'!$B:$M),0)=33,
IF($E$2="Fortnightly",
ROUND(
ROUND((((TRUNC($AN336/2,0)+0.99))*VLOOKUP((TRUNC($AN336/2,0)+0.99),'Tax scales - NAT 3539'!$A$74:$C$94,2,1)-VLOOKUP((TRUNC($AN336/2,0)+0.99),'Tax scales - NAT 3539'!$A$74:$C$94,3,1)),0)
*2,
0),
IF(AND($E$2="Monthly",ROUND($AN336-TRUNC($AN336),2)=0.33),
ROUND(
ROUND(((TRUNC(($AN336+0.01)*3/13,0)+0.99)*VLOOKUP((TRUNC(($AN336+0.01)*3/13,0)+0.99),'Tax scales - NAT 3539'!$A$74:$C$94,2,1)-VLOOKUP((TRUNC(($AN336+0.01)*3/13,0)+0.99),'Tax scales - NAT 3539'!$A$74:$C$94,3,1)),0)
*13/3,
0),
IF($E$2="Monthly",
ROUND(
ROUND(((TRUNC($AN336*3/13,0)+0.99)*VLOOKUP((TRUNC($AN336*3/13,0)+0.99),'Tax scales - NAT 3539'!$A$74:$C$94,2,1)-VLOOKUP((TRUNC($AN336*3/13,0)+0.99),'Tax scales - NAT 3539'!$A$74:$C$94,3,1)),0)
*13/3,
0),
""))),
""),
"")</f>
        <v/>
      </c>
      <c r="AX336" s="118" t="str">
        <f>IFERROR(
IF(VLOOKUP($C336,'Employee information'!$B:$M,COLUMNS('Employee information'!$B:$M),0)=55,
IF($E$2="Fortnightly",
ROUND(
ROUND((((TRUNC($AN336/2,0)+0.99))*VLOOKUP((TRUNC($AN336/2,0)+0.99),'Tax scales - NAT 3539'!$A$99:$C$123,2,1)-VLOOKUP((TRUNC($AN336/2,0)+0.99),'Tax scales - NAT 3539'!$A$99:$C$123,3,1)),0)
*2,
0),
IF(AND($E$2="Monthly",ROUND($AN336-TRUNC($AN336),2)=0.33),
ROUND(
ROUND(((TRUNC(($AN336+0.01)*3/13,0)+0.99)*VLOOKUP((TRUNC(($AN336+0.01)*3/13,0)+0.99),'Tax scales - NAT 3539'!$A$99:$C$123,2,1)-VLOOKUP((TRUNC(($AN336+0.01)*3/13,0)+0.99),'Tax scales - NAT 3539'!$A$99:$C$123,3,1)),0)
*13/3,
0),
IF($E$2="Monthly",
ROUND(
ROUND(((TRUNC($AN336*3/13,0)+0.99)*VLOOKUP((TRUNC($AN336*3/13,0)+0.99),'Tax scales - NAT 3539'!$A$99:$C$123,2,1)-VLOOKUP((TRUNC($AN336*3/13,0)+0.99),'Tax scales - NAT 3539'!$A$99:$C$123,3,1)),0)
*13/3,
0),
""))),
""),
"")</f>
        <v/>
      </c>
      <c r="AY336" s="118">
        <f>IFERROR(
IF(VLOOKUP($C336,'Employee information'!$B:$M,COLUMNS('Employee information'!$B:$M),0)=66,
IF($E$2="Fortnightly",
ROUND(
ROUND((((TRUNC($AN336/2,0)+0.99))*VLOOKUP((TRUNC($AN336/2,0)+0.99),'Tax scales - NAT 3539'!$A$127:$C$154,2,1)-VLOOKUP((TRUNC($AN336/2,0)+0.99),'Tax scales - NAT 3539'!$A$127:$C$154,3,1)),0)
*2,
0),
IF(AND($E$2="Monthly",ROUND($AN336-TRUNC($AN336),2)=0.33),
ROUND(
ROUND(((TRUNC(($AN336+0.01)*3/13,0)+0.99)*VLOOKUP((TRUNC(($AN336+0.01)*3/13,0)+0.99),'Tax scales - NAT 3539'!$A$127:$C$154,2,1)-VLOOKUP((TRUNC(($AN336+0.01)*3/13,0)+0.99),'Tax scales - NAT 3539'!$A$127:$C$154,3,1)),0)
*13/3,
0),
IF($E$2="Monthly",
ROUND(
ROUND(((TRUNC($AN336*3/13,0)+0.99)*VLOOKUP((TRUNC($AN336*3/13,0)+0.99),'Tax scales - NAT 3539'!$A$127:$C$154,2,1)-VLOOKUP((TRUNC($AN336*3/13,0)+0.99),'Tax scales - NAT 3539'!$A$127:$C$154,3,1)),0)
*13/3,
0),
""))),
""),
"")</f>
        <v>74</v>
      </c>
      <c r="AZ336" s="118">
        <f>IFERROR(
HLOOKUP(VLOOKUP($C336,'Employee information'!$B:$M,COLUMNS('Employee information'!$B:$M),0),'PAYG worksheet'!$AO$329:$AY$348,COUNTA($C$330:$C336)+1,0),
0)</f>
        <v>74</v>
      </c>
      <c r="BA336" s="118"/>
      <c r="BB336" s="118">
        <f t="shared" si="356"/>
        <v>1033.6923076923078</v>
      </c>
      <c r="BC336" s="119">
        <f>IFERROR(
IF(OR($AE336=1,$AE336=""),SUM($P336,$AA336,$AC336,$AK336)*VLOOKUP($C336,'Employee information'!$B:$Q,COLUMNS('Employee information'!$B:$H),0),
IF($AE336=0,SUM($P336,$AA336,$AK336)*VLOOKUP($C336,'Employee information'!$B:$Q,COLUMNS('Employee information'!$B:$H),0),
0)),
0)</f>
        <v>105.23076923076924</v>
      </c>
      <c r="BE336" s="114">
        <f t="shared" si="341"/>
        <v>13292.307692307697</v>
      </c>
      <c r="BF336" s="114">
        <f t="shared" si="342"/>
        <v>13292.307692307697</v>
      </c>
      <c r="BG336" s="114">
        <f t="shared" si="343"/>
        <v>0</v>
      </c>
      <c r="BH336" s="114">
        <f t="shared" si="344"/>
        <v>0</v>
      </c>
      <c r="BI336" s="114">
        <f t="shared" si="345"/>
        <v>888</v>
      </c>
      <c r="BJ336" s="114">
        <f t="shared" si="346"/>
        <v>0</v>
      </c>
      <c r="BK336" s="114">
        <f t="shared" si="347"/>
        <v>0</v>
      </c>
      <c r="BL336" s="114">
        <f t="shared" si="357"/>
        <v>0</v>
      </c>
      <c r="BM336" s="114">
        <f t="shared" si="348"/>
        <v>1262.7692307692312</v>
      </c>
    </row>
    <row r="337" spans="1:65" x14ac:dyDescent="0.25">
      <c r="A337" s="228">
        <f t="shared" si="336"/>
        <v>12</v>
      </c>
      <c r="C337" s="278"/>
      <c r="E337" s="103">
        <f>IF($C337="",0,
IF(AND($E$2="Monthly",$A337&gt;12),0,
IF($E$2="Monthly",VLOOKUP($C337,'Employee information'!$B:$AM,COLUMNS('Employee information'!$B:S),0),
IF($E$2="Fortnightly",VLOOKUP($C337,'Employee information'!$B:$AM,COLUMNS('Employee information'!$B:R),0),
0))))</f>
        <v>0</v>
      </c>
      <c r="F337" s="106"/>
      <c r="G337" s="106"/>
      <c r="H337" s="106"/>
      <c r="I337" s="106"/>
      <c r="J337" s="103">
        <f>IF($E$2="Monthly",
IF(AND($E$2="Monthly",$H337&lt;&gt;""),$H337,
IF(AND($E$2="Monthly",$E337=0),SUM($F337:$G337),
$E337)),
IF($E$2="Fortnightly",
IF(AND($E$2="Fortnightly",$H337&lt;&gt;""),$H337,
IF(AND($E$2="Fortnightly",$F337&lt;&gt;"",$E337&lt;&gt;0),$F337,
IF(AND($E$2="Fortnightly",$E337=0),SUM($F337:$G337),
$E337)))))</f>
        <v>0</v>
      </c>
      <c r="L337" s="113">
        <f>IF(AND($E$2="Monthly",$A337&gt;12),"",
IFERROR($J337*VLOOKUP($C337,'Employee information'!$B:$AI,COLUMNS('Employee information'!$B:$P),0),0))</f>
        <v>0</v>
      </c>
      <c r="M337" s="114">
        <f t="shared" si="350"/>
        <v>0</v>
      </c>
      <c r="O337" s="103">
        <f t="shared" si="351"/>
        <v>0</v>
      </c>
      <c r="P337" s="113">
        <f>IFERROR(
IF(AND($E$2="Monthly",$A337&gt;12),0,
$O337*VLOOKUP($C337,'Employee information'!$B:$AI,COLUMNS('Employee information'!$B:$P),0)),
0)</f>
        <v>0</v>
      </c>
      <c r="R337" s="114">
        <f t="shared" si="337"/>
        <v>0</v>
      </c>
      <c r="T337" s="103"/>
      <c r="U337" s="103"/>
      <c r="V337" s="282" t="str">
        <f>IF($C337="","",
IF(AND($E$2="Monthly",$A337&gt;12),"",
$T337*VLOOKUP($C337,'Employee information'!$B:$P,COLUMNS('Employee information'!$B:$P),0)))</f>
        <v/>
      </c>
      <c r="W337" s="282" t="str">
        <f>IF($C337="","",
IF(AND($E$2="Monthly",$A337&gt;12),"",
$U337*VLOOKUP($C337,'Employee information'!$B:$P,COLUMNS('Employee information'!$B:$P),0)))</f>
        <v/>
      </c>
      <c r="X337" s="114">
        <f t="shared" si="338"/>
        <v>0</v>
      </c>
      <c r="Y337" s="114">
        <f t="shared" si="339"/>
        <v>0</v>
      </c>
      <c r="AA337" s="118">
        <f>IFERROR(
IF(OR('Basic payroll data'!$D$12="",'Basic payroll data'!$D$12="No"),0,
$T337*VLOOKUP($C337,'Employee information'!$B:$P,COLUMNS('Employee information'!$B:$P),0)*AL_loading_perc),
0)</f>
        <v>0</v>
      </c>
      <c r="AC337" s="118"/>
      <c r="AD337" s="118"/>
      <c r="AE337" s="283" t="str">
        <f t="shared" si="352"/>
        <v/>
      </c>
      <c r="AF337" s="283" t="str">
        <f t="shared" si="353"/>
        <v/>
      </c>
      <c r="AG337" s="118"/>
      <c r="AH337" s="118"/>
      <c r="AI337" s="283" t="str">
        <f t="shared" si="354"/>
        <v/>
      </c>
      <c r="AJ337" s="118"/>
      <c r="AK337" s="118"/>
      <c r="AM337" s="118">
        <f t="shared" si="355"/>
        <v>0</v>
      </c>
      <c r="AN337" s="118">
        <f t="shared" si="340"/>
        <v>0</v>
      </c>
      <c r="AO337" s="118" t="str">
        <f>IFERROR(
IF(VLOOKUP($C337,'Employee information'!$B:$M,COLUMNS('Employee information'!$B:$M),0)=1,
IF($E$2="Fortnightly",
ROUND(
ROUND((((TRUNC($AN337/2,0)+0.99))*VLOOKUP((TRUNC($AN337/2,0)+0.99),'Tax scales - NAT 1004'!$A$12:$C$18,2,1)-VLOOKUP((TRUNC($AN337/2,0)+0.99),'Tax scales - NAT 1004'!$A$12:$C$18,3,1)),0)
*2,
0),
IF(AND($E$2="Monthly",ROUND($AN337-TRUNC($AN337),2)=0.33),
ROUND(
ROUND(((TRUNC(($AN337+0.01)*3/13,0)+0.99)*VLOOKUP((TRUNC(($AN337+0.01)*3/13,0)+0.99),'Tax scales - NAT 1004'!$A$12:$C$18,2,1)-VLOOKUP((TRUNC(($AN337+0.01)*3/13,0)+0.99),'Tax scales - NAT 1004'!$A$12:$C$18,3,1)),0)
*13/3,
0),
IF($E$2="Monthly",
ROUND(
ROUND(((TRUNC($AN337*3/13,0)+0.99)*VLOOKUP((TRUNC($AN337*3/13,0)+0.99),'Tax scales - NAT 1004'!$A$12:$C$18,2,1)-VLOOKUP((TRUNC($AN337*3/13,0)+0.99),'Tax scales - NAT 1004'!$A$12:$C$18,3,1)),0)
*13/3,
0),
""))),
""),
"")</f>
        <v/>
      </c>
      <c r="AP337" s="118" t="str">
        <f>IFERROR(
IF(VLOOKUP($C337,'Employee information'!$B:$M,COLUMNS('Employee information'!$B:$M),0)=2,
IF($E$2="Fortnightly",
ROUND(
ROUND((((TRUNC($AN337/2,0)+0.99))*VLOOKUP((TRUNC($AN337/2,0)+0.99),'Tax scales - NAT 1004'!$A$25:$C$33,2,1)-VLOOKUP((TRUNC($AN337/2,0)+0.99),'Tax scales - NAT 1004'!$A$25:$C$33,3,1)),0)
*2,
0),
IF(AND($E$2="Monthly",ROUND($AN337-TRUNC($AN337),2)=0.33),
ROUND(
ROUND(((TRUNC(($AN337+0.01)*3/13,0)+0.99)*VLOOKUP((TRUNC(($AN337+0.01)*3/13,0)+0.99),'Tax scales - NAT 1004'!$A$25:$C$33,2,1)-VLOOKUP((TRUNC(($AN337+0.01)*3/13,0)+0.99),'Tax scales - NAT 1004'!$A$25:$C$33,3,1)),0)
*13/3,
0),
IF($E$2="Monthly",
ROUND(
ROUND(((TRUNC($AN337*3/13,0)+0.99)*VLOOKUP((TRUNC($AN337*3/13,0)+0.99),'Tax scales - NAT 1004'!$A$25:$C$33,2,1)-VLOOKUP((TRUNC($AN337*3/13,0)+0.99),'Tax scales - NAT 1004'!$A$25:$C$33,3,1)),0)
*13/3,
0),
""))),
""),
"")</f>
        <v/>
      </c>
      <c r="AQ337" s="118" t="str">
        <f>IFERROR(
IF(VLOOKUP($C337,'Employee information'!$B:$M,COLUMNS('Employee information'!$B:$M),0)=3,
IF($E$2="Fortnightly",
ROUND(
ROUND((((TRUNC($AN337/2,0)+0.99))*VLOOKUP((TRUNC($AN337/2,0)+0.99),'Tax scales - NAT 1004'!$A$39:$C$41,2,1)-VLOOKUP((TRUNC($AN337/2,0)+0.99),'Tax scales - NAT 1004'!$A$39:$C$41,3,1)),0)
*2,
0),
IF(AND($E$2="Monthly",ROUND($AN337-TRUNC($AN337),2)=0.33),
ROUND(
ROUND(((TRUNC(($AN337+0.01)*3/13,0)+0.99)*VLOOKUP((TRUNC(($AN337+0.01)*3/13,0)+0.99),'Tax scales - NAT 1004'!$A$39:$C$41,2,1)-VLOOKUP((TRUNC(($AN337+0.01)*3/13,0)+0.99),'Tax scales - NAT 1004'!$A$39:$C$41,3,1)),0)
*13/3,
0),
IF($E$2="Monthly",
ROUND(
ROUND(((TRUNC($AN337*3/13,0)+0.99)*VLOOKUP((TRUNC($AN337*3/13,0)+0.99),'Tax scales - NAT 1004'!$A$39:$C$41,2,1)-VLOOKUP((TRUNC($AN337*3/13,0)+0.99),'Tax scales - NAT 1004'!$A$39:$C$41,3,1)),0)
*13/3,
0),
""))),
""),
"")</f>
        <v/>
      </c>
      <c r="AR337" s="118" t="str">
        <f>IFERROR(
IF(AND(VLOOKUP($C337,'Employee information'!$B:$M,COLUMNS('Employee information'!$B:$M),0)=4,
VLOOKUP($C337,'Employee information'!$B:$J,COLUMNS('Employee information'!$B:$J),0)="Resident"),
TRUNC(TRUNC($AN337)*'Tax scales - NAT 1004'!$B$47),
IF(AND(VLOOKUP($C337,'Employee information'!$B:$M,COLUMNS('Employee information'!$B:$M),0)=4,
VLOOKUP($C337,'Employee information'!$B:$J,COLUMNS('Employee information'!$B:$J),0)="Foreign resident"),
TRUNC(TRUNC($AN337)*'Tax scales - NAT 1004'!$B$48),
"")),
"")</f>
        <v/>
      </c>
      <c r="AS337" s="118" t="str">
        <f>IFERROR(
IF(VLOOKUP($C337,'Employee information'!$B:$M,COLUMNS('Employee information'!$B:$M),0)=5,
IF($E$2="Fortnightly",
ROUND(
ROUND((((TRUNC($AN337/2,0)+0.99))*VLOOKUP((TRUNC($AN337/2,0)+0.99),'Tax scales - NAT 1004'!$A$53:$C$59,2,1)-VLOOKUP((TRUNC($AN337/2,0)+0.99),'Tax scales - NAT 1004'!$A$53:$C$59,3,1)),0)
*2,
0),
IF(AND($E$2="Monthly",ROUND($AN337-TRUNC($AN337),2)=0.33),
ROUND(
ROUND(((TRUNC(($AN337+0.01)*3/13,0)+0.99)*VLOOKUP((TRUNC(($AN337+0.01)*3/13,0)+0.99),'Tax scales - NAT 1004'!$A$53:$C$59,2,1)-VLOOKUP((TRUNC(($AN337+0.01)*3/13,0)+0.99),'Tax scales - NAT 1004'!$A$53:$C$59,3,1)),0)
*13/3,
0),
IF($E$2="Monthly",
ROUND(
ROUND(((TRUNC($AN337*3/13,0)+0.99)*VLOOKUP((TRUNC($AN337*3/13,0)+0.99),'Tax scales - NAT 1004'!$A$53:$C$59,2,1)-VLOOKUP((TRUNC($AN337*3/13,0)+0.99),'Tax scales - NAT 1004'!$A$53:$C$59,3,1)),0)
*13/3,
0),
""))),
""),
"")</f>
        <v/>
      </c>
      <c r="AT337" s="118" t="str">
        <f>IFERROR(
IF(VLOOKUP($C337,'Employee information'!$B:$M,COLUMNS('Employee information'!$B:$M),0)=6,
IF($E$2="Fortnightly",
ROUND(
ROUND((((TRUNC($AN337/2,0)+0.99))*VLOOKUP((TRUNC($AN337/2,0)+0.99),'Tax scales - NAT 1004'!$A$65:$C$73,2,1)-VLOOKUP((TRUNC($AN337/2,0)+0.99),'Tax scales - NAT 1004'!$A$65:$C$73,3,1)),0)
*2,
0),
IF(AND($E$2="Monthly",ROUND($AN337-TRUNC($AN337),2)=0.33),
ROUND(
ROUND(((TRUNC(($AN337+0.01)*3/13,0)+0.99)*VLOOKUP((TRUNC(($AN337+0.01)*3/13,0)+0.99),'Tax scales - NAT 1004'!$A$65:$C$73,2,1)-VLOOKUP((TRUNC(($AN337+0.01)*3/13,0)+0.99),'Tax scales - NAT 1004'!$A$65:$C$73,3,1)),0)
*13/3,
0),
IF($E$2="Monthly",
ROUND(
ROUND(((TRUNC($AN337*3/13,0)+0.99)*VLOOKUP((TRUNC($AN337*3/13,0)+0.99),'Tax scales - NAT 1004'!$A$65:$C$73,2,1)-VLOOKUP((TRUNC($AN337*3/13,0)+0.99),'Tax scales - NAT 1004'!$A$65:$C$73,3,1)),0)
*13/3,
0),
""))),
""),
"")</f>
        <v/>
      </c>
      <c r="AU337" s="118" t="str">
        <f>IFERROR(
IF(VLOOKUP($C337,'Employee information'!$B:$M,COLUMNS('Employee information'!$B:$M),0)=11,
IF($E$2="Fortnightly",
ROUND(
ROUND((((TRUNC($AN337/2,0)+0.99))*VLOOKUP((TRUNC($AN337/2,0)+0.99),'Tax scales - NAT 3539'!$A$14:$C$38,2,1)-VLOOKUP((TRUNC($AN337/2,0)+0.99),'Tax scales - NAT 3539'!$A$14:$C$38,3,1)),0)
*2,
0),
IF(AND($E$2="Monthly",ROUND($AN337-TRUNC($AN337),2)=0.33),
ROUND(
ROUND(((TRUNC(($AN337+0.01)*3/13,0)+0.99)*VLOOKUP((TRUNC(($AN337+0.01)*3/13,0)+0.99),'Tax scales - NAT 3539'!$A$14:$C$38,2,1)-VLOOKUP((TRUNC(($AN337+0.01)*3/13,0)+0.99),'Tax scales - NAT 3539'!$A$14:$C$38,3,1)),0)
*13/3,
0),
IF($E$2="Monthly",
ROUND(
ROUND(((TRUNC($AN337*3/13,0)+0.99)*VLOOKUP((TRUNC($AN337*3/13,0)+0.99),'Tax scales - NAT 3539'!$A$14:$C$38,2,1)-VLOOKUP((TRUNC($AN337*3/13,0)+0.99),'Tax scales - NAT 3539'!$A$14:$C$38,3,1)),0)
*13/3,
0),
""))),
""),
"")</f>
        <v/>
      </c>
      <c r="AV337" s="118" t="str">
        <f>IFERROR(
IF(VLOOKUP($C337,'Employee information'!$B:$M,COLUMNS('Employee information'!$B:$M),0)=22,
IF($E$2="Fortnightly",
ROUND(
ROUND((((TRUNC($AN337/2,0)+0.99))*VLOOKUP((TRUNC($AN337/2,0)+0.99),'Tax scales - NAT 3539'!$A$43:$C$69,2,1)-VLOOKUP((TRUNC($AN337/2,0)+0.99),'Tax scales - NAT 3539'!$A$43:$C$69,3,1)),0)
*2,
0),
IF(AND($E$2="Monthly",ROUND($AN337-TRUNC($AN337),2)=0.33),
ROUND(
ROUND(((TRUNC(($AN337+0.01)*3/13,0)+0.99)*VLOOKUP((TRUNC(($AN337+0.01)*3/13,0)+0.99),'Tax scales - NAT 3539'!$A$43:$C$69,2,1)-VLOOKUP((TRUNC(($AN337+0.01)*3/13,0)+0.99),'Tax scales - NAT 3539'!$A$43:$C$69,3,1)),0)
*13/3,
0),
IF($E$2="Monthly",
ROUND(
ROUND(((TRUNC($AN337*3/13,0)+0.99)*VLOOKUP((TRUNC($AN337*3/13,0)+0.99),'Tax scales - NAT 3539'!$A$43:$C$69,2,1)-VLOOKUP((TRUNC($AN337*3/13,0)+0.99),'Tax scales - NAT 3539'!$A$43:$C$69,3,1)),0)
*13/3,
0),
""))),
""),
"")</f>
        <v/>
      </c>
      <c r="AW337" s="118" t="str">
        <f>IFERROR(
IF(VLOOKUP($C337,'Employee information'!$B:$M,COLUMNS('Employee information'!$B:$M),0)=33,
IF($E$2="Fortnightly",
ROUND(
ROUND((((TRUNC($AN337/2,0)+0.99))*VLOOKUP((TRUNC($AN337/2,0)+0.99),'Tax scales - NAT 3539'!$A$74:$C$94,2,1)-VLOOKUP((TRUNC($AN337/2,0)+0.99),'Tax scales - NAT 3539'!$A$74:$C$94,3,1)),0)
*2,
0),
IF(AND($E$2="Monthly",ROUND($AN337-TRUNC($AN337),2)=0.33),
ROUND(
ROUND(((TRUNC(($AN337+0.01)*3/13,0)+0.99)*VLOOKUP((TRUNC(($AN337+0.01)*3/13,0)+0.99),'Tax scales - NAT 3539'!$A$74:$C$94,2,1)-VLOOKUP((TRUNC(($AN337+0.01)*3/13,0)+0.99),'Tax scales - NAT 3539'!$A$74:$C$94,3,1)),0)
*13/3,
0),
IF($E$2="Monthly",
ROUND(
ROUND(((TRUNC($AN337*3/13,0)+0.99)*VLOOKUP((TRUNC($AN337*3/13,0)+0.99),'Tax scales - NAT 3539'!$A$74:$C$94,2,1)-VLOOKUP((TRUNC($AN337*3/13,0)+0.99),'Tax scales - NAT 3539'!$A$74:$C$94,3,1)),0)
*13/3,
0),
""))),
""),
"")</f>
        <v/>
      </c>
      <c r="AX337" s="118" t="str">
        <f>IFERROR(
IF(VLOOKUP($C337,'Employee information'!$B:$M,COLUMNS('Employee information'!$B:$M),0)=55,
IF($E$2="Fortnightly",
ROUND(
ROUND((((TRUNC($AN337/2,0)+0.99))*VLOOKUP((TRUNC($AN337/2,0)+0.99),'Tax scales - NAT 3539'!$A$99:$C$123,2,1)-VLOOKUP((TRUNC($AN337/2,0)+0.99),'Tax scales - NAT 3539'!$A$99:$C$123,3,1)),0)
*2,
0),
IF(AND($E$2="Monthly",ROUND($AN337-TRUNC($AN337),2)=0.33),
ROUND(
ROUND(((TRUNC(($AN337+0.01)*3/13,0)+0.99)*VLOOKUP((TRUNC(($AN337+0.01)*3/13,0)+0.99),'Tax scales - NAT 3539'!$A$99:$C$123,2,1)-VLOOKUP((TRUNC(($AN337+0.01)*3/13,0)+0.99),'Tax scales - NAT 3539'!$A$99:$C$123,3,1)),0)
*13/3,
0),
IF($E$2="Monthly",
ROUND(
ROUND(((TRUNC($AN337*3/13,0)+0.99)*VLOOKUP((TRUNC($AN337*3/13,0)+0.99),'Tax scales - NAT 3539'!$A$99:$C$123,2,1)-VLOOKUP((TRUNC($AN337*3/13,0)+0.99),'Tax scales - NAT 3539'!$A$99:$C$123,3,1)),0)
*13/3,
0),
""))),
""),
"")</f>
        <v/>
      </c>
      <c r="AY337" s="118" t="str">
        <f>IFERROR(
IF(VLOOKUP($C337,'Employee information'!$B:$M,COLUMNS('Employee information'!$B:$M),0)=66,
IF($E$2="Fortnightly",
ROUND(
ROUND((((TRUNC($AN337/2,0)+0.99))*VLOOKUP((TRUNC($AN337/2,0)+0.99),'Tax scales - NAT 3539'!$A$127:$C$154,2,1)-VLOOKUP((TRUNC($AN337/2,0)+0.99),'Tax scales - NAT 3539'!$A$127:$C$154,3,1)),0)
*2,
0),
IF(AND($E$2="Monthly",ROUND($AN337-TRUNC($AN337),2)=0.33),
ROUND(
ROUND(((TRUNC(($AN337+0.01)*3/13,0)+0.99)*VLOOKUP((TRUNC(($AN337+0.01)*3/13,0)+0.99),'Tax scales - NAT 3539'!$A$127:$C$154,2,1)-VLOOKUP((TRUNC(($AN337+0.01)*3/13,0)+0.99),'Tax scales - NAT 3539'!$A$127:$C$154,3,1)),0)
*13/3,
0),
IF($E$2="Monthly",
ROUND(
ROUND(((TRUNC($AN337*3/13,0)+0.99)*VLOOKUP((TRUNC($AN337*3/13,0)+0.99),'Tax scales - NAT 3539'!$A$127:$C$154,2,1)-VLOOKUP((TRUNC($AN337*3/13,0)+0.99),'Tax scales - NAT 3539'!$A$127:$C$154,3,1)),0)
*13/3,
0),
""))),
""),
"")</f>
        <v/>
      </c>
      <c r="AZ337" s="118">
        <f>IFERROR(
HLOOKUP(VLOOKUP($C337,'Employee information'!$B:$M,COLUMNS('Employee information'!$B:$M),0),'PAYG worksheet'!$AO$329:$AY$348,COUNTA($C$330:$C337)+1,0),
0)</f>
        <v>0</v>
      </c>
      <c r="BA337" s="118"/>
      <c r="BB337" s="118">
        <f t="shared" si="356"/>
        <v>0</v>
      </c>
      <c r="BC337" s="119">
        <f>IFERROR(
IF(OR($AE337=1,$AE337=""),SUM($P337,$AA337,$AC337,$AK337)*VLOOKUP($C337,'Employee information'!$B:$Q,COLUMNS('Employee information'!$B:$H),0),
IF($AE337=0,SUM($P337,$AA337,$AK337)*VLOOKUP($C337,'Employee information'!$B:$Q,COLUMNS('Employee information'!$B:$H),0),
0)),
0)</f>
        <v>0</v>
      </c>
      <c r="BE337" s="114">
        <f t="shared" si="341"/>
        <v>0</v>
      </c>
      <c r="BF337" s="114">
        <f t="shared" si="342"/>
        <v>0</v>
      </c>
      <c r="BG337" s="114">
        <f t="shared" si="343"/>
        <v>0</v>
      </c>
      <c r="BH337" s="114">
        <f t="shared" si="344"/>
        <v>0</v>
      </c>
      <c r="BI337" s="114">
        <f t="shared" si="345"/>
        <v>0</v>
      </c>
      <c r="BJ337" s="114">
        <f t="shared" si="346"/>
        <v>0</v>
      </c>
      <c r="BK337" s="114">
        <f t="shared" si="347"/>
        <v>0</v>
      </c>
      <c r="BL337" s="114">
        <f t="shared" si="357"/>
        <v>0</v>
      </c>
      <c r="BM337" s="114">
        <f t="shared" si="348"/>
        <v>0</v>
      </c>
    </row>
    <row r="338" spans="1:65" x14ac:dyDescent="0.25">
      <c r="A338" s="228">
        <f t="shared" si="336"/>
        <v>12</v>
      </c>
      <c r="C338" s="278"/>
      <c r="E338" s="103">
        <f>IF($C338="",0,
IF(AND($E$2="Monthly",$A338&gt;12),0,
IF($E$2="Monthly",VLOOKUP($C338,'Employee information'!$B:$AM,COLUMNS('Employee information'!$B:S),0),
IF($E$2="Fortnightly",VLOOKUP($C338,'Employee information'!$B:$AM,COLUMNS('Employee information'!$B:R),0),
0))))</f>
        <v>0</v>
      </c>
      <c r="F338" s="106"/>
      <c r="G338" s="106"/>
      <c r="H338" s="106"/>
      <c r="I338" s="106"/>
      <c r="J338" s="103">
        <f t="shared" si="349"/>
        <v>0</v>
      </c>
      <c r="L338" s="113">
        <f>IF(AND($E$2="Monthly",$A338&gt;12),"",
IFERROR($J338*VLOOKUP($C338,'Employee information'!$B:$AI,COLUMNS('Employee information'!$B:$P),0),0))</f>
        <v>0</v>
      </c>
      <c r="M338" s="114">
        <f t="shared" si="350"/>
        <v>0</v>
      </c>
      <c r="O338" s="103">
        <f t="shared" si="351"/>
        <v>0</v>
      </c>
      <c r="P338" s="113">
        <f>IFERROR(
IF(AND($E$2="Monthly",$A338&gt;12),0,
$O338*VLOOKUP($C338,'Employee information'!$B:$AI,COLUMNS('Employee information'!$B:$P),0)),
0)</f>
        <v>0</v>
      </c>
      <c r="R338" s="114">
        <f t="shared" si="337"/>
        <v>0</v>
      </c>
      <c r="T338" s="103"/>
      <c r="U338" s="103"/>
      <c r="V338" s="282" t="str">
        <f>IF($C338="","",
IF(AND($E$2="Monthly",$A338&gt;12),"",
$T338*VLOOKUP($C338,'Employee information'!$B:$P,COLUMNS('Employee information'!$B:$P),0)))</f>
        <v/>
      </c>
      <c r="W338" s="282" t="str">
        <f>IF($C338="","",
IF(AND($E$2="Monthly",$A338&gt;12),"",
$U338*VLOOKUP($C338,'Employee information'!$B:$P,COLUMNS('Employee information'!$B:$P),0)))</f>
        <v/>
      </c>
      <c r="X338" s="114">
        <f t="shared" si="338"/>
        <v>0</v>
      </c>
      <c r="Y338" s="114">
        <f t="shared" si="339"/>
        <v>0</v>
      </c>
      <c r="AA338" s="118">
        <f>IFERROR(
IF(OR('Basic payroll data'!$D$12="",'Basic payroll data'!$D$12="No"),0,
$T338*VLOOKUP($C338,'Employee information'!$B:$P,COLUMNS('Employee information'!$B:$P),0)*AL_loading_perc),
0)</f>
        <v>0</v>
      </c>
      <c r="AC338" s="118"/>
      <c r="AD338" s="118"/>
      <c r="AE338" s="283" t="str">
        <f t="shared" si="352"/>
        <v/>
      </c>
      <c r="AF338" s="283" t="str">
        <f t="shared" si="353"/>
        <v/>
      </c>
      <c r="AG338" s="118"/>
      <c r="AH338" s="118"/>
      <c r="AI338" s="283" t="str">
        <f t="shared" si="354"/>
        <v/>
      </c>
      <c r="AJ338" s="118"/>
      <c r="AK338" s="118"/>
      <c r="AM338" s="118">
        <f t="shared" si="355"/>
        <v>0</v>
      </c>
      <c r="AN338" s="118">
        <f t="shared" si="340"/>
        <v>0</v>
      </c>
      <c r="AO338" s="118" t="str">
        <f>IFERROR(
IF(VLOOKUP($C338,'Employee information'!$B:$M,COLUMNS('Employee information'!$B:$M),0)=1,
IF($E$2="Fortnightly",
ROUND(
ROUND((((TRUNC($AN338/2,0)+0.99))*VLOOKUP((TRUNC($AN338/2,0)+0.99),'Tax scales - NAT 1004'!$A$12:$C$18,2,1)-VLOOKUP((TRUNC($AN338/2,0)+0.99),'Tax scales - NAT 1004'!$A$12:$C$18,3,1)),0)
*2,
0),
IF(AND($E$2="Monthly",ROUND($AN338-TRUNC($AN338),2)=0.33),
ROUND(
ROUND(((TRUNC(($AN338+0.01)*3/13,0)+0.99)*VLOOKUP((TRUNC(($AN338+0.01)*3/13,0)+0.99),'Tax scales - NAT 1004'!$A$12:$C$18,2,1)-VLOOKUP((TRUNC(($AN338+0.01)*3/13,0)+0.99),'Tax scales - NAT 1004'!$A$12:$C$18,3,1)),0)
*13/3,
0),
IF($E$2="Monthly",
ROUND(
ROUND(((TRUNC($AN338*3/13,0)+0.99)*VLOOKUP((TRUNC($AN338*3/13,0)+0.99),'Tax scales - NAT 1004'!$A$12:$C$18,2,1)-VLOOKUP((TRUNC($AN338*3/13,0)+0.99),'Tax scales - NAT 1004'!$A$12:$C$18,3,1)),0)
*13/3,
0),
""))),
""),
"")</f>
        <v/>
      </c>
      <c r="AP338" s="118" t="str">
        <f>IFERROR(
IF(VLOOKUP($C338,'Employee information'!$B:$M,COLUMNS('Employee information'!$B:$M),0)=2,
IF($E$2="Fortnightly",
ROUND(
ROUND((((TRUNC($AN338/2,0)+0.99))*VLOOKUP((TRUNC($AN338/2,0)+0.99),'Tax scales - NAT 1004'!$A$25:$C$33,2,1)-VLOOKUP((TRUNC($AN338/2,0)+0.99),'Tax scales - NAT 1004'!$A$25:$C$33,3,1)),0)
*2,
0),
IF(AND($E$2="Monthly",ROUND($AN338-TRUNC($AN338),2)=0.33),
ROUND(
ROUND(((TRUNC(($AN338+0.01)*3/13,0)+0.99)*VLOOKUP((TRUNC(($AN338+0.01)*3/13,0)+0.99),'Tax scales - NAT 1004'!$A$25:$C$33,2,1)-VLOOKUP((TRUNC(($AN338+0.01)*3/13,0)+0.99),'Tax scales - NAT 1004'!$A$25:$C$33,3,1)),0)
*13/3,
0),
IF($E$2="Monthly",
ROUND(
ROUND(((TRUNC($AN338*3/13,0)+0.99)*VLOOKUP((TRUNC($AN338*3/13,0)+0.99),'Tax scales - NAT 1004'!$A$25:$C$33,2,1)-VLOOKUP((TRUNC($AN338*3/13,0)+0.99),'Tax scales - NAT 1004'!$A$25:$C$33,3,1)),0)
*13/3,
0),
""))),
""),
"")</f>
        <v/>
      </c>
      <c r="AQ338" s="118" t="str">
        <f>IFERROR(
IF(VLOOKUP($C338,'Employee information'!$B:$M,COLUMNS('Employee information'!$B:$M),0)=3,
IF($E$2="Fortnightly",
ROUND(
ROUND((((TRUNC($AN338/2,0)+0.99))*VLOOKUP((TRUNC($AN338/2,0)+0.99),'Tax scales - NAT 1004'!$A$39:$C$41,2,1)-VLOOKUP((TRUNC($AN338/2,0)+0.99),'Tax scales - NAT 1004'!$A$39:$C$41,3,1)),0)
*2,
0),
IF(AND($E$2="Monthly",ROUND($AN338-TRUNC($AN338),2)=0.33),
ROUND(
ROUND(((TRUNC(($AN338+0.01)*3/13,0)+0.99)*VLOOKUP((TRUNC(($AN338+0.01)*3/13,0)+0.99),'Tax scales - NAT 1004'!$A$39:$C$41,2,1)-VLOOKUP((TRUNC(($AN338+0.01)*3/13,0)+0.99),'Tax scales - NAT 1004'!$A$39:$C$41,3,1)),0)
*13/3,
0),
IF($E$2="Monthly",
ROUND(
ROUND(((TRUNC($AN338*3/13,0)+0.99)*VLOOKUP((TRUNC($AN338*3/13,0)+0.99),'Tax scales - NAT 1004'!$A$39:$C$41,2,1)-VLOOKUP((TRUNC($AN338*3/13,0)+0.99),'Tax scales - NAT 1004'!$A$39:$C$41,3,1)),0)
*13/3,
0),
""))),
""),
"")</f>
        <v/>
      </c>
      <c r="AR338" s="118" t="str">
        <f>IFERROR(
IF(AND(VLOOKUP($C338,'Employee information'!$B:$M,COLUMNS('Employee information'!$B:$M),0)=4,
VLOOKUP($C338,'Employee information'!$B:$J,COLUMNS('Employee information'!$B:$J),0)="Resident"),
TRUNC(TRUNC($AN338)*'Tax scales - NAT 1004'!$B$47),
IF(AND(VLOOKUP($C338,'Employee information'!$B:$M,COLUMNS('Employee information'!$B:$M),0)=4,
VLOOKUP($C338,'Employee information'!$B:$J,COLUMNS('Employee information'!$B:$J),0)="Foreign resident"),
TRUNC(TRUNC($AN338)*'Tax scales - NAT 1004'!$B$48),
"")),
"")</f>
        <v/>
      </c>
      <c r="AS338" s="118" t="str">
        <f>IFERROR(
IF(VLOOKUP($C338,'Employee information'!$B:$M,COLUMNS('Employee information'!$B:$M),0)=5,
IF($E$2="Fortnightly",
ROUND(
ROUND((((TRUNC($AN338/2,0)+0.99))*VLOOKUP((TRUNC($AN338/2,0)+0.99),'Tax scales - NAT 1004'!$A$53:$C$59,2,1)-VLOOKUP((TRUNC($AN338/2,0)+0.99),'Tax scales - NAT 1004'!$A$53:$C$59,3,1)),0)
*2,
0),
IF(AND($E$2="Monthly",ROUND($AN338-TRUNC($AN338),2)=0.33),
ROUND(
ROUND(((TRUNC(($AN338+0.01)*3/13,0)+0.99)*VLOOKUP((TRUNC(($AN338+0.01)*3/13,0)+0.99),'Tax scales - NAT 1004'!$A$53:$C$59,2,1)-VLOOKUP((TRUNC(($AN338+0.01)*3/13,0)+0.99),'Tax scales - NAT 1004'!$A$53:$C$59,3,1)),0)
*13/3,
0),
IF($E$2="Monthly",
ROUND(
ROUND(((TRUNC($AN338*3/13,0)+0.99)*VLOOKUP((TRUNC($AN338*3/13,0)+0.99),'Tax scales - NAT 1004'!$A$53:$C$59,2,1)-VLOOKUP((TRUNC($AN338*3/13,0)+0.99),'Tax scales - NAT 1004'!$A$53:$C$59,3,1)),0)
*13/3,
0),
""))),
""),
"")</f>
        <v/>
      </c>
      <c r="AT338" s="118" t="str">
        <f>IFERROR(
IF(VLOOKUP($C338,'Employee information'!$B:$M,COLUMNS('Employee information'!$B:$M),0)=6,
IF($E$2="Fortnightly",
ROUND(
ROUND((((TRUNC($AN338/2,0)+0.99))*VLOOKUP((TRUNC($AN338/2,0)+0.99),'Tax scales - NAT 1004'!$A$65:$C$73,2,1)-VLOOKUP((TRUNC($AN338/2,0)+0.99),'Tax scales - NAT 1004'!$A$65:$C$73,3,1)),0)
*2,
0),
IF(AND($E$2="Monthly",ROUND($AN338-TRUNC($AN338),2)=0.33),
ROUND(
ROUND(((TRUNC(($AN338+0.01)*3/13,0)+0.99)*VLOOKUP((TRUNC(($AN338+0.01)*3/13,0)+0.99),'Tax scales - NAT 1004'!$A$65:$C$73,2,1)-VLOOKUP((TRUNC(($AN338+0.01)*3/13,0)+0.99),'Tax scales - NAT 1004'!$A$65:$C$73,3,1)),0)
*13/3,
0),
IF($E$2="Monthly",
ROUND(
ROUND(((TRUNC($AN338*3/13,0)+0.99)*VLOOKUP((TRUNC($AN338*3/13,0)+0.99),'Tax scales - NAT 1004'!$A$65:$C$73,2,1)-VLOOKUP((TRUNC($AN338*3/13,0)+0.99),'Tax scales - NAT 1004'!$A$65:$C$73,3,1)),0)
*13/3,
0),
""))),
""),
"")</f>
        <v/>
      </c>
      <c r="AU338" s="118" t="str">
        <f>IFERROR(
IF(VLOOKUP($C338,'Employee information'!$B:$M,COLUMNS('Employee information'!$B:$M),0)=11,
IF($E$2="Fortnightly",
ROUND(
ROUND((((TRUNC($AN338/2,0)+0.99))*VLOOKUP((TRUNC($AN338/2,0)+0.99),'Tax scales - NAT 3539'!$A$14:$C$38,2,1)-VLOOKUP((TRUNC($AN338/2,0)+0.99),'Tax scales - NAT 3539'!$A$14:$C$38,3,1)),0)
*2,
0),
IF(AND($E$2="Monthly",ROUND($AN338-TRUNC($AN338),2)=0.33),
ROUND(
ROUND(((TRUNC(($AN338+0.01)*3/13,0)+0.99)*VLOOKUP((TRUNC(($AN338+0.01)*3/13,0)+0.99),'Tax scales - NAT 3539'!$A$14:$C$38,2,1)-VLOOKUP((TRUNC(($AN338+0.01)*3/13,0)+0.99),'Tax scales - NAT 3539'!$A$14:$C$38,3,1)),0)
*13/3,
0),
IF($E$2="Monthly",
ROUND(
ROUND(((TRUNC($AN338*3/13,0)+0.99)*VLOOKUP((TRUNC($AN338*3/13,0)+0.99),'Tax scales - NAT 3539'!$A$14:$C$38,2,1)-VLOOKUP((TRUNC($AN338*3/13,0)+0.99),'Tax scales - NAT 3539'!$A$14:$C$38,3,1)),0)
*13/3,
0),
""))),
""),
"")</f>
        <v/>
      </c>
      <c r="AV338" s="118" t="str">
        <f>IFERROR(
IF(VLOOKUP($C338,'Employee information'!$B:$M,COLUMNS('Employee information'!$B:$M),0)=22,
IF($E$2="Fortnightly",
ROUND(
ROUND((((TRUNC($AN338/2,0)+0.99))*VLOOKUP((TRUNC($AN338/2,0)+0.99),'Tax scales - NAT 3539'!$A$43:$C$69,2,1)-VLOOKUP((TRUNC($AN338/2,0)+0.99),'Tax scales - NAT 3539'!$A$43:$C$69,3,1)),0)
*2,
0),
IF(AND($E$2="Monthly",ROUND($AN338-TRUNC($AN338),2)=0.33),
ROUND(
ROUND(((TRUNC(($AN338+0.01)*3/13,0)+0.99)*VLOOKUP((TRUNC(($AN338+0.01)*3/13,0)+0.99),'Tax scales - NAT 3539'!$A$43:$C$69,2,1)-VLOOKUP((TRUNC(($AN338+0.01)*3/13,0)+0.99),'Tax scales - NAT 3539'!$A$43:$C$69,3,1)),0)
*13/3,
0),
IF($E$2="Monthly",
ROUND(
ROUND(((TRUNC($AN338*3/13,0)+0.99)*VLOOKUP((TRUNC($AN338*3/13,0)+0.99),'Tax scales - NAT 3539'!$A$43:$C$69,2,1)-VLOOKUP((TRUNC($AN338*3/13,0)+0.99),'Tax scales - NAT 3539'!$A$43:$C$69,3,1)),0)
*13/3,
0),
""))),
""),
"")</f>
        <v/>
      </c>
      <c r="AW338" s="118" t="str">
        <f>IFERROR(
IF(VLOOKUP($C338,'Employee information'!$B:$M,COLUMNS('Employee information'!$B:$M),0)=33,
IF($E$2="Fortnightly",
ROUND(
ROUND((((TRUNC($AN338/2,0)+0.99))*VLOOKUP((TRUNC($AN338/2,0)+0.99),'Tax scales - NAT 3539'!$A$74:$C$94,2,1)-VLOOKUP((TRUNC($AN338/2,0)+0.99),'Tax scales - NAT 3539'!$A$74:$C$94,3,1)),0)
*2,
0),
IF(AND($E$2="Monthly",ROUND($AN338-TRUNC($AN338),2)=0.33),
ROUND(
ROUND(((TRUNC(($AN338+0.01)*3/13,0)+0.99)*VLOOKUP((TRUNC(($AN338+0.01)*3/13,0)+0.99),'Tax scales - NAT 3539'!$A$74:$C$94,2,1)-VLOOKUP((TRUNC(($AN338+0.01)*3/13,0)+0.99),'Tax scales - NAT 3539'!$A$74:$C$94,3,1)),0)
*13/3,
0),
IF($E$2="Monthly",
ROUND(
ROUND(((TRUNC($AN338*3/13,0)+0.99)*VLOOKUP((TRUNC($AN338*3/13,0)+0.99),'Tax scales - NAT 3539'!$A$74:$C$94,2,1)-VLOOKUP((TRUNC($AN338*3/13,0)+0.99),'Tax scales - NAT 3539'!$A$74:$C$94,3,1)),0)
*13/3,
0),
""))),
""),
"")</f>
        <v/>
      </c>
      <c r="AX338" s="118" t="str">
        <f>IFERROR(
IF(VLOOKUP($C338,'Employee information'!$B:$M,COLUMNS('Employee information'!$B:$M),0)=55,
IF($E$2="Fortnightly",
ROUND(
ROUND((((TRUNC($AN338/2,0)+0.99))*VLOOKUP((TRUNC($AN338/2,0)+0.99),'Tax scales - NAT 3539'!$A$99:$C$123,2,1)-VLOOKUP((TRUNC($AN338/2,0)+0.99),'Tax scales - NAT 3539'!$A$99:$C$123,3,1)),0)
*2,
0),
IF(AND($E$2="Monthly",ROUND($AN338-TRUNC($AN338),2)=0.33),
ROUND(
ROUND(((TRUNC(($AN338+0.01)*3/13,0)+0.99)*VLOOKUP((TRUNC(($AN338+0.01)*3/13,0)+0.99),'Tax scales - NAT 3539'!$A$99:$C$123,2,1)-VLOOKUP((TRUNC(($AN338+0.01)*3/13,0)+0.99),'Tax scales - NAT 3539'!$A$99:$C$123,3,1)),0)
*13/3,
0),
IF($E$2="Monthly",
ROUND(
ROUND(((TRUNC($AN338*3/13,0)+0.99)*VLOOKUP((TRUNC($AN338*3/13,0)+0.99),'Tax scales - NAT 3539'!$A$99:$C$123,2,1)-VLOOKUP((TRUNC($AN338*3/13,0)+0.99),'Tax scales - NAT 3539'!$A$99:$C$123,3,1)),0)
*13/3,
0),
""))),
""),
"")</f>
        <v/>
      </c>
      <c r="AY338" s="118" t="str">
        <f>IFERROR(
IF(VLOOKUP($C338,'Employee information'!$B:$M,COLUMNS('Employee information'!$B:$M),0)=66,
IF($E$2="Fortnightly",
ROUND(
ROUND((((TRUNC($AN338/2,0)+0.99))*VLOOKUP((TRUNC($AN338/2,0)+0.99),'Tax scales - NAT 3539'!$A$127:$C$154,2,1)-VLOOKUP((TRUNC($AN338/2,0)+0.99),'Tax scales - NAT 3539'!$A$127:$C$154,3,1)),0)
*2,
0),
IF(AND($E$2="Monthly",ROUND($AN338-TRUNC($AN338),2)=0.33),
ROUND(
ROUND(((TRUNC(($AN338+0.01)*3/13,0)+0.99)*VLOOKUP((TRUNC(($AN338+0.01)*3/13,0)+0.99),'Tax scales - NAT 3539'!$A$127:$C$154,2,1)-VLOOKUP((TRUNC(($AN338+0.01)*3/13,0)+0.99),'Tax scales - NAT 3539'!$A$127:$C$154,3,1)),0)
*13/3,
0),
IF($E$2="Monthly",
ROUND(
ROUND(((TRUNC($AN338*3/13,0)+0.99)*VLOOKUP((TRUNC($AN338*3/13,0)+0.99),'Tax scales - NAT 3539'!$A$127:$C$154,2,1)-VLOOKUP((TRUNC($AN338*3/13,0)+0.99),'Tax scales - NAT 3539'!$A$127:$C$154,3,1)),0)
*13/3,
0),
""))),
""),
"")</f>
        <v/>
      </c>
      <c r="AZ338" s="118">
        <f>IFERROR(
HLOOKUP(VLOOKUP($C338,'Employee information'!$B:$M,COLUMNS('Employee information'!$B:$M),0),'PAYG worksheet'!$AO$329:$AY$348,COUNTA($C$330:$C338)+1,0),
0)</f>
        <v>0</v>
      </c>
      <c r="BA338" s="118"/>
      <c r="BB338" s="118">
        <f t="shared" si="356"/>
        <v>0</v>
      </c>
      <c r="BC338" s="119">
        <f>IFERROR(
IF(OR($AE338=1,$AE338=""),SUM($P338,$AA338,$AC338,$AK338)*VLOOKUP($C338,'Employee information'!$B:$Q,COLUMNS('Employee information'!$B:$H),0),
IF($AE338=0,SUM($P338,$AA338,$AK338)*VLOOKUP($C338,'Employee information'!$B:$Q,COLUMNS('Employee information'!$B:$H),0),
0)),
0)</f>
        <v>0</v>
      </c>
      <c r="BE338" s="114">
        <f t="shared" si="341"/>
        <v>0</v>
      </c>
      <c r="BF338" s="114">
        <f t="shared" si="342"/>
        <v>0</v>
      </c>
      <c r="BG338" s="114">
        <f t="shared" si="343"/>
        <v>0</v>
      </c>
      <c r="BH338" s="114">
        <f t="shared" si="344"/>
        <v>0</v>
      </c>
      <c r="BI338" s="114">
        <f t="shared" si="345"/>
        <v>0</v>
      </c>
      <c r="BJ338" s="114">
        <f t="shared" si="346"/>
        <v>0</v>
      </c>
      <c r="BK338" s="114">
        <f t="shared" si="347"/>
        <v>0</v>
      </c>
      <c r="BL338" s="114">
        <f t="shared" si="357"/>
        <v>0</v>
      </c>
      <c r="BM338" s="114">
        <f t="shared" si="348"/>
        <v>0</v>
      </c>
    </row>
    <row r="339" spans="1:65" x14ac:dyDescent="0.25">
      <c r="A339" s="228">
        <f t="shared" si="336"/>
        <v>12</v>
      </c>
      <c r="C339" s="278"/>
      <c r="E339" s="103">
        <f>IF($C339="",0,
IF(AND($E$2="Monthly",$A339&gt;12),0,
IF($E$2="Monthly",VLOOKUP($C339,'Employee information'!$B:$AM,COLUMNS('Employee information'!$B:S),0),
IF($E$2="Fortnightly",VLOOKUP($C339,'Employee information'!$B:$AM,COLUMNS('Employee information'!$B:R),0),
0))))</f>
        <v>0</v>
      </c>
      <c r="F339" s="106"/>
      <c r="G339" s="106"/>
      <c r="H339" s="106"/>
      <c r="I339" s="106"/>
      <c r="J339" s="103">
        <f t="shared" si="349"/>
        <v>0</v>
      </c>
      <c r="L339" s="113">
        <f>IF(AND($E$2="Monthly",$A339&gt;12),"",
IFERROR($J339*VLOOKUP($C339,'Employee information'!$B:$AI,COLUMNS('Employee information'!$B:$P),0),0))</f>
        <v>0</v>
      </c>
      <c r="M339" s="114">
        <f t="shared" si="350"/>
        <v>0</v>
      </c>
      <c r="O339" s="103">
        <f>IF($E$2="Monthly",
IF(AND($E$2="Monthly",$H339&lt;&gt;""),$H339,
IF(AND($E$2="Monthly",$E339=0),$F339,
$E339)),
IF($E$2="Fortnightly",
IF(AND($E$2="Fortnightly",$H339&lt;&gt;""),$H339,
IF(AND($E$2="Fortnightly",$F339&lt;&gt;"",$E339&lt;&gt;0),$F339,
IF(AND($E$2="Fortnightly",$E339=0),$F339,
$E339)))))</f>
        <v>0</v>
      </c>
      <c r="P339" s="113">
        <f>IFERROR(
IF(AND($E$2="Monthly",$A339&gt;12),0,
$O339*VLOOKUP($C339,'Employee information'!$B:$AI,COLUMNS('Employee information'!$B:$P),0)),
0)</f>
        <v>0</v>
      </c>
      <c r="R339" s="114">
        <f t="shared" si="337"/>
        <v>0</v>
      </c>
      <c r="T339" s="103"/>
      <c r="U339" s="103"/>
      <c r="V339" s="282" t="str">
        <f>IF($C339="","",
IF(AND($E$2="Monthly",$A339&gt;12),"",
$T339*VLOOKUP($C339,'Employee information'!$B:$P,COLUMNS('Employee information'!$B:$P),0)))</f>
        <v/>
      </c>
      <c r="W339" s="282" t="str">
        <f>IF($C339="","",
IF(AND($E$2="Monthly",$A339&gt;12),"",
$U339*VLOOKUP($C339,'Employee information'!$B:$P,COLUMNS('Employee information'!$B:$P),0)))</f>
        <v/>
      </c>
      <c r="X339" s="114">
        <f t="shared" si="338"/>
        <v>0</v>
      </c>
      <c r="Y339" s="114">
        <f t="shared" si="339"/>
        <v>0</v>
      </c>
      <c r="AA339" s="118">
        <f>IFERROR(
IF(OR('Basic payroll data'!$D$12="",'Basic payroll data'!$D$12="No"),0,
$T339*VLOOKUP($C339,'Employee information'!$B:$P,COLUMNS('Employee information'!$B:$P),0)*AL_loading_perc),
0)</f>
        <v>0</v>
      </c>
      <c r="AC339" s="118"/>
      <c r="AD339" s="118"/>
      <c r="AE339" s="283" t="str">
        <f t="shared" si="352"/>
        <v/>
      </c>
      <c r="AF339" s="283" t="str">
        <f t="shared" si="353"/>
        <v/>
      </c>
      <c r="AG339" s="118"/>
      <c r="AH339" s="118"/>
      <c r="AI339" s="283" t="str">
        <f t="shared" si="354"/>
        <v/>
      </c>
      <c r="AJ339" s="118"/>
      <c r="AK339" s="118"/>
      <c r="AM339" s="118">
        <f t="shared" si="355"/>
        <v>0</v>
      </c>
      <c r="AN339" s="118">
        <f t="shared" si="340"/>
        <v>0</v>
      </c>
      <c r="AO339" s="118" t="str">
        <f>IFERROR(
IF(VLOOKUP($C339,'Employee information'!$B:$M,COLUMNS('Employee information'!$B:$M),0)=1,
IF($E$2="Fortnightly",
ROUND(
ROUND((((TRUNC($AN339/2,0)+0.99))*VLOOKUP((TRUNC($AN339/2,0)+0.99),'Tax scales - NAT 1004'!$A$12:$C$18,2,1)-VLOOKUP((TRUNC($AN339/2,0)+0.99),'Tax scales - NAT 1004'!$A$12:$C$18,3,1)),0)
*2,
0),
IF(AND($E$2="Monthly",ROUND($AN339-TRUNC($AN339),2)=0.33),
ROUND(
ROUND(((TRUNC(($AN339+0.01)*3/13,0)+0.99)*VLOOKUP((TRUNC(($AN339+0.01)*3/13,0)+0.99),'Tax scales - NAT 1004'!$A$12:$C$18,2,1)-VLOOKUP((TRUNC(($AN339+0.01)*3/13,0)+0.99),'Tax scales - NAT 1004'!$A$12:$C$18,3,1)),0)
*13/3,
0),
IF($E$2="Monthly",
ROUND(
ROUND(((TRUNC($AN339*3/13,0)+0.99)*VLOOKUP((TRUNC($AN339*3/13,0)+0.99),'Tax scales - NAT 1004'!$A$12:$C$18,2,1)-VLOOKUP((TRUNC($AN339*3/13,0)+0.99),'Tax scales - NAT 1004'!$A$12:$C$18,3,1)),0)
*13/3,
0),
""))),
""),
"")</f>
        <v/>
      </c>
      <c r="AP339" s="118" t="str">
        <f>IFERROR(
IF(VLOOKUP($C339,'Employee information'!$B:$M,COLUMNS('Employee information'!$B:$M),0)=2,
IF($E$2="Fortnightly",
ROUND(
ROUND((((TRUNC($AN339/2,0)+0.99))*VLOOKUP((TRUNC($AN339/2,0)+0.99),'Tax scales - NAT 1004'!$A$25:$C$33,2,1)-VLOOKUP((TRUNC($AN339/2,0)+0.99),'Tax scales - NAT 1004'!$A$25:$C$33,3,1)),0)
*2,
0),
IF(AND($E$2="Monthly",ROUND($AN339-TRUNC($AN339),2)=0.33),
ROUND(
ROUND(((TRUNC(($AN339+0.01)*3/13,0)+0.99)*VLOOKUP((TRUNC(($AN339+0.01)*3/13,0)+0.99),'Tax scales - NAT 1004'!$A$25:$C$33,2,1)-VLOOKUP((TRUNC(($AN339+0.01)*3/13,0)+0.99),'Tax scales - NAT 1004'!$A$25:$C$33,3,1)),0)
*13/3,
0),
IF($E$2="Monthly",
ROUND(
ROUND(((TRUNC($AN339*3/13,0)+0.99)*VLOOKUP((TRUNC($AN339*3/13,0)+0.99),'Tax scales - NAT 1004'!$A$25:$C$33,2,1)-VLOOKUP((TRUNC($AN339*3/13,0)+0.99),'Tax scales - NAT 1004'!$A$25:$C$33,3,1)),0)
*13/3,
0),
""))),
""),
"")</f>
        <v/>
      </c>
      <c r="AQ339" s="118" t="str">
        <f>IFERROR(
IF(VLOOKUP($C339,'Employee information'!$B:$M,COLUMNS('Employee information'!$B:$M),0)=3,
IF($E$2="Fortnightly",
ROUND(
ROUND((((TRUNC($AN339/2,0)+0.99))*VLOOKUP((TRUNC($AN339/2,0)+0.99),'Tax scales - NAT 1004'!$A$39:$C$41,2,1)-VLOOKUP((TRUNC($AN339/2,0)+0.99),'Tax scales - NAT 1004'!$A$39:$C$41,3,1)),0)
*2,
0),
IF(AND($E$2="Monthly",ROUND($AN339-TRUNC($AN339),2)=0.33),
ROUND(
ROUND(((TRUNC(($AN339+0.01)*3/13,0)+0.99)*VLOOKUP((TRUNC(($AN339+0.01)*3/13,0)+0.99),'Tax scales - NAT 1004'!$A$39:$C$41,2,1)-VLOOKUP((TRUNC(($AN339+0.01)*3/13,0)+0.99),'Tax scales - NAT 1004'!$A$39:$C$41,3,1)),0)
*13/3,
0),
IF($E$2="Monthly",
ROUND(
ROUND(((TRUNC($AN339*3/13,0)+0.99)*VLOOKUP((TRUNC($AN339*3/13,0)+0.99),'Tax scales - NAT 1004'!$A$39:$C$41,2,1)-VLOOKUP((TRUNC($AN339*3/13,0)+0.99),'Tax scales - NAT 1004'!$A$39:$C$41,3,1)),0)
*13/3,
0),
""))),
""),
"")</f>
        <v/>
      </c>
      <c r="AR339" s="118" t="str">
        <f>IFERROR(
IF(AND(VLOOKUP($C339,'Employee information'!$B:$M,COLUMNS('Employee information'!$B:$M),0)=4,
VLOOKUP($C339,'Employee information'!$B:$J,COLUMNS('Employee information'!$B:$J),0)="Resident"),
TRUNC(TRUNC($AN339)*'Tax scales - NAT 1004'!$B$47),
IF(AND(VLOOKUP($C339,'Employee information'!$B:$M,COLUMNS('Employee information'!$B:$M),0)=4,
VLOOKUP($C339,'Employee information'!$B:$J,COLUMNS('Employee information'!$B:$J),0)="Foreign resident"),
TRUNC(TRUNC($AN339)*'Tax scales - NAT 1004'!$B$48),
"")),
"")</f>
        <v/>
      </c>
      <c r="AS339" s="118" t="str">
        <f>IFERROR(
IF(VLOOKUP($C339,'Employee information'!$B:$M,COLUMNS('Employee information'!$B:$M),0)=5,
IF($E$2="Fortnightly",
ROUND(
ROUND((((TRUNC($AN339/2,0)+0.99))*VLOOKUP((TRUNC($AN339/2,0)+0.99),'Tax scales - NAT 1004'!$A$53:$C$59,2,1)-VLOOKUP((TRUNC($AN339/2,0)+0.99),'Tax scales - NAT 1004'!$A$53:$C$59,3,1)),0)
*2,
0),
IF(AND($E$2="Monthly",ROUND($AN339-TRUNC($AN339),2)=0.33),
ROUND(
ROUND(((TRUNC(($AN339+0.01)*3/13,0)+0.99)*VLOOKUP((TRUNC(($AN339+0.01)*3/13,0)+0.99),'Tax scales - NAT 1004'!$A$53:$C$59,2,1)-VLOOKUP((TRUNC(($AN339+0.01)*3/13,0)+0.99),'Tax scales - NAT 1004'!$A$53:$C$59,3,1)),0)
*13/3,
0),
IF($E$2="Monthly",
ROUND(
ROUND(((TRUNC($AN339*3/13,0)+0.99)*VLOOKUP((TRUNC($AN339*3/13,0)+0.99),'Tax scales - NAT 1004'!$A$53:$C$59,2,1)-VLOOKUP((TRUNC($AN339*3/13,0)+0.99),'Tax scales - NAT 1004'!$A$53:$C$59,3,1)),0)
*13/3,
0),
""))),
""),
"")</f>
        <v/>
      </c>
      <c r="AT339" s="118" t="str">
        <f>IFERROR(
IF(VLOOKUP($C339,'Employee information'!$B:$M,COLUMNS('Employee information'!$B:$M),0)=6,
IF($E$2="Fortnightly",
ROUND(
ROUND((((TRUNC($AN339/2,0)+0.99))*VLOOKUP((TRUNC($AN339/2,0)+0.99),'Tax scales - NAT 1004'!$A$65:$C$73,2,1)-VLOOKUP((TRUNC($AN339/2,0)+0.99),'Tax scales - NAT 1004'!$A$65:$C$73,3,1)),0)
*2,
0),
IF(AND($E$2="Monthly",ROUND($AN339-TRUNC($AN339),2)=0.33),
ROUND(
ROUND(((TRUNC(($AN339+0.01)*3/13,0)+0.99)*VLOOKUP((TRUNC(($AN339+0.01)*3/13,0)+0.99),'Tax scales - NAT 1004'!$A$65:$C$73,2,1)-VLOOKUP((TRUNC(($AN339+0.01)*3/13,0)+0.99),'Tax scales - NAT 1004'!$A$65:$C$73,3,1)),0)
*13/3,
0),
IF($E$2="Monthly",
ROUND(
ROUND(((TRUNC($AN339*3/13,0)+0.99)*VLOOKUP((TRUNC($AN339*3/13,0)+0.99),'Tax scales - NAT 1004'!$A$65:$C$73,2,1)-VLOOKUP((TRUNC($AN339*3/13,0)+0.99),'Tax scales - NAT 1004'!$A$65:$C$73,3,1)),0)
*13/3,
0),
""))),
""),
"")</f>
        <v/>
      </c>
      <c r="AU339" s="118" t="str">
        <f>IFERROR(
IF(VLOOKUP($C339,'Employee information'!$B:$M,COLUMNS('Employee information'!$B:$M),0)=11,
IF($E$2="Fortnightly",
ROUND(
ROUND((((TRUNC($AN339/2,0)+0.99))*VLOOKUP((TRUNC($AN339/2,0)+0.99),'Tax scales - NAT 3539'!$A$14:$C$38,2,1)-VLOOKUP((TRUNC($AN339/2,0)+0.99),'Tax scales - NAT 3539'!$A$14:$C$38,3,1)),0)
*2,
0),
IF(AND($E$2="Monthly",ROUND($AN339-TRUNC($AN339),2)=0.33),
ROUND(
ROUND(((TRUNC(($AN339+0.01)*3/13,0)+0.99)*VLOOKUP((TRUNC(($AN339+0.01)*3/13,0)+0.99),'Tax scales - NAT 3539'!$A$14:$C$38,2,1)-VLOOKUP((TRUNC(($AN339+0.01)*3/13,0)+0.99),'Tax scales - NAT 3539'!$A$14:$C$38,3,1)),0)
*13/3,
0),
IF($E$2="Monthly",
ROUND(
ROUND(((TRUNC($AN339*3/13,0)+0.99)*VLOOKUP((TRUNC($AN339*3/13,0)+0.99),'Tax scales - NAT 3539'!$A$14:$C$38,2,1)-VLOOKUP((TRUNC($AN339*3/13,0)+0.99),'Tax scales - NAT 3539'!$A$14:$C$38,3,1)),0)
*13/3,
0),
""))),
""),
"")</f>
        <v/>
      </c>
      <c r="AV339" s="118" t="str">
        <f>IFERROR(
IF(VLOOKUP($C339,'Employee information'!$B:$M,COLUMNS('Employee information'!$B:$M),0)=22,
IF($E$2="Fortnightly",
ROUND(
ROUND((((TRUNC($AN339/2,0)+0.99))*VLOOKUP((TRUNC($AN339/2,0)+0.99),'Tax scales - NAT 3539'!$A$43:$C$69,2,1)-VLOOKUP((TRUNC($AN339/2,0)+0.99),'Tax scales - NAT 3539'!$A$43:$C$69,3,1)),0)
*2,
0),
IF(AND($E$2="Monthly",ROUND($AN339-TRUNC($AN339),2)=0.33),
ROUND(
ROUND(((TRUNC(($AN339+0.01)*3/13,0)+0.99)*VLOOKUP((TRUNC(($AN339+0.01)*3/13,0)+0.99),'Tax scales - NAT 3539'!$A$43:$C$69,2,1)-VLOOKUP((TRUNC(($AN339+0.01)*3/13,0)+0.99),'Tax scales - NAT 3539'!$A$43:$C$69,3,1)),0)
*13/3,
0),
IF($E$2="Monthly",
ROUND(
ROUND(((TRUNC($AN339*3/13,0)+0.99)*VLOOKUP((TRUNC($AN339*3/13,0)+0.99),'Tax scales - NAT 3539'!$A$43:$C$69,2,1)-VLOOKUP((TRUNC($AN339*3/13,0)+0.99),'Tax scales - NAT 3539'!$A$43:$C$69,3,1)),0)
*13/3,
0),
""))),
""),
"")</f>
        <v/>
      </c>
      <c r="AW339" s="118" t="str">
        <f>IFERROR(
IF(VLOOKUP($C339,'Employee information'!$B:$M,COLUMNS('Employee information'!$B:$M),0)=33,
IF($E$2="Fortnightly",
ROUND(
ROUND((((TRUNC($AN339/2,0)+0.99))*VLOOKUP((TRUNC($AN339/2,0)+0.99),'Tax scales - NAT 3539'!$A$74:$C$94,2,1)-VLOOKUP((TRUNC($AN339/2,0)+0.99),'Tax scales - NAT 3539'!$A$74:$C$94,3,1)),0)
*2,
0),
IF(AND($E$2="Monthly",ROUND($AN339-TRUNC($AN339),2)=0.33),
ROUND(
ROUND(((TRUNC(($AN339+0.01)*3/13,0)+0.99)*VLOOKUP((TRUNC(($AN339+0.01)*3/13,0)+0.99),'Tax scales - NAT 3539'!$A$74:$C$94,2,1)-VLOOKUP((TRUNC(($AN339+0.01)*3/13,0)+0.99),'Tax scales - NAT 3539'!$A$74:$C$94,3,1)),0)
*13/3,
0),
IF($E$2="Monthly",
ROUND(
ROUND(((TRUNC($AN339*3/13,0)+0.99)*VLOOKUP((TRUNC($AN339*3/13,0)+0.99),'Tax scales - NAT 3539'!$A$74:$C$94,2,1)-VLOOKUP((TRUNC($AN339*3/13,0)+0.99),'Tax scales - NAT 3539'!$A$74:$C$94,3,1)),0)
*13/3,
0),
""))),
""),
"")</f>
        <v/>
      </c>
      <c r="AX339" s="118" t="str">
        <f>IFERROR(
IF(VLOOKUP($C339,'Employee information'!$B:$M,COLUMNS('Employee information'!$B:$M),0)=55,
IF($E$2="Fortnightly",
ROUND(
ROUND((((TRUNC($AN339/2,0)+0.99))*VLOOKUP((TRUNC($AN339/2,0)+0.99),'Tax scales - NAT 3539'!$A$99:$C$123,2,1)-VLOOKUP((TRUNC($AN339/2,0)+0.99),'Tax scales - NAT 3539'!$A$99:$C$123,3,1)),0)
*2,
0),
IF(AND($E$2="Monthly",ROUND($AN339-TRUNC($AN339),2)=0.33),
ROUND(
ROUND(((TRUNC(($AN339+0.01)*3/13,0)+0.99)*VLOOKUP((TRUNC(($AN339+0.01)*3/13,0)+0.99),'Tax scales - NAT 3539'!$A$99:$C$123,2,1)-VLOOKUP((TRUNC(($AN339+0.01)*3/13,0)+0.99),'Tax scales - NAT 3539'!$A$99:$C$123,3,1)),0)
*13/3,
0),
IF($E$2="Monthly",
ROUND(
ROUND(((TRUNC($AN339*3/13,0)+0.99)*VLOOKUP((TRUNC($AN339*3/13,0)+0.99),'Tax scales - NAT 3539'!$A$99:$C$123,2,1)-VLOOKUP((TRUNC($AN339*3/13,0)+0.99),'Tax scales - NAT 3539'!$A$99:$C$123,3,1)),0)
*13/3,
0),
""))),
""),
"")</f>
        <v/>
      </c>
      <c r="AY339" s="118" t="str">
        <f>IFERROR(
IF(VLOOKUP($C339,'Employee information'!$B:$M,COLUMNS('Employee information'!$B:$M),0)=66,
IF($E$2="Fortnightly",
ROUND(
ROUND((((TRUNC($AN339/2,0)+0.99))*VLOOKUP((TRUNC($AN339/2,0)+0.99),'Tax scales - NAT 3539'!$A$127:$C$154,2,1)-VLOOKUP((TRUNC($AN339/2,0)+0.99),'Tax scales - NAT 3539'!$A$127:$C$154,3,1)),0)
*2,
0),
IF(AND($E$2="Monthly",ROUND($AN339-TRUNC($AN339),2)=0.33),
ROUND(
ROUND(((TRUNC(($AN339+0.01)*3/13,0)+0.99)*VLOOKUP((TRUNC(($AN339+0.01)*3/13,0)+0.99),'Tax scales - NAT 3539'!$A$127:$C$154,2,1)-VLOOKUP((TRUNC(($AN339+0.01)*3/13,0)+0.99),'Tax scales - NAT 3539'!$A$127:$C$154,3,1)),0)
*13/3,
0),
IF($E$2="Monthly",
ROUND(
ROUND(((TRUNC($AN339*3/13,0)+0.99)*VLOOKUP((TRUNC($AN339*3/13,0)+0.99),'Tax scales - NAT 3539'!$A$127:$C$154,2,1)-VLOOKUP((TRUNC($AN339*3/13,0)+0.99),'Tax scales - NAT 3539'!$A$127:$C$154,3,1)),0)
*13/3,
0),
""))),
""),
"")</f>
        <v/>
      </c>
      <c r="AZ339" s="118">
        <f>IFERROR(
HLOOKUP(VLOOKUP($C339,'Employee information'!$B:$M,COLUMNS('Employee information'!$B:$M),0),'PAYG worksheet'!$AO$329:$AY$348,COUNTA($C$330:$C339)+1,0),
0)</f>
        <v>0</v>
      </c>
      <c r="BA339" s="118"/>
      <c r="BB339" s="118">
        <f t="shared" si="356"/>
        <v>0</v>
      </c>
      <c r="BC339" s="119">
        <f>IFERROR(
IF(OR($AE339=1,$AE339=""),SUM($P339,$AA339,$AC339,$AK339)*VLOOKUP($C339,'Employee information'!$B:$Q,COLUMNS('Employee information'!$B:$H),0),
IF($AE339=0,SUM($P339,$AA339,$AK339)*VLOOKUP($C339,'Employee information'!$B:$Q,COLUMNS('Employee information'!$B:$H),0),
0)),
0)</f>
        <v>0</v>
      </c>
      <c r="BE339" s="114">
        <f t="shared" si="341"/>
        <v>0</v>
      </c>
      <c r="BF339" s="114">
        <f t="shared" si="342"/>
        <v>0</v>
      </c>
      <c r="BG339" s="114">
        <f t="shared" si="343"/>
        <v>0</v>
      </c>
      <c r="BH339" s="114">
        <f t="shared" si="344"/>
        <v>0</v>
      </c>
      <c r="BI339" s="114">
        <f t="shared" si="345"/>
        <v>0</v>
      </c>
      <c r="BJ339" s="114">
        <f t="shared" si="346"/>
        <v>0</v>
      </c>
      <c r="BK339" s="114">
        <f t="shared" si="347"/>
        <v>0</v>
      </c>
      <c r="BL339" s="114">
        <f t="shared" si="357"/>
        <v>0</v>
      </c>
      <c r="BM339" s="114">
        <f t="shared" si="348"/>
        <v>0</v>
      </c>
    </row>
    <row r="340" spans="1:65" x14ac:dyDescent="0.25">
      <c r="A340" s="228">
        <f t="shared" si="336"/>
        <v>12</v>
      </c>
      <c r="C340" s="278"/>
      <c r="E340" s="103">
        <f>IF($C340="",0,
IF(AND($E$2="Monthly",$A340&gt;12),0,
IF($E$2="Monthly",VLOOKUP($C340,'Employee information'!$B:$AM,COLUMNS('Employee information'!$B:S),0),
IF($E$2="Fortnightly",VLOOKUP($C340,'Employee information'!$B:$AM,COLUMNS('Employee information'!$B:R),0),
0))))</f>
        <v>0</v>
      </c>
      <c r="F340" s="106"/>
      <c r="G340" s="106"/>
      <c r="H340" s="106"/>
      <c r="I340" s="106"/>
      <c r="J340" s="103">
        <f t="shared" si="349"/>
        <v>0</v>
      </c>
      <c r="L340" s="113">
        <f>IF(AND($E$2="Monthly",$A340&gt;12),"",
IFERROR($J340*VLOOKUP($C340,'Employee information'!$B:$AI,COLUMNS('Employee information'!$B:$P),0),0))</f>
        <v>0</v>
      </c>
      <c r="M340" s="114">
        <f t="shared" si="350"/>
        <v>0</v>
      </c>
      <c r="O340" s="103">
        <f t="shared" si="351"/>
        <v>0</v>
      </c>
      <c r="P340" s="113">
        <f>IFERROR(
IF(AND($E$2="Monthly",$A340&gt;12),0,
$O340*VLOOKUP($C340,'Employee information'!$B:$AI,COLUMNS('Employee information'!$B:$P),0)),
0)</f>
        <v>0</v>
      </c>
      <c r="R340" s="114">
        <f t="shared" si="337"/>
        <v>0</v>
      </c>
      <c r="T340" s="103"/>
      <c r="U340" s="103"/>
      <c r="V340" s="282" t="str">
        <f>IF($C340="","",
IF(AND($E$2="Monthly",$A340&gt;12),"",
$T340*VLOOKUP($C340,'Employee information'!$B:$P,COLUMNS('Employee information'!$B:$P),0)))</f>
        <v/>
      </c>
      <c r="W340" s="282" t="str">
        <f>IF($C340="","",
IF(AND($E$2="Monthly",$A340&gt;12),"",
$U340*VLOOKUP($C340,'Employee information'!$B:$P,COLUMNS('Employee information'!$B:$P),0)))</f>
        <v/>
      </c>
      <c r="X340" s="114">
        <f t="shared" si="338"/>
        <v>0</v>
      </c>
      <c r="Y340" s="114">
        <f t="shared" si="339"/>
        <v>0</v>
      </c>
      <c r="AA340" s="118">
        <f>IFERROR(
IF(OR('Basic payroll data'!$D$12="",'Basic payroll data'!$D$12="No"),0,
$T340*VLOOKUP($C340,'Employee information'!$B:$P,COLUMNS('Employee information'!$B:$P),0)*AL_loading_perc),
0)</f>
        <v>0</v>
      </c>
      <c r="AC340" s="118"/>
      <c r="AD340" s="118"/>
      <c r="AE340" s="283" t="str">
        <f t="shared" si="352"/>
        <v/>
      </c>
      <c r="AF340" s="283" t="str">
        <f t="shared" si="353"/>
        <v/>
      </c>
      <c r="AG340" s="118"/>
      <c r="AH340" s="118"/>
      <c r="AI340" s="283" t="str">
        <f t="shared" si="354"/>
        <v/>
      </c>
      <c r="AJ340" s="118"/>
      <c r="AK340" s="118"/>
      <c r="AM340" s="118">
        <f t="shared" si="355"/>
        <v>0</v>
      </c>
      <c r="AN340" s="118">
        <f t="shared" si="340"/>
        <v>0</v>
      </c>
      <c r="AO340" s="118" t="str">
        <f>IFERROR(
IF(VLOOKUP($C340,'Employee information'!$B:$M,COLUMNS('Employee information'!$B:$M),0)=1,
IF($E$2="Fortnightly",
ROUND(
ROUND((((TRUNC($AN340/2,0)+0.99))*VLOOKUP((TRUNC($AN340/2,0)+0.99),'Tax scales - NAT 1004'!$A$12:$C$18,2,1)-VLOOKUP((TRUNC($AN340/2,0)+0.99),'Tax scales - NAT 1004'!$A$12:$C$18,3,1)),0)
*2,
0),
IF(AND($E$2="Monthly",ROUND($AN340-TRUNC($AN340),2)=0.33),
ROUND(
ROUND(((TRUNC(($AN340+0.01)*3/13,0)+0.99)*VLOOKUP((TRUNC(($AN340+0.01)*3/13,0)+0.99),'Tax scales - NAT 1004'!$A$12:$C$18,2,1)-VLOOKUP((TRUNC(($AN340+0.01)*3/13,0)+0.99),'Tax scales - NAT 1004'!$A$12:$C$18,3,1)),0)
*13/3,
0),
IF($E$2="Monthly",
ROUND(
ROUND(((TRUNC($AN340*3/13,0)+0.99)*VLOOKUP((TRUNC($AN340*3/13,0)+0.99),'Tax scales - NAT 1004'!$A$12:$C$18,2,1)-VLOOKUP((TRUNC($AN340*3/13,0)+0.99),'Tax scales - NAT 1004'!$A$12:$C$18,3,1)),0)
*13/3,
0),
""))),
""),
"")</f>
        <v/>
      </c>
      <c r="AP340" s="118" t="str">
        <f>IFERROR(
IF(VLOOKUP($C340,'Employee information'!$B:$M,COLUMNS('Employee information'!$B:$M),0)=2,
IF($E$2="Fortnightly",
ROUND(
ROUND((((TRUNC($AN340/2,0)+0.99))*VLOOKUP((TRUNC($AN340/2,0)+0.99),'Tax scales - NAT 1004'!$A$25:$C$33,2,1)-VLOOKUP((TRUNC($AN340/2,0)+0.99),'Tax scales - NAT 1004'!$A$25:$C$33,3,1)),0)
*2,
0),
IF(AND($E$2="Monthly",ROUND($AN340-TRUNC($AN340),2)=0.33),
ROUND(
ROUND(((TRUNC(($AN340+0.01)*3/13,0)+0.99)*VLOOKUP((TRUNC(($AN340+0.01)*3/13,0)+0.99),'Tax scales - NAT 1004'!$A$25:$C$33,2,1)-VLOOKUP((TRUNC(($AN340+0.01)*3/13,0)+0.99),'Tax scales - NAT 1004'!$A$25:$C$33,3,1)),0)
*13/3,
0),
IF($E$2="Monthly",
ROUND(
ROUND(((TRUNC($AN340*3/13,0)+0.99)*VLOOKUP((TRUNC($AN340*3/13,0)+0.99),'Tax scales - NAT 1004'!$A$25:$C$33,2,1)-VLOOKUP((TRUNC($AN340*3/13,0)+0.99),'Tax scales - NAT 1004'!$A$25:$C$33,3,1)),0)
*13/3,
0),
""))),
""),
"")</f>
        <v/>
      </c>
      <c r="AQ340" s="118" t="str">
        <f>IFERROR(
IF(VLOOKUP($C340,'Employee information'!$B:$M,COLUMNS('Employee information'!$B:$M),0)=3,
IF($E$2="Fortnightly",
ROUND(
ROUND((((TRUNC($AN340/2,0)+0.99))*VLOOKUP((TRUNC($AN340/2,0)+0.99),'Tax scales - NAT 1004'!$A$39:$C$41,2,1)-VLOOKUP((TRUNC($AN340/2,0)+0.99),'Tax scales - NAT 1004'!$A$39:$C$41,3,1)),0)
*2,
0),
IF(AND($E$2="Monthly",ROUND($AN340-TRUNC($AN340),2)=0.33),
ROUND(
ROUND(((TRUNC(($AN340+0.01)*3/13,0)+0.99)*VLOOKUP((TRUNC(($AN340+0.01)*3/13,0)+0.99),'Tax scales - NAT 1004'!$A$39:$C$41,2,1)-VLOOKUP((TRUNC(($AN340+0.01)*3/13,0)+0.99),'Tax scales - NAT 1004'!$A$39:$C$41,3,1)),0)
*13/3,
0),
IF($E$2="Monthly",
ROUND(
ROUND(((TRUNC($AN340*3/13,0)+0.99)*VLOOKUP((TRUNC($AN340*3/13,0)+0.99),'Tax scales - NAT 1004'!$A$39:$C$41,2,1)-VLOOKUP((TRUNC($AN340*3/13,0)+0.99),'Tax scales - NAT 1004'!$A$39:$C$41,3,1)),0)
*13/3,
0),
""))),
""),
"")</f>
        <v/>
      </c>
      <c r="AR340" s="118" t="str">
        <f>IFERROR(
IF(AND(VLOOKUP($C340,'Employee information'!$B:$M,COLUMNS('Employee information'!$B:$M),0)=4,
VLOOKUP($C340,'Employee information'!$B:$J,COLUMNS('Employee information'!$B:$J),0)="Resident"),
TRUNC(TRUNC($AN340)*'Tax scales - NAT 1004'!$B$47),
IF(AND(VLOOKUP($C340,'Employee information'!$B:$M,COLUMNS('Employee information'!$B:$M),0)=4,
VLOOKUP($C340,'Employee information'!$B:$J,COLUMNS('Employee information'!$B:$J),0)="Foreign resident"),
TRUNC(TRUNC($AN340)*'Tax scales - NAT 1004'!$B$48),
"")),
"")</f>
        <v/>
      </c>
      <c r="AS340" s="118" t="str">
        <f>IFERROR(
IF(VLOOKUP($C340,'Employee information'!$B:$M,COLUMNS('Employee information'!$B:$M),0)=5,
IF($E$2="Fortnightly",
ROUND(
ROUND((((TRUNC($AN340/2,0)+0.99))*VLOOKUP((TRUNC($AN340/2,0)+0.99),'Tax scales - NAT 1004'!$A$53:$C$59,2,1)-VLOOKUP((TRUNC($AN340/2,0)+0.99),'Tax scales - NAT 1004'!$A$53:$C$59,3,1)),0)
*2,
0),
IF(AND($E$2="Monthly",ROUND($AN340-TRUNC($AN340),2)=0.33),
ROUND(
ROUND(((TRUNC(($AN340+0.01)*3/13,0)+0.99)*VLOOKUP((TRUNC(($AN340+0.01)*3/13,0)+0.99),'Tax scales - NAT 1004'!$A$53:$C$59,2,1)-VLOOKUP((TRUNC(($AN340+0.01)*3/13,0)+0.99),'Tax scales - NAT 1004'!$A$53:$C$59,3,1)),0)
*13/3,
0),
IF($E$2="Monthly",
ROUND(
ROUND(((TRUNC($AN340*3/13,0)+0.99)*VLOOKUP((TRUNC($AN340*3/13,0)+0.99),'Tax scales - NAT 1004'!$A$53:$C$59,2,1)-VLOOKUP((TRUNC($AN340*3/13,0)+0.99),'Tax scales - NAT 1004'!$A$53:$C$59,3,1)),0)
*13/3,
0),
""))),
""),
"")</f>
        <v/>
      </c>
      <c r="AT340" s="118" t="str">
        <f>IFERROR(
IF(VLOOKUP($C340,'Employee information'!$B:$M,COLUMNS('Employee information'!$B:$M),0)=6,
IF($E$2="Fortnightly",
ROUND(
ROUND((((TRUNC($AN340/2,0)+0.99))*VLOOKUP((TRUNC($AN340/2,0)+0.99),'Tax scales - NAT 1004'!$A$65:$C$73,2,1)-VLOOKUP((TRUNC($AN340/2,0)+0.99),'Tax scales - NAT 1004'!$A$65:$C$73,3,1)),0)
*2,
0),
IF(AND($E$2="Monthly",ROUND($AN340-TRUNC($AN340),2)=0.33),
ROUND(
ROUND(((TRUNC(($AN340+0.01)*3/13,0)+0.99)*VLOOKUP((TRUNC(($AN340+0.01)*3/13,0)+0.99),'Tax scales - NAT 1004'!$A$65:$C$73,2,1)-VLOOKUP((TRUNC(($AN340+0.01)*3/13,0)+0.99),'Tax scales - NAT 1004'!$A$65:$C$73,3,1)),0)
*13/3,
0),
IF($E$2="Monthly",
ROUND(
ROUND(((TRUNC($AN340*3/13,0)+0.99)*VLOOKUP((TRUNC($AN340*3/13,0)+0.99),'Tax scales - NAT 1004'!$A$65:$C$73,2,1)-VLOOKUP((TRUNC($AN340*3/13,0)+0.99),'Tax scales - NAT 1004'!$A$65:$C$73,3,1)),0)
*13/3,
0),
""))),
""),
"")</f>
        <v/>
      </c>
      <c r="AU340" s="118" t="str">
        <f>IFERROR(
IF(VLOOKUP($C340,'Employee information'!$B:$M,COLUMNS('Employee information'!$B:$M),0)=11,
IF($E$2="Fortnightly",
ROUND(
ROUND((((TRUNC($AN340/2,0)+0.99))*VLOOKUP((TRUNC($AN340/2,0)+0.99),'Tax scales - NAT 3539'!$A$14:$C$38,2,1)-VLOOKUP((TRUNC($AN340/2,0)+0.99),'Tax scales - NAT 3539'!$A$14:$C$38,3,1)),0)
*2,
0),
IF(AND($E$2="Monthly",ROUND($AN340-TRUNC($AN340),2)=0.33),
ROUND(
ROUND(((TRUNC(($AN340+0.01)*3/13,0)+0.99)*VLOOKUP((TRUNC(($AN340+0.01)*3/13,0)+0.99),'Tax scales - NAT 3539'!$A$14:$C$38,2,1)-VLOOKUP((TRUNC(($AN340+0.01)*3/13,0)+0.99),'Tax scales - NAT 3539'!$A$14:$C$38,3,1)),0)
*13/3,
0),
IF($E$2="Monthly",
ROUND(
ROUND(((TRUNC($AN340*3/13,0)+0.99)*VLOOKUP((TRUNC($AN340*3/13,0)+0.99),'Tax scales - NAT 3539'!$A$14:$C$38,2,1)-VLOOKUP((TRUNC($AN340*3/13,0)+0.99),'Tax scales - NAT 3539'!$A$14:$C$38,3,1)),0)
*13/3,
0),
""))),
""),
"")</f>
        <v/>
      </c>
      <c r="AV340" s="118" t="str">
        <f>IFERROR(
IF(VLOOKUP($C340,'Employee information'!$B:$M,COLUMNS('Employee information'!$B:$M),0)=22,
IF($E$2="Fortnightly",
ROUND(
ROUND((((TRUNC($AN340/2,0)+0.99))*VLOOKUP((TRUNC($AN340/2,0)+0.99),'Tax scales - NAT 3539'!$A$43:$C$69,2,1)-VLOOKUP((TRUNC($AN340/2,0)+0.99),'Tax scales - NAT 3539'!$A$43:$C$69,3,1)),0)
*2,
0),
IF(AND($E$2="Monthly",ROUND($AN340-TRUNC($AN340),2)=0.33),
ROUND(
ROUND(((TRUNC(($AN340+0.01)*3/13,0)+0.99)*VLOOKUP((TRUNC(($AN340+0.01)*3/13,0)+0.99),'Tax scales - NAT 3539'!$A$43:$C$69,2,1)-VLOOKUP((TRUNC(($AN340+0.01)*3/13,0)+0.99),'Tax scales - NAT 3539'!$A$43:$C$69,3,1)),0)
*13/3,
0),
IF($E$2="Monthly",
ROUND(
ROUND(((TRUNC($AN340*3/13,0)+0.99)*VLOOKUP((TRUNC($AN340*3/13,0)+0.99),'Tax scales - NAT 3539'!$A$43:$C$69,2,1)-VLOOKUP((TRUNC($AN340*3/13,0)+0.99),'Tax scales - NAT 3539'!$A$43:$C$69,3,1)),0)
*13/3,
0),
""))),
""),
"")</f>
        <v/>
      </c>
      <c r="AW340" s="118" t="str">
        <f>IFERROR(
IF(VLOOKUP($C340,'Employee information'!$B:$M,COLUMNS('Employee information'!$B:$M),0)=33,
IF($E$2="Fortnightly",
ROUND(
ROUND((((TRUNC($AN340/2,0)+0.99))*VLOOKUP((TRUNC($AN340/2,0)+0.99),'Tax scales - NAT 3539'!$A$74:$C$94,2,1)-VLOOKUP((TRUNC($AN340/2,0)+0.99),'Tax scales - NAT 3539'!$A$74:$C$94,3,1)),0)
*2,
0),
IF(AND($E$2="Monthly",ROUND($AN340-TRUNC($AN340),2)=0.33),
ROUND(
ROUND(((TRUNC(($AN340+0.01)*3/13,0)+0.99)*VLOOKUP((TRUNC(($AN340+0.01)*3/13,0)+0.99),'Tax scales - NAT 3539'!$A$74:$C$94,2,1)-VLOOKUP((TRUNC(($AN340+0.01)*3/13,0)+0.99),'Tax scales - NAT 3539'!$A$74:$C$94,3,1)),0)
*13/3,
0),
IF($E$2="Monthly",
ROUND(
ROUND(((TRUNC($AN340*3/13,0)+0.99)*VLOOKUP((TRUNC($AN340*3/13,0)+0.99),'Tax scales - NAT 3539'!$A$74:$C$94,2,1)-VLOOKUP((TRUNC($AN340*3/13,0)+0.99),'Tax scales - NAT 3539'!$A$74:$C$94,3,1)),0)
*13/3,
0),
""))),
""),
"")</f>
        <v/>
      </c>
      <c r="AX340" s="118" t="str">
        <f>IFERROR(
IF(VLOOKUP($C340,'Employee information'!$B:$M,COLUMNS('Employee information'!$B:$M),0)=55,
IF($E$2="Fortnightly",
ROUND(
ROUND((((TRUNC($AN340/2,0)+0.99))*VLOOKUP((TRUNC($AN340/2,0)+0.99),'Tax scales - NAT 3539'!$A$99:$C$123,2,1)-VLOOKUP((TRUNC($AN340/2,0)+0.99),'Tax scales - NAT 3539'!$A$99:$C$123,3,1)),0)
*2,
0),
IF(AND($E$2="Monthly",ROUND($AN340-TRUNC($AN340),2)=0.33),
ROUND(
ROUND(((TRUNC(($AN340+0.01)*3/13,0)+0.99)*VLOOKUP((TRUNC(($AN340+0.01)*3/13,0)+0.99),'Tax scales - NAT 3539'!$A$99:$C$123,2,1)-VLOOKUP((TRUNC(($AN340+0.01)*3/13,0)+0.99),'Tax scales - NAT 3539'!$A$99:$C$123,3,1)),0)
*13/3,
0),
IF($E$2="Monthly",
ROUND(
ROUND(((TRUNC($AN340*3/13,0)+0.99)*VLOOKUP((TRUNC($AN340*3/13,0)+0.99),'Tax scales - NAT 3539'!$A$99:$C$123,2,1)-VLOOKUP((TRUNC($AN340*3/13,0)+0.99),'Tax scales - NAT 3539'!$A$99:$C$123,3,1)),0)
*13/3,
0),
""))),
""),
"")</f>
        <v/>
      </c>
      <c r="AY340" s="118" t="str">
        <f>IFERROR(
IF(VLOOKUP($C340,'Employee information'!$B:$M,COLUMNS('Employee information'!$B:$M),0)=66,
IF($E$2="Fortnightly",
ROUND(
ROUND((((TRUNC($AN340/2,0)+0.99))*VLOOKUP((TRUNC($AN340/2,0)+0.99),'Tax scales - NAT 3539'!$A$127:$C$154,2,1)-VLOOKUP((TRUNC($AN340/2,0)+0.99),'Tax scales - NAT 3539'!$A$127:$C$154,3,1)),0)
*2,
0),
IF(AND($E$2="Monthly",ROUND($AN340-TRUNC($AN340),2)=0.33),
ROUND(
ROUND(((TRUNC(($AN340+0.01)*3/13,0)+0.99)*VLOOKUP((TRUNC(($AN340+0.01)*3/13,0)+0.99),'Tax scales - NAT 3539'!$A$127:$C$154,2,1)-VLOOKUP((TRUNC(($AN340+0.01)*3/13,0)+0.99),'Tax scales - NAT 3539'!$A$127:$C$154,3,1)),0)
*13/3,
0),
IF($E$2="Monthly",
ROUND(
ROUND(((TRUNC($AN340*3/13,0)+0.99)*VLOOKUP((TRUNC($AN340*3/13,0)+0.99),'Tax scales - NAT 3539'!$A$127:$C$154,2,1)-VLOOKUP((TRUNC($AN340*3/13,0)+0.99),'Tax scales - NAT 3539'!$A$127:$C$154,3,1)),0)
*13/3,
0),
""))),
""),
"")</f>
        <v/>
      </c>
      <c r="AZ340" s="118">
        <f>IFERROR(
HLOOKUP(VLOOKUP($C340,'Employee information'!$B:$M,COLUMNS('Employee information'!$B:$M),0),'PAYG worksheet'!$AO$329:$AY$348,COUNTA($C$330:$C340)+1,0),
0)</f>
        <v>0</v>
      </c>
      <c r="BA340" s="118"/>
      <c r="BB340" s="118">
        <f t="shared" si="356"/>
        <v>0</v>
      </c>
      <c r="BC340" s="119">
        <f>IFERROR(
IF(OR($AE340=1,$AE340=""),SUM($P340,$AA340,$AC340,$AK340)*VLOOKUP($C340,'Employee information'!$B:$Q,COLUMNS('Employee information'!$B:$H),0),
IF($AE340=0,SUM($P340,$AA340,$AK340)*VLOOKUP($C340,'Employee information'!$B:$Q,COLUMNS('Employee information'!$B:$H),0),
0)),
0)</f>
        <v>0</v>
      </c>
      <c r="BE340" s="114">
        <f t="shared" si="341"/>
        <v>0</v>
      </c>
      <c r="BF340" s="114">
        <f t="shared" si="342"/>
        <v>0</v>
      </c>
      <c r="BG340" s="114">
        <f t="shared" si="343"/>
        <v>0</v>
      </c>
      <c r="BH340" s="114">
        <f t="shared" si="344"/>
        <v>0</v>
      </c>
      <c r="BI340" s="114">
        <f t="shared" si="345"/>
        <v>0</v>
      </c>
      <c r="BJ340" s="114">
        <f t="shared" si="346"/>
        <v>0</v>
      </c>
      <c r="BK340" s="114">
        <f t="shared" si="347"/>
        <v>0</v>
      </c>
      <c r="BL340" s="114">
        <f t="shared" si="357"/>
        <v>0</v>
      </c>
      <c r="BM340" s="114">
        <f t="shared" si="348"/>
        <v>0</v>
      </c>
    </row>
    <row r="341" spans="1:65" x14ac:dyDescent="0.25">
      <c r="A341" s="228">
        <f t="shared" si="336"/>
        <v>12</v>
      </c>
      <c r="C341" s="278"/>
      <c r="E341" s="103">
        <f>IF($C341="",0,
IF(AND($E$2="Monthly",$A341&gt;12),0,
IF($E$2="Monthly",VLOOKUP($C341,'Employee information'!$B:$AM,COLUMNS('Employee information'!$B:S),0),
IF($E$2="Fortnightly",VLOOKUP($C341,'Employee information'!$B:$AM,COLUMNS('Employee information'!$B:R),0),
0))))</f>
        <v>0</v>
      </c>
      <c r="F341" s="106"/>
      <c r="G341" s="106"/>
      <c r="H341" s="106"/>
      <c r="I341" s="106"/>
      <c r="J341" s="103">
        <f t="shared" si="349"/>
        <v>0</v>
      </c>
      <c r="L341" s="113">
        <f>IF(AND($E$2="Monthly",$A341&gt;12),"",
IFERROR($J341*VLOOKUP($C341,'Employee information'!$B:$AI,COLUMNS('Employee information'!$B:$P),0),0))</f>
        <v>0</v>
      </c>
      <c r="M341" s="114">
        <f t="shared" si="350"/>
        <v>0</v>
      </c>
      <c r="O341" s="103">
        <f t="shared" si="351"/>
        <v>0</v>
      </c>
      <c r="P341" s="113">
        <f>IFERROR(
IF(AND($E$2="Monthly",$A341&gt;12),0,
$O341*VLOOKUP($C341,'Employee information'!$B:$AI,COLUMNS('Employee information'!$B:$P),0)),
0)</f>
        <v>0</v>
      </c>
      <c r="R341" s="114">
        <f t="shared" si="337"/>
        <v>0</v>
      </c>
      <c r="T341" s="103"/>
      <c r="U341" s="103"/>
      <c r="V341" s="282" t="str">
        <f>IF($C341="","",
IF(AND($E$2="Monthly",$A341&gt;12),"",
$T341*VLOOKUP($C341,'Employee information'!$B:$P,COLUMNS('Employee information'!$B:$P),0)))</f>
        <v/>
      </c>
      <c r="W341" s="282" t="str">
        <f>IF($C341="","",
IF(AND($E$2="Monthly",$A341&gt;12),"",
$U341*VLOOKUP($C341,'Employee information'!$B:$P,COLUMNS('Employee information'!$B:$P),0)))</f>
        <v/>
      </c>
      <c r="X341" s="114">
        <f t="shared" si="338"/>
        <v>0</v>
      </c>
      <c r="Y341" s="114">
        <f t="shared" si="339"/>
        <v>0</v>
      </c>
      <c r="AA341" s="118">
        <f>IFERROR(
IF(OR('Basic payroll data'!$D$12="",'Basic payroll data'!$D$12="No"),0,
$T341*VLOOKUP($C341,'Employee information'!$B:$P,COLUMNS('Employee information'!$B:$P),0)*AL_loading_perc),
0)</f>
        <v>0</v>
      </c>
      <c r="AC341" s="118"/>
      <c r="AD341" s="118"/>
      <c r="AE341" s="283" t="str">
        <f t="shared" si="352"/>
        <v/>
      </c>
      <c r="AF341" s="283" t="str">
        <f t="shared" si="353"/>
        <v/>
      </c>
      <c r="AG341" s="118"/>
      <c r="AH341" s="118"/>
      <c r="AI341" s="283" t="str">
        <f t="shared" si="354"/>
        <v/>
      </c>
      <c r="AJ341" s="118"/>
      <c r="AK341" s="118"/>
      <c r="AM341" s="118">
        <f t="shared" si="355"/>
        <v>0</v>
      </c>
      <c r="AN341" s="118">
        <f t="shared" si="340"/>
        <v>0</v>
      </c>
      <c r="AO341" s="118" t="str">
        <f>IFERROR(
IF(VLOOKUP($C341,'Employee information'!$B:$M,COLUMNS('Employee information'!$B:$M),0)=1,
IF($E$2="Fortnightly",
ROUND(
ROUND((((TRUNC($AN341/2,0)+0.99))*VLOOKUP((TRUNC($AN341/2,0)+0.99),'Tax scales - NAT 1004'!$A$12:$C$18,2,1)-VLOOKUP((TRUNC($AN341/2,0)+0.99),'Tax scales - NAT 1004'!$A$12:$C$18,3,1)),0)
*2,
0),
IF(AND($E$2="Monthly",ROUND($AN341-TRUNC($AN341),2)=0.33),
ROUND(
ROUND(((TRUNC(($AN341+0.01)*3/13,0)+0.99)*VLOOKUP((TRUNC(($AN341+0.01)*3/13,0)+0.99),'Tax scales - NAT 1004'!$A$12:$C$18,2,1)-VLOOKUP((TRUNC(($AN341+0.01)*3/13,0)+0.99),'Tax scales - NAT 1004'!$A$12:$C$18,3,1)),0)
*13/3,
0),
IF($E$2="Monthly",
ROUND(
ROUND(((TRUNC($AN341*3/13,0)+0.99)*VLOOKUP((TRUNC($AN341*3/13,0)+0.99),'Tax scales - NAT 1004'!$A$12:$C$18,2,1)-VLOOKUP((TRUNC($AN341*3/13,0)+0.99),'Tax scales - NAT 1004'!$A$12:$C$18,3,1)),0)
*13/3,
0),
""))),
""),
"")</f>
        <v/>
      </c>
      <c r="AP341" s="118" t="str">
        <f>IFERROR(
IF(VLOOKUP($C341,'Employee information'!$B:$M,COLUMNS('Employee information'!$B:$M),0)=2,
IF($E$2="Fortnightly",
ROUND(
ROUND((((TRUNC($AN341/2,0)+0.99))*VLOOKUP((TRUNC($AN341/2,0)+0.99),'Tax scales - NAT 1004'!$A$25:$C$33,2,1)-VLOOKUP((TRUNC($AN341/2,0)+0.99),'Tax scales - NAT 1004'!$A$25:$C$33,3,1)),0)
*2,
0),
IF(AND($E$2="Monthly",ROUND($AN341-TRUNC($AN341),2)=0.33),
ROUND(
ROUND(((TRUNC(($AN341+0.01)*3/13,0)+0.99)*VLOOKUP((TRUNC(($AN341+0.01)*3/13,0)+0.99),'Tax scales - NAT 1004'!$A$25:$C$33,2,1)-VLOOKUP((TRUNC(($AN341+0.01)*3/13,0)+0.99),'Tax scales - NAT 1004'!$A$25:$C$33,3,1)),0)
*13/3,
0),
IF($E$2="Monthly",
ROUND(
ROUND(((TRUNC($AN341*3/13,0)+0.99)*VLOOKUP((TRUNC($AN341*3/13,0)+0.99),'Tax scales - NAT 1004'!$A$25:$C$33,2,1)-VLOOKUP((TRUNC($AN341*3/13,0)+0.99),'Tax scales - NAT 1004'!$A$25:$C$33,3,1)),0)
*13/3,
0),
""))),
""),
"")</f>
        <v/>
      </c>
      <c r="AQ341" s="118" t="str">
        <f>IFERROR(
IF(VLOOKUP($C341,'Employee information'!$B:$M,COLUMNS('Employee information'!$B:$M),0)=3,
IF($E$2="Fortnightly",
ROUND(
ROUND((((TRUNC($AN341/2,0)+0.99))*VLOOKUP((TRUNC($AN341/2,0)+0.99),'Tax scales - NAT 1004'!$A$39:$C$41,2,1)-VLOOKUP((TRUNC($AN341/2,0)+0.99),'Tax scales - NAT 1004'!$A$39:$C$41,3,1)),0)
*2,
0),
IF(AND($E$2="Monthly",ROUND($AN341-TRUNC($AN341),2)=0.33),
ROUND(
ROUND(((TRUNC(($AN341+0.01)*3/13,0)+0.99)*VLOOKUP((TRUNC(($AN341+0.01)*3/13,0)+0.99),'Tax scales - NAT 1004'!$A$39:$C$41,2,1)-VLOOKUP((TRUNC(($AN341+0.01)*3/13,0)+0.99),'Tax scales - NAT 1004'!$A$39:$C$41,3,1)),0)
*13/3,
0),
IF($E$2="Monthly",
ROUND(
ROUND(((TRUNC($AN341*3/13,0)+0.99)*VLOOKUP((TRUNC($AN341*3/13,0)+0.99),'Tax scales - NAT 1004'!$A$39:$C$41,2,1)-VLOOKUP((TRUNC($AN341*3/13,0)+0.99),'Tax scales - NAT 1004'!$A$39:$C$41,3,1)),0)
*13/3,
0),
""))),
""),
"")</f>
        <v/>
      </c>
      <c r="AR341" s="118" t="str">
        <f>IFERROR(
IF(AND(VLOOKUP($C341,'Employee information'!$B:$M,COLUMNS('Employee information'!$B:$M),0)=4,
VLOOKUP($C341,'Employee information'!$B:$J,COLUMNS('Employee information'!$B:$J),0)="Resident"),
TRUNC(TRUNC($AN341)*'Tax scales - NAT 1004'!$B$47),
IF(AND(VLOOKUP($C341,'Employee information'!$B:$M,COLUMNS('Employee information'!$B:$M),0)=4,
VLOOKUP($C341,'Employee information'!$B:$J,COLUMNS('Employee information'!$B:$J),0)="Foreign resident"),
TRUNC(TRUNC($AN341)*'Tax scales - NAT 1004'!$B$48),
"")),
"")</f>
        <v/>
      </c>
      <c r="AS341" s="118" t="str">
        <f>IFERROR(
IF(VLOOKUP($C341,'Employee information'!$B:$M,COLUMNS('Employee information'!$B:$M),0)=5,
IF($E$2="Fortnightly",
ROUND(
ROUND((((TRUNC($AN341/2,0)+0.99))*VLOOKUP((TRUNC($AN341/2,0)+0.99),'Tax scales - NAT 1004'!$A$53:$C$59,2,1)-VLOOKUP((TRUNC($AN341/2,0)+0.99),'Tax scales - NAT 1004'!$A$53:$C$59,3,1)),0)
*2,
0),
IF(AND($E$2="Monthly",ROUND($AN341-TRUNC($AN341),2)=0.33),
ROUND(
ROUND(((TRUNC(($AN341+0.01)*3/13,0)+0.99)*VLOOKUP((TRUNC(($AN341+0.01)*3/13,0)+0.99),'Tax scales - NAT 1004'!$A$53:$C$59,2,1)-VLOOKUP((TRUNC(($AN341+0.01)*3/13,0)+0.99),'Tax scales - NAT 1004'!$A$53:$C$59,3,1)),0)
*13/3,
0),
IF($E$2="Monthly",
ROUND(
ROUND(((TRUNC($AN341*3/13,0)+0.99)*VLOOKUP((TRUNC($AN341*3/13,0)+0.99),'Tax scales - NAT 1004'!$A$53:$C$59,2,1)-VLOOKUP((TRUNC($AN341*3/13,0)+0.99),'Tax scales - NAT 1004'!$A$53:$C$59,3,1)),0)
*13/3,
0),
""))),
""),
"")</f>
        <v/>
      </c>
      <c r="AT341" s="118" t="str">
        <f>IFERROR(
IF(VLOOKUP($C341,'Employee information'!$B:$M,COLUMNS('Employee information'!$B:$M),0)=6,
IF($E$2="Fortnightly",
ROUND(
ROUND((((TRUNC($AN341/2,0)+0.99))*VLOOKUP((TRUNC($AN341/2,0)+0.99),'Tax scales - NAT 1004'!$A$65:$C$73,2,1)-VLOOKUP((TRUNC($AN341/2,0)+0.99),'Tax scales - NAT 1004'!$A$65:$C$73,3,1)),0)
*2,
0),
IF(AND($E$2="Monthly",ROUND($AN341-TRUNC($AN341),2)=0.33),
ROUND(
ROUND(((TRUNC(($AN341+0.01)*3/13,0)+0.99)*VLOOKUP((TRUNC(($AN341+0.01)*3/13,0)+0.99),'Tax scales - NAT 1004'!$A$65:$C$73,2,1)-VLOOKUP((TRUNC(($AN341+0.01)*3/13,0)+0.99),'Tax scales - NAT 1004'!$A$65:$C$73,3,1)),0)
*13/3,
0),
IF($E$2="Monthly",
ROUND(
ROUND(((TRUNC($AN341*3/13,0)+0.99)*VLOOKUP((TRUNC($AN341*3/13,0)+0.99),'Tax scales - NAT 1004'!$A$65:$C$73,2,1)-VLOOKUP((TRUNC($AN341*3/13,0)+0.99),'Tax scales - NAT 1004'!$A$65:$C$73,3,1)),0)
*13/3,
0),
""))),
""),
"")</f>
        <v/>
      </c>
      <c r="AU341" s="118" t="str">
        <f>IFERROR(
IF(VLOOKUP($C341,'Employee information'!$B:$M,COLUMNS('Employee information'!$B:$M),0)=11,
IF($E$2="Fortnightly",
ROUND(
ROUND((((TRUNC($AN341/2,0)+0.99))*VLOOKUP((TRUNC($AN341/2,0)+0.99),'Tax scales - NAT 3539'!$A$14:$C$38,2,1)-VLOOKUP((TRUNC($AN341/2,0)+0.99),'Tax scales - NAT 3539'!$A$14:$C$38,3,1)),0)
*2,
0),
IF(AND($E$2="Monthly",ROUND($AN341-TRUNC($AN341),2)=0.33),
ROUND(
ROUND(((TRUNC(($AN341+0.01)*3/13,0)+0.99)*VLOOKUP((TRUNC(($AN341+0.01)*3/13,0)+0.99),'Tax scales - NAT 3539'!$A$14:$C$38,2,1)-VLOOKUP((TRUNC(($AN341+0.01)*3/13,0)+0.99),'Tax scales - NAT 3539'!$A$14:$C$38,3,1)),0)
*13/3,
0),
IF($E$2="Monthly",
ROUND(
ROUND(((TRUNC($AN341*3/13,0)+0.99)*VLOOKUP((TRUNC($AN341*3/13,0)+0.99),'Tax scales - NAT 3539'!$A$14:$C$38,2,1)-VLOOKUP((TRUNC($AN341*3/13,0)+0.99),'Tax scales - NAT 3539'!$A$14:$C$38,3,1)),0)
*13/3,
0),
""))),
""),
"")</f>
        <v/>
      </c>
      <c r="AV341" s="118" t="str">
        <f>IFERROR(
IF(VLOOKUP($C341,'Employee information'!$B:$M,COLUMNS('Employee information'!$B:$M),0)=22,
IF($E$2="Fortnightly",
ROUND(
ROUND((((TRUNC($AN341/2,0)+0.99))*VLOOKUP((TRUNC($AN341/2,0)+0.99),'Tax scales - NAT 3539'!$A$43:$C$69,2,1)-VLOOKUP((TRUNC($AN341/2,0)+0.99),'Tax scales - NAT 3539'!$A$43:$C$69,3,1)),0)
*2,
0),
IF(AND($E$2="Monthly",ROUND($AN341-TRUNC($AN341),2)=0.33),
ROUND(
ROUND(((TRUNC(($AN341+0.01)*3/13,0)+0.99)*VLOOKUP((TRUNC(($AN341+0.01)*3/13,0)+0.99),'Tax scales - NAT 3539'!$A$43:$C$69,2,1)-VLOOKUP((TRUNC(($AN341+0.01)*3/13,0)+0.99),'Tax scales - NAT 3539'!$A$43:$C$69,3,1)),0)
*13/3,
0),
IF($E$2="Monthly",
ROUND(
ROUND(((TRUNC($AN341*3/13,0)+0.99)*VLOOKUP((TRUNC($AN341*3/13,0)+0.99),'Tax scales - NAT 3539'!$A$43:$C$69,2,1)-VLOOKUP((TRUNC($AN341*3/13,0)+0.99),'Tax scales - NAT 3539'!$A$43:$C$69,3,1)),0)
*13/3,
0),
""))),
""),
"")</f>
        <v/>
      </c>
      <c r="AW341" s="118" t="str">
        <f>IFERROR(
IF(VLOOKUP($C341,'Employee information'!$B:$M,COLUMNS('Employee information'!$B:$M),0)=33,
IF($E$2="Fortnightly",
ROUND(
ROUND((((TRUNC($AN341/2,0)+0.99))*VLOOKUP((TRUNC($AN341/2,0)+0.99),'Tax scales - NAT 3539'!$A$74:$C$94,2,1)-VLOOKUP((TRUNC($AN341/2,0)+0.99),'Tax scales - NAT 3539'!$A$74:$C$94,3,1)),0)
*2,
0),
IF(AND($E$2="Monthly",ROUND($AN341-TRUNC($AN341),2)=0.33),
ROUND(
ROUND(((TRUNC(($AN341+0.01)*3/13,0)+0.99)*VLOOKUP((TRUNC(($AN341+0.01)*3/13,0)+0.99),'Tax scales - NAT 3539'!$A$74:$C$94,2,1)-VLOOKUP((TRUNC(($AN341+0.01)*3/13,0)+0.99),'Tax scales - NAT 3539'!$A$74:$C$94,3,1)),0)
*13/3,
0),
IF($E$2="Monthly",
ROUND(
ROUND(((TRUNC($AN341*3/13,0)+0.99)*VLOOKUP((TRUNC($AN341*3/13,0)+0.99),'Tax scales - NAT 3539'!$A$74:$C$94,2,1)-VLOOKUP((TRUNC($AN341*3/13,0)+0.99),'Tax scales - NAT 3539'!$A$74:$C$94,3,1)),0)
*13/3,
0),
""))),
""),
"")</f>
        <v/>
      </c>
      <c r="AX341" s="118" t="str">
        <f>IFERROR(
IF(VLOOKUP($C341,'Employee information'!$B:$M,COLUMNS('Employee information'!$B:$M),0)=55,
IF($E$2="Fortnightly",
ROUND(
ROUND((((TRUNC($AN341/2,0)+0.99))*VLOOKUP((TRUNC($AN341/2,0)+0.99),'Tax scales - NAT 3539'!$A$99:$C$123,2,1)-VLOOKUP((TRUNC($AN341/2,0)+0.99),'Tax scales - NAT 3539'!$A$99:$C$123,3,1)),0)
*2,
0),
IF(AND($E$2="Monthly",ROUND($AN341-TRUNC($AN341),2)=0.33),
ROUND(
ROUND(((TRUNC(($AN341+0.01)*3/13,0)+0.99)*VLOOKUP((TRUNC(($AN341+0.01)*3/13,0)+0.99),'Tax scales - NAT 3539'!$A$99:$C$123,2,1)-VLOOKUP((TRUNC(($AN341+0.01)*3/13,0)+0.99),'Tax scales - NAT 3539'!$A$99:$C$123,3,1)),0)
*13/3,
0),
IF($E$2="Monthly",
ROUND(
ROUND(((TRUNC($AN341*3/13,0)+0.99)*VLOOKUP((TRUNC($AN341*3/13,0)+0.99),'Tax scales - NAT 3539'!$A$99:$C$123,2,1)-VLOOKUP((TRUNC($AN341*3/13,0)+0.99),'Tax scales - NAT 3539'!$A$99:$C$123,3,1)),0)
*13/3,
0),
""))),
""),
"")</f>
        <v/>
      </c>
      <c r="AY341" s="118" t="str">
        <f>IFERROR(
IF(VLOOKUP($C341,'Employee information'!$B:$M,COLUMNS('Employee information'!$B:$M),0)=66,
IF($E$2="Fortnightly",
ROUND(
ROUND((((TRUNC($AN341/2,0)+0.99))*VLOOKUP((TRUNC($AN341/2,0)+0.99),'Tax scales - NAT 3539'!$A$127:$C$154,2,1)-VLOOKUP((TRUNC($AN341/2,0)+0.99),'Tax scales - NAT 3539'!$A$127:$C$154,3,1)),0)
*2,
0),
IF(AND($E$2="Monthly",ROUND($AN341-TRUNC($AN341),2)=0.33),
ROUND(
ROUND(((TRUNC(($AN341+0.01)*3/13,0)+0.99)*VLOOKUP((TRUNC(($AN341+0.01)*3/13,0)+0.99),'Tax scales - NAT 3539'!$A$127:$C$154,2,1)-VLOOKUP((TRUNC(($AN341+0.01)*3/13,0)+0.99),'Tax scales - NAT 3539'!$A$127:$C$154,3,1)),0)
*13/3,
0),
IF($E$2="Monthly",
ROUND(
ROUND(((TRUNC($AN341*3/13,0)+0.99)*VLOOKUP((TRUNC($AN341*3/13,0)+0.99),'Tax scales - NAT 3539'!$A$127:$C$154,2,1)-VLOOKUP((TRUNC($AN341*3/13,0)+0.99),'Tax scales - NAT 3539'!$A$127:$C$154,3,1)),0)
*13/3,
0),
""))),
""),
"")</f>
        <v/>
      </c>
      <c r="AZ341" s="118">
        <f>IFERROR(
HLOOKUP(VLOOKUP($C341,'Employee information'!$B:$M,COLUMNS('Employee information'!$B:$M),0),'PAYG worksheet'!$AO$329:$AY$348,COUNTA($C$330:$C341)+1,0),
0)</f>
        <v>0</v>
      </c>
      <c r="BA341" s="118"/>
      <c r="BB341" s="118">
        <f t="shared" si="356"/>
        <v>0</v>
      </c>
      <c r="BC341" s="119">
        <f>IFERROR(
IF(OR($AE341=1,$AE341=""),SUM($P341,$AA341,$AC341,$AK341)*VLOOKUP($C341,'Employee information'!$B:$Q,COLUMNS('Employee information'!$B:$H),0),
IF($AE341=0,SUM($P341,$AA341,$AK341)*VLOOKUP($C341,'Employee information'!$B:$Q,COLUMNS('Employee information'!$B:$H),0),
0)),
0)</f>
        <v>0</v>
      </c>
      <c r="BE341" s="114">
        <f t="shared" si="341"/>
        <v>0</v>
      </c>
      <c r="BF341" s="114">
        <f t="shared" si="342"/>
        <v>0</v>
      </c>
      <c r="BG341" s="114">
        <f t="shared" si="343"/>
        <v>0</v>
      </c>
      <c r="BH341" s="114">
        <f t="shared" si="344"/>
        <v>0</v>
      </c>
      <c r="BI341" s="114">
        <f t="shared" si="345"/>
        <v>0</v>
      </c>
      <c r="BJ341" s="114">
        <f t="shared" si="346"/>
        <v>0</v>
      </c>
      <c r="BK341" s="114">
        <f t="shared" si="347"/>
        <v>0</v>
      </c>
      <c r="BL341" s="114">
        <f t="shared" si="357"/>
        <v>0</v>
      </c>
      <c r="BM341" s="114">
        <f t="shared" si="348"/>
        <v>0</v>
      </c>
    </row>
    <row r="342" spans="1:65" x14ac:dyDescent="0.25">
      <c r="A342" s="228">
        <f t="shared" si="336"/>
        <v>12</v>
      </c>
      <c r="C342" s="278"/>
      <c r="E342" s="103">
        <f>IF($C342="",0,
IF(AND($E$2="Monthly",$A342&gt;12),0,
IF($E$2="Monthly",VLOOKUP($C342,'Employee information'!$B:$AM,COLUMNS('Employee information'!$B:S),0),
IF($E$2="Fortnightly",VLOOKUP($C342,'Employee information'!$B:$AM,COLUMNS('Employee information'!$B:R),0),
0))))</f>
        <v>0</v>
      </c>
      <c r="F342" s="106"/>
      <c r="G342" s="106"/>
      <c r="H342" s="106"/>
      <c r="I342" s="106"/>
      <c r="J342" s="103">
        <f t="shared" si="349"/>
        <v>0</v>
      </c>
      <c r="L342" s="113">
        <f>IF(AND($E$2="Monthly",$A342&gt;12),"",
IFERROR($J342*VLOOKUP($C342,'Employee information'!$B:$AI,COLUMNS('Employee information'!$B:$P),0),0))</f>
        <v>0</v>
      </c>
      <c r="M342" s="114">
        <f t="shared" si="350"/>
        <v>0</v>
      </c>
      <c r="O342" s="103">
        <f t="shared" si="351"/>
        <v>0</v>
      </c>
      <c r="P342" s="113">
        <f>IFERROR(
IF(AND($E$2="Monthly",$A342&gt;12),0,
$O342*VLOOKUP($C342,'Employee information'!$B:$AI,COLUMNS('Employee information'!$B:$P),0)),
0)</f>
        <v>0</v>
      </c>
      <c r="R342" s="114">
        <f t="shared" si="337"/>
        <v>0</v>
      </c>
      <c r="T342" s="103"/>
      <c r="U342" s="103"/>
      <c r="V342" s="282" t="str">
        <f>IF($C342="","",
IF(AND($E$2="Monthly",$A342&gt;12),"",
$T342*VLOOKUP($C342,'Employee information'!$B:$P,COLUMNS('Employee information'!$B:$P),0)))</f>
        <v/>
      </c>
      <c r="W342" s="282" t="str">
        <f>IF($C342="","",
IF(AND($E$2="Monthly",$A342&gt;12),"",
$U342*VLOOKUP($C342,'Employee information'!$B:$P,COLUMNS('Employee information'!$B:$P),0)))</f>
        <v/>
      </c>
      <c r="X342" s="114">
        <f t="shared" si="338"/>
        <v>0</v>
      </c>
      <c r="Y342" s="114">
        <f t="shared" si="339"/>
        <v>0</v>
      </c>
      <c r="AA342" s="118">
        <f>IFERROR(
IF(OR('Basic payroll data'!$D$12="",'Basic payroll data'!$D$12="No"),0,
$T342*VLOOKUP($C342,'Employee information'!$B:$P,COLUMNS('Employee information'!$B:$P),0)*AL_loading_perc),
0)</f>
        <v>0</v>
      </c>
      <c r="AC342" s="118"/>
      <c r="AD342" s="118"/>
      <c r="AE342" s="283" t="str">
        <f t="shared" si="352"/>
        <v/>
      </c>
      <c r="AF342" s="283" t="str">
        <f t="shared" si="353"/>
        <v/>
      </c>
      <c r="AG342" s="118"/>
      <c r="AH342" s="118"/>
      <c r="AI342" s="283" t="str">
        <f t="shared" si="354"/>
        <v/>
      </c>
      <c r="AJ342" s="118"/>
      <c r="AK342" s="118"/>
      <c r="AM342" s="118">
        <f t="shared" si="355"/>
        <v>0</v>
      </c>
      <c r="AN342" s="118">
        <f t="shared" si="340"/>
        <v>0</v>
      </c>
      <c r="AO342" s="118" t="str">
        <f>IFERROR(
IF(VLOOKUP($C342,'Employee information'!$B:$M,COLUMNS('Employee information'!$B:$M),0)=1,
IF($E$2="Fortnightly",
ROUND(
ROUND((((TRUNC($AN342/2,0)+0.99))*VLOOKUP((TRUNC($AN342/2,0)+0.99),'Tax scales - NAT 1004'!$A$12:$C$18,2,1)-VLOOKUP((TRUNC($AN342/2,0)+0.99),'Tax scales - NAT 1004'!$A$12:$C$18,3,1)),0)
*2,
0),
IF(AND($E$2="Monthly",ROUND($AN342-TRUNC($AN342),2)=0.33),
ROUND(
ROUND(((TRUNC(($AN342+0.01)*3/13,0)+0.99)*VLOOKUP((TRUNC(($AN342+0.01)*3/13,0)+0.99),'Tax scales - NAT 1004'!$A$12:$C$18,2,1)-VLOOKUP((TRUNC(($AN342+0.01)*3/13,0)+0.99),'Tax scales - NAT 1004'!$A$12:$C$18,3,1)),0)
*13/3,
0),
IF($E$2="Monthly",
ROUND(
ROUND(((TRUNC($AN342*3/13,0)+0.99)*VLOOKUP((TRUNC($AN342*3/13,0)+0.99),'Tax scales - NAT 1004'!$A$12:$C$18,2,1)-VLOOKUP((TRUNC($AN342*3/13,0)+0.99),'Tax scales - NAT 1004'!$A$12:$C$18,3,1)),0)
*13/3,
0),
""))),
""),
"")</f>
        <v/>
      </c>
      <c r="AP342" s="118" t="str">
        <f>IFERROR(
IF(VLOOKUP($C342,'Employee information'!$B:$M,COLUMNS('Employee information'!$B:$M),0)=2,
IF($E$2="Fortnightly",
ROUND(
ROUND((((TRUNC($AN342/2,0)+0.99))*VLOOKUP((TRUNC($AN342/2,0)+0.99),'Tax scales - NAT 1004'!$A$25:$C$33,2,1)-VLOOKUP((TRUNC($AN342/2,0)+0.99),'Tax scales - NAT 1004'!$A$25:$C$33,3,1)),0)
*2,
0),
IF(AND($E$2="Monthly",ROUND($AN342-TRUNC($AN342),2)=0.33),
ROUND(
ROUND(((TRUNC(($AN342+0.01)*3/13,0)+0.99)*VLOOKUP((TRUNC(($AN342+0.01)*3/13,0)+0.99),'Tax scales - NAT 1004'!$A$25:$C$33,2,1)-VLOOKUP((TRUNC(($AN342+0.01)*3/13,0)+0.99),'Tax scales - NAT 1004'!$A$25:$C$33,3,1)),0)
*13/3,
0),
IF($E$2="Monthly",
ROUND(
ROUND(((TRUNC($AN342*3/13,0)+0.99)*VLOOKUP((TRUNC($AN342*3/13,0)+0.99),'Tax scales - NAT 1004'!$A$25:$C$33,2,1)-VLOOKUP((TRUNC($AN342*3/13,0)+0.99),'Tax scales - NAT 1004'!$A$25:$C$33,3,1)),0)
*13/3,
0),
""))),
""),
"")</f>
        <v/>
      </c>
      <c r="AQ342" s="118" t="str">
        <f>IFERROR(
IF(VLOOKUP($C342,'Employee information'!$B:$M,COLUMNS('Employee information'!$B:$M),0)=3,
IF($E$2="Fortnightly",
ROUND(
ROUND((((TRUNC($AN342/2,0)+0.99))*VLOOKUP((TRUNC($AN342/2,0)+0.99),'Tax scales - NAT 1004'!$A$39:$C$41,2,1)-VLOOKUP((TRUNC($AN342/2,0)+0.99),'Tax scales - NAT 1004'!$A$39:$C$41,3,1)),0)
*2,
0),
IF(AND($E$2="Monthly",ROUND($AN342-TRUNC($AN342),2)=0.33),
ROUND(
ROUND(((TRUNC(($AN342+0.01)*3/13,0)+0.99)*VLOOKUP((TRUNC(($AN342+0.01)*3/13,0)+0.99),'Tax scales - NAT 1004'!$A$39:$C$41,2,1)-VLOOKUP((TRUNC(($AN342+0.01)*3/13,0)+0.99),'Tax scales - NAT 1004'!$A$39:$C$41,3,1)),0)
*13/3,
0),
IF($E$2="Monthly",
ROUND(
ROUND(((TRUNC($AN342*3/13,0)+0.99)*VLOOKUP((TRUNC($AN342*3/13,0)+0.99),'Tax scales - NAT 1004'!$A$39:$C$41,2,1)-VLOOKUP((TRUNC($AN342*3/13,0)+0.99),'Tax scales - NAT 1004'!$A$39:$C$41,3,1)),0)
*13/3,
0),
""))),
""),
"")</f>
        <v/>
      </c>
      <c r="AR342" s="118" t="str">
        <f>IFERROR(
IF(AND(VLOOKUP($C342,'Employee information'!$B:$M,COLUMNS('Employee information'!$B:$M),0)=4,
VLOOKUP($C342,'Employee information'!$B:$J,COLUMNS('Employee information'!$B:$J),0)="Resident"),
TRUNC(TRUNC($AN342)*'Tax scales - NAT 1004'!$B$47),
IF(AND(VLOOKUP($C342,'Employee information'!$B:$M,COLUMNS('Employee information'!$B:$M),0)=4,
VLOOKUP($C342,'Employee information'!$B:$J,COLUMNS('Employee information'!$B:$J),0)="Foreign resident"),
TRUNC(TRUNC($AN342)*'Tax scales - NAT 1004'!$B$48),
"")),
"")</f>
        <v/>
      </c>
      <c r="AS342" s="118" t="str">
        <f>IFERROR(
IF(VLOOKUP($C342,'Employee information'!$B:$M,COLUMNS('Employee information'!$B:$M),0)=5,
IF($E$2="Fortnightly",
ROUND(
ROUND((((TRUNC($AN342/2,0)+0.99))*VLOOKUP((TRUNC($AN342/2,0)+0.99),'Tax scales - NAT 1004'!$A$53:$C$59,2,1)-VLOOKUP((TRUNC($AN342/2,0)+0.99),'Tax scales - NAT 1004'!$A$53:$C$59,3,1)),0)
*2,
0),
IF(AND($E$2="Monthly",ROUND($AN342-TRUNC($AN342),2)=0.33),
ROUND(
ROUND(((TRUNC(($AN342+0.01)*3/13,0)+0.99)*VLOOKUP((TRUNC(($AN342+0.01)*3/13,0)+0.99),'Tax scales - NAT 1004'!$A$53:$C$59,2,1)-VLOOKUP((TRUNC(($AN342+0.01)*3/13,0)+0.99),'Tax scales - NAT 1004'!$A$53:$C$59,3,1)),0)
*13/3,
0),
IF($E$2="Monthly",
ROUND(
ROUND(((TRUNC($AN342*3/13,0)+0.99)*VLOOKUP((TRUNC($AN342*3/13,0)+0.99),'Tax scales - NAT 1004'!$A$53:$C$59,2,1)-VLOOKUP((TRUNC($AN342*3/13,0)+0.99),'Tax scales - NAT 1004'!$A$53:$C$59,3,1)),0)
*13/3,
0),
""))),
""),
"")</f>
        <v/>
      </c>
      <c r="AT342" s="118" t="str">
        <f>IFERROR(
IF(VLOOKUP($C342,'Employee information'!$B:$M,COLUMNS('Employee information'!$B:$M),0)=6,
IF($E$2="Fortnightly",
ROUND(
ROUND((((TRUNC($AN342/2,0)+0.99))*VLOOKUP((TRUNC($AN342/2,0)+0.99),'Tax scales - NAT 1004'!$A$65:$C$73,2,1)-VLOOKUP((TRUNC($AN342/2,0)+0.99),'Tax scales - NAT 1004'!$A$65:$C$73,3,1)),0)
*2,
0),
IF(AND($E$2="Monthly",ROUND($AN342-TRUNC($AN342),2)=0.33),
ROUND(
ROUND(((TRUNC(($AN342+0.01)*3/13,0)+0.99)*VLOOKUP((TRUNC(($AN342+0.01)*3/13,0)+0.99),'Tax scales - NAT 1004'!$A$65:$C$73,2,1)-VLOOKUP((TRUNC(($AN342+0.01)*3/13,0)+0.99),'Tax scales - NAT 1004'!$A$65:$C$73,3,1)),0)
*13/3,
0),
IF($E$2="Monthly",
ROUND(
ROUND(((TRUNC($AN342*3/13,0)+0.99)*VLOOKUP((TRUNC($AN342*3/13,0)+0.99),'Tax scales - NAT 1004'!$A$65:$C$73,2,1)-VLOOKUP((TRUNC($AN342*3/13,0)+0.99),'Tax scales - NAT 1004'!$A$65:$C$73,3,1)),0)
*13/3,
0),
""))),
""),
"")</f>
        <v/>
      </c>
      <c r="AU342" s="118" t="str">
        <f>IFERROR(
IF(VLOOKUP($C342,'Employee information'!$B:$M,COLUMNS('Employee information'!$B:$M),0)=11,
IF($E$2="Fortnightly",
ROUND(
ROUND((((TRUNC($AN342/2,0)+0.99))*VLOOKUP((TRUNC($AN342/2,0)+0.99),'Tax scales - NAT 3539'!$A$14:$C$38,2,1)-VLOOKUP((TRUNC($AN342/2,0)+0.99),'Tax scales - NAT 3539'!$A$14:$C$38,3,1)),0)
*2,
0),
IF(AND($E$2="Monthly",ROUND($AN342-TRUNC($AN342),2)=0.33),
ROUND(
ROUND(((TRUNC(($AN342+0.01)*3/13,0)+0.99)*VLOOKUP((TRUNC(($AN342+0.01)*3/13,0)+0.99),'Tax scales - NAT 3539'!$A$14:$C$38,2,1)-VLOOKUP((TRUNC(($AN342+0.01)*3/13,0)+0.99),'Tax scales - NAT 3539'!$A$14:$C$38,3,1)),0)
*13/3,
0),
IF($E$2="Monthly",
ROUND(
ROUND(((TRUNC($AN342*3/13,0)+0.99)*VLOOKUP((TRUNC($AN342*3/13,0)+0.99),'Tax scales - NAT 3539'!$A$14:$C$38,2,1)-VLOOKUP((TRUNC($AN342*3/13,0)+0.99),'Tax scales - NAT 3539'!$A$14:$C$38,3,1)),0)
*13/3,
0),
""))),
""),
"")</f>
        <v/>
      </c>
      <c r="AV342" s="118" t="str">
        <f>IFERROR(
IF(VLOOKUP($C342,'Employee information'!$B:$M,COLUMNS('Employee information'!$B:$M),0)=22,
IF($E$2="Fortnightly",
ROUND(
ROUND((((TRUNC($AN342/2,0)+0.99))*VLOOKUP((TRUNC($AN342/2,0)+0.99),'Tax scales - NAT 3539'!$A$43:$C$69,2,1)-VLOOKUP((TRUNC($AN342/2,0)+0.99),'Tax scales - NAT 3539'!$A$43:$C$69,3,1)),0)
*2,
0),
IF(AND($E$2="Monthly",ROUND($AN342-TRUNC($AN342),2)=0.33),
ROUND(
ROUND(((TRUNC(($AN342+0.01)*3/13,0)+0.99)*VLOOKUP((TRUNC(($AN342+0.01)*3/13,0)+0.99),'Tax scales - NAT 3539'!$A$43:$C$69,2,1)-VLOOKUP((TRUNC(($AN342+0.01)*3/13,0)+0.99),'Tax scales - NAT 3539'!$A$43:$C$69,3,1)),0)
*13/3,
0),
IF($E$2="Monthly",
ROUND(
ROUND(((TRUNC($AN342*3/13,0)+0.99)*VLOOKUP((TRUNC($AN342*3/13,0)+0.99),'Tax scales - NAT 3539'!$A$43:$C$69,2,1)-VLOOKUP((TRUNC($AN342*3/13,0)+0.99),'Tax scales - NAT 3539'!$A$43:$C$69,3,1)),0)
*13/3,
0),
""))),
""),
"")</f>
        <v/>
      </c>
      <c r="AW342" s="118" t="str">
        <f>IFERROR(
IF(VLOOKUP($C342,'Employee information'!$B:$M,COLUMNS('Employee information'!$B:$M),0)=33,
IF($E$2="Fortnightly",
ROUND(
ROUND((((TRUNC($AN342/2,0)+0.99))*VLOOKUP((TRUNC($AN342/2,0)+0.99),'Tax scales - NAT 3539'!$A$74:$C$94,2,1)-VLOOKUP((TRUNC($AN342/2,0)+0.99),'Tax scales - NAT 3539'!$A$74:$C$94,3,1)),0)
*2,
0),
IF(AND($E$2="Monthly",ROUND($AN342-TRUNC($AN342),2)=0.33),
ROUND(
ROUND(((TRUNC(($AN342+0.01)*3/13,0)+0.99)*VLOOKUP((TRUNC(($AN342+0.01)*3/13,0)+0.99),'Tax scales - NAT 3539'!$A$74:$C$94,2,1)-VLOOKUP((TRUNC(($AN342+0.01)*3/13,0)+0.99),'Tax scales - NAT 3539'!$A$74:$C$94,3,1)),0)
*13/3,
0),
IF($E$2="Monthly",
ROUND(
ROUND(((TRUNC($AN342*3/13,0)+0.99)*VLOOKUP((TRUNC($AN342*3/13,0)+0.99),'Tax scales - NAT 3539'!$A$74:$C$94,2,1)-VLOOKUP((TRUNC($AN342*3/13,0)+0.99),'Tax scales - NAT 3539'!$A$74:$C$94,3,1)),0)
*13/3,
0),
""))),
""),
"")</f>
        <v/>
      </c>
      <c r="AX342" s="118" t="str">
        <f>IFERROR(
IF(VLOOKUP($C342,'Employee information'!$B:$M,COLUMNS('Employee information'!$B:$M),0)=55,
IF($E$2="Fortnightly",
ROUND(
ROUND((((TRUNC($AN342/2,0)+0.99))*VLOOKUP((TRUNC($AN342/2,0)+0.99),'Tax scales - NAT 3539'!$A$99:$C$123,2,1)-VLOOKUP((TRUNC($AN342/2,0)+0.99),'Tax scales - NAT 3539'!$A$99:$C$123,3,1)),0)
*2,
0),
IF(AND($E$2="Monthly",ROUND($AN342-TRUNC($AN342),2)=0.33),
ROUND(
ROUND(((TRUNC(($AN342+0.01)*3/13,0)+0.99)*VLOOKUP((TRUNC(($AN342+0.01)*3/13,0)+0.99),'Tax scales - NAT 3539'!$A$99:$C$123,2,1)-VLOOKUP((TRUNC(($AN342+0.01)*3/13,0)+0.99),'Tax scales - NAT 3539'!$A$99:$C$123,3,1)),0)
*13/3,
0),
IF($E$2="Monthly",
ROUND(
ROUND(((TRUNC($AN342*3/13,0)+0.99)*VLOOKUP((TRUNC($AN342*3/13,0)+0.99),'Tax scales - NAT 3539'!$A$99:$C$123,2,1)-VLOOKUP((TRUNC($AN342*3/13,0)+0.99),'Tax scales - NAT 3539'!$A$99:$C$123,3,1)),0)
*13/3,
0),
""))),
""),
"")</f>
        <v/>
      </c>
      <c r="AY342" s="118" t="str">
        <f>IFERROR(
IF(VLOOKUP($C342,'Employee information'!$B:$M,COLUMNS('Employee information'!$B:$M),0)=66,
IF($E$2="Fortnightly",
ROUND(
ROUND((((TRUNC($AN342/2,0)+0.99))*VLOOKUP((TRUNC($AN342/2,0)+0.99),'Tax scales - NAT 3539'!$A$127:$C$154,2,1)-VLOOKUP((TRUNC($AN342/2,0)+0.99),'Tax scales - NAT 3539'!$A$127:$C$154,3,1)),0)
*2,
0),
IF(AND($E$2="Monthly",ROUND($AN342-TRUNC($AN342),2)=0.33),
ROUND(
ROUND(((TRUNC(($AN342+0.01)*3/13,0)+0.99)*VLOOKUP((TRUNC(($AN342+0.01)*3/13,0)+0.99),'Tax scales - NAT 3539'!$A$127:$C$154,2,1)-VLOOKUP((TRUNC(($AN342+0.01)*3/13,0)+0.99),'Tax scales - NAT 3539'!$A$127:$C$154,3,1)),0)
*13/3,
0),
IF($E$2="Monthly",
ROUND(
ROUND(((TRUNC($AN342*3/13,0)+0.99)*VLOOKUP((TRUNC($AN342*3/13,0)+0.99),'Tax scales - NAT 3539'!$A$127:$C$154,2,1)-VLOOKUP((TRUNC($AN342*3/13,0)+0.99),'Tax scales - NAT 3539'!$A$127:$C$154,3,1)),0)
*13/3,
0),
""))),
""),
"")</f>
        <v/>
      </c>
      <c r="AZ342" s="118">
        <f>IFERROR(
HLOOKUP(VLOOKUP($C342,'Employee information'!$B:$M,COLUMNS('Employee information'!$B:$M),0),'PAYG worksheet'!$AO$329:$AY$348,COUNTA($C$330:$C342)+1,0),
0)</f>
        <v>0</v>
      </c>
      <c r="BA342" s="118"/>
      <c r="BB342" s="118">
        <f t="shared" si="356"/>
        <v>0</v>
      </c>
      <c r="BC342" s="119">
        <f>IFERROR(
IF(OR($AE342=1,$AE342=""),SUM($P342,$AA342,$AC342,$AK342)*VLOOKUP($C342,'Employee information'!$B:$Q,COLUMNS('Employee information'!$B:$H),0),
IF($AE342=0,SUM($P342,$AA342,$AK342)*VLOOKUP($C342,'Employee information'!$B:$Q,COLUMNS('Employee information'!$B:$H),0),
0)),
0)</f>
        <v>0</v>
      </c>
      <c r="BE342" s="114">
        <f t="shared" si="341"/>
        <v>0</v>
      </c>
      <c r="BF342" s="114">
        <f t="shared" si="342"/>
        <v>0</v>
      </c>
      <c r="BG342" s="114">
        <f t="shared" si="343"/>
        <v>0</v>
      </c>
      <c r="BH342" s="114">
        <f t="shared" si="344"/>
        <v>0</v>
      </c>
      <c r="BI342" s="114">
        <f t="shared" si="345"/>
        <v>0</v>
      </c>
      <c r="BJ342" s="114">
        <f t="shared" si="346"/>
        <v>0</v>
      </c>
      <c r="BK342" s="114">
        <f t="shared" si="347"/>
        <v>0</v>
      </c>
      <c r="BL342" s="114">
        <f t="shared" si="357"/>
        <v>0</v>
      </c>
      <c r="BM342" s="114">
        <f t="shared" si="348"/>
        <v>0</v>
      </c>
    </row>
    <row r="343" spans="1:65" x14ac:dyDescent="0.25">
      <c r="A343" s="228">
        <f t="shared" si="336"/>
        <v>12</v>
      </c>
      <c r="C343" s="278"/>
      <c r="E343" s="103">
        <f>IF($C343="",0,
IF(AND($E$2="Monthly",$A343&gt;12),0,
IF($E$2="Monthly",VLOOKUP($C343,'Employee information'!$B:$AM,COLUMNS('Employee information'!$B:S),0),
IF($E$2="Fortnightly",VLOOKUP($C343,'Employee information'!$B:$AM,COLUMNS('Employee information'!$B:R),0),
0))))</f>
        <v>0</v>
      </c>
      <c r="F343" s="106"/>
      <c r="G343" s="106"/>
      <c r="H343" s="106"/>
      <c r="I343" s="106"/>
      <c r="J343" s="103">
        <f t="shared" si="349"/>
        <v>0</v>
      </c>
      <c r="L343" s="113">
        <f>IF(AND($E$2="Monthly",$A343&gt;12),"",
IFERROR($J343*VLOOKUP($C343,'Employee information'!$B:$AI,COLUMNS('Employee information'!$B:$P),0),0))</f>
        <v>0</v>
      </c>
      <c r="M343" s="114">
        <f t="shared" si="350"/>
        <v>0</v>
      </c>
      <c r="O343" s="103">
        <f t="shared" si="351"/>
        <v>0</v>
      </c>
      <c r="P343" s="113">
        <f>IFERROR(
IF(AND($E$2="Monthly",$A343&gt;12),0,
$O343*VLOOKUP($C343,'Employee information'!$B:$AI,COLUMNS('Employee information'!$B:$P),0)),
0)</f>
        <v>0</v>
      </c>
      <c r="R343" s="114">
        <f t="shared" si="337"/>
        <v>0</v>
      </c>
      <c r="T343" s="103"/>
      <c r="U343" s="103"/>
      <c r="V343" s="282" t="str">
        <f>IF($C343="","",
IF(AND($E$2="Monthly",$A343&gt;12),"",
$T343*VLOOKUP($C343,'Employee information'!$B:$P,COLUMNS('Employee information'!$B:$P),0)))</f>
        <v/>
      </c>
      <c r="W343" s="282" t="str">
        <f>IF($C343="","",
IF(AND($E$2="Monthly",$A343&gt;12),"",
$U343*VLOOKUP($C343,'Employee information'!$B:$P,COLUMNS('Employee information'!$B:$P),0)))</f>
        <v/>
      </c>
      <c r="X343" s="114">
        <f t="shared" si="338"/>
        <v>0</v>
      </c>
      <c r="Y343" s="114">
        <f t="shared" si="339"/>
        <v>0</v>
      </c>
      <c r="AA343" s="118">
        <f>IFERROR(
IF(OR('Basic payroll data'!$D$12="",'Basic payroll data'!$D$12="No"),0,
$T343*VLOOKUP($C343,'Employee information'!$B:$P,COLUMNS('Employee information'!$B:$P),0)*AL_loading_perc),
0)</f>
        <v>0</v>
      </c>
      <c r="AC343" s="118"/>
      <c r="AD343" s="118"/>
      <c r="AE343" s="283" t="str">
        <f t="shared" si="352"/>
        <v/>
      </c>
      <c r="AF343" s="283" t="str">
        <f t="shared" si="353"/>
        <v/>
      </c>
      <c r="AG343" s="118"/>
      <c r="AH343" s="118"/>
      <c r="AI343" s="283" t="str">
        <f t="shared" si="354"/>
        <v/>
      </c>
      <c r="AJ343" s="118"/>
      <c r="AK343" s="118"/>
      <c r="AM343" s="118">
        <f t="shared" si="355"/>
        <v>0</v>
      </c>
      <c r="AN343" s="118">
        <f t="shared" si="340"/>
        <v>0</v>
      </c>
      <c r="AO343" s="118" t="str">
        <f>IFERROR(
IF(VLOOKUP($C343,'Employee information'!$B:$M,COLUMNS('Employee information'!$B:$M),0)=1,
IF($E$2="Fortnightly",
ROUND(
ROUND((((TRUNC($AN343/2,0)+0.99))*VLOOKUP((TRUNC($AN343/2,0)+0.99),'Tax scales - NAT 1004'!$A$12:$C$18,2,1)-VLOOKUP((TRUNC($AN343/2,0)+0.99),'Tax scales - NAT 1004'!$A$12:$C$18,3,1)),0)
*2,
0),
IF(AND($E$2="Monthly",ROUND($AN343-TRUNC($AN343),2)=0.33),
ROUND(
ROUND(((TRUNC(($AN343+0.01)*3/13,0)+0.99)*VLOOKUP((TRUNC(($AN343+0.01)*3/13,0)+0.99),'Tax scales - NAT 1004'!$A$12:$C$18,2,1)-VLOOKUP((TRUNC(($AN343+0.01)*3/13,0)+0.99),'Tax scales - NAT 1004'!$A$12:$C$18,3,1)),0)
*13/3,
0),
IF($E$2="Monthly",
ROUND(
ROUND(((TRUNC($AN343*3/13,0)+0.99)*VLOOKUP((TRUNC($AN343*3/13,0)+0.99),'Tax scales - NAT 1004'!$A$12:$C$18,2,1)-VLOOKUP((TRUNC($AN343*3/13,0)+0.99),'Tax scales - NAT 1004'!$A$12:$C$18,3,1)),0)
*13/3,
0),
""))),
""),
"")</f>
        <v/>
      </c>
      <c r="AP343" s="118" t="str">
        <f>IFERROR(
IF(VLOOKUP($C343,'Employee information'!$B:$M,COLUMNS('Employee information'!$B:$M),0)=2,
IF($E$2="Fortnightly",
ROUND(
ROUND((((TRUNC($AN343/2,0)+0.99))*VLOOKUP((TRUNC($AN343/2,0)+0.99),'Tax scales - NAT 1004'!$A$25:$C$33,2,1)-VLOOKUP((TRUNC($AN343/2,0)+0.99),'Tax scales - NAT 1004'!$A$25:$C$33,3,1)),0)
*2,
0),
IF(AND($E$2="Monthly",ROUND($AN343-TRUNC($AN343),2)=0.33),
ROUND(
ROUND(((TRUNC(($AN343+0.01)*3/13,0)+0.99)*VLOOKUP((TRUNC(($AN343+0.01)*3/13,0)+0.99),'Tax scales - NAT 1004'!$A$25:$C$33,2,1)-VLOOKUP((TRUNC(($AN343+0.01)*3/13,0)+0.99),'Tax scales - NAT 1004'!$A$25:$C$33,3,1)),0)
*13/3,
0),
IF($E$2="Monthly",
ROUND(
ROUND(((TRUNC($AN343*3/13,0)+0.99)*VLOOKUP((TRUNC($AN343*3/13,0)+0.99),'Tax scales - NAT 1004'!$A$25:$C$33,2,1)-VLOOKUP((TRUNC($AN343*3/13,0)+0.99),'Tax scales - NAT 1004'!$A$25:$C$33,3,1)),0)
*13/3,
0),
""))),
""),
"")</f>
        <v/>
      </c>
      <c r="AQ343" s="118" t="str">
        <f>IFERROR(
IF(VLOOKUP($C343,'Employee information'!$B:$M,COLUMNS('Employee information'!$B:$M),0)=3,
IF($E$2="Fortnightly",
ROUND(
ROUND((((TRUNC($AN343/2,0)+0.99))*VLOOKUP((TRUNC($AN343/2,0)+0.99),'Tax scales - NAT 1004'!$A$39:$C$41,2,1)-VLOOKUP((TRUNC($AN343/2,0)+0.99),'Tax scales - NAT 1004'!$A$39:$C$41,3,1)),0)
*2,
0),
IF(AND($E$2="Monthly",ROUND($AN343-TRUNC($AN343),2)=0.33),
ROUND(
ROUND(((TRUNC(($AN343+0.01)*3/13,0)+0.99)*VLOOKUP((TRUNC(($AN343+0.01)*3/13,0)+0.99),'Tax scales - NAT 1004'!$A$39:$C$41,2,1)-VLOOKUP((TRUNC(($AN343+0.01)*3/13,0)+0.99),'Tax scales - NAT 1004'!$A$39:$C$41,3,1)),0)
*13/3,
0),
IF($E$2="Monthly",
ROUND(
ROUND(((TRUNC($AN343*3/13,0)+0.99)*VLOOKUP((TRUNC($AN343*3/13,0)+0.99),'Tax scales - NAT 1004'!$A$39:$C$41,2,1)-VLOOKUP((TRUNC($AN343*3/13,0)+0.99),'Tax scales - NAT 1004'!$A$39:$C$41,3,1)),0)
*13/3,
0),
""))),
""),
"")</f>
        <v/>
      </c>
      <c r="AR343" s="118" t="str">
        <f>IFERROR(
IF(AND(VLOOKUP($C343,'Employee information'!$B:$M,COLUMNS('Employee information'!$B:$M),0)=4,
VLOOKUP($C343,'Employee information'!$B:$J,COLUMNS('Employee information'!$B:$J),0)="Resident"),
TRUNC(TRUNC($AN343)*'Tax scales - NAT 1004'!$B$47),
IF(AND(VLOOKUP($C343,'Employee information'!$B:$M,COLUMNS('Employee information'!$B:$M),0)=4,
VLOOKUP($C343,'Employee information'!$B:$J,COLUMNS('Employee information'!$B:$J),0)="Foreign resident"),
TRUNC(TRUNC($AN343)*'Tax scales - NAT 1004'!$B$48),
"")),
"")</f>
        <v/>
      </c>
      <c r="AS343" s="118" t="str">
        <f>IFERROR(
IF(VLOOKUP($C343,'Employee information'!$B:$M,COLUMNS('Employee information'!$B:$M),0)=5,
IF($E$2="Fortnightly",
ROUND(
ROUND((((TRUNC($AN343/2,0)+0.99))*VLOOKUP((TRUNC($AN343/2,0)+0.99),'Tax scales - NAT 1004'!$A$53:$C$59,2,1)-VLOOKUP((TRUNC($AN343/2,0)+0.99),'Tax scales - NAT 1004'!$A$53:$C$59,3,1)),0)
*2,
0),
IF(AND($E$2="Monthly",ROUND($AN343-TRUNC($AN343),2)=0.33),
ROUND(
ROUND(((TRUNC(($AN343+0.01)*3/13,0)+0.99)*VLOOKUP((TRUNC(($AN343+0.01)*3/13,0)+0.99),'Tax scales - NAT 1004'!$A$53:$C$59,2,1)-VLOOKUP((TRUNC(($AN343+0.01)*3/13,0)+0.99),'Tax scales - NAT 1004'!$A$53:$C$59,3,1)),0)
*13/3,
0),
IF($E$2="Monthly",
ROUND(
ROUND(((TRUNC($AN343*3/13,0)+0.99)*VLOOKUP((TRUNC($AN343*3/13,0)+0.99),'Tax scales - NAT 1004'!$A$53:$C$59,2,1)-VLOOKUP((TRUNC($AN343*3/13,0)+0.99),'Tax scales - NAT 1004'!$A$53:$C$59,3,1)),0)
*13/3,
0),
""))),
""),
"")</f>
        <v/>
      </c>
      <c r="AT343" s="118" t="str">
        <f>IFERROR(
IF(VLOOKUP($C343,'Employee information'!$B:$M,COLUMNS('Employee information'!$B:$M),0)=6,
IF($E$2="Fortnightly",
ROUND(
ROUND((((TRUNC($AN343/2,0)+0.99))*VLOOKUP((TRUNC($AN343/2,0)+0.99),'Tax scales - NAT 1004'!$A$65:$C$73,2,1)-VLOOKUP((TRUNC($AN343/2,0)+0.99),'Tax scales - NAT 1004'!$A$65:$C$73,3,1)),0)
*2,
0),
IF(AND($E$2="Monthly",ROUND($AN343-TRUNC($AN343),2)=0.33),
ROUND(
ROUND(((TRUNC(($AN343+0.01)*3/13,0)+0.99)*VLOOKUP((TRUNC(($AN343+0.01)*3/13,0)+0.99),'Tax scales - NAT 1004'!$A$65:$C$73,2,1)-VLOOKUP((TRUNC(($AN343+0.01)*3/13,0)+0.99),'Tax scales - NAT 1004'!$A$65:$C$73,3,1)),0)
*13/3,
0),
IF($E$2="Monthly",
ROUND(
ROUND(((TRUNC($AN343*3/13,0)+0.99)*VLOOKUP((TRUNC($AN343*3/13,0)+0.99),'Tax scales - NAT 1004'!$A$65:$C$73,2,1)-VLOOKUP((TRUNC($AN343*3/13,0)+0.99),'Tax scales - NAT 1004'!$A$65:$C$73,3,1)),0)
*13/3,
0),
""))),
""),
"")</f>
        <v/>
      </c>
      <c r="AU343" s="118" t="str">
        <f>IFERROR(
IF(VLOOKUP($C343,'Employee information'!$B:$M,COLUMNS('Employee information'!$B:$M),0)=11,
IF($E$2="Fortnightly",
ROUND(
ROUND((((TRUNC($AN343/2,0)+0.99))*VLOOKUP((TRUNC($AN343/2,0)+0.99),'Tax scales - NAT 3539'!$A$14:$C$38,2,1)-VLOOKUP((TRUNC($AN343/2,0)+0.99),'Tax scales - NAT 3539'!$A$14:$C$38,3,1)),0)
*2,
0),
IF(AND($E$2="Monthly",ROUND($AN343-TRUNC($AN343),2)=0.33),
ROUND(
ROUND(((TRUNC(($AN343+0.01)*3/13,0)+0.99)*VLOOKUP((TRUNC(($AN343+0.01)*3/13,0)+0.99),'Tax scales - NAT 3539'!$A$14:$C$38,2,1)-VLOOKUP((TRUNC(($AN343+0.01)*3/13,0)+0.99),'Tax scales - NAT 3539'!$A$14:$C$38,3,1)),0)
*13/3,
0),
IF($E$2="Monthly",
ROUND(
ROUND(((TRUNC($AN343*3/13,0)+0.99)*VLOOKUP((TRUNC($AN343*3/13,0)+0.99),'Tax scales - NAT 3539'!$A$14:$C$38,2,1)-VLOOKUP((TRUNC($AN343*3/13,0)+0.99),'Tax scales - NAT 3539'!$A$14:$C$38,3,1)),0)
*13/3,
0),
""))),
""),
"")</f>
        <v/>
      </c>
      <c r="AV343" s="118" t="str">
        <f>IFERROR(
IF(VLOOKUP($C343,'Employee information'!$B:$M,COLUMNS('Employee information'!$B:$M),0)=22,
IF($E$2="Fortnightly",
ROUND(
ROUND((((TRUNC($AN343/2,0)+0.99))*VLOOKUP((TRUNC($AN343/2,0)+0.99),'Tax scales - NAT 3539'!$A$43:$C$69,2,1)-VLOOKUP((TRUNC($AN343/2,0)+0.99),'Tax scales - NAT 3539'!$A$43:$C$69,3,1)),0)
*2,
0),
IF(AND($E$2="Monthly",ROUND($AN343-TRUNC($AN343),2)=0.33),
ROUND(
ROUND(((TRUNC(($AN343+0.01)*3/13,0)+0.99)*VLOOKUP((TRUNC(($AN343+0.01)*3/13,0)+0.99),'Tax scales - NAT 3539'!$A$43:$C$69,2,1)-VLOOKUP((TRUNC(($AN343+0.01)*3/13,0)+0.99),'Tax scales - NAT 3539'!$A$43:$C$69,3,1)),0)
*13/3,
0),
IF($E$2="Monthly",
ROUND(
ROUND(((TRUNC($AN343*3/13,0)+0.99)*VLOOKUP((TRUNC($AN343*3/13,0)+0.99),'Tax scales - NAT 3539'!$A$43:$C$69,2,1)-VLOOKUP((TRUNC($AN343*3/13,0)+0.99),'Tax scales - NAT 3539'!$A$43:$C$69,3,1)),0)
*13/3,
0),
""))),
""),
"")</f>
        <v/>
      </c>
      <c r="AW343" s="118" t="str">
        <f>IFERROR(
IF(VLOOKUP($C343,'Employee information'!$B:$M,COLUMNS('Employee information'!$B:$M),0)=33,
IF($E$2="Fortnightly",
ROUND(
ROUND((((TRUNC($AN343/2,0)+0.99))*VLOOKUP((TRUNC($AN343/2,0)+0.99),'Tax scales - NAT 3539'!$A$74:$C$94,2,1)-VLOOKUP((TRUNC($AN343/2,0)+0.99),'Tax scales - NAT 3539'!$A$74:$C$94,3,1)),0)
*2,
0),
IF(AND($E$2="Monthly",ROUND($AN343-TRUNC($AN343),2)=0.33),
ROUND(
ROUND(((TRUNC(($AN343+0.01)*3/13,0)+0.99)*VLOOKUP((TRUNC(($AN343+0.01)*3/13,0)+0.99),'Tax scales - NAT 3539'!$A$74:$C$94,2,1)-VLOOKUP((TRUNC(($AN343+0.01)*3/13,0)+0.99),'Tax scales - NAT 3539'!$A$74:$C$94,3,1)),0)
*13/3,
0),
IF($E$2="Monthly",
ROUND(
ROUND(((TRUNC($AN343*3/13,0)+0.99)*VLOOKUP((TRUNC($AN343*3/13,0)+0.99),'Tax scales - NAT 3539'!$A$74:$C$94,2,1)-VLOOKUP((TRUNC($AN343*3/13,0)+0.99),'Tax scales - NAT 3539'!$A$74:$C$94,3,1)),0)
*13/3,
0),
""))),
""),
"")</f>
        <v/>
      </c>
      <c r="AX343" s="118" t="str">
        <f>IFERROR(
IF(VLOOKUP($C343,'Employee information'!$B:$M,COLUMNS('Employee information'!$B:$M),0)=55,
IF($E$2="Fortnightly",
ROUND(
ROUND((((TRUNC($AN343/2,0)+0.99))*VLOOKUP((TRUNC($AN343/2,0)+0.99),'Tax scales - NAT 3539'!$A$99:$C$123,2,1)-VLOOKUP((TRUNC($AN343/2,0)+0.99),'Tax scales - NAT 3539'!$A$99:$C$123,3,1)),0)
*2,
0),
IF(AND($E$2="Monthly",ROUND($AN343-TRUNC($AN343),2)=0.33),
ROUND(
ROUND(((TRUNC(($AN343+0.01)*3/13,0)+0.99)*VLOOKUP((TRUNC(($AN343+0.01)*3/13,0)+0.99),'Tax scales - NAT 3539'!$A$99:$C$123,2,1)-VLOOKUP((TRUNC(($AN343+0.01)*3/13,0)+0.99),'Tax scales - NAT 3539'!$A$99:$C$123,3,1)),0)
*13/3,
0),
IF($E$2="Monthly",
ROUND(
ROUND(((TRUNC($AN343*3/13,0)+0.99)*VLOOKUP((TRUNC($AN343*3/13,0)+0.99),'Tax scales - NAT 3539'!$A$99:$C$123,2,1)-VLOOKUP((TRUNC($AN343*3/13,0)+0.99),'Tax scales - NAT 3539'!$A$99:$C$123,3,1)),0)
*13/3,
0),
""))),
""),
"")</f>
        <v/>
      </c>
      <c r="AY343" s="118" t="str">
        <f>IFERROR(
IF(VLOOKUP($C343,'Employee information'!$B:$M,COLUMNS('Employee information'!$B:$M),0)=66,
IF($E$2="Fortnightly",
ROUND(
ROUND((((TRUNC($AN343/2,0)+0.99))*VLOOKUP((TRUNC($AN343/2,0)+0.99),'Tax scales - NAT 3539'!$A$127:$C$154,2,1)-VLOOKUP((TRUNC($AN343/2,0)+0.99),'Tax scales - NAT 3539'!$A$127:$C$154,3,1)),0)
*2,
0),
IF(AND($E$2="Monthly",ROUND($AN343-TRUNC($AN343),2)=0.33),
ROUND(
ROUND(((TRUNC(($AN343+0.01)*3/13,0)+0.99)*VLOOKUP((TRUNC(($AN343+0.01)*3/13,0)+0.99),'Tax scales - NAT 3539'!$A$127:$C$154,2,1)-VLOOKUP((TRUNC(($AN343+0.01)*3/13,0)+0.99),'Tax scales - NAT 3539'!$A$127:$C$154,3,1)),0)
*13/3,
0),
IF($E$2="Monthly",
ROUND(
ROUND(((TRUNC($AN343*3/13,0)+0.99)*VLOOKUP((TRUNC($AN343*3/13,0)+0.99),'Tax scales - NAT 3539'!$A$127:$C$154,2,1)-VLOOKUP((TRUNC($AN343*3/13,0)+0.99),'Tax scales - NAT 3539'!$A$127:$C$154,3,1)),0)
*13/3,
0),
""))),
""),
"")</f>
        <v/>
      </c>
      <c r="AZ343" s="118">
        <f>IFERROR(
HLOOKUP(VLOOKUP($C343,'Employee information'!$B:$M,COLUMNS('Employee information'!$B:$M),0),'PAYG worksheet'!$AO$329:$AY$348,COUNTA($C$330:$C343)+1,0),
0)</f>
        <v>0</v>
      </c>
      <c r="BA343" s="118"/>
      <c r="BB343" s="118">
        <f t="shared" si="356"/>
        <v>0</v>
      </c>
      <c r="BC343" s="119">
        <f>IFERROR(
IF(OR($AE343=1,$AE343=""),SUM($P343,$AA343,$AC343,$AK343)*VLOOKUP($C343,'Employee information'!$B:$Q,COLUMNS('Employee information'!$B:$H),0),
IF($AE343=0,SUM($P343,$AA343,$AK343)*VLOOKUP($C343,'Employee information'!$B:$Q,COLUMNS('Employee information'!$B:$H),0),
0)),
0)</f>
        <v>0</v>
      </c>
      <c r="BE343" s="114">
        <f t="shared" si="341"/>
        <v>0</v>
      </c>
      <c r="BF343" s="114">
        <f t="shared" si="342"/>
        <v>0</v>
      </c>
      <c r="BG343" s="114">
        <f t="shared" si="343"/>
        <v>0</v>
      </c>
      <c r="BH343" s="114">
        <f t="shared" si="344"/>
        <v>0</v>
      </c>
      <c r="BI343" s="114">
        <f t="shared" si="345"/>
        <v>0</v>
      </c>
      <c r="BJ343" s="114">
        <f t="shared" si="346"/>
        <v>0</v>
      </c>
      <c r="BK343" s="114">
        <f t="shared" si="347"/>
        <v>0</v>
      </c>
      <c r="BL343" s="114">
        <f t="shared" si="357"/>
        <v>0</v>
      </c>
      <c r="BM343" s="114">
        <f t="shared" si="348"/>
        <v>0</v>
      </c>
    </row>
    <row r="344" spans="1:65" x14ac:dyDescent="0.25">
      <c r="A344" s="228">
        <f t="shared" si="336"/>
        <v>12</v>
      </c>
      <c r="C344" s="278"/>
      <c r="E344" s="103">
        <f>IF($C344="",0,
IF(AND($E$2="Monthly",$A344&gt;12),0,
IF($E$2="Monthly",VLOOKUP($C344,'Employee information'!$B:$AM,COLUMNS('Employee information'!$B:S),0),
IF($E$2="Fortnightly",VLOOKUP($C344,'Employee information'!$B:$AM,COLUMNS('Employee information'!$B:R),0),
0))))</f>
        <v>0</v>
      </c>
      <c r="F344" s="106"/>
      <c r="G344" s="106"/>
      <c r="H344" s="106"/>
      <c r="I344" s="106"/>
      <c r="J344" s="103">
        <f t="shared" si="349"/>
        <v>0</v>
      </c>
      <c r="L344" s="113">
        <f>IF(AND($E$2="Monthly",$A344&gt;12),"",
IFERROR($J344*VLOOKUP($C344,'Employee information'!$B:$AI,COLUMNS('Employee information'!$B:$P),0),0))</f>
        <v>0</v>
      </c>
      <c r="M344" s="114">
        <f t="shared" si="350"/>
        <v>0</v>
      </c>
      <c r="O344" s="103">
        <f t="shared" si="351"/>
        <v>0</v>
      </c>
      <c r="P344" s="113">
        <f>IFERROR(
IF(AND($E$2="Monthly",$A344&gt;12),0,
$O344*VLOOKUP($C344,'Employee information'!$B:$AI,COLUMNS('Employee information'!$B:$P),0)),
0)</f>
        <v>0</v>
      </c>
      <c r="R344" s="114">
        <f t="shared" si="337"/>
        <v>0</v>
      </c>
      <c r="T344" s="103"/>
      <c r="U344" s="103"/>
      <c r="V344" s="282" t="str">
        <f>IF($C344="","",
IF(AND($E$2="Monthly",$A344&gt;12),"",
$T344*VLOOKUP($C344,'Employee information'!$B:$P,COLUMNS('Employee information'!$B:$P),0)))</f>
        <v/>
      </c>
      <c r="W344" s="282" t="str">
        <f>IF($C344="","",
IF(AND($E$2="Monthly",$A344&gt;12),"",
$U344*VLOOKUP($C344,'Employee information'!$B:$P,COLUMNS('Employee information'!$B:$P),0)))</f>
        <v/>
      </c>
      <c r="X344" s="114">
        <f t="shared" si="338"/>
        <v>0</v>
      </c>
      <c r="Y344" s="114">
        <f t="shared" si="339"/>
        <v>0</v>
      </c>
      <c r="AA344" s="118">
        <f>IFERROR(
IF(OR('Basic payroll data'!$D$12="",'Basic payroll data'!$D$12="No"),0,
$T344*VLOOKUP($C344,'Employee information'!$B:$P,COLUMNS('Employee information'!$B:$P),0)*AL_loading_perc),
0)</f>
        <v>0</v>
      </c>
      <c r="AC344" s="118"/>
      <c r="AD344" s="118"/>
      <c r="AE344" s="283" t="str">
        <f t="shared" si="352"/>
        <v/>
      </c>
      <c r="AF344" s="283" t="str">
        <f t="shared" si="353"/>
        <v/>
      </c>
      <c r="AG344" s="118"/>
      <c r="AH344" s="118"/>
      <c r="AI344" s="283" t="str">
        <f t="shared" si="354"/>
        <v/>
      </c>
      <c r="AJ344" s="118"/>
      <c r="AK344" s="118"/>
      <c r="AM344" s="118">
        <f t="shared" si="355"/>
        <v>0</v>
      </c>
      <c r="AN344" s="118">
        <f t="shared" si="340"/>
        <v>0</v>
      </c>
      <c r="AO344" s="118" t="str">
        <f>IFERROR(
IF(VLOOKUP($C344,'Employee information'!$B:$M,COLUMNS('Employee information'!$B:$M),0)=1,
IF($E$2="Fortnightly",
ROUND(
ROUND((((TRUNC($AN344/2,0)+0.99))*VLOOKUP((TRUNC($AN344/2,0)+0.99),'Tax scales - NAT 1004'!$A$12:$C$18,2,1)-VLOOKUP((TRUNC($AN344/2,0)+0.99),'Tax scales - NAT 1004'!$A$12:$C$18,3,1)),0)
*2,
0),
IF(AND($E$2="Monthly",ROUND($AN344-TRUNC($AN344),2)=0.33),
ROUND(
ROUND(((TRUNC(($AN344+0.01)*3/13,0)+0.99)*VLOOKUP((TRUNC(($AN344+0.01)*3/13,0)+0.99),'Tax scales - NAT 1004'!$A$12:$C$18,2,1)-VLOOKUP((TRUNC(($AN344+0.01)*3/13,0)+0.99),'Tax scales - NAT 1004'!$A$12:$C$18,3,1)),0)
*13/3,
0),
IF($E$2="Monthly",
ROUND(
ROUND(((TRUNC($AN344*3/13,0)+0.99)*VLOOKUP((TRUNC($AN344*3/13,0)+0.99),'Tax scales - NAT 1004'!$A$12:$C$18,2,1)-VLOOKUP((TRUNC($AN344*3/13,0)+0.99),'Tax scales - NAT 1004'!$A$12:$C$18,3,1)),0)
*13/3,
0),
""))),
""),
"")</f>
        <v/>
      </c>
      <c r="AP344" s="118" t="str">
        <f>IFERROR(
IF(VLOOKUP($C344,'Employee information'!$B:$M,COLUMNS('Employee information'!$B:$M),0)=2,
IF($E$2="Fortnightly",
ROUND(
ROUND((((TRUNC($AN344/2,0)+0.99))*VLOOKUP((TRUNC($AN344/2,0)+0.99),'Tax scales - NAT 1004'!$A$25:$C$33,2,1)-VLOOKUP((TRUNC($AN344/2,0)+0.99),'Tax scales - NAT 1004'!$A$25:$C$33,3,1)),0)
*2,
0),
IF(AND($E$2="Monthly",ROUND($AN344-TRUNC($AN344),2)=0.33),
ROUND(
ROUND(((TRUNC(($AN344+0.01)*3/13,0)+0.99)*VLOOKUP((TRUNC(($AN344+0.01)*3/13,0)+0.99),'Tax scales - NAT 1004'!$A$25:$C$33,2,1)-VLOOKUP((TRUNC(($AN344+0.01)*3/13,0)+0.99),'Tax scales - NAT 1004'!$A$25:$C$33,3,1)),0)
*13/3,
0),
IF($E$2="Monthly",
ROUND(
ROUND(((TRUNC($AN344*3/13,0)+0.99)*VLOOKUP((TRUNC($AN344*3/13,0)+0.99),'Tax scales - NAT 1004'!$A$25:$C$33,2,1)-VLOOKUP((TRUNC($AN344*3/13,0)+0.99),'Tax scales - NAT 1004'!$A$25:$C$33,3,1)),0)
*13/3,
0),
""))),
""),
"")</f>
        <v/>
      </c>
      <c r="AQ344" s="118" t="str">
        <f>IFERROR(
IF(VLOOKUP($C344,'Employee information'!$B:$M,COLUMNS('Employee information'!$B:$M),0)=3,
IF($E$2="Fortnightly",
ROUND(
ROUND((((TRUNC($AN344/2,0)+0.99))*VLOOKUP((TRUNC($AN344/2,0)+0.99),'Tax scales - NAT 1004'!$A$39:$C$41,2,1)-VLOOKUP((TRUNC($AN344/2,0)+0.99),'Tax scales - NAT 1004'!$A$39:$C$41,3,1)),0)
*2,
0),
IF(AND($E$2="Monthly",ROUND($AN344-TRUNC($AN344),2)=0.33),
ROUND(
ROUND(((TRUNC(($AN344+0.01)*3/13,0)+0.99)*VLOOKUP((TRUNC(($AN344+0.01)*3/13,0)+0.99),'Tax scales - NAT 1004'!$A$39:$C$41,2,1)-VLOOKUP((TRUNC(($AN344+0.01)*3/13,0)+0.99),'Tax scales - NAT 1004'!$A$39:$C$41,3,1)),0)
*13/3,
0),
IF($E$2="Monthly",
ROUND(
ROUND(((TRUNC($AN344*3/13,0)+0.99)*VLOOKUP((TRUNC($AN344*3/13,0)+0.99),'Tax scales - NAT 1004'!$A$39:$C$41,2,1)-VLOOKUP((TRUNC($AN344*3/13,0)+0.99),'Tax scales - NAT 1004'!$A$39:$C$41,3,1)),0)
*13/3,
0),
""))),
""),
"")</f>
        <v/>
      </c>
      <c r="AR344" s="118" t="str">
        <f>IFERROR(
IF(AND(VLOOKUP($C344,'Employee information'!$B:$M,COLUMNS('Employee information'!$B:$M),0)=4,
VLOOKUP($C344,'Employee information'!$B:$J,COLUMNS('Employee information'!$B:$J),0)="Resident"),
TRUNC(TRUNC($AN344)*'Tax scales - NAT 1004'!$B$47),
IF(AND(VLOOKUP($C344,'Employee information'!$B:$M,COLUMNS('Employee information'!$B:$M),0)=4,
VLOOKUP($C344,'Employee information'!$B:$J,COLUMNS('Employee information'!$B:$J),0)="Foreign resident"),
TRUNC(TRUNC($AN344)*'Tax scales - NAT 1004'!$B$48),
"")),
"")</f>
        <v/>
      </c>
      <c r="AS344" s="118" t="str">
        <f>IFERROR(
IF(VLOOKUP($C344,'Employee information'!$B:$M,COLUMNS('Employee information'!$B:$M),0)=5,
IF($E$2="Fortnightly",
ROUND(
ROUND((((TRUNC($AN344/2,0)+0.99))*VLOOKUP((TRUNC($AN344/2,0)+0.99),'Tax scales - NAT 1004'!$A$53:$C$59,2,1)-VLOOKUP((TRUNC($AN344/2,0)+0.99),'Tax scales - NAT 1004'!$A$53:$C$59,3,1)),0)
*2,
0),
IF(AND($E$2="Monthly",ROUND($AN344-TRUNC($AN344),2)=0.33),
ROUND(
ROUND(((TRUNC(($AN344+0.01)*3/13,0)+0.99)*VLOOKUP((TRUNC(($AN344+0.01)*3/13,0)+0.99),'Tax scales - NAT 1004'!$A$53:$C$59,2,1)-VLOOKUP((TRUNC(($AN344+0.01)*3/13,0)+0.99),'Tax scales - NAT 1004'!$A$53:$C$59,3,1)),0)
*13/3,
0),
IF($E$2="Monthly",
ROUND(
ROUND(((TRUNC($AN344*3/13,0)+0.99)*VLOOKUP((TRUNC($AN344*3/13,0)+0.99),'Tax scales - NAT 1004'!$A$53:$C$59,2,1)-VLOOKUP((TRUNC($AN344*3/13,0)+0.99),'Tax scales - NAT 1004'!$A$53:$C$59,3,1)),0)
*13/3,
0),
""))),
""),
"")</f>
        <v/>
      </c>
      <c r="AT344" s="118" t="str">
        <f>IFERROR(
IF(VLOOKUP($C344,'Employee information'!$B:$M,COLUMNS('Employee information'!$B:$M),0)=6,
IF($E$2="Fortnightly",
ROUND(
ROUND((((TRUNC($AN344/2,0)+0.99))*VLOOKUP((TRUNC($AN344/2,0)+0.99),'Tax scales - NAT 1004'!$A$65:$C$73,2,1)-VLOOKUP((TRUNC($AN344/2,0)+0.99),'Tax scales - NAT 1004'!$A$65:$C$73,3,1)),0)
*2,
0),
IF(AND($E$2="Monthly",ROUND($AN344-TRUNC($AN344),2)=0.33),
ROUND(
ROUND(((TRUNC(($AN344+0.01)*3/13,0)+0.99)*VLOOKUP((TRUNC(($AN344+0.01)*3/13,0)+0.99),'Tax scales - NAT 1004'!$A$65:$C$73,2,1)-VLOOKUP((TRUNC(($AN344+0.01)*3/13,0)+0.99),'Tax scales - NAT 1004'!$A$65:$C$73,3,1)),0)
*13/3,
0),
IF($E$2="Monthly",
ROUND(
ROUND(((TRUNC($AN344*3/13,0)+0.99)*VLOOKUP((TRUNC($AN344*3/13,0)+0.99),'Tax scales - NAT 1004'!$A$65:$C$73,2,1)-VLOOKUP((TRUNC($AN344*3/13,0)+0.99),'Tax scales - NAT 1004'!$A$65:$C$73,3,1)),0)
*13/3,
0),
""))),
""),
"")</f>
        <v/>
      </c>
      <c r="AU344" s="118" t="str">
        <f>IFERROR(
IF(VLOOKUP($C344,'Employee information'!$B:$M,COLUMNS('Employee information'!$B:$M),0)=11,
IF($E$2="Fortnightly",
ROUND(
ROUND((((TRUNC($AN344/2,0)+0.99))*VLOOKUP((TRUNC($AN344/2,0)+0.99),'Tax scales - NAT 3539'!$A$14:$C$38,2,1)-VLOOKUP((TRUNC($AN344/2,0)+0.99),'Tax scales - NAT 3539'!$A$14:$C$38,3,1)),0)
*2,
0),
IF(AND($E$2="Monthly",ROUND($AN344-TRUNC($AN344),2)=0.33),
ROUND(
ROUND(((TRUNC(($AN344+0.01)*3/13,0)+0.99)*VLOOKUP((TRUNC(($AN344+0.01)*3/13,0)+0.99),'Tax scales - NAT 3539'!$A$14:$C$38,2,1)-VLOOKUP((TRUNC(($AN344+0.01)*3/13,0)+0.99),'Tax scales - NAT 3539'!$A$14:$C$38,3,1)),0)
*13/3,
0),
IF($E$2="Monthly",
ROUND(
ROUND(((TRUNC($AN344*3/13,0)+0.99)*VLOOKUP((TRUNC($AN344*3/13,0)+0.99),'Tax scales - NAT 3539'!$A$14:$C$38,2,1)-VLOOKUP((TRUNC($AN344*3/13,0)+0.99),'Tax scales - NAT 3539'!$A$14:$C$38,3,1)),0)
*13/3,
0),
""))),
""),
"")</f>
        <v/>
      </c>
      <c r="AV344" s="118" t="str">
        <f>IFERROR(
IF(VLOOKUP($C344,'Employee information'!$B:$M,COLUMNS('Employee information'!$B:$M),0)=22,
IF($E$2="Fortnightly",
ROUND(
ROUND((((TRUNC($AN344/2,0)+0.99))*VLOOKUP((TRUNC($AN344/2,0)+0.99),'Tax scales - NAT 3539'!$A$43:$C$69,2,1)-VLOOKUP((TRUNC($AN344/2,0)+0.99),'Tax scales - NAT 3539'!$A$43:$C$69,3,1)),0)
*2,
0),
IF(AND($E$2="Monthly",ROUND($AN344-TRUNC($AN344),2)=0.33),
ROUND(
ROUND(((TRUNC(($AN344+0.01)*3/13,0)+0.99)*VLOOKUP((TRUNC(($AN344+0.01)*3/13,0)+0.99),'Tax scales - NAT 3539'!$A$43:$C$69,2,1)-VLOOKUP((TRUNC(($AN344+0.01)*3/13,0)+0.99),'Tax scales - NAT 3539'!$A$43:$C$69,3,1)),0)
*13/3,
0),
IF($E$2="Monthly",
ROUND(
ROUND(((TRUNC($AN344*3/13,0)+0.99)*VLOOKUP((TRUNC($AN344*3/13,0)+0.99),'Tax scales - NAT 3539'!$A$43:$C$69,2,1)-VLOOKUP((TRUNC($AN344*3/13,0)+0.99),'Tax scales - NAT 3539'!$A$43:$C$69,3,1)),0)
*13/3,
0),
""))),
""),
"")</f>
        <v/>
      </c>
      <c r="AW344" s="118" t="str">
        <f>IFERROR(
IF(VLOOKUP($C344,'Employee information'!$B:$M,COLUMNS('Employee information'!$B:$M),0)=33,
IF($E$2="Fortnightly",
ROUND(
ROUND((((TRUNC($AN344/2,0)+0.99))*VLOOKUP((TRUNC($AN344/2,0)+0.99),'Tax scales - NAT 3539'!$A$74:$C$94,2,1)-VLOOKUP((TRUNC($AN344/2,0)+0.99),'Tax scales - NAT 3539'!$A$74:$C$94,3,1)),0)
*2,
0),
IF(AND($E$2="Monthly",ROUND($AN344-TRUNC($AN344),2)=0.33),
ROUND(
ROUND(((TRUNC(($AN344+0.01)*3/13,0)+0.99)*VLOOKUP((TRUNC(($AN344+0.01)*3/13,0)+0.99),'Tax scales - NAT 3539'!$A$74:$C$94,2,1)-VLOOKUP((TRUNC(($AN344+0.01)*3/13,0)+0.99),'Tax scales - NAT 3539'!$A$74:$C$94,3,1)),0)
*13/3,
0),
IF($E$2="Monthly",
ROUND(
ROUND(((TRUNC($AN344*3/13,0)+0.99)*VLOOKUP((TRUNC($AN344*3/13,0)+0.99),'Tax scales - NAT 3539'!$A$74:$C$94,2,1)-VLOOKUP((TRUNC($AN344*3/13,0)+0.99),'Tax scales - NAT 3539'!$A$74:$C$94,3,1)),0)
*13/3,
0),
""))),
""),
"")</f>
        <v/>
      </c>
      <c r="AX344" s="118" t="str">
        <f>IFERROR(
IF(VLOOKUP($C344,'Employee information'!$B:$M,COLUMNS('Employee information'!$B:$M),0)=55,
IF($E$2="Fortnightly",
ROUND(
ROUND((((TRUNC($AN344/2,0)+0.99))*VLOOKUP((TRUNC($AN344/2,0)+0.99),'Tax scales - NAT 3539'!$A$99:$C$123,2,1)-VLOOKUP((TRUNC($AN344/2,0)+0.99),'Tax scales - NAT 3539'!$A$99:$C$123,3,1)),0)
*2,
0),
IF(AND($E$2="Monthly",ROUND($AN344-TRUNC($AN344),2)=0.33),
ROUND(
ROUND(((TRUNC(($AN344+0.01)*3/13,0)+0.99)*VLOOKUP((TRUNC(($AN344+0.01)*3/13,0)+0.99),'Tax scales - NAT 3539'!$A$99:$C$123,2,1)-VLOOKUP((TRUNC(($AN344+0.01)*3/13,0)+0.99),'Tax scales - NAT 3539'!$A$99:$C$123,3,1)),0)
*13/3,
0),
IF($E$2="Monthly",
ROUND(
ROUND(((TRUNC($AN344*3/13,0)+0.99)*VLOOKUP((TRUNC($AN344*3/13,0)+0.99),'Tax scales - NAT 3539'!$A$99:$C$123,2,1)-VLOOKUP((TRUNC($AN344*3/13,0)+0.99),'Tax scales - NAT 3539'!$A$99:$C$123,3,1)),0)
*13/3,
0),
""))),
""),
"")</f>
        <v/>
      </c>
      <c r="AY344" s="118" t="str">
        <f>IFERROR(
IF(VLOOKUP($C344,'Employee information'!$B:$M,COLUMNS('Employee information'!$B:$M),0)=66,
IF($E$2="Fortnightly",
ROUND(
ROUND((((TRUNC($AN344/2,0)+0.99))*VLOOKUP((TRUNC($AN344/2,0)+0.99),'Tax scales - NAT 3539'!$A$127:$C$154,2,1)-VLOOKUP((TRUNC($AN344/2,0)+0.99),'Tax scales - NAT 3539'!$A$127:$C$154,3,1)),0)
*2,
0),
IF(AND($E$2="Monthly",ROUND($AN344-TRUNC($AN344),2)=0.33),
ROUND(
ROUND(((TRUNC(($AN344+0.01)*3/13,0)+0.99)*VLOOKUP((TRUNC(($AN344+0.01)*3/13,0)+0.99),'Tax scales - NAT 3539'!$A$127:$C$154,2,1)-VLOOKUP((TRUNC(($AN344+0.01)*3/13,0)+0.99),'Tax scales - NAT 3539'!$A$127:$C$154,3,1)),0)
*13/3,
0),
IF($E$2="Monthly",
ROUND(
ROUND(((TRUNC($AN344*3/13,0)+0.99)*VLOOKUP((TRUNC($AN344*3/13,0)+0.99),'Tax scales - NAT 3539'!$A$127:$C$154,2,1)-VLOOKUP((TRUNC($AN344*3/13,0)+0.99),'Tax scales - NAT 3539'!$A$127:$C$154,3,1)),0)
*13/3,
0),
""))),
""),
"")</f>
        <v/>
      </c>
      <c r="AZ344" s="118">
        <f>IFERROR(
HLOOKUP(VLOOKUP($C344,'Employee information'!$B:$M,COLUMNS('Employee information'!$B:$M),0),'PAYG worksheet'!$AO$329:$AY$348,COUNTA($C$330:$C344)+1,0),
0)</f>
        <v>0</v>
      </c>
      <c r="BA344" s="118"/>
      <c r="BB344" s="118">
        <f t="shared" si="356"/>
        <v>0</v>
      </c>
      <c r="BC344" s="119">
        <f>IFERROR(
IF(OR($AE344=1,$AE344=""),SUM($P344,$AA344,$AC344,$AK344)*VLOOKUP($C344,'Employee information'!$B:$Q,COLUMNS('Employee information'!$B:$H),0),
IF($AE344=0,SUM($P344,$AA344,$AK344)*VLOOKUP($C344,'Employee information'!$B:$Q,COLUMNS('Employee information'!$B:$H),0),
0)),
0)</f>
        <v>0</v>
      </c>
      <c r="BE344" s="114">
        <f t="shared" si="341"/>
        <v>0</v>
      </c>
      <c r="BF344" s="114">
        <f t="shared" si="342"/>
        <v>0</v>
      </c>
      <c r="BG344" s="114">
        <f t="shared" si="343"/>
        <v>0</v>
      </c>
      <c r="BH344" s="114">
        <f t="shared" si="344"/>
        <v>0</v>
      </c>
      <c r="BI344" s="114">
        <f t="shared" si="345"/>
        <v>0</v>
      </c>
      <c r="BJ344" s="114">
        <f t="shared" si="346"/>
        <v>0</v>
      </c>
      <c r="BK344" s="114">
        <f t="shared" si="347"/>
        <v>0</v>
      </c>
      <c r="BL344" s="114">
        <f t="shared" si="357"/>
        <v>0</v>
      </c>
      <c r="BM344" s="114">
        <f t="shared" si="348"/>
        <v>0</v>
      </c>
    </row>
    <row r="345" spans="1:65" x14ac:dyDescent="0.25">
      <c r="A345" s="228">
        <f t="shared" si="336"/>
        <v>12</v>
      </c>
      <c r="C345" s="278"/>
      <c r="E345" s="103">
        <f>IF($C345="",0,
IF(AND($E$2="Monthly",$A345&gt;12),0,
IF($E$2="Monthly",VLOOKUP($C345,'Employee information'!$B:$AM,COLUMNS('Employee information'!$B:S),0),
IF($E$2="Fortnightly",VLOOKUP($C345,'Employee information'!$B:$AM,COLUMNS('Employee information'!$B:R),0),
0))))</f>
        <v>0</v>
      </c>
      <c r="F345" s="106"/>
      <c r="G345" s="106"/>
      <c r="H345" s="106"/>
      <c r="I345" s="106"/>
      <c r="J345" s="103">
        <f t="shared" si="349"/>
        <v>0</v>
      </c>
      <c r="L345" s="113">
        <f>IF(AND($E$2="Monthly",$A345&gt;12),"",
IFERROR($J345*VLOOKUP($C345,'Employee information'!$B:$AI,COLUMNS('Employee information'!$B:$P),0),0))</f>
        <v>0</v>
      </c>
      <c r="M345" s="114">
        <f t="shared" si="350"/>
        <v>0</v>
      </c>
      <c r="O345" s="103">
        <f t="shared" si="351"/>
        <v>0</v>
      </c>
      <c r="P345" s="113">
        <f>IFERROR(
IF(AND($E$2="Monthly",$A345&gt;12),0,
$O345*VLOOKUP($C345,'Employee information'!$B:$AI,COLUMNS('Employee information'!$B:$P),0)),
0)</f>
        <v>0</v>
      </c>
      <c r="R345" s="114">
        <f t="shared" si="337"/>
        <v>0</v>
      </c>
      <c r="T345" s="103"/>
      <c r="U345" s="103"/>
      <c r="V345" s="282" t="str">
        <f>IF($C345="","",
IF(AND($E$2="Monthly",$A345&gt;12),"",
$T345*VLOOKUP($C345,'Employee information'!$B:$P,COLUMNS('Employee information'!$B:$P),0)))</f>
        <v/>
      </c>
      <c r="W345" s="282" t="str">
        <f>IF($C345="","",
IF(AND($E$2="Monthly",$A345&gt;12),"",
$U345*VLOOKUP($C345,'Employee information'!$B:$P,COLUMNS('Employee information'!$B:$P),0)))</f>
        <v/>
      </c>
      <c r="X345" s="114">
        <f t="shared" si="338"/>
        <v>0</v>
      </c>
      <c r="Y345" s="114">
        <f t="shared" si="339"/>
        <v>0</v>
      </c>
      <c r="AA345" s="118">
        <f>IFERROR(
IF(OR('Basic payroll data'!$D$12="",'Basic payroll data'!$D$12="No"),0,
$T345*VLOOKUP($C345,'Employee information'!$B:$P,COLUMNS('Employee information'!$B:$P),0)*AL_loading_perc),
0)</f>
        <v>0</v>
      </c>
      <c r="AC345" s="118"/>
      <c r="AD345" s="118"/>
      <c r="AE345" s="283" t="str">
        <f t="shared" si="352"/>
        <v/>
      </c>
      <c r="AF345" s="283" t="str">
        <f t="shared" si="353"/>
        <v/>
      </c>
      <c r="AG345" s="118"/>
      <c r="AH345" s="118"/>
      <c r="AI345" s="283" t="str">
        <f t="shared" si="354"/>
        <v/>
      </c>
      <c r="AJ345" s="118"/>
      <c r="AK345" s="118"/>
      <c r="AM345" s="118">
        <f t="shared" si="355"/>
        <v>0</v>
      </c>
      <c r="AN345" s="118">
        <f t="shared" si="340"/>
        <v>0</v>
      </c>
      <c r="AO345" s="118" t="str">
        <f>IFERROR(
IF(VLOOKUP($C345,'Employee information'!$B:$M,COLUMNS('Employee information'!$B:$M),0)=1,
IF($E$2="Fortnightly",
ROUND(
ROUND((((TRUNC($AN345/2,0)+0.99))*VLOOKUP((TRUNC($AN345/2,0)+0.99),'Tax scales - NAT 1004'!$A$12:$C$18,2,1)-VLOOKUP((TRUNC($AN345/2,0)+0.99),'Tax scales - NAT 1004'!$A$12:$C$18,3,1)),0)
*2,
0),
IF(AND($E$2="Monthly",ROUND($AN345-TRUNC($AN345),2)=0.33),
ROUND(
ROUND(((TRUNC(($AN345+0.01)*3/13,0)+0.99)*VLOOKUP((TRUNC(($AN345+0.01)*3/13,0)+0.99),'Tax scales - NAT 1004'!$A$12:$C$18,2,1)-VLOOKUP((TRUNC(($AN345+0.01)*3/13,0)+0.99),'Tax scales - NAT 1004'!$A$12:$C$18,3,1)),0)
*13/3,
0),
IF($E$2="Monthly",
ROUND(
ROUND(((TRUNC($AN345*3/13,0)+0.99)*VLOOKUP((TRUNC($AN345*3/13,0)+0.99),'Tax scales - NAT 1004'!$A$12:$C$18,2,1)-VLOOKUP((TRUNC($AN345*3/13,0)+0.99),'Tax scales - NAT 1004'!$A$12:$C$18,3,1)),0)
*13/3,
0),
""))),
""),
"")</f>
        <v/>
      </c>
      <c r="AP345" s="118" t="str">
        <f>IFERROR(
IF(VLOOKUP($C345,'Employee information'!$B:$M,COLUMNS('Employee information'!$B:$M),0)=2,
IF($E$2="Fortnightly",
ROUND(
ROUND((((TRUNC($AN345/2,0)+0.99))*VLOOKUP((TRUNC($AN345/2,0)+0.99),'Tax scales - NAT 1004'!$A$25:$C$33,2,1)-VLOOKUP((TRUNC($AN345/2,0)+0.99),'Tax scales - NAT 1004'!$A$25:$C$33,3,1)),0)
*2,
0),
IF(AND($E$2="Monthly",ROUND($AN345-TRUNC($AN345),2)=0.33),
ROUND(
ROUND(((TRUNC(($AN345+0.01)*3/13,0)+0.99)*VLOOKUP((TRUNC(($AN345+0.01)*3/13,0)+0.99),'Tax scales - NAT 1004'!$A$25:$C$33,2,1)-VLOOKUP((TRUNC(($AN345+0.01)*3/13,0)+0.99),'Tax scales - NAT 1004'!$A$25:$C$33,3,1)),0)
*13/3,
0),
IF($E$2="Monthly",
ROUND(
ROUND(((TRUNC($AN345*3/13,0)+0.99)*VLOOKUP((TRUNC($AN345*3/13,0)+0.99),'Tax scales - NAT 1004'!$A$25:$C$33,2,1)-VLOOKUP((TRUNC($AN345*3/13,0)+0.99),'Tax scales - NAT 1004'!$A$25:$C$33,3,1)),0)
*13/3,
0),
""))),
""),
"")</f>
        <v/>
      </c>
      <c r="AQ345" s="118" t="str">
        <f>IFERROR(
IF(VLOOKUP($C345,'Employee information'!$B:$M,COLUMNS('Employee information'!$B:$M),0)=3,
IF($E$2="Fortnightly",
ROUND(
ROUND((((TRUNC($AN345/2,0)+0.99))*VLOOKUP((TRUNC($AN345/2,0)+0.99),'Tax scales - NAT 1004'!$A$39:$C$41,2,1)-VLOOKUP((TRUNC($AN345/2,0)+0.99),'Tax scales - NAT 1004'!$A$39:$C$41,3,1)),0)
*2,
0),
IF(AND($E$2="Monthly",ROUND($AN345-TRUNC($AN345),2)=0.33),
ROUND(
ROUND(((TRUNC(($AN345+0.01)*3/13,0)+0.99)*VLOOKUP((TRUNC(($AN345+0.01)*3/13,0)+0.99),'Tax scales - NAT 1004'!$A$39:$C$41,2,1)-VLOOKUP((TRUNC(($AN345+0.01)*3/13,0)+0.99),'Tax scales - NAT 1004'!$A$39:$C$41,3,1)),0)
*13/3,
0),
IF($E$2="Monthly",
ROUND(
ROUND(((TRUNC($AN345*3/13,0)+0.99)*VLOOKUP((TRUNC($AN345*3/13,0)+0.99),'Tax scales - NAT 1004'!$A$39:$C$41,2,1)-VLOOKUP((TRUNC($AN345*3/13,0)+0.99),'Tax scales - NAT 1004'!$A$39:$C$41,3,1)),0)
*13/3,
0),
""))),
""),
"")</f>
        <v/>
      </c>
      <c r="AR345" s="118" t="str">
        <f>IFERROR(
IF(AND(VLOOKUP($C345,'Employee information'!$B:$M,COLUMNS('Employee information'!$B:$M),0)=4,
VLOOKUP($C345,'Employee information'!$B:$J,COLUMNS('Employee information'!$B:$J),0)="Resident"),
TRUNC(TRUNC($AN345)*'Tax scales - NAT 1004'!$B$47),
IF(AND(VLOOKUP($C345,'Employee information'!$B:$M,COLUMNS('Employee information'!$B:$M),0)=4,
VLOOKUP($C345,'Employee information'!$B:$J,COLUMNS('Employee information'!$B:$J),0)="Foreign resident"),
TRUNC(TRUNC($AN345)*'Tax scales - NAT 1004'!$B$48),
"")),
"")</f>
        <v/>
      </c>
      <c r="AS345" s="118" t="str">
        <f>IFERROR(
IF(VLOOKUP($C345,'Employee information'!$B:$M,COLUMNS('Employee information'!$B:$M),0)=5,
IF($E$2="Fortnightly",
ROUND(
ROUND((((TRUNC($AN345/2,0)+0.99))*VLOOKUP((TRUNC($AN345/2,0)+0.99),'Tax scales - NAT 1004'!$A$53:$C$59,2,1)-VLOOKUP((TRUNC($AN345/2,0)+0.99),'Tax scales - NAT 1004'!$A$53:$C$59,3,1)),0)
*2,
0),
IF(AND($E$2="Monthly",ROUND($AN345-TRUNC($AN345),2)=0.33),
ROUND(
ROUND(((TRUNC(($AN345+0.01)*3/13,0)+0.99)*VLOOKUP((TRUNC(($AN345+0.01)*3/13,0)+0.99),'Tax scales - NAT 1004'!$A$53:$C$59,2,1)-VLOOKUP((TRUNC(($AN345+0.01)*3/13,0)+0.99),'Tax scales - NAT 1004'!$A$53:$C$59,3,1)),0)
*13/3,
0),
IF($E$2="Monthly",
ROUND(
ROUND(((TRUNC($AN345*3/13,0)+0.99)*VLOOKUP((TRUNC($AN345*3/13,0)+0.99),'Tax scales - NAT 1004'!$A$53:$C$59,2,1)-VLOOKUP((TRUNC($AN345*3/13,0)+0.99),'Tax scales - NAT 1004'!$A$53:$C$59,3,1)),0)
*13/3,
0),
""))),
""),
"")</f>
        <v/>
      </c>
      <c r="AT345" s="118" t="str">
        <f>IFERROR(
IF(VLOOKUP($C345,'Employee information'!$B:$M,COLUMNS('Employee information'!$B:$M),0)=6,
IF($E$2="Fortnightly",
ROUND(
ROUND((((TRUNC($AN345/2,0)+0.99))*VLOOKUP((TRUNC($AN345/2,0)+0.99),'Tax scales - NAT 1004'!$A$65:$C$73,2,1)-VLOOKUP((TRUNC($AN345/2,0)+0.99),'Tax scales - NAT 1004'!$A$65:$C$73,3,1)),0)
*2,
0),
IF(AND($E$2="Monthly",ROUND($AN345-TRUNC($AN345),2)=0.33),
ROUND(
ROUND(((TRUNC(($AN345+0.01)*3/13,0)+0.99)*VLOOKUP((TRUNC(($AN345+0.01)*3/13,0)+0.99),'Tax scales - NAT 1004'!$A$65:$C$73,2,1)-VLOOKUP((TRUNC(($AN345+0.01)*3/13,0)+0.99),'Tax scales - NAT 1004'!$A$65:$C$73,3,1)),0)
*13/3,
0),
IF($E$2="Monthly",
ROUND(
ROUND(((TRUNC($AN345*3/13,0)+0.99)*VLOOKUP((TRUNC($AN345*3/13,0)+0.99),'Tax scales - NAT 1004'!$A$65:$C$73,2,1)-VLOOKUP((TRUNC($AN345*3/13,0)+0.99),'Tax scales - NAT 1004'!$A$65:$C$73,3,1)),0)
*13/3,
0),
""))),
""),
"")</f>
        <v/>
      </c>
      <c r="AU345" s="118" t="str">
        <f>IFERROR(
IF(VLOOKUP($C345,'Employee information'!$B:$M,COLUMNS('Employee information'!$B:$M),0)=11,
IF($E$2="Fortnightly",
ROUND(
ROUND((((TRUNC($AN345/2,0)+0.99))*VLOOKUP((TRUNC($AN345/2,0)+0.99),'Tax scales - NAT 3539'!$A$14:$C$38,2,1)-VLOOKUP((TRUNC($AN345/2,0)+0.99),'Tax scales - NAT 3539'!$A$14:$C$38,3,1)),0)
*2,
0),
IF(AND($E$2="Monthly",ROUND($AN345-TRUNC($AN345),2)=0.33),
ROUND(
ROUND(((TRUNC(($AN345+0.01)*3/13,0)+0.99)*VLOOKUP((TRUNC(($AN345+0.01)*3/13,0)+0.99),'Tax scales - NAT 3539'!$A$14:$C$38,2,1)-VLOOKUP((TRUNC(($AN345+0.01)*3/13,0)+0.99),'Tax scales - NAT 3539'!$A$14:$C$38,3,1)),0)
*13/3,
0),
IF($E$2="Monthly",
ROUND(
ROUND(((TRUNC($AN345*3/13,0)+0.99)*VLOOKUP((TRUNC($AN345*3/13,0)+0.99),'Tax scales - NAT 3539'!$A$14:$C$38,2,1)-VLOOKUP((TRUNC($AN345*3/13,0)+0.99),'Tax scales - NAT 3539'!$A$14:$C$38,3,1)),0)
*13/3,
0),
""))),
""),
"")</f>
        <v/>
      </c>
      <c r="AV345" s="118" t="str">
        <f>IFERROR(
IF(VLOOKUP($C345,'Employee information'!$B:$M,COLUMNS('Employee information'!$B:$M),0)=22,
IF($E$2="Fortnightly",
ROUND(
ROUND((((TRUNC($AN345/2,0)+0.99))*VLOOKUP((TRUNC($AN345/2,0)+0.99),'Tax scales - NAT 3539'!$A$43:$C$69,2,1)-VLOOKUP((TRUNC($AN345/2,0)+0.99),'Tax scales - NAT 3539'!$A$43:$C$69,3,1)),0)
*2,
0),
IF(AND($E$2="Monthly",ROUND($AN345-TRUNC($AN345),2)=0.33),
ROUND(
ROUND(((TRUNC(($AN345+0.01)*3/13,0)+0.99)*VLOOKUP((TRUNC(($AN345+0.01)*3/13,0)+0.99),'Tax scales - NAT 3539'!$A$43:$C$69,2,1)-VLOOKUP((TRUNC(($AN345+0.01)*3/13,0)+0.99),'Tax scales - NAT 3539'!$A$43:$C$69,3,1)),0)
*13/3,
0),
IF($E$2="Monthly",
ROUND(
ROUND(((TRUNC($AN345*3/13,0)+0.99)*VLOOKUP((TRUNC($AN345*3/13,0)+0.99),'Tax scales - NAT 3539'!$A$43:$C$69,2,1)-VLOOKUP((TRUNC($AN345*3/13,0)+0.99),'Tax scales - NAT 3539'!$A$43:$C$69,3,1)),0)
*13/3,
0),
""))),
""),
"")</f>
        <v/>
      </c>
      <c r="AW345" s="118" t="str">
        <f>IFERROR(
IF(VLOOKUP($C345,'Employee information'!$B:$M,COLUMNS('Employee information'!$B:$M),0)=33,
IF($E$2="Fortnightly",
ROUND(
ROUND((((TRUNC($AN345/2,0)+0.99))*VLOOKUP((TRUNC($AN345/2,0)+0.99),'Tax scales - NAT 3539'!$A$74:$C$94,2,1)-VLOOKUP((TRUNC($AN345/2,0)+0.99),'Tax scales - NAT 3539'!$A$74:$C$94,3,1)),0)
*2,
0),
IF(AND($E$2="Monthly",ROUND($AN345-TRUNC($AN345),2)=0.33),
ROUND(
ROUND(((TRUNC(($AN345+0.01)*3/13,0)+0.99)*VLOOKUP((TRUNC(($AN345+0.01)*3/13,0)+0.99),'Tax scales - NAT 3539'!$A$74:$C$94,2,1)-VLOOKUP((TRUNC(($AN345+0.01)*3/13,0)+0.99),'Tax scales - NAT 3539'!$A$74:$C$94,3,1)),0)
*13/3,
0),
IF($E$2="Monthly",
ROUND(
ROUND(((TRUNC($AN345*3/13,0)+0.99)*VLOOKUP((TRUNC($AN345*3/13,0)+0.99),'Tax scales - NAT 3539'!$A$74:$C$94,2,1)-VLOOKUP((TRUNC($AN345*3/13,0)+0.99),'Tax scales - NAT 3539'!$A$74:$C$94,3,1)),0)
*13/3,
0),
""))),
""),
"")</f>
        <v/>
      </c>
      <c r="AX345" s="118" t="str">
        <f>IFERROR(
IF(VLOOKUP($C345,'Employee information'!$B:$M,COLUMNS('Employee information'!$B:$M),0)=55,
IF($E$2="Fortnightly",
ROUND(
ROUND((((TRUNC($AN345/2,0)+0.99))*VLOOKUP((TRUNC($AN345/2,0)+0.99),'Tax scales - NAT 3539'!$A$99:$C$123,2,1)-VLOOKUP((TRUNC($AN345/2,0)+0.99),'Tax scales - NAT 3539'!$A$99:$C$123,3,1)),0)
*2,
0),
IF(AND($E$2="Monthly",ROUND($AN345-TRUNC($AN345),2)=0.33),
ROUND(
ROUND(((TRUNC(($AN345+0.01)*3/13,0)+0.99)*VLOOKUP((TRUNC(($AN345+0.01)*3/13,0)+0.99),'Tax scales - NAT 3539'!$A$99:$C$123,2,1)-VLOOKUP((TRUNC(($AN345+0.01)*3/13,0)+0.99),'Tax scales - NAT 3539'!$A$99:$C$123,3,1)),0)
*13/3,
0),
IF($E$2="Monthly",
ROUND(
ROUND(((TRUNC($AN345*3/13,0)+0.99)*VLOOKUP((TRUNC($AN345*3/13,0)+0.99),'Tax scales - NAT 3539'!$A$99:$C$123,2,1)-VLOOKUP((TRUNC($AN345*3/13,0)+0.99),'Tax scales - NAT 3539'!$A$99:$C$123,3,1)),0)
*13/3,
0),
""))),
""),
"")</f>
        <v/>
      </c>
      <c r="AY345" s="118" t="str">
        <f>IFERROR(
IF(VLOOKUP($C345,'Employee information'!$B:$M,COLUMNS('Employee information'!$B:$M),0)=66,
IF($E$2="Fortnightly",
ROUND(
ROUND((((TRUNC($AN345/2,0)+0.99))*VLOOKUP((TRUNC($AN345/2,0)+0.99),'Tax scales - NAT 3539'!$A$127:$C$154,2,1)-VLOOKUP((TRUNC($AN345/2,0)+0.99),'Tax scales - NAT 3539'!$A$127:$C$154,3,1)),0)
*2,
0),
IF(AND($E$2="Monthly",ROUND($AN345-TRUNC($AN345),2)=0.33),
ROUND(
ROUND(((TRUNC(($AN345+0.01)*3/13,0)+0.99)*VLOOKUP((TRUNC(($AN345+0.01)*3/13,0)+0.99),'Tax scales - NAT 3539'!$A$127:$C$154,2,1)-VLOOKUP((TRUNC(($AN345+0.01)*3/13,0)+0.99),'Tax scales - NAT 3539'!$A$127:$C$154,3,1)),0)
*13/3,
0),
IF($E$2="Monthly",
ROUND(
ROUND(((TRUNC($AN345*3/13,0)+0.99)*VLOOKUP((TRUNC($AN345*3/13,0)+0.99),'Tax scales - NAT 3539'!$A$127:$C$154,2,1)-VLOOKUP((TRUNC($AN345*3/13,0)+0.99),'Tax scales - NAT 3539'!$A$127:$C$154,3,1)),0)
*13/3,
0),
""))),
""),
"")</f>
        <v/>
      </c>
      <c r="AZ345" s="118">
        <f>IFERROR(
HLOOKUP(VLOOKUP($C345,'Employee information'!$B:$M,COLUMNS('Employee information'!$B:$M),0),'PAYG worksheet'!$AO$329:$AY$348,COUNTA($C$330:$C345)+1,0),
0)</f>
        <v>0</v>
      </c>
      <c r="BA345" s="118"/>
      <c r="BB345" s="118">
        <f t="shared" si="356"/>
        <v>0</v>
      </c>
      <c r="BC345" s="119">
        <f>IFERROR(
IF(OR($AE345=1,$AE345=""),SUM($P345,$AA345,$AC345,$AK345)*VLOOKUP($C345,'Employee information'!$B:$Q,COLUMNS('Employee information'!$B:$H),0),
IF($AE345=0,SUM($P345,$AA345,$AK345)*VLOOKUP($C345,'Employee information'!$B:$Q,COLUMNS('Employee information'!$B:$H),0),
0)),
0)</f>
        <v>0</v>
      </c>
      <c r="BE345" s="114">
        <f t="shared" si="341"/>
        <v>0</v>
      </c>
      <c r="BF345" s="114">
        <f t="shared" si="342"/>
        <v>0</v>
      </c>
      <c r="BG345" s="114">
        <f t="shared" si="343"/>
        <v>0</v>
      </c>
      <c r="BH345" s="114">
        <f t="shared" si="344"/>
        <v>0</v>
      </c>
      <c r="BI345" s="114">
        <f t="shared" si="345"/>
        <v>0</v>
      </c>
      <c r="BJ345" s="114">
        <f t="shared" si="346"/>
        <v>0</v>
      </c>
      <c r="BK345" s="114">
        <f t="shared" si="347"/>
        <v>0</v>
      </c>
      <c r="BL345" s="114">
        <f t="shared" si="357"/>
        <v>0</v>
      </c>
      <c r="BM345" s="114">
        <f t="shared" si="348"/>
        <v>0</v>
      </c>
    </row>
    <row r="346" spans="1:65" x14ac:dyDescent="0.25">
      <c r="A346" s="228">
        <f t="shared" si="336"/>
        <v>12</v>
      </c>
      <c r="C346" s="278"/>
      <c r="E346" s="103">
        <f>IF($C346="",0,
IF(AND($E$2="Monthly",$A346&gt;12),0,
IF($E$2="Monthly",VLOOKUP($C346,'Employee information'!$B:$AM,COLUMNS('Employee information'!$B:S),0),
IF($E$2="Fortnightly",VLOOKUP($C346,'Employee information'!$B:$AM,COLUMNS('Employee information'!$B:R),0),
0))))</f>
        <v>0</v>
      </c>
      <c r="F346" s="106"/>
      <c r="G346" s="106"/>
      <c r="H346" s="106"/>
      <c r="I346" s="106"/>
      <c r="J346" s="103">
        <f t="shared" si="349"/>
        <v>0</v>
      </c>
      <c r="L346" s="113">
        <f>IF(AND($E$2="Monthly",$A346&gt;12),"",
IFERROR($J346*VLOOKUP($C346,'Employee information'!$B:$AI,COLUMNS('Employee information'!$B:$P),0),0))</f>
        <v>0</v>
      </c>
      <c r="M346" s="114">
        <f t="shared" si="350"/>
        <v>0</v>
      </c>
      <c r="O346" s="103">
        <f t="shared" si="351"/>
        <v>0</v>
      </c>
      <c r="P346" s="113">
        <f>IFERROR(
IF(AND($E$2="Monthly",$A346&gt;12),0,
$O346*VLOOKUP($C346,'Employee information'!$B:$AI,COLUMNS('Employee information'!$B:$P),0)),
0)</f>
        <v>0</v>
      </c>
      <c r="R346" s="114">
        <f t="shared" si="337"/>
        <v>0</v>
      </c>
      <c r="T346" s="103"/>
      <c r="U346" s="103"/>
      <c r="V346" s="282" t="str">
        <f>IF($C346="","",
IF(AND($E$2="Monthly",$A346&gt;12),"",
$T346*VLOOKUP($C346,'Employee information'!$B:$P,COLUMNS('Employee information'!$B:$P),0)))</f>
        <v/>
      </c>
      <c r="W346" s="282" t="str">
        <f>IF($C346="","",
IF(AND($E$2="Monthly",$A346&gt;12),"",
$U346*VLOOKUP($C346,'Employee information'!$B:$P,COLUMNS('Employee information'!$B:$P),0)))</f>
        <v/>
      </c>
      <c r="X346" s="114">
        <f t="shared" si="338"/>
        <v>0</v>
      </c>
      <c r="Y346" s="114">
        <f t="shared" si="339"/>
        <v>0</v>
      </c>
      <c r="AA346" s="118">
        <f>IFERROR(
IF(OR('Basic payroll data'!$D$12="",'Basic payroll data'!$D$12="No"),0,
$T346*VLOOKUP($C346,'Employee information'!$B:$P,COLUMNS('Employee information'!$B:$P),0)*AL_loading_perc),
0)</f>
        <v>0</v>
      </c>
      <c r="AC346" s="118"/>
      <c r="AD346" s="118"/>
      <c r="AE346" s="283" t="str">
        <f t="shared" si="352"/>
        <v/>
      </c>
      <c r="AF346" s="283" t="str">
        <f t="shared" si="353"/>
        <v/>
      </c>
      <c r="AG346" s="118"/>
      <c r="AH346" s="118"/>
      <c r="AI346" s="283" t="str">
        <f t="shared" si="354"/>
        <v/>
      </c>
      <c r="AJ346" s="118"/>
      <c r="AK346" s="118"/>
      <c r="AM346" s="118">
        <f t="shared" si="355"/>
        <v>0</v>
      </c>
      <c r="AN346" s="118">
        <f t="shared" si="340"/>
        <v>0</v>
      </c>
      <c r="AO346" s="118" t="str">
        <f>IFERROR(
IF(VLOOKUP($C346,'Employee information'!$B:$M,COLUMNS('Employee information'!$B:$M),0)=1,
IF($E$2="Fortnightly",
ROUND(
ROUND((((TRUNC($AN346/2,0)+0.99))*VLOOKUP((TRUNC($AN346/2,0)+0.99),'Tax scales - NAT 1004'!$A$12:$C$18,2,1)-VLOOKUP((TRUNC($AN346/2,0)+0.99),'Tax scales - NAT 1004'!$A$12:$C$18,3,1)),0)
*2,
0),
IF(AND($E$2="Monthly",ROUND($AN346-TRUNC($AN346),2)=0.33),
ROUND(
ROUND(((TRUNC(($AN346+0.01)*3/13,0)+0.99)*VLOOKUP((TRUNC(($AN346+0.01)*3/13,0)+0.99),'Tax scales - NAT 1004'!$A$12:$C$18,2,1)-VLOOKUP((TRUNC(($AN346+0.01)*3/13,0)+0.99),'Tax scales - NAT 1004'!$A$12:$C$18,3,1)),0)
*13/3,
0),
IF($E$2="Monthly",
ROUND(
ROUND(((TRUNC($AN346*3/13,0)+0.99)*VLOOKUP((TRUNC($AN346*3/13,0)+0.99),'Tax scales - NAT 1004'!$A$12:$C$18,2,1)-VLOOKUP((TRUNC($AN346*3/13,0)+0.99),'Tax scales - NAT 1004'!$A$12:$C$18,3,1)),0)
*13/3,
0),
""))),
""),
"")</f>
        <v/>
      </c>
      <c r="AP346" s="118" t="str">
        <f>IFERROR(
IF(VLOOKUP($C346,'Employee information'!$B:$M,COLUMNS('Employee information'!$B:$M),0)=2,
IF($E$2="Fortnightly",
ROUND(
ROUND((((TRUNC($AN346/2,0)+0.99))*VLOOKUP((TRUNC($AN346/2,0)+0.99),'Tax scales - NAT 1004'!$A$25:$C$33,2,1)-VLOOKUP((TRUNC($AN346/2,0)+0.99),'Tax scales - NAT 1004'!$A$25:$C$33,3,1)),0)
*2,
0),
IF(AND($E$2="Monthly",ROUND($AN346-TRUNC($AN346),2)=0.33),
ROUND(
ROUND(((TRUNC(($AN346+0.01)*3/13,0)+0.99)*VLOOKUP((TRUNC(($AN346+0.01)*3/13,0)+0.99),'Tax scales - NAT 1004'!$A$25:$C$33,2,1)-VLOOKUP((TRUNC(($AN346+0.01)*3/13,0)+0.99),'Tax scales - NAT 1004'!$A$25:$C$33,3,1)),0)
*13/3,
0),
IF($E$2="Monthly",
ROUND(
ROUND(((TRUNC($AN346*3/13,0)+0.99)*VLOOKUP((TRUNC($AN346*3/13,0)+0.99),'Tax scales - NAT 1004'!$A$25:$C$33,2,1)-VLOOKUP((TRUNC($AN346*3/13,0)+0.99),'Tax scales - NAT 1004'!$A$25:$C$33,3,1)),0)
*13/3,
0),
""))),
""),
"")</f>
        <v/>
      </c>
      <c r="AQ346" s="118" t="str">
        <f>IFERROR(
IF(VLOOKUP($C346,'Employee information'!$B:$M,COLUMNS('Employee information'!$B:$M),0)=3,
IF($E$2="Fortnightly",
ROUND(
ROUND((((TRUNC($AN346/2,0)+0.99))*VLOOKUP((TRUNC($AN346/2,0)+0.99),'Tax scales - NAT 1004'!$A$39:$C$41,2,1)-VLOOKUP((TRUNC($AN346/2,0)+0.99),'Tax scales - NAT 1004'!$A$39:$C$41,3,1)),0)
*2,
0),
IF(AND($E$2="Monthly",ROUND($AN346-TRUNC($AN346),2)=0.33),
ROUND(
ROUND(((TRUNC(($AN346+0.01)*3/13,0)+0.99)*VLOOKUP((TRUNC(($AN346+0.01)*3/13,0)+0.99),'Tax scales - NAT 1004'!$A$39:$C$41,2,1)-VLOOKUP((TRUNC(($AN346+0.01)*3/13,0)+0.99),'Tax scales - NAT 1004'!$A$39:$C$41,3,1)),0)
*13/3,
0),
IF($E$2="Monthly",
ROUND(
ROUND(((TRUNC($AN346*3/13,0)+0.99)*VLOOKUP((TRUNC($AN346*3/13,0)+0.99),'Tax scales - NAT 1004'!$A$39:$C$41,2,1)-VLOOKUP((TRUNC($AN346*3/13,0)+0.99),'Tax scales - NAT 1004'!$A$39:$C$41,3,1)),0)
*13/3,
0),
""))),
""),
"")</f>
        <v/>
      </c>
      <c r="AR346" s="118" t="str">
        <f>IFERROR(
IF(AND(VLOOKUP($C346,'Employee information'!$B:$M,COLUMNS('Employee information'!$B:$M),0)=4,
VLOOKUP($C346,'Employee information'!$B:$J,COLUMNS('Employee information'!$B:$J),0)="Resident"),
TRUNC(TRUNC($AN346)*'Tax scales - NAT 1004'!$B$47),
IF(AND(VLOOKUP($C346,'Employee information'!$B:$M,COLUMNS('Employee information'!$B:$M),0)=4,
VLOOKUP($C346,'Employee information'!$B:$J,COLUMNS('Employee information'!$B:$J),0)="Foreign resident"),
TRUNC(TRUNC($AN346)*'Tax scales - NAT 1004'!$B$48),
"")),
"")</f>
        <v/>
      </c>
      <c r="AS346" s="118" t="str">
        <f>IFERROR(
IF(VLOOKUP($C346,'Employee information'!$B:$M,COLUMNS('Employee information'!$B:$M),0)=5,
IF($E$2="Fortnightly",
ROUND(
ROUND((((TRUNC($AN346/2,0)+0.99))*VLOOKUP((TRUNC($AN346/2,0)+0.99),'Tax scales - NAT 1004'!$A$53:$C$59,2,1)-VLOOKUP((TRUNC($AN346/2,0)+0.99),'Tax scales - NAT 1004'!$A$53:$C$59,3,1)),0)
*2,
0),
IF(AND($E$2="Monthly",ROUND($AN346-TRUNC($AN346),2)=0.33),
ROUND(
ROUND(((TRUNC(($AN346+0.01)*3/13,0)+0.99)*VLOOKUP((TRUNC(($AN346+0.01)*3/13,0)+0.99),'Tax scales - NAT 1004'!$A$53:$C$59,2,1)-VLOOKUP((TRUNC(($AN346+0.01)*3/13,0)+0.99),'Tax scales - NAT 1004'!$A$53:$C$59,3,1)),0)
*13/3,
0),
IF($E$2="Monthly",
ROUND(
ROUND(((TRUNC($AN346*3/13,0)+0.99)*VLOOKUP((TRUNC($AN346*3/13,0)+0.99),'Tax scales - NAT 1004'!$A$53:$C$59,2,1)-VLOOKUP((TRUNC($AN346*3/13,0)+0.99),'Tax scales - NAT 1004'!$A$53:$C$59,3,1)),0)
*13/3,
0),
""))),
""),
"")</f>
        <v/>
      </c>
      <c r="AT346" s="118" t="str">
        <f>IFERROR(
IF(VLOOKUP($C346,'Employee information'!$B:$M,COLUMNS('Employee information'!$B:$M),0)=6,
IF($E$2="Fortnightly",
ROUND(
ROUND((((TRUNC($AN346/2,0)+0.99))*VLOOKUP((TRUNC($AN346/2,0)+0.99),'Tax scales - NAT 1004'!$A$65:$C$73,2,1)-VLOOKUP((TRUNC($AN346/2,0)+0.99),'Tax scales - NAT 1004'!$A$65:$C$73,3,1)),0)
*2,
0),
IF(AND($E$2="Monthly",ROUND($AN346-TRUNC($AN346),2)=0.33),
ROUND(
ROUND(((TRUNC(($AN346+0.01)*3/13,0)+0.99)*VLOOKUP((TRUNC(($AN346+0.01)*3/13,0)+0.99),'Tax scales - NAT 1004'!$A$65:$C$73,2,1)-VLOOKUP((TRUNC(($AN346+0.01)*3/13,0)+0.99),'Tax scales - NAT 1004'!$A$65:$C$73,3,1)),0)
*13/3,
0),
IF($E$2="Monthly",
ROUND(
ROUND(((TRUNC($AN346*3/13,0)+0.99)*VLOOKUP((TRUNC($AN346*3/13,0)+0.99),'Tax scales - NAT 1004'!$A$65:$C$73,2,1)-VLOOKUP((TRUNC($AN346*3/13,0)+0.99),'Tax scales - NAT 1004'!$A$65:$C$73,3,1)),0)
*13/3,
0),
""))),
""),
"")</f>
        <v/>
      </c>
      <c r="AU346" s="118" t="str">
        <f>IFERROR(
IF(VLOOKUP($C346,'Employee information'!$B:$M,COLUMNS('Employee information'!$B:$M),0)=11,
IF($E$2="Fortnightly",
ROUND(
ROUND((((TRUNC($AN346/2,0)+0.99))*VLOOKUP((TRUNC($AN346/2,0)+0.99),'Tax scales - NAT 3539'!$A$14:$C$38,2,1)-VLOOKUP((TRUNC($AN346/2,0)+0.99),'Tax scales - NAT 3539'!$A$14:$C$38,3,1)),0)
*2,
0),
IF(AND($E$2="Monthly",ROUND($AN346-TRUNC($AN346),2)=0.33),
ROUND(
ROUND(((TRUNC(($AN346+0.01)*3/13,0)+0.99)*VLOOKUP((TRUNC(($AN346+0.01)*3/13,0)+0.99),'Tax scales - NAT 3539'!$A$14:$C$38,2,1)-VLOOKUP((TRUNC(($AN346+0.01)*3/13,0)+0.99),'Tax scales - NAT 3539'!$A$14:$C$38,3,1)),0)
*13/3,
0),
IF($E$2="Monthly",
ROUND(
ROUND(((TRUNC($AN346*3/13,0)+0.99)*VLOOKUP((TRUNC($AN346*3/13,0)+0.99),'Tax scales - NAT 3539'!$A$14:$C$38,2,1)-VLOOKUP((TRUNC($AN346*3/13,0)+0.99),'Tax scales - NAT 3539'!$A$14:$C$38,3,1)),0)
*13/3,
0),
""))),
""),
"")</f>
        <v/>
      </c>
      <c r="AV346" s="118" t="str">
        <f>IFERROR(
IF(VLOOKUP($C346,'Employee information'!$B:$M,COLUMNS('Employee information'!$B:$M),0)=22,
IF($E$2="Fortnightly",
ROUND(
ROUND((((TRUNC($AN346/2,0)+0.99))*VLOOKUP((TRUNC($AN346/2,0)+0.99),'Tax scales - NAT 3539'!$A$43:$C$69,2,1)-VLOOKUP((TRUNC($AN346/2,0)+0.99),'Tax scales - NAT 3539'!$A$43:$C$69,3,1)),0)
*2,
0),
IF(AND($E$2="Monthly",ROUND($AN346-TRUNC($AN346),2)=0.33),
ROUND(
ROUND(((TRUNC(($AN346+0.01)*3/13,0)+0.99)*VLOOKUP((TRUNC(($AN346+0.01)*3/13,0)+0.99),'Tax scales - NAT 3539'!$A$43:$C$69,2,1)-VLOOKUP((TRUNC(($AN346+0.01)*3/13,0)+0.99),'Tax scales - NAT 3539'!$A$43:$C$69,3,1)),0)
*13/3,
0),
IF($E$2="Monthly",
ROUND(
ROUND(((TRUNC($AN346*3/13,0)+0.99)*VLOOKUP((TRUNC($AN346*3/13,0)+0.99),'Tax scales - NAT 3539'!$A$43:$C$69,2,1)-VLOOKUP((TRUNC($AN346*3/13,0)+0.99),'Tax scales - NAT 3539'!$A$43:$C$69,3,1)),0)
*13/3,
0),
""))),
""),
"")</f>
        <v/>
      </c>
      <c r="AW346" s="118" t="str">
        <f>IFERROR(
IF(VLOOKUP($C346,'Employee information'!$B:$M,COLUMNS('Employee information'!$B:$M),0)=33,
IF($E$2="Fortnightly",
ROUND(
ROUND((((TRUNC($AN346/2,0)+0.99))*VLOOKUP((TRUNC($AN346/2,0)+0.99),'Tax scales - NAT 3539'!$A$74:$C$94,2,1)-VLOOKUP((TRUNC($AN346/2,0)+0.99),'Tax scales - NAT 3539'!$A$74:$C$94,3,1)),0)
*2,
0),
IF(AND($E$2="Monthly",ROUND($AN346-TRUNC($AN346),2)=0.33),
ROUND(
ROUND(((TRUNC(($AN346+0.01)*3/13,0)+0.99)*VLOOKUP((TRUNC(($AN346+0.01)*3/13,0)+0.99),'Tax scales - NAT 3539'!$A$74:$C$94,2,1)-VLOOKUP((TRUNC(($AN346+0.01)*3/13,0)+0.99),'Tax scales - NAT 3539'!$A$74:$C$94,3,1)),0)
*13/3,
0),
IF($E$2="Monthly",
ROUND(
ROUND(((TRUNC($AN346*3/13,0)+0.99)*VLOOKUP((TRUNC($AN346*3/13,0)+0.99),'Tax scales - NAT 3539'!$A$74:$C$94,2,1)-VLOOKUP((TRUNC($AN346*3/13,0)+0.99),'Tax scales - NAT 3539'!$A$74:$C$94,3,1)),0)
*13/3,
0),
""))),
""),
"")</f>
        <v/>
      </c>
      <c r="AX346" s="118" t="str">
        <f>IFERROR(
IF(VLOOKUP($C346,'Employee information'!$B:$M,COLUMNS('Employee information'!$B:$M),0)=55,
IF($E$2="Fortnightly",
ROUND(
ROUND((((TRUNC($AN346/2,0)+0.99))*VLOOKUP((TRUNC($AN346/2,0)+0.99),'Tax scales - NAT 3539'!$A$99:$C$123,2,1)-VLOOKUP((TRUNC($AN346/2,0)+0.99),'Tax scales - NAT 3539'!$A$99:$C$123,3,1)),0)
*2,
0),
IF(AND($E$2="Monthly",ROUND($AN346-TRUNC($AN346),2)=0.33),
ROUND(
ROUND(((TRUNC(($AN346+0.01)*3/13,0)+0.99)*VLOOKUP((TRUNC(($AN346+0.01)*3/13,0)+0.99),'Tax scales - NAT 3539'!$A$99:$C$123,2,1)-VLOOKUP((TRUNC(($AN346+0.01)*3/13,0)+0.99),'Tax scales - NAT 3539'!$A$99:$C$123,3,1)),0)
*13/3,
0),
IF($E$2="Monthly",
ROUND(
ROUND(((TRUNC($AN346*3/13,0)+0.99)*VLOOKUP((TRUNC($AN346*3/13,0)+0.99),'Tax scales - NAT 3539'!$A$99:$C$123,2,1)-VLOOKUP((TRUNC($AN346*3/13,0)+0.99),'Tax scales - NAT 3539'!$A$99:$C$123,3,1)),0)
*13/3,
0),
""))),
""),
"")</f>
        <v/>
      </c>
      <c r="AY346" s="118" t="str">
        <f>IFERROR(
IF(VLOOKUP($C346,'Employee information'!$B:$M,COLUMNS('Employee information'!$B:$M),0)=66,
IF($E$2="Fortnightly",
ROUND(
ROUND((((TRUNC($AN346/2,0)+0.99))*VLOOKUP((TRUNC($AN346/2,0)+0.99),'Tax scales - NAT 3539'!$A$127:$C$154,2,1)-VLOOKUP((TRUNC($AN346/2,0)+0.99),'Tax scales - NAT 3539'!$A$127:$C$154,3,1)),0)
*2,
0),
IF(AND($E$2="Monthly",ROUND($AN346-TRUNC($AN346),2)=0.33),
ROUND(
ROUND(((TRUNC(($AN346+0.01)*3/13,0)+0.99)*VLOOKUP((TRUNC(($AN346+0.01)*3/13,0)+0.99),'Tax scales - NAT 3539'!$A$127:$C$154,2,1)-VLOOKUP((TRUNC(($AN346+0.01)*3/13,0)+0.99),'Tax scales - NAT 3539'!$A$127:$C$154,3,1)),0)
*13/3,
0),
IF($E$2="Monthly",
ROUND(
ROUND(((TRUNC($AN346*3/13,0)+0.99)*VLOOKUP((TRUNC($AN346*3/13,0)+0.99),'Tax scales - NAT 3539'!$A$127:$C$154,2,1)-VLOOKUP((TRUNC($AN346*3/13,0)+0.99),'Tax scales - NAT 3539'!$A$127:$C$154,3,1)),0)
*13/3,
0),
""))),
""),
"")</f>
        <v/>
      </c>
      <c r="AZ346" s="118">
        <f>IFERROR(
HLOOKUP(VLOOKUP($C346,'Employee information'!$B:$M,COLUMNS('Employee information'!$B:$M),0),'PAYG worksheet'!$AO$329:$AY$348,COUNTA($C$330:$C346)+1,0),
0)</f>
        <v>0</v>
      </c>
      <c r="BA346" s="118"/>
      <c r="BB346" s="118">
        <f t="shared" si="356"/>
        <v>0</v>
      </c>
      <c r="BC346" s="119">
        <f>IFERROR(
IF(OR($AE346=1,$AE346=""),SUM($P346,$AA346,$AC346,$AK346)*VLOOKUP($C346,'Employee information'!$B:$Q,COLUMNS('Employee information'!$B:$H),0),
IF($AE346=0,SUM($P346,$AA346,$AK346)*VLOOKUP($C346,'Employee information'!$B:$Q,COLUMNS('Employee information'!$B:$H),0),
0)),
0)</f>
        <v>0</v>
      </c>
      <c r="BE346" s="114">
        <f t="shared" si="341"/>
        <v>0</v>
      </c>
      <c r="BF346" s="114">
        <f t="shared" si="342"/>
        <v>0</v>
      </c>
      <c r="BG346" s="114">
        <f t="shared" si="343"/>
        <v>0</v>
      </c>
      <c r="BH346" s="114">
        <f t="shared" si="344"/>
        <v>0</v>
      </c>
      <c r="BI346" s="114">
        <f t="shared" si="345"/>
        <v>0</v>
      </c>
      <c r="BJ346" s="114">
        <f t="shared" si="346"/>
        <v>0</v>
      </c>
      <c r="BK346" s="114">
        <f t="shared" si="347"/>
        <v>0</v>
      </c>
      <c r="BL346" s="114">
        <f t="shared" si="357"/>
        <v>0</v>
      </c>
      <c r="BM346" s="114">
        <f t="shared" si="348"/>
        <v>0</v>
      </c>
    </row>
    <row r="347" spans="1:65" x14ac:dyDescent="0.25">
      <c r="A347" s="228">
        <f t="shared" si="336"/>
        <v>12</v>
      </c>
      <c r="C347" s="278"/>
      <c r="E347" s="103">
        <f>IF($C347="",0,
IF(AND($E$2="Monthly",$A347&gt;12),0,
IF($E$2="Monthly",VLOOKUP($C347,'Employee information'!$B:$AM,COLUMNS('Employee information'!$B:S),0),
IF($E$2="Fortnightly",VLOOKUP($C347,'Employee information'!$B:$AM,COLUMNS('Employee information'!$B:R),0),
0))))</f>
        <v>0</v>
      </c>
      <c r="F347" s="106"/>
      <c r="G347" s="106"/>
      <c r="H347" s="106"/>
      <c r="I347" s="106"/>
      <c r="J347" s="103">
        <f t="shared" si="349"/>
        <v>0</v>
      </c>
      <c r="L347" s="113">
        <f>IF(AND($E$2="Monthly",$A347&gt;12),"",
IFERROR($J347*VLOOKUP($C347,'Employee information'!$B:$AI,COLUMNS('Employee information'!$B:$P),0),0))</f>
        <v>0</v>
      </c>
      <c r="M347" s="114">
        <f t="shared" si="350"/>
        <v>0</v>
      </c>
      <c r="O347" s="103">
        <f t="shared" si="351"/>
        <v>0</v>
      </c>
      <c r="P347" s="113">
        <f>IFERROR(
IF(AND($E$2="Monthly",$A347&gt;12),0,
$O347*VLOOKUP($C347,'Employee information'!$B:$AI,COLUMNS('Employee information'!$B:$P),0)),
0)</f>
        <v>0</v>
      </c>
      <c r="R347" s="114">
        <f t="shared" si="337"/>
        <v>0</v>
      </c>
      <c r="T347" s="103"/>
      <c r="U347" s="103"/>
      <c r="V347" s="282" t="str">
        <f>IF($C347="","",
IF(AND($E$2="Monthly",$A347&gt;12),"",
$T347*VLOOKUP($C347,'Employee information'!$B:$P,COLUMNS('Employee information'!$B:$P),0)))</f>
        <v/>
      </c>
      <c r="W347" s="282" t="str">
        <f>IF($C347="","",
IF(AND($E$2="Monthly",$A347&gt;12),"",
$U347*VLOOKUP($C347,'Employee information'!$B:$P,COLUMNS('Employee information'!$B:$P),0)))</f>
        <v/>
      </c>
      <c r="X347" s="114">
        <f t="shared" si="338"/>
        <v>0</v>
      </c>
      <c r="Y347" s="114">
        <f t="shared" si="339"/>
        <v>0</v>
      </c>
      <c r="AA347" s="118">
        <f>IFERROR(
IF(OR('Basic payroll data'!$D$12="",'Basic payroll data'!$D$12="No"),0,
$T347*VLOOKUP($C347,'Employee information'!$B:$P,COLUMNS('Employee information'!$B:$P),0)*AL_loading_perc),
0)</f>
        <v>0</v>
      </c>
      <c r="AC347" s="118"/>
      <c r="AD347" s="118"/>
      <c r="AE347" s="283" t="str">
        <f t="shared" si="352"/>
        <v/>
      </c>
      <c r="AF347" s="283" t="str">
        <f t="shared" si="353"/>
        <v/>
      </c>
      <c r="AG347" s="118"/>
      <c r="AH347" s="118"/>
      <c r="AI347" s="283" t="str">
        <f t="shared" si="354"/>
        <v/>
      </c>
      <c r="AJ347" s="118"/>
      <c r="AK347" s="118"/>
      <c r="AM347" s="118">
        <f t="shared" si="355"/>
        <v>0</v>
      </c>
      <c r="AN347" s="118">
        <f t="shared" si="340"/>
        <v>0</v>
      </c>
      <c r="AO347" s="118" t="str">
        <f>IFERROR(
IF(VLOOKUP($C347,'Employee information'!$B:$M,COLUMNS('Employee information'!$B:$M),0)=1,
IF($E$2="Fortnightly",
ROUND(
ROUND((((TRUNC($AN347/2,0)+0.99))*VLOOKUP((TRUNC($AN347/2,0)+0.99),'Tax scales - NAT 1004'!$A$12:$C$18,2,1)-VLOOKUP((TRUNC($AN347/2,0)+0.99),'Tax scales - NAT 1004'!$A$12:$C$18,3,1)),0)
*2,
0),
IF(AND($E$2="Monthly",ROUND($AN347-TRUNC($AN347),2)=0.33),
ROUND(
ROUND(((TRUNC(($AN347+0.01)*3/13,0)+0.99)*VLOOKUP((TRUNC(($AN347+0.01)*3/13,0)+0.99),'Tax scales - NAT 1004'!$A$12:$C$18,2,1)-VLOOKUP((TRUNC(($AN347+0.01)*3/13,0)+0.99),'Tax scales - NAT 1004'!$A$12:$C$18,3,1)),0)
*13/3,
0),
IF($E$2="Monthly",
ROUND(
ROUND(((TRUNC($AN347*3/13,0)+0.99)*VLOOKUP((TRUNC($AN347*3/13,0)+0.99),'Tax scales - NAT 1004'!$A$12:$C$18,2,1)-VLOOKUP((TRUNC($AN347*3/13,0)+0.99),'Tax scales - NAT 1004'!$A$12:$C$18,3,1)),0)
*13/3,
0),
""))),
""),
"")</f>
        <v/>
      </c>
      <c r="AP347" s="118" t="str">
        <f>IFERROR(
IF(VLOOKUP($C347,'Employee information'!$B:$M,COLUMNS('Employee information'!$B:$M),0)=2,
IF($E$2="Fortnightly",
ROUND(
ROUND((((TRUNC($AN347/2,0)+0.99))*VLOOKUP((TRUNC($AN347/2,0)+0.99),'Tax scales - NAT 1004'!$A$25:$C$33,2,1)-VLOOKUP((TRUNC($AN347/2,0)+0.99),'Tax scales - NAT 1004'!$A$25:$C$33,3,1)),0)
*2,
0),
IF(AND($E$2="Monthly",ROUND($AN347-TRUNC($AN347),2)=0.33),
ROUND(
ROUND(((TRUNC(($AN347+0.01)*3/13,0)+0.99)*VLOOKUP((TRUNC(($AN347+0.01)*3/13,0)+0.99),'Tax scales - NAT 1004'!$A$25:$C$33,2,1)-VLOOKUP((TRUNC(($AN347+0.01)*3/13,0)+0.99),'Tax scales - NAT 1004'!$A$25:$C$33,3,1)),0)
*13/3,
0),
IF($E$2="Monthly",
ROUND(
ROUND(((TRUNC($AN347*3/13,0)+0.99)*VLOOKUP((TRUNC($AN347*3/13,0)+0.99),'Tax scales - NAT 1004'!$A$25:$C$33,2,1)-VLOOKUP((TRUNC($AN347*3/13,0)+0.99),'Tax scales - NAT 1004'!$A$25:$C$33,3,1)),0)
*13/3,
0),
""))),
""),
"")</f>
        <v/>
      </c>
      <c r="AQ347" s="118" t="str">
        <f>IFERROR(
IF(VLOOKUP($C347,'Employee information'!$B:$M,COLUMNS('Employee information'!$B:$M),0)=3,
IF($E$2="Fortnightly",
ROUND(
ROUND((((TRUNC($AN347/2,0)+0.99))*VLOOKUP((TRUNC($AN347/2,0)+0.99),'Tax scales - NAT 1004'!$A$39:$C$41,2,1)-VLOOKUP((TRUNC($AN347/2,0)+0.99),'Tax scales - NAT 1004'!$A$39:$C$41,3,1)),0)
*2,
0),
IF(AND($E$2="Monthly",ROUND($AN347-TRUNC($AN347),2)=0.33),
ROUND(
ROUND(((TRUNC(($AN347+0.01)*3/13,0)+0.99)*VLOOKUP((TRUNC(($AN347+0.01)*3/13,0)+0.99),'Tax scales - NAT 1004'!$A$39:$C$41,2,1)-VLOOKUP((TRUNC(($AN347+0.01)*3/13,0)+0.99),'Tax scales - NAT 1004'!$A$39:$C$41,3,1)),0)
*13/3,
0),
IF($E$2="Monthly",
ROUND(
ROUND(((TRUNC($AN347*3/13,0)+0.99)*VLOOKUP((TRUNC($AN347*3/13,0)+0.99),'Tax scales - NAT 1004'!$A$39:$C$41,2,1)-VLOOKUP((TRUNC($AN347*3/13,0)+0.99),'Tax scales - NAT 1004'!$A$39:$C$41,3,1)),0)
*13/3,
0),
""))),
""),
"")</f>
        <v/>
      </c>
      <c r="AR347" s="118" t="str">
        <f>IFERROR(
IF(AND(VLOOKUP($C347,'Employee information'!$B:$M,COLUMNS('Employee information'!$B:$M),0)=4,
VLOOKUP($C347,'Employee information'!$B:$J,COLUMNS('Employee information'!$B:$J),0)="Resident"),
TRUNC(TRUNC($AN347)*'Tax scales - NAT 1004'!$B$47),
IF(AND(VLOOKUP($C347,'Employee information'!$B:$M,COLUMNS('Employee information'!$B:$M),0)=4,
VLOOKUP($C347,'Employee information'!$B:$J,COLUMNS('Employee information'!$B:$J),0)="Foreign resident"),
TRUNC(TRUNC($AN347)*'Tax scales - NAT 1004'!$B$48),
"")),
"")</f>
        <v/>
      </c>
      <c r="AS347" s="118" t="str">
        <f>IFERROR(
IF(VLOOKUP($C347,'Employee information'!$B:$M,COLUMNS('Employee information'!$B:$M),0)=5,
IF($E$2="Fortnightly",
ROUND(
ROUND((((TRUNC($AN347/2,0)+0.99))*VLOOKUP((TRUNC($AN347/2,0)+0.99),'Tax scales - NAT 1004'!$A$53:$C$59,2,1)-VLOOKUP((TRUNC($AN347/2,0)+0.99),'Tax scales - NAT 1004'!$A$53:$C$59,3,1)),0)
*2,
0),
IF(AND($E$2="Monthly",ROUND($AN347-TRUNC($AN347),2)=0.33),
ROUND(
ROUND(((TRUNC(($AN347+0.01)*3/13,0)+0.99)*VLOOKUP((TRUNC(($AN347+0.01)*3/13,0)+0.99),'Tax scales - NAT 1004'!$A$53:$C$59,2,1)-VLOOKUP((TRUNC(($AN347+0.01)*3/13,0)+0.99),'Tax scales - NAT 1004'!$A$53:$C$59,3,1)),0)
*13/3,
0),
IF($E$2="Monthly",
ROUND(
ROUND(((TRUNC($AN347*3/13,0)+0.99)*VLOOKUP((TRUNC($AN347*3/13,0)+0.99),'Tax scales - NAT 1004'!$A$53:$C$59,2,1)-VLOOKUP((TRUNC($AN347*3/13,0)+0.99),'Tax scales - NAT 1004'!$A$53:$C$59,3,1)),0)
*13/3,
0),
""))),
""),
"")</f>
        <v/>
      </c>
      <c r="AT347" s="118" t="str">
        <f>IFERROR(
IF(VLOOKUP($C347,'Employee information'!$B:$M,COLUMNS('Employee information'!$B:$M),0)=6,
IF($E$2="Fortnightly",
ROUND(
ROUND((((TRUNC($AN347/2,0)+0.99))*VLOOKUP((TRUNC($AN347/2,0)+0.99),'Tax scales - NAT 1004'!$A$65:$C$73,2,1)-VLOOKUP((TRUNC($AN347/2,0)+0.99),'Tax scales - NAT 1004'!$A$65:$C$73,3,1)),0)
*2,
0),
IF(AND($E$2="Monthly",ROUND($AN347-TRUNC($AN347),2)=0.33),
ROUND(
ROUND(((TRUNC(($AN347+0.01)*3/13,0)+0.99)*VLOOKUP((TRUNC(($AN347+0.01)*3/13,0)+0.99),'Tax scales - NAT 1004'!$A$65:$C$73,2,1)-VLOOKUP((TRUNC(($AN347+0.01)*3/13,0)+0.99),'Tax scales - NAT 1004'!$A$65:$C$73,3,1)),0)
*13/3,
0),
IF($E$2="Monthly",
ROUND(
ROUND(((TRUNC($AN347*3/13,0)+0.99)*VLOOKUP((TRUNC($AN347*3/13,0)+0.99),'Tax scales - NAT 1004'!$A$65:$C$73,2,1)-VLOOKUP((TRUNC($AN347*3/13,0)+0.99),'Tax scales - NAT 1004'!$A$65:$C$73,3,1)),0)
*13/3,
0),
""))),
""),
"")</f>
        <v/>
      </c>
      <c r="AU347" s="118" t="str">
        <f>IFERROR(
IF(VLOOKUP($C347,'Employee information'!$B:$M,COLUMNS('Employee information'!$B:$M),0)=11,
IF($E$2="Fortnightly",
ROUND(
ROUND((((TRUNC($AN347/2,0)+0.99))*VLOOKUP((TRUNC($AN347/2,0)+0.99),'Tax scales - NAT 3539'!$A$14:$C$38,2,1)-VLOOKUP((TRUNC($AN347/2,0)+0.99),'Tax scales - NAT 3539'!$A$14:$C$38,3,1)),0)
*2,
0),
IF(AND($E$2="Monthly",ROUND($AN347-TRUNC($AN347),2)=0.33),
ROUND(
ROUND(((TRUNC(($AN347+0.01)*3/13,0)+0.99)*VLOOKUP((TRUNC(($AN347+0.01)*3/13,0)+0.99),'Tax scales - NAT 3539'!$A$14:$C$38,2,1)-VLOOKUP((TRUNC(($AN347+0.01)*3/13,0)+0.99),'Tax scales - NAT 3539'!$A$14:$C$38,3,1)),0)
*13/3,
0),
IF($E$2="Monthly",
ROUND(
ROUND(((TRUNC($AN347*3/13,0)+0.99)*VLOOKUP((TRUNC($AN347*3/13,0)+0.99),'Tax scales - NAT 3539'!$A$14:$C$38,2,1)-VLOOKUP((TRUNC($AN347*3/13,0)+0.99),'Tax scales - NAT 3539'!$A$14:$C$38,3,1)),0)
*13/3,
0),
""))),
""),
"")</f>
        <v/>
      </c>
      <c r="AV347" s="118" t="str">
        <f>IFERROR(
IF(VLOOKUP($C347,'Employee information'!$B:$M,COLUMNS('Employee information'!$B:$M),0)=22,
IF($E$2="Fortnightly",
ROUND(
ROUND((((TRUNC($AN347/2,0)+0.99))*VLOOKUP((TRUNC($AN347/2,0)+0.99),'Tax scales - NAT 3539'!$A$43:$C$69,2,1)-VLOOKUP((TRUNC($AN347/2,0)+0.99),'Tax scales - NAT 3539'!$A$43:$C$69,3,1)),0)
*2,
0),
IF(AND($E$2="Monthly",ROUND($AN347-TRUNC($AN347),2)=0.33),
ROUND(
ROUND(((TRUNC(($AN347+0.01)*3/13,0)+0.99)*VLOOKUP((TRUNC(($AN347+0.01)*3/13,0)+0.99),'Tax scales - NAT 3539'!$A$43:$C$69,2,1)-VLOOKUP((TRUNC(($AN347+0.01)*3/13,0)+0.99),'Tax scales - NAT 3539'!$A$43:$C$69,3,1)),0)
*13/3,
0),
IF($E$2="Monthly",
ROUND(
ROUND(((TRUNC($AN347*3/13,0)+0.99)*VLOOKUP((TRUNC($AN347*3/13,0)+0.99),'Tax scales - NAT 3539'!$A$43:$C$69,2,1)-VLOOKUP((TRUNC($AN347*3/13,0)+0.99),'Tax scales - NAT 3539'!$A$43:$C$69,3,1)),0)
*13/3,
0),
""))),
""),
"")</f>
        <v/>
      </c>
      <c r="AW347" s="118" t="str">
        <f>IFERROR(
IF(VLOOKUP($C347,'Employee information'!$B:$M,COLUMNS('Employee information'!$B:$M),0)=33,
IF($E$2="Fortnightly",
ROUND(
ROUND((((TRUNC($AN347/2,0)+0.99))*VLOOKUP((TRUNC($AN347/2,0)+0.99),'Tax scales - NAT 3539'!$A$74:$C$94,2,1)-VLOOKUP((TRUNC($AN347/2,0)+0.99),'Tax scales - NAT 3539'!$A$74:$C$94,3,1)),0)
*2,
0),
IF(AND($E$2="Monthly",ROUND($AN347-TRUNC($AN347),2)=0.33),
ROUND(
ROUND(((TRUNC(($AN347+0.01)*3/13,0)+0.99)*VLOOKUP((TRUNC(($AN347+0.01)*3/13,0)+0.99),'Tax scales - NAT 3539'!$A$74:$C$94,2,1)-VLOOKUP((TRUNC(($AN347+0.01)*3/13,0)+0.99),'Tax scales - NAT 3539'!$A$74:$C$94,3,1)),0)
*13/3,
0),
IF($E$2="Monthly",
ROUND(
ROUND(((TRUNC($AN347*3/13,0)+0.99)*VLOOKUP((TRUNC($AN347*3/13,0)+0.99),'Tax scales - NAT 3539'!$A$74:$C$94,2,1)-VLOOKUP((TRUNC($AN347*3/13,0)+0.99),'Tax scales - NAT 3539'!$A$74:$C$94,3,1)),0)
*13/3,
0),
""))),
""),
"")</f>
        <v/>
      </c>
      <c r="AX347" s="118" t="str">
        <f>IFERROR(
IF(VLOOKUP($C347,'Employee information'!$B:$M,COLUMNS('Employee information'!$B:$M),0)=55,
IF($E$2="Fortnightly",
ROUND(
ROUND((((TRUNC($AN347/2,0)+0.99))*VLOOKUP((TRUNC($AN347/2,0)+0.99),'Tax scales - NAT 3539'!$A$99:$C$123,2,1)-VLOOKUP((TRUNC($AN347/2,0)+0.99),'Tax scales - NAT 3539'!$A$99:$C$123,3,1)),0)
*2,
0),
IF(AND($E$2="Monthly",ROUND($AN347-TRUNC($AN347),2)=0.33),
ROUND(
ROUND(((TRUNC(($AN347+0.01)*3/13,0)+0.99)*VLOOKUP((TRUNC(($AN347+0.01)*3/13,0)+0.99),'Tax scales - NAT 3539'!$A$99:$C$123,2,1)-VLOOKUP((TRUNC(($AN347+0.01)*3/13,0)+0.99),'Tax scales - NAT 3539'!$A$99:$C$123,3,1)),0)
*13/3,
0),
IF($E$2="Monthly",
ROUND(
ROUND(((TRUNC($AN347*3/13,0)+0.99)*VLOOKUP((TRUNC($AN347*3/13,0)+0.99),'Tax scales - NAT 3539'!$A$99:$C$123,2,1)-VLOOKUP((TRUNC($AN347*3/13,0)+0.99),'Tax scales - NAT 3539'!$A$99:$C$123,3,1)),0)
*13/3,
0),
""))),
""),
"")</f>
        <v/>
      </c>
      <c r="AY347" s="118" t="str">
        <f>IFERROR(
IF(VLOOKUP($C347,'Employee information'!$B:$M,COLUMNS('Employee information'!$B:$M),0)=66,
IF($E$2="Fortnightly",
ROUND(
ROUND((((TRUNC($AN347/2,0)+0.99))*VLOOKUP((TRUNC($AN347/2,0)+0.99),'Tax scales - NAT 3539'!$A$127:$C$154,2,1)-VLOOKUP((TRUNC($AN347/2,0)+0.99),'Tax scales - NAT 3539'!$A$127:$C$154,3,1)),0)
*2,
0),
IF(AND($E$2="Monthly",ROUND($AN347-TRUNC($AN347),2)=0.33),
ROUND(
ROUND(((TRUNC(($AN347+0.01)*3/13,0)+0.99)*VLOOKUP((TRUNC(($AN347+0.01)*3/13,0)+0.99),'Tax scales - NAT 3539'!$A$127:$C$154,2,1)-VLOOKUP((TRUNC(($AN347+0.01)*3/13,0)+0.99),'Tax scales - NAT 3539'!$A$127:$C$154,3,1)),0)
*13/3,
0),
IF($E$2="Monthly",
ROUND(
ROUND(((TRUNC($AN347*3/13,0)+0.99)*VLOOKUP((TRUNC($AN347*3/13,0)+0.99),'Tax scales - NAT 3539'!$A$127:$C$154,2,1)-VLOOKUP((TRUNC($AN347*3/13,0)+0.99),'Tax scales - NAT 3539'!$A$127:$C$154,3,1)),0)
*13/3,
0),
""))),
""),
"")</f>
        <v/>
      </c>
      <c r="AZ347" s="118">
        <f>IFERROR(
HLOOKUP(VLOOKUP($C347,'Employee information'!$B:$M,COLUMNS('Employee information'!$B:$M),0),'PAYG worksheet'!$AO$329:$AY$348,COUNTA($C$330:$C347)+1,0),
0)</f>
        <v>0</v>
      </c>
      <c r="BA347" s="118"/>
      <c r="BB347" s="118">
        <f t="shared" si="356"/>
        <v>0</v>
      </c>
      <c r="BC347" s="119">
        <f>IFERROR(
IF(OR($AE347=1,$AE347=""),SUM($P347,$AA347,$AC347,$AK347)*VLOOKUP($C347,'Employee information'!$B:$Q,COLUMNS('Employee information'!$B:$H),0),
IF($AE347=0,SUM($P347,$AA347,$AK347)*VLOOKUP($C347,'Employee information'!$B:$Q,COLUMNS('Employee information'!$B:$H),0),
0)),
0)</f>
        <v>0</v>
      </c>
      <c r="BE347" s="114">
        <f t="shared" si="341"/>
        <v>0</v>
      </c>
      <c r="BF347" s="114">
        <f t="shared" si="342"/>
        <v>0</v>
      </c>
      <c r="BG347" s="114">
        <f t="shared" si="343"/>
        <v>0</v>
      </c>
      <c r="BH347" s="114">
        <f t="shared" si="344"/>
        <v>0</v>
      </c>
      <c r="BI347" s="114">
        <f t="shared" si="345"/>
        <v>0</v>
      </c>
      <c r="BJ347" s="114">
        <f t="shared" si="346"/>
        <v>0</v>
      </c>
      <c r="BK347" s="114">
        <f t="shared" si="347"/>
        <v>0</v>
      </c>
      <c r="BL347" s="114">
        <f t="shared" si="357"/>
        <v>0</v>
      </c>
      <c r="BM347" s="114">
        <f t="shared" si="348"/>
        <v>0</v>
      </c>
    </row>
    <row r="348" spans="1:65" x14ac:dyDescent="0.25">
      <c r="A348" s="228">
        <f t="shared" si="336"/>
        <v>12</v>
      </c>
      <c r="C348" s="278"/>
      <c r="E348" s="103">
        <f>IF($C348="",0,
IF(AND($E$2="Monthly",$A348&gt;12),0,
IF($E$2="Monthly",VLOOKUP($C348,'Employee information'!$B:$AM,COLUMNS('Employee information'!$B:S),0),
IF($E$2="Fortnightly",VLOOKUP($C348,'Employee information'!$B:$AM,COLUMNS('Employee information'!$B:R),0),
0))))</f>
        <v>0</v>
      </c>
      <c r="F348" s="106"/>
      <c r="G348" s="106"/>
      <c r="H348" s="106"/>
      <c r="I348" s="106"/>
      <c r="J348" s="103">
        <f t="shared" si="349"/>
        <v>0</v>
      </c>
      <c r="L348" s="113">
        <f>IF(AND($E$2="Monthly",$A348&gt;12),"",
IFERROR($J348*VLOOKUP($C348,'Employee information'!$B:$AI,COLUMNS('Employee information'!$B:$P),0),0))</f>
        <v>0</v>
      </c>
      <c r="M348" s="114">
        <f t="shared" si="350"/>
        <v>0</v>
      </c>
      <c r="O348" s="103">
        <f t="shared" si="351"/>
        <v>0</v>
      </c>
      <c r="P348" s="113">
        <f>IFERROR(
IF(AND($E$2="Monthly",$A348&gt;12),0,
$O348*VLOOKUP($C348,'Employee information'!$B:$AI,COLUMNS('Employee information'!$B:$P),0)),
0)</f>
        <v>0</v>
      </c>
      <c r="R348" s="114">
        <f t="shared" si="337"/>
        <v>0</v>
      </c>
      <c r="T348" s="103"/>
      <c r="U348" s="103"/>
      <c r="V348" s="282" t="str">
        <f>IF($C348="","",
IF(AND($E$2="Monthly",$A348&gt;12),"",
$T348*VLOOKUP($C348,'Employee information'!$B:$P,COLUMNS('Employee information'!$B:$P),0)))</f>
        <v/>
      </c>
      <c r="W348" s="282" t="str">
        <f>IF($C348="","",
IF(AND($E$2="Monthly",$A348&gt;12),"",
$U348*VLOOKUP($C348,'Employee information'!$B:$P,COLUMNS('Employee information'!$B:$P),0)))</f>
        <v/>
      </c>
      <c r="X348" s="114">
        <f t="shared" si="338"/>
        <v>0</v>
      </c>
      <c r="Y348" s="114">
        <f t="shared" si="339"/>
        <v>0</v>
      </c>
      <c r="AA348" s="118">
        <f>IFERROR(
IF(OR('Basic payroll data'!$D$12="",'Basic payroll data'!$D$12="No"),0,
$T348*VLOOKUP($C348,'Employee information'!$B:$P,COLUMNS('Employee information'!$B:$P),0)*AL_loading_perc),
0)</f>
        <v>0</v>
      </c>
      <c r="AC348" s="118"/>
      <c r="AD348" s="118"/>
      <c r="AE348" s="283" t="str">
        <f t="shared" si="352"/>
        <v/>
      </c>
      <c r="AF348" s="283" t="str">
        <f t="shared" si="353"/>
        <v/>
      </c>
      <c r="AG348" s="118"/>
      <c r="AH348" s="118"/>
      <c r="AI348" s="283" t="str">
        <f t="shared" si="354"/>
        <v/>
      </c>
      <c r="AJ348" s="118"/>
      <c r="AK348" s="118"/>
      <c r="AM348" s="118">
        <f t="shared" si="355"/>
        <v>0</v>
      </c>
      <c r="AN348" s="118">
        <f t="shared" si="340"/>
        <v>0</v>
      </c>
      <c r="AO348" s="118" t="str">
        <f>IFERROR(
IF(VLOOKUP($C348,'Employee information'!$B:$M,COLUMNS('Employee information'!$B:$M),0)=1,
IF($E$2="Fortnightly",
ROUND(
ROUND((((TRUNC($AN348/2,0)+0.99))*VLOOKUP((TRUNC($AN348/2,0)+0.99),'Tax scales - NAT 1004'!$A$12:$C$18,2,1)-VLOOKUP((TRUNC($AN348/2,0)+0.99),'Tax scales - NAT 1004'!$A$12:$C$18,3,1)),0)
*2,
0),
IF(AND($E$2="Monthly",ROUND($AN348-TRUNC($AN348),2)=0.33),
ROUND(
ROUND(((TRUNC(($AN348+0.01)*3/13,0)+0.99)*VLOOKUP((TRUNC(($AN348+0.01)*3/13,0)+0.99),'Tax scales - NAT 1004'!$A$12:$C$18,2,1)-VLOOKUP((TRUNC(($AN348+0.01)*3/13,0)+0.99),'Tax scales - NAT 1004'!$A$12:$C$18,3,1)),0)
*13/3,
0),
IF($E$2="Monthly",
ROUND(
ROUND(((TRUNC($AN348*3/13,0)+0.99)*VLOOKUP((TRUNC($AN348*3/13,0)+0.99),'Tax scales - NAT 1004'!$A$12:$C$18,2,1)-VLOOKUP((TRUNC($AN348*3/13,0)+0.99),'Tax scales - NAT 1004'!$A$12:$C$18,3,1)),0)
*13/3,
0),
""))),
""),
"")</f>
        <v/>
      </c>
      <c r="AP348" s="118" t="str">
        <f>IFERROR(
IF(VLOOKUP($C348,'Employee information'!$B:$M,COLUMNS('Employee information'!$B:$M),0)=2,
IF($E$2="Fortnightly",
ROUND(
ROUND((((TRUNC($AN348/2,0)+0.99))*VLOOKUP((TRUNC($AN348/2,0)+0.99),'Tax scales - NAT 1004'!$A$25:$C$33,2,1)-VLOOKUP((TRUNC($AN348/2,0)+0.99),'Tax scales - NAT 1004'!$A$25:$C$33,3,1)),0)
*2,
0),
IF(AND($E$2="Monthly",ROUND($AN348-TRUNC($AN348),2)=0.33),
ROUND(
ROUND(((TRUNC(($AN348+0.01)*3/13,0)+0.99)*VLOOKUP((TRUNC(($AN348+0.01)*3/13,0)+0.99),'Tax scales - NAT 1004'!$A$25:$C$33,2,1)-VLOOKUP((TRUNC(($AN348+0.01)*3/13,0)+0.99),'Tax scales - NAT 1004'!$A$25:$C$33,3,1)),0)
*13/3,
0),
IF($E$2="Monthly",
ROUND(
ROUND(((TRUNC($AN348*3/13,0)+0.99)*VLOOKUP((TRUNC($AN348*3/13,0)+0.99),'Tax scales - NAT 1004'!$A$25:$C$33,2,1)-VLOOKUP((TRUNC($AN348*3/13,0)+0.99),'Tax scales - NAT 1004'!$A$25:$C$33,3,1)),0)
*13/3,
0),
""))),
""),
"")</f>
        <v/>
      </c>
      <c r="AQ348" s="118" t="str">
        <f>IFERROR(
IF(VLOOKUP($C348,'Employee information'!$B:$M,COLUMNS('Employee information'!$B:$M),0)=3,
IF($E$2="Fortnightly",
ROUND(
ROUND((((TRUNC($AN348/2,0)+0.99))*VLOOKUP((TRUNC($AN348/2,0)+0.99),'Tax scales - NAT 1004'!$A$39:$C$41,2,1)-VLOOKUP((TRUNC($AN348/2,0)+0.99),'Tax scales - NAT 1004'!$A$39:$C$41,3,1)),0)
*2,
0),
IF(AND($E$2="Monthly",ROUND($AN348-TRUNC($AN348),2)=0.33),
ROUND(
ROUND(((TRUNC(($AN348+0.01)*3/13,0)+0.99)*VLOOKUP((TRUNC(($AN348+0.01)*3/13,0)+0.99),'Tax scales - NAT 1004'!$A$39:$C$41,2,1)-VLOOKUP((TRUNC(($AN348+0.01)*3/13,0)+0.99),'Tax scales - NAT 1004'!$A$39:$C$41,3,1)),0)
*13/3,
0),
IF($E$2="Monthly",
ROUND(
ROUND(((TRUNC($AN348*3/13,0)+0.99)*VLOOKUP((TRUNC($AN348*3/13,0)+0.99),'Tax scales - NAT 1004'!$A$39:$C$41,2,1)-VLOOKUP((TRUNC($AN348*3/13,0)+0.99),'Tax scales - NAT 1004'!$A$39:$C$41,3,1)),0)
*13/3,
0),
""))),
""),
"")</f>
        <v/>
      </c>
      <c r="AR348" s="118" t="str">
        <f>IFERROR(
IF(AND(VLOOKUP($C348,'Employee information'!$B:$M,COLUMNS('Employee information'!$B:$M),0)=4,
VLOOKUP($C348,'Employee information'!$B:$J,COLUMNS('Employee information'!$B:$J),0)="Resident"),
TRUNC(TRUNC($AN348)*'Tax scales - NAT 1004'!$B$47),
IF(AND(VLOOKUP($C348,'Employee information'!$B:$M,COLUMNS('Employee information'!$B:$M),0)=4,
VLOOKUP($C348,'Employee information'!$B:$J,COLUMNS('Employee information'!$B:$J),0)="Foreign resident"),
TRUNC(TRUNC($AN348)*'Tax scales - NAT 1004'!$B$48),
"")),
"")</f>
        <v/>
      </c>
      <c r="AS348" s="118" t="str">
        <f>IFERROR(
IF(VLOOKUP($C348,'Employee information'!$B:$M,COLUMNS('Employee information'!$B:$M),0)=5,
IF($E$2="Fortnightly",
ROUND(
ROUND((((TRUNC($AN348/2,0)+0.99))*VLOOKUP((TRUNC($AN348/2,0)+0.99),'Tax scales - NAT 1004'!$A$53:$C$59,2,1)-VLOOKUP((TRUNC($AN348/2,0)+0.99),'Tax scales - NAT 1004'!$A$53:$C$59,3,1)),0)
*2,
0),
IF(AND($E$2="Monthly",ROUND($AN348-TRUNC($AN348),2)=0.33),
ROUND(
ROUND(((TRUNC(($AN348+0.01)*3/13,0)+0.99)*VLOOKUP((TRUNC(($AN348+0.01)*3/13,0)+0.99),'Tax scales - NAT 1004'!$A$53:$C$59,2,1)-VLOOKUP((TRUNC(($AN348+0.01)*3/13,0)+0.99),'Tax scales - NAT 1004'!$A$53:$C$59,3,1)),0)
*13/3,
0),
IF($E$2="Monthly",
ROUND(
ROUND(((TRUNC($AN348*3/13,0)+0.99)*VLOOKUP((TRUNC($AN348*3/13,0)+0.99),'Tax scales - NAT 1004'!$A$53:$C$59,2,1)-VLOOKUP((TRUNC($AN348*3/13,0)+0.99),'Tax scales - NAT 1004'!$A$53:$C$59,3,1)),0)
*13/3,
0),
""))),
""),
"")</f>
        <v/>
      </c>
      <c r="AT348" s="118" t="str">
        <f>IFERROR(
IF(VLOOKUP($C348,'Employee information'!$B:$M,COLUMNS('Employee information'!$B:$M),0)=6,
IF($E$2="Fortnightly",
ROUND(
ROUND((((TRUNC($AN348/2,0)+0.99))*VLOOKUP((TRUNC($AN348/2,0)+0.99),'Tax scales - NAT 1004'!$A$65:$C$73,2,1)-VLOOKUP((TRUNC($AN348/2,0)+0.99),'Tax scales - NAT 1004'!$A$65:$C$73,3,1)),0)
*2,
0),
IF(AND($E$2="Monthly",ROUND($AN348-TRUNC($AN348),2)=0.33),
ROUND(
ROUND(((TRUNC(($AN348+0.01)*3/13,0)+0.99)*VLOOKUP((TRUNC(($AN348+0.01)*3/13,0)+0.99),'Tax scales - NAT 1004'!$A$65:$C$73,2,1)-VLOOKUP((TRUNC(($AN348+0.01)*3/13,0)+0.99),'Tax scales - NAT 1004'!$A$65:$C$73,3,1)),0)
*13/3,
0),
IF($E$2="Monthly",
ROUND(
ROUND(((TRUNC($AN348*3/13,0)+0.99)*VLOOKUP((TRUNC($AN348*3/13,0)+0.99),'Tax scales - NAT 1004'!$A$65:$C$73,2,1)-VLOOKUP((TRUNC($AN348*3/13,0)+0.99),'Tax scales - NAT 1004'!$A$65:$C$73,3,1)),0)
*13/3,
0),
""))),
""),
"")</f>
        <v/>
      </c>
      <c r="AU348" s="118" t="str">
        <f>IFERROR(
IF(VLOOKUP($C348,'Employee information'!$B:$M,COLUMNS('Employee information'!$B:$M),0)=11,
IF($E$2="Fortnightly",
ROUND(
ROUND((((TRUNC($AN348/2,0)+0.99))*VLOOKUP((TRUNC($AN348/2,0)+0.99),'Tax scales - NAT 3539'!$A$14:$C$38,2,1)-VLOOKUP((TRUNC($AN348/2,0)+0.99),'Tax scales - NAT 3539'!$A$14:$C$38,3,1)),0)
*2,
0),
IF(AND($E$2="Monthly",ROUND($AN348-TRUNC($AN348),2)=0.33),
ROUND(
ROUND(((TRUNC(($AN348+0.01)*3/13,0)+0.99)*VLOOKUP((TRUNC(($AN348+0.01)*3/13,0)+0.99),'Tax scales - NAT 3539'!$A$14:$C$38,2,1)-VLOOKUP((TRUNC(($AN348+0.01)*3/13,0)+0.99),'Tax scales - NAT 3539'!$A$14:$C$38,3,1)),0)
*13/3,
0),
IF($E$2="Monthly",
ROUND(
ROUND(((TRUNC($AN348*3/13,0)+0.99)*VLOOKUP((TRUNC($AN348*3/13,0)+0.99),'Tax scales - NAT 3539'!$A$14:$C$38,2,1)-VLOOKUP((TRUNC($AN348*3/13,0)+0.99),'Tax scales - NAT 3539'!$A$14:$C$38,3,1)),0)
*13/3,
0),
""))),
""),
"")</f>
        <v/>
      </c>
      <c r="AV348" s="118" t="str">
        <f>IFERROR(
IF(VLOOKUP($C348,'Employee information'!$B:$M,COLUMNS('Employee information'!$B:$M),0)=22,
IF($E$2="Fortnightly",
ROUND(
ROUND((((TRUNC($AN348/2,0)+0.99))*VLOOKUP((TRUNC($AN348/2,0)+0.99),'Tax scales - NAT 3539'!$A$43:$C$69,2,1)-VLOOKUP((TRUNC($AN348/2,0)+0.99),'Tax scales - NAT 3539'!$A$43:$C$69,3,1)),0)
*2,
0),
IF(AND($E$2="Monthly",ROUND($AN348-TRUNC($AN348),2)=0.33),
ROUND(
ROUND(((TRUNC(($AN348+0.01)*3/13,0)+0.99)*VLOOKUP((TRUNC(($AN348+0.01)*3/13,0)+0.99),'Tax scales - NAT 3539'!$A$43:$C$69,2,1)-VLOOKUP((TRUNC(($AN348+0.01)*3/13,0)+0.99),'Tax scales - NAT 3539'!$A$43:$C$69,3,1)),0)
*13/3,
0),
IF($E$2="Monthly",
ROUND(
ROUND(((TRUNC($AN348*3/13,0)+0.99)*VLOOKUP((TRUNC($AN348*3/13,0)+0.99),'Tax scales - NAT 3539'!$A$43:$C$69,2,1)-VLOOKUP((TRUNC($AN348*3/13,0)+0.99),'Tax scales - NAT 3539'!$A$43:$C$69,3,1)),0)
*13/3,
0),
""))),
""),
"")</f>
        <v/>
      </c>
      <c r="AW348" s="118" t="str">
        <f>IFERROR(
IF(VLOOKUP($C348,'Employee information'!$B:$M,COLUMNS('Employee information'!$B:$M),0)=33,
IF($E$2="Fortnightly",
ROUND(
ROUND((((TRUNC($AN348/2,0)+0.99))*VLOOKUP((TRUNC($AN348/2,0)+0.99),'Tax scales - NAT 3539'!$A$74:$C$94,2,1)-VLOOKUP((TRUNC($AN348/2,0)+0.99),'Tax scales - NAT 3539'!$A$74:$C$94,3,1)),0)
*2,
0),
IF(AND($E$2="Monthly",ROUND($AN348-TRUNC($AN348),2)=0.33),
ROUND(
ROUND(((TRUNC(($AN348+0.01)*3/13,0)+0.99)*VLOOKUP((TRUNC(($AN348+0.01)*3/13,0)+0.99),'Tax scales - NAT 3539'!$A$74:$C$94,2,1)-VLOOKUP((TRUNC(($AN348+0.01)*3/13,0)+0.99),'Tax scales - NAT 3539'!$A$74:$C$94,3,1)),0)
*13/3,
0),
IF($E$2="Monthly",
ROUND(
ROUND(((TRUNC($AN348*3/13,0)+0.99)*VLOOKUP((TRUNC($AN348*3/13,0)+0.99),'Tax scales - NAT 3539'!$A$74:$C$94,2,1)-VLOOKUP((TRUNC($AN348*3/13,0)+0.99),'Tax scales - NAT 3539'!$A$74:$C$94,3,1)),0)
*13/3,
0),
""))),
""),
"")</f>
        <v/>
      </c>
      <c r="AX348" s="118" t="str">
        <f>IFERROR(
IF(VLOOKUP($C348,'Employee information'!$B:$M,COLUMNS('Employee information'!$B:$M),0)=55,
IF($E$2="Fortnightly",
ROUND(
ROUND((((TRUNC($AN348/2,0)+0.99))*VLOOKUP((TRUNC($AN348/2,0)+0.99),'Tax scales - NAT 3539'!$A$99:$C$123,2,1)-VLOOKUP((TRUNC($AN348/2,0)+0.99),'Tax scales - NAT 3539'!$A$99:$C$123,3,1)),0)
*2,
0),
IF(AND($E$2="Monthly",ROUND($AN348-TRUNC($AN348),2)=0.33),
ROUND(
ROUND(((TRUNC(($AN348+0.01)*3/13,0)+0.99)*VLOOKUP((TRUNC(($AN348+0.01)*3/13,0)+0.99),'Tax scales - NAT 3539'!$A$99:$C$123,2,1)-VLOOKUP((TRUNC(($AN348+0.01)*3/13,0)+0.99),'Tax scales - NAT 3539'!$A$99:$C$123,3,1)),0)
*13/3,
0),
IF($E$2="Monthly",
ROUND(
ROUND(((TRUNC($AN348*3/13,0)+0.99)*VLOOKUP((TRUNC($AN348*3/13,0)+0.99),'Tax scales - NAT 3539'!$A$99:$C$123,2,1)-VLOOKUP((TRUNC($AN348*3/13,0)+0.99),'Tax scales - NAT 3539'!$A$99:$C$123,3,1)),0)
*13/3,
0),
""))),
""),
"")</f>
        <v/>
      </c>
      <c r="AY348" s="118" t="str">
        <f>IFERROR(
IF(VLOOKUP($C348,'Employee information'!$B:$M,COLUMNS('Employee information'!$B:$M),0)=66,
IF($E$2="Fortnightly",
ROUND(
ROUND((((TRUNC($AN348/2,0)+0.99))*VLOOKUP((TRUNC($AN348/2,0)+0.99),'Tax scales - NAT 3539'!$A$127:$C$154,2,1)-VLOOKUP((TRUNC($AN348/2,0)+0.99),'Tax scales - NAT 3539'!$A$127:$C$154,3,1)),0)
*2,
0),
IF(AND($E$2="Monthly",ROUND($AN348-TRUNC($AN348),2)=0.33),
ROUND(
ROUND(((TRUNC(($AN348+0.01)*3/13,0)+0.99)*VLOOKUP((TRUNC(($AN348+0.01)*3/13,0)+0.99),'Tax scales - NAT 3539'!$A$127:$C$154,2,1)-VLOOKUP((TRUNC(($AN348+0.01)*3/13,0)+0.99),'Tax scales - NAT 3539'!$A$127:$C$154,3,1)),0)
*13/3,
0),
IF($E$2="Monthly",
ROUND(
ROUND(((TRUNC($AN348*3/13,0)+0.99)*VLOOKUP((TRUNC($AN348*3/13,0)+0.99),'Tax scales - NAT 3539'!$A$127:$C$154,2,1)-VLOOKUP((TRUNC($AN348*3/13,0)+0.99),'Tax scales - NAT 3539'!$A$127:$C$154,3,1)),0)
*13/3,
0),
""))),
""),
"")</f>
        <v/>
      </c>
      <c r="AZ348" s="118">
        <f>IFERROR(
HLOOKUP(VLOOKUP($C348,'Employee information'!$B:$M,COLUMNS('Employee information'!$B:$M),0),'PAYG worksheet'!$AO$329:$AY$348,COUNTA($C$330:$C348)+1,0),
0)</f>
        <v>0</v>
      </c>
      <c r="BA348" s="118"/>
      <c r="BB348" s="118">
        <f t="shared" si="356"/>
        <v>0</v>
      </c>
      <c r="BC348" s="119">
        <f>IFERROR(
IF(OR($AE348=1,$AE348=""),SUM($P348,$AA348,$AC348,$AK348)*VLOOKUP($C348,'Employee information'!$B:$Q,COLUMNS('Employee information'!$B:$H),0),
IF($AE348=0,SUM($P348,$AA348,$AK348)*VLOOKUP($C348,'Employee information'!$B:$Q,COLUMNS('Employee information'!$B:$H),0),
0)),
0)</f>
        <v>0</v>
      </c>
      <c r="BE348" s="114">
        <f t="shared" si="341"/>
        <v>0</v>
      </c>
      <c r="BF348" s="114">
        <f t="shared" si="342"/>
        <v>0</v>
      </c>
      <c r="BG348" s="114">
        <f t="shared" si="343"/>
        <v>0</v>
      </c>
      <c r="BH348" s="114">
        <f t="shared" si="344"/>
        <v>0</v>
      </c>
      <c r="BI348" s="114">
        <f t="shared" si="345"/>
        <v>0</v>
      </c>
      <c r="BJ348" s="114">
        <f t="shared" si="346"/>
        <v>0</v>
      </c>
      <c r="BK348" s="114">
        <f t="shared" si="347"/>
        <v>0</v>
      </c>
      <c r="BL348" s="114">
        <f t="shared" si="357"/>
        <v>0</v>
      </c>
      <c r="BM348" s="114">
        <f t="shared" si="348"/>
        <v>0</v>
      </c>
    </row>
    <row r="349" spans="1:65" x14ac:dyDescent="0.25">
      <c r="C349" s="284" t="s">
        <v>39</v>
      </c>
      <c r="D349" s="223"/>
      <c r="E349" s="111">
        <f>SUM(E330:E348)</f>
        <v>345</v>
      </c>
      <c r="F349" s="112">
        <f t="shared" ref="F349:H349" si="358">SUM(F330:F348)</f>
        <v>0</v>
      </c>
      <c r="G349" s="112">
        <f t="shared" si="358"/>
        <v>0</v>
      </c>
      <c r="H349" s="112">
        <f t="shared" si="358"/>
        <v>0</v>
      </c>
      <c r="I349" s="112"/>
      <c r="J349" s="111">
        <f t="shared" ref="J349" si="359">SUM(J330:J348)</f>
        <v>345</v>
      </c>
      <c r="K349" s="223"/>
      <c r="L349" s="115">
        <f>SUM(L330:L348)</f>
        <v>19122.576396206536</v>
      </c>
      <c r="M349" s="115">
        <f>SUM(M330:M348)</f>
        <v>231986.30136986298</v>
      </c>
      <c r="N349" s="223"/>
      <c r="O349" s="116">
        <f>SUM(O330:O348)</f>
        <v>345</v>
      </c>
      <c r="P349" s="117">
        <f>SUM(P330:P348)</f>
        <v>19122.576396206536</v>
      </c>
      <c r="R349" s="117">
        <f>SUM(R330:R348)</f>
        <v>231986.30136986298</v>
      </c>
      <c r="S349" s="223"/>
      <c r="T349" s="116">
        <f>SUM(T330:T348)</f>
        <v>0</v>
      </c>
      <c r="U349" s="116">
        <f t="shared" ref="U349:Y349" si="360">SUM(U330:U348)</f>
        <v>0</v>
      </c>
      <c r="V349" s="285">
        <f t="shared" si="360"/>
        <v>0</v>
      </c>
      <c r="W349" s="285">
        <f t="shared" si="360"/>
        <v>0</v>
      </c>
      <c r="X349" s="285">
        <f t="shared" si="360"/>
        <v>1538.4615384615386</v>
      </c>
      <c r="Y349" s="285">
        <f t="shared" si="360"/>
        <v>801.28205128205127</v>
      </c>
      <c r="Z349" s="223"/>
      <c r="AA349" s="117">
        <f t="shared" ref="AA349" si="361">SUM(AA330:AA348)</f>
        <v>0</v>
      </c>
      <c r="AC349" s="117">
        <f t="shared" ref="AC349" si="362">SUM(AC330:AC348)</f>
        <v>0</v>
      </c>
      <c r="AD349" s="117"/>
      <c r="AE349" s="117"/>
      <c r="AF349" s="117"/>
      <c r="AG349" s="117">
        <f t="shared" ref="AG349" si="363">SUM(AG330:AG348)</f>
        <v>0</v>
      </c>
      <c r="AH349" s="117"/>
      <c r="AI349" s="117"/>
      <c r="AJ349" s="117">
        <f>SUM(AJ330:AJ348)</f>
        <v>0</v>
      </c>
      <c r="AK349" s="117">
        <f>SUM(AK330:AK348)</f>
        <v>0</v>
      </c>
      <c r="AM349" s="117">
        <f t="shared" ref="AM349:AN349" si="364">SUM(AM330:AM348)</f>
        <v>19122.576396206536</v>
      </c>
      <c r="AN349" s="117">
        <f t="shared" si="364"/>
        <v>19122.576396206536</v>
      </c>
      <c r="AO349" s="117"/>
      <c r="AP349" s="117"/>
      <c r="AQ349" s="117"/>
      <c r="AR349" s="117"/>
      <c r="AS349" s="117"/>
      <c r="AT349" s="117"/>
      <c r="AU349" s="117"/>
      <c r="AV349" s="117"/>
      <c r="AW349" s="117"/>
      <c r="AX349" s="117"/>
      <c r="AY349" s="117"/>
      <c r="AZ349" s="117">
        <f>SUM(AZ330:AZ348)</f>
        <v>7481</v>
      </c>
      <c r="BA349" s="117">
        <f>SUM(BA330:BA348)</f>
        <v>0</v>
      </c>
      <c r="BB349" s="117">
        <f>SUM(BB330:BB348)</f>
        <v>11641.576396206534</v>
      </c>
      <c r="BC349" s="117">
        <f t="shared" ref="BC349" si="365">SUM(BC330:BC348)</f>
        <v>1816.6447576396208</v>
      </c>
      <c r="BD349" s="136"/>
      <c r="BE349" s="117">
        <f t="shared" ref="BE349:BM349" si="366">SUM(BE330:BE348)</f>
        <v>232226.30136986298</v>
      </c>
      <c r="BF349" s="117">
        <f t="shared" si="366"/>
        <v>232086.30136986298</v>
      </c>
      <c r="BG349" s="117">
        <f t="shared" si="366"/>
        <v>0</v>
      </c>
      <c r="BH349" s="117">
        <f t="shared" si="366"/>
        <v>140</v>
      </c>
      <c r="BI349" s="117">
        <f t="shared" si="366"/>
        <v>90586</v>
      </c>
      <c r="BJ349" s="117">
        <f t="shared" si="366"/>
        <v>0</v>
      </c>
      <c r="BK349" s="117">
        <f t="shared" si="366"/>
        <v>0</v>
      </c>
      <c r="BL349" s="117">
        <f t="shared" si="366"/>
        <v>100</v>
      </c>
      <c r="BM349" s="117">
        <f t="shared" si="366"/>
        <v>22048.198630136987</v>
      </c>
    </row>
    <row r="351" spans="1:65" x14ac:dyDescent="0.25">
      <c r="B351" s="228">
        <v>13</v>
      </c>
      <c r="C351" s="230" t="s">
        <v>2</v>
      </c>
      <c r="E351" s="232">
        <v>44116</v>
      </c>
      <c r="F351" s="148" t="s">
        <v>91</v>
      </c>
      <c r="L351" s="286"/>
      <c r="T351" s="127"/>
      <c r="U351" s="127"/>
      <c r="V351" s="127"/>
      <c r="W351" s="127"/>
      <c r="X351" s="127"/>
      <c r="Y351" s="127"/>
    </row>
    <row r="352" spans="1:65" x14ac:dyDescent="0.25">
      <c r="C352" s="230" t="s">
        <v>3</v>
      </c>
      <c r="E352" s="232">
        <v>44127</v>
      </c>
      <c r="F352" s="148" t="s">
        <v>90</v>
      </c>
      <c r="G352" s="229"/>
      <c r="H352" s="229"/>
      <c r="I352" s="229"/>
      <c r="J352" s="229"/>
      <c r="L352" s="164"/>
      <c r="T352" s="127"/>
      <c r="U352" s="127"/>
      <c r="V352" s="127"/>
      <c r="W352" s="127"/>
      <c r="X352" s="127"/>
      <c r="Y352" s="127"/>
    </row>
    <row r="353" spans="1:65" x14ac:dyDescent="0.25">
      <c r="C353" s="233"/>
    </row>
    <row r="354" spans="1:65" ht="34.5" customHeight="1" x14ac:dyDescent="0.25">
      <c r="C354" s="234"/>
      <c r="D354" s="235"/>
      <c r="E354" s="441" t="s">
        <v>4</v>
      </c>
      <c r="F354" s="442"/>
      <c r="G354" s="442"/>
      <c r="H354" s="442"/>
      <c r="I354" s="442"/>
      <c r="J354" s="443"/>
      <c r="L354" s="444" t="s">
        <v>253</v>
      </c>
      <c r="M354" s="445"/>
      <c r="N354" s="235"/>
      <c r="O354" s="444" t="s">
        <v>148</v>
      </c>
      <c r="P354" s="445"/>
      <c r="R354" s="235"/>
      <c r="T354" s="446" t="s">
        <v>269</v>
      </c>
      <c r="U354" s="447"/>
      <c r="V354" s="447"/>
      <c r="W354" s="447"/>
      <c r="X354" s="447"/>
      <c r="Y354" s="447"/>
      <c r="Z354" s="447"/>
      <c r="AA354" s="447"/>
      <c r="AC354" s="438" t="s">
        <v>274</v>
      </c>
      <c r="AD354" s="438"/>
      <c r="AE354" s="438"/>
      <c r="AF354" s="438"/>
      <c r="AG354" s="438"/>
      <c r="AH354" s="438"/>
      <c r="AI354" s="438"/>
      <c r="AJ354" s="438"/>
      <c r="AK354" s="438"/>
      <c r="AM354" s="439" t="s">
        <v>270</v>
      </c>
      <c r="AN354" s="439"/>
      <c r="AO354" s="439"/>
      <c r="AP354" s="439"/>
      <c r="AQ354" s="439"/>
      <c r="AR354" s="439"/>
      <c r="AS354" s="439"/>
      <c r="AT354" s="439"/>
      <c r="AU354" s="439"/>
      <c r="AV354" s="439"/>
      <c r="AW354" s="439"/>
      <c r="AX354" s="439"/>
      <c r="AY354" s="439"/>
      <c r="AZ354" s="439"/>
      <c r="BA354" s="439"/>
      <c r="BB354" s="439"/>
      <c r="BC354" s="440"/>
      <c r="BE354" s="439" t="s">
        <v>246</v>
      </c>
      <c r="BF354" s="439"/>
      <c r="BG354" s="439"/>
      <c r="BH354" s="439"/>
      <c r="BI354" s="439"/>
      <c r="BJ354" s="439"/>
      <c r="BK354" s="439"/>
      <c r="BL354" s="439"/>
      <c r="BM354" s="439"/>
    </row>
    <row r="355" spans="1:65" x14ac:dyDescent="0.25">
      <c r="C355" s="236"/>
      <c r="E355" s="229"/>
      <c r="F355" s="229"/>
      <c r="G355" s="229"/>
      <c r="H355" s="229"/>
      <c r="I355" s="229"/>
      <c r="J355" s="229"/>
      <c r="L355" s="164"/>
      <c r="O355" s="229"/>
      <c r="P355" s="164"/>
      <c r="T355" s="127"/>
      <c r="U355" s="127"/>
      <c r="V355" s="127"/>
      <c r="W355" s="127"/>
      <c r="X355" s="127"/>
      <c r="Y355" s="127"/>
      <c r="AA355" s="229"/>
      <c r="AC355" s="229"/>
      <c r="AD355" s="229"/>
      <c r="AE355" s="229"/>
      <c r="AF355" s="229"/>
      <c r="AG355" s="229"/>
      <c r="AH355" s="229"/>
      <c r="AI355" s="229"/>
      <c r="AJ355" s="229"/>
      <c r="AK355" s="127"/>
      <c r="AM355" s="229"/>
      <c r="AN355" s="229"/>
      <c r="AO355" s="229"/>
      <c r="AP355" s="229"/>
      <c r="AQ355" s="229"/>
      <c r="AR355" s="229"/>
      <c r="AS355" s="229"/>
      <c r="AT355" s="229"/>
      <c r="AU355" s="229"/>
      <c r="AV355" s="229"/>
      <c r="AW355" s="229"/>
      <c r="AX355" s="229"/>
      <c r="AY355" s="229"/>
      <c r="AZ355" s="229"/>
      <c r="BA355" s="229"/>
      <c r="BB355" s="229"/>
      <c r="BC355" s="229"/>
    </row>
    <row r="356" spans="1:65" ht="60" x14ac:dyDescent="0.25">
      <c r="C356" s="238" t="s">
        <v>5</v>
      </c>
      <c r="D356" s="239"/>
      <c r="E356" s="240" t="s">
        <v>268</v>
      </c>
      <c r="F356" s="241" t="s">
        <v>271</v>
      </c>
      <c r="G356" s="242" t="s">
        <v>267</v>
      </c>
      <c r="H356" s="243" t="s">
        <v>266</v>
      </c>
      <c r="I356" s="242" t="s">
        <v>265</v>
      </c>
      <c r="J356" s="244" t="s">
        <v>6</v>
      </c>
      <c r="L356" s="245" t="s">
        <v>7</v>
      </c>
      <c r="M356" s="246" t="s">
        <v>254</v>
      </c>
      <c r="N356" s="247"/>
      <c r="O356" s="248" t="s">
        <v>272</v>
      </c>
      <c r="P356" s="249" t="s">
        <v>200</v>
      </c>
      <c r="R356" s="250" t="s">
        <v>151</v>
      </c>
      <c r="T356" s="251" t="s">
        <v>8</v>
      </c>
      <c r="U356" s="252" t="s">
        <v>9</v>
      </c>
      <c r="V356" s="252" t="s">
        <v>120</v>
      </c>
      <c r="W356" s="252" t="s">
        <v>121</v>
      </c>
      <c r="X356" s="253" t="s">
        <v>118</v>
      </c>
      <c r="Y356" s="254" t="s">
        <v>119</v>
      </c>
      <c r="AA356" s="255" t="s">
        <v>84</v>
      </c>
      <c r="AC356" s="256" t="s">
        <v>142</v>
      </c>
      <c r="AD356" s="256" t="s">
        <v>138</v>
      </c>
      <c r="AE356" s="257" t="s">
        <v>147</v>
      </c>
      <c r="AF356" s="257" t="s">
        <v>149</v>
      </c>
      <c r="AG356" s="256" t="s">
        <v>305</v>
      </c>
      <c r="AH356" s="256" t="s">
        <v>306</v>
      </c>
      <c r="AI356" s="257" t="s">
        <v>150</v>
      </c>
      <c r="AJ356" s="258" t="s">
        <v>250</v>
      </c>
      <c r="AK356" s="259" t="s">
        <v>373</v>
      </c>
      <c r="AM356" s="260" t="s">
        <v>256</v>
      </c>
      <c r="AN356" s="261" t="s">
        <v>372</v>
      </c>
      <c r="AO356" s="253" t="s">
        <v>170</v>
      </c>
      <c r="AP356" s="253" t="s">
        <v>171</v>
      </c>
      <c r="AQ356" s="253" t="s">
        <v>172</v>
      </c>
      <c r="AR356" s="253" t="s">
        <v>173</v>
      </c>
      <c r="AS356" s="253" t="s">
        <v>174</v>
      </c>
      <c r="AT356" s="253" t="s">
        <v>175</v>
      </c>
      <c r="AU356" s="262" t="s">
        <v>210</v>
      </c>
      <c r="AV356" s="262" t="s">
        <v>211</v>
      </c>
      <c r="AW356" s="262" t="s">
        <v>212</v>
      </c>
      <c r="AX356" s="262" t="s">
        <v>213</v>
      </c>
      <c r="AY356" s="263" t="s">
        <v>214</v>
      </c>
      <c r="AZ356" s="264" t="s">
        <v>111</v>
      </c>
      <c r="BA356" s="265" t="s">
        <v>199</v>
      </c>
      <c r="BB356" s="252" t="s">
        <v>223</v>
      </c>
      <c r="BC356" s="260" t="s">
        <v>112</v>
      </c>
      <c r="BE356" s="260" t="s">
        <v>257</v>
      </c>
      <c r="BF356" s="266" t="s">
        <v>255</v>
      </c>
      <c r="BG356" s="262" t="s">
        <v>247</v>
      </c>
      <c r="BH356" s="262" t="s">
        <v>248</v>
      </c>
      <c r="BI356" s="260" t="s">
        <v>249</v>
      </c>
      <c r="BJ356" s="253" t="s">
        <v>199</v>
      </c>
      <c r="BK356" s="262" t="s">
        <v>251</v>
      </c>
      <c r="BL356" s="259" t="s">
        <v>373</v>
      </c>
      <c r="BM356" s="260" t="s">
        <v>252</v>
      </c>
    </row>
    <row r="357" spans="1:65" x14ac:dyDescent="0.25">
      <c r="T357" s="120"/>
      <c r="U357" s="120"/>
      <c r="V357" s="120"/>
      <c r="W357" s="120"/>
      <c r="X357" s="120"/>
      <c r="Y357" s="120"/>
      <c r="AM357" s="267" t="s">
        <v>322</v>
      </c>
      <c r="AN357" s="237"/>
      <c r="AO357" s="237"/>
      <c r="AP357" s="237"/>
      <c r="AQ357" s="237"/>
      <c r="AR357" s="237"/>
      <c r="AS357" s="237"/>
      <c r="AT357" s="237"/>
      <c r="AU357" s="237"/>
      <c r="AV357" s="237"/>
      <c r="AW357" s="237"/>
      <c r="AX357" s="237"/>
      <c r="AY357" s="237"/>
      <c r="AZ357" s="436" t="s">
        <v>320</v>
      </c>
      <c r="BA357" s="437"/>
      <c r="BB357" s="237"/>
      <c r="BC357" s="267" t="s">
        <v>321</v>
      </c>
    </row>
    <row r="358" spans="1:65" x14ac:dyDescent="0.25">
      <c r="A358" s="228">
        <f t="shared" ref="A358:A377" si="367">IF($E$352="","",$B$351)</f>
        <v>13</v>
      </c>
      <c r="C358" s="268"/>
      <c r="D358" s="239"/>
      <c r="E358" s="269"/>
      <c r="F358" s="270"/>
      <c r="G358" s="271"/>
      <c r="H358" s="272"/>
      <c r="I358" s="271"/>
      <c r="J358" s="273"/>
      <c r="O358" s="274"/>
      <c r="P358" s="247"/>
      <c r="T358" s="271"/>
      <c r="U358" s="271"/>
      <c r="V358" s="275"/>
      <c r="W358" s="269"/>
      <c r="X358" s="269"/>
      <c r="Y358" s="269"/>
      <c r="AA358" s="271"/>
      <c r="AC358" s="271"/>
      <c r="AD358" s="271"/>
      <c r="AE358" s="271"/>
      <c r="AF358" s="271"/>
      <c r="AG358" s="271"/>
      <c r="AH358" s="271"/>
      <c r="AI358" s="271"/>
      <c r="AJ358" s="271"/>
      <c r="AK358" s="275"/>
      <c r="AM358" s="271"/>
      <c r="AN358" s="271"/>
      <c r="AO358" s="276">
        <v>1</v>
      </c>
      <c r="AP358" s="276">
        <v>2</v>
      </c>
      <c r="AQ358" s="276">
        <v>3</v>
      </c>
      <c r="AR358" s="277">
        <v>4</v>
      </c>
      <c r="AS358" s="276">
        <v>5</v>
      </c>
      <c r="AT358" s="276">
        <v>6</v>
      </c>
      <c r="AU358" s="276">
        <v>11</v>
      </c>
      <c r="AV358" s="276">
        <v>22</v>
      </c>
      <c r="AW358" s="276">
        <v>33</v>
      </c>
      <c r="AX358" s="276">
        <v>55</v>
      </c>
      <c r="AY358" s="276">
        <v>66</v>
      </c>
      <c r="AZ358" s="271"/>
      <c r="BA358" s="271"/>
      <c r="BB358" s="271"/>
      <c r="BC358" s="273"/>
    </row>
    <row r="359" spans="1:65" x14ac:dyDescent="0.25">
      <c r="A359" s="228">
        <f t="shared" si="367"/>
        <v>13</v>
      </c>
      <c r="C359" s="278" t="s">
        <v>12</v>
      </c>
      <c r="E359" s="103">
        <f>IF($C359="",0,
IF(AND($E$2="Monthly",$A359&gt;12),0,
IF($E$2="Monthly",VLOOKUP($C359,'Employee information'!$B:$AM,COLUMNS('Employee information'!$B:S),0),
IF($E$2="Fortnightly",VLOOKUP($C359,'Employee information'!$B:$AM,COLUMNS('Employee information'!$B:R),0),
0))))</f>
        <v>75</v>
      </c>
      <c r="F359" s="279"/>
      <c r="G359" s="106"/>
      <c r="H359" s="280"/>
      <c r="I359" s="106"/>
      <c r="J359" s="103">
        <f>IF($E$2="Monthly",
IF(AND($E$2="Monthly",$H359&lt;&gt;""),$H359,
IF(AND($E$2="Monthly",$E359=0),SUM($F359:$G359),
$E359)),
IF($E$2="Fortnightly",
IF(AND($E$2="Fortnightly",$H359&lt;&gt;""),$H359,
IF(AND($E$2="Fortnightly",$F359&lt;&gt;"",$E359&lt;&gt;0),$F359,
IF(AND($E$2="Fortnightly",$E359=0),SUM($F359:$G359),
$E359)))))</f>
        <v>75</v>
      </c>
      <c r="L359" s="113">
        <f>IF(AND($E$2="Monthly",$A359&gt;12),"",
IFERROR($J359*VLOOKUP($C359,'Employee information'!$B:$AI,COLUMNS('Employee information'!$B:$P),0),0))</f>
        <v>3697.576396206533</v>
      </c>
      <c r="M359" s="114">
        <f>IF(AND($E$2="Monthly",$A359&gt;12),"",
SUMIFS($L:$L,$C:$C,$C359,$A:$A,"&lt;="&amp;$A359)
)</f>
        <v>48068.493150684924</v>
      </c>
      <c r="O359" s="103">
        <f>IF($E$2="Monthly",
IF(AND($E$2="Monthly",$H359&lt;&gt;""),$H359,
IF(AND($E$2="Monthly",$E359=0),$F359,
$E359)),
IF($E$2="Fortnightly",
IF(AND($E$2="Fortnightly",$H359&lt;&gt;""),$H359,
IF(AND($E$2="Fortnightly",$F359&lt;&gt;"",$E359&lt;&gt;0),$F359,
IF(AND($E$2="Fortnightly",$E359=0),$F359,
$E359)))))</f>
        <v>75</v>
      </c>
      <c r="P359" s="113">
        <f>IFERROR(
IF(AND($E$2="Monthly",$A359&gt;12),0,
$O359*VLOOKUP($C359,'Employee information'!$B:$AI,COLUMNS('Employee information'!$B:$P),0)),
0)</f>
        <v>3697.576396206533</v>
      </c>
      <c r="R359" s="114">
        <f t="shared" ref="R359:R377" si="368">IF(AND($E$2="Monthly",$A359&gt;12),"",
SUMIFS($P:$P,$C:$C,$C359,$A:$A,"&lt;="&amp;$A359)
)</f>
        <v>48068.493150684924</v>
      </c>
      <c r="T359" s="281"/>
      <c r="U359" s="103"/>
      <c r="V359" s="282">
        <f>IF($C359="","",
IF(AND($E$2="Monthly",$A359&gt;12),"",
$T359*VLOOKUP($C359,'Employee information'!$B:$P,COLUMNS('Employee information'!$B:$P),0)))</f>
        <v>0</v>
      </c>
      <c r="W359" s="282">
        <f>IF($C359="","",
IF(AND($E$2="Monthly",$A359&gt;12),"",
$U359*VLOOKUP($C359,'Employee information'!$B:$P,COLUMNS('Employee information'!$B:$P),0)))</f>
        <v>0</v>
      </c>
      <c r="X359" s="114">
        <f t="shared" ref="X359:X377" si="369">IF(AND($E$2="Monthly",$A359&gt;12),"",
SUMIFS($V:$V,$C:$C,$C359,$A:$A,"&lt;="&amp;$A359)
)</f>
        <v>0</v>
      </c>
      <c r="Y359" s="114">
        <f t="shared" ref="Y359:Y377" si="370">IF(AND($E$2="Monthly",$A359&gt;12),"",
SUMIFS($W:$W,$C:$C,$C359,$A:$A,"&lt;="&amp;$A359)
)</f>
        <v>0</v>
      </c>
      <c r="AA359" s="118">
        <f>IFERROR(
IF(OR('Basic payroll data'!$D$12="",'Basic payroll data'!$D$12="No"),0,
$T359*VLOOKUP($C359,'Employee information'!$B:$P,COLUMNS('Employee information'!$B:$P),0)*AL_loading_perc),
0)</f>
        <v>0</v>
      </c>
      <c r="AC359" s="118"/>
      <c r="AD359" s="118"/>
      <c r="AE359" s="283" t="str">
        <f>IF(LEFT($AD359,6)="Is OTE",1,
IF(LEFT($AD359,10)="Is not OTE",0,
""))</f>
        <v/>
      </c>
      <c r="AF359" s="283" t="str">
        <f>IF(RIGHT($AD359,12)="tax withheld",1,
IF(RIGHT($AD359,16)="tax not withheld",0,
""))</f>
        <v/>
      </c>
      <c r="AG359" s="118"/>
      <c r="AH359" s="118"/>
      <c r="AI359" s="283" t="str">
        <f>IF($AH359="FBT",0,
IF($AH359="Not FBT",1,
""))</f>
        <v/>
      </c>
      <c r="AJ359" s="118"/>
      <c r="AK359" s="118"/>
      <c r="AM359" s="118">
        <f>SUM($L359,$AA359,$AC359,$AG359,$AK359)-$AJ359</f>
        <v>3697.576396206533</v>
      </c>
      <c r="AN359" s="118">
        <f t="shared" ref="AN359:AN377" si="371">IF(AND(OR($AF359=1,$AF359=""),OR($AI359=1,$AI359="")),SUM($L359,$AA359,$AC359,$AG359,$AK359)-$AJ359,
IF(AND(OR($AF359=1,$AF359=""),$AI359=0),SUM($L359,$AA359,$AC359,$AK359)-$AJ359,
IF(AND($AF359=0,OR($AI359=1,$AI359="")),SUM($L359,$AA359,$AG359,$AK359)-$AJ359,
IF(AND($AF359=0,$AI359=0),SUM($L359,$AA359,$AK359)-$AJ359,
""))))</f>
        <v>3697.576396206533</v>
      </c>
      <c r="AO359" s="118" t="str">
        <f>IFERROR(
IF(VLOOKUP($C359,'Employee information'!$B:$M,COLUMNS('Employee information'!$B:$M),0)=1,
IF($E$2="Fortnightly",
ROUND(
ROUND((((TRUNC($AN359/2,0)+0.99))*VLOOKUP((TRUNC($AN359/2,0)+0.99),'Tax scales - NAT 1004'!$A$12:$C$18,2,1)-VLOOKUP((TRUNC($AN359/2,0)+0.99),'Tax scales - NAT 1004'!$A$12:$C$18,3,1)),0)
*2,
0),
IF(AND($E$2="Monthly",ROUND($AN359-TRUNC($AN359),2)=0.33),
ROUND(
ROUND(((TRUNC(($AN359+0.01)*3/13,0)+0.99)*VLOOKUP((TRUNC(($AN359+0.01)*3/13,0)+0.99),'Tax scales - NAT 1004'!$A$12:$C$18,2,1)-VLOOKUP((TRUNC(($AN359+0.01)*3/13,0)+0.99),'Tax scales - NAT 1004'!$A$12:$C$18,3,1)),0)
*13/3,
0),
IF($E$2="Monthly",
ROUND(
ROUND(((TRUNC($AN359*3/13,0)+0.99)*VLOOKUP((TRUNC($AN359*3/13,0)+0.99),'Tax scales - NAT 1004'!$A$12:$C$18,2,1)-VLOOKUP((TRUNC($AN359*3/13,0)+0.99),'Tax scales - NAT 1004'!$A$12:$C$18,3,1)),0)
*13/3,
0),
""))),
""),
"")</f>
        <v/>
      </c>
      <c r="AP359" s="118" t="str">
        <f>IFERROR(
IF(VLOOKUP($C359,'Employee information'!$B:$M,COLUMNS('Employee information'!$B:$M),0)=2,
IF($E$2="Fortnightly",
ROUND(
ROUND((((TRUNC($AN359/2,0)+0.99))*VLOOKUP((TRUNC($AN359/2,0)+0.99),'Tax scales - NAT 1004'!$A$25:$C$33,2,1)-VLOOKUP((TRUNC($AN359/2,0)+0.99),'Tax scales - NAT 1004'!$A$25:$C$33,3,1)),0)
*2,
0),
IF(AND($E$2="Monthly",ROUND($AN359-TRUNC($AN359),2)=0.33),
ROUND(
ROUND(((TRUNC(($AN359+0.01)*3/13,0)+0.99)*VLOOKUP((TRUNC(($AN359+0.01)*3/13,0)+0.99),'Tax scales - NAT 1004'!$A$25:$C$33,2,1)-VLOOKUP((TRUNC(($AN359+0.01)*3/13,0)+0.99),'Tax scales - NAT 1004'!$A$25:$C$33,3,1)),0)
*13/3,
0),
IF($E$2="Monthly",
ROUND(
ROUND(((TRUNC($AN359*3/13,0)+0.99)*VLOOKUP((TRUNC($AN359*3/13,0)+0.99),'Tax scales - NAT 1004'!$A$25:$C$33,2,1)-VLOOKUP((TRUNC($AN359*3/13,0)+0.99),'Tax scales - NAT 1004'!$A$25:$C$33,3,1)),0)
*13/3,
0),
""))),
""),
"")</f>
        <v/>
      </c>
      <c r="AQ359" s="118" t="str">
        <f>IFERROR(
IF(VLOOKUP($C359,'Employee information'!$B:$M,COLUMNS('Employee information'!$B:$M),0)=3,
IF($E$2="Fortnightly",
ROUND(
ROUND((((TRUNC($AN359/2,0)+0.99))*VLOOKUP((TRUNC($AN359/2,0)+0.99),'Tax scales - NAT 1004'!$A$39:$C$41,2,1)-VLOOKUP((TRUNC($AN359/2,0)+0.99),'Tax scales - NAT 1004'!$A$39:$C$41,3,1)),0)
*2,
0),
IF(AND($E$2="Monthly",ROUND($AN359-TRUNC($AN359),2)=0.33),
ROUND(
ROUND(((TRUNC(($AN359+0.01)*3/13,0)+0.99)*VLOOKUP((TRUNC(($AN359+0.01)*3/13,0)+0.99),'Tax scales - NAT 1004'!$A$39:$C$41,2,1)-VLOOKUP((TRUNC(($AN359+0.01)*3/13,0)+0.99),'Tax scales - NAT 1004'!$A$39:$C$41,3,1)),0)
*13/3,
0),
IF($E$2="Monthly",
ROUND(
ROUND(((TRUNC($AN359*3/13,0)+0.99)*VLOOKUP((TRUNC($AN359*3/13,0)+0.99),'Tax scales - NAT 1004'!$A$39:$C$41,2,1)-VLOOKUP((TRUNC($AN359*3/13,0)+0.99),'Tax scales - NAT 1004'!$A$39:$C$41,3,1)),0)
*13/3,
0),
""))),
""),
"")</f>
        <v/>
      </c>
      <c r="AR359" s="118" t="str">
        <f>IFERROR(
IF(AND(VLOOKUP($C359,'Employee information'!$B:$M,COLUMNS('Employee information'!$B:$M),0)=4,
VLOOKUP($C359,'Employee information'!$B:$J,COLUMNS('Employee information'!$B:$J),0)="Resident"),
TRUNC(TRUNC($AN359)*'Tax scales - NAT 1004'!$B$47),
IF(AND(VLOOKUP($C359,'Employee information'!$B:$M,COLUMNS('Employee information'!$B:$M),0)=4,
VLOOKUP($C359,'Employee information'!$B:$J,COLUMNS('Employee information'!$B:$J),0)="Foreign resident"),
TRUNC(TRUNC($AN359)*'Tax scales - NAT 1004'!$B$48),
"")),
"")</f>
        <v/>
      </c>
      <c r="AS359" s="118" t="str">
        <f>IFERROR(
IF(VLOOKUP($C359,'Employee information'!$B:$M,COLUMNS('Employee information'!$B:$M),0)=5,
IF($E$2="Fortnightly",
ROUND(
ROUND((((TRUNC($AN359/2,0)+0.99))*VLOOKUP((TRUNC($AN359/2,0)+0.99),'Tax scales - NAT 1004'!$A$53:$C$59,2,1)-VLOOKUP((TRUNC($AN359/2,0)+0.99),'Tax scales - NAT 1004'!$A$53:$C$59,3,1)),0)
*2,
0),
IF(AND($E$2="Monthly",ROUND($AN359-TRUNC($AN359),2)=0.33),
ROUND(
ROUND(((TRUNC(($AN359+0.01)*3/13,0)+0.99)*VLOOKUP((TRUNC(($AN359+0.01)*3/13,0)+0.99),'Tax scales - NAT 1004'!$A$53:$C$59,2,1)-VLOOKUP((TRUNC(($AN359+0.01)*3/13,0)+0.99),'Tax scales - NAT 1004'!$A$53:$C$59,3,1)),0)
*13/3,
0),
IF($E$2="Monthly",
ROUND(
ROUND(((TRUNC($AN359*3/13,0)+0.99)*VLOOKUP((TRUNC($AN359*3/13,0)+0.99),'Tax scales - NAT 1004'!$A$53:$C$59,2,1)-VLOOKUP((TRUNC($AN359*3/13,0)+0.99),'Tax scales - NAT 1004'!$A$53:$C$59,3,1)),0)
*13/3,
0),
""))),
""),
"")</f>
        <v/>
      </c>
      <c r="AT359" s="118" t="str">
        <f>IFERROR(
IF(VLOOKUP($C359,'Employee information'!$B:$M,COLUMNS('Employee information'!$B:$M),0)=6,
IF($E$2="Fortnightly",
ROUND(
ROUND((((TRUNC($AN359/2,0)+0.99))*VLOOKUP((TRUNC($AN359/2,0)+0.99),'Tax scales - NAT 1004'!$A$65:$C$73,2,1)-VLOOKUP((TRUNC($AN359/2,0)+0.99),'Tax scales - NAT 1004'!$A$65:$C$73,3,1)),0)
*2,
0),
IF(AND($E$2="Monthly",ROUND($AN359-TRUNC($AN359),2)=0.33),
ROUND(
ROUND(((TRUNC(($AN359+0.01)*3/13,0)+0.99)*VLOOKUP((TRUNC(($AN359+0.01)*3/13,0)+0.99),'Tax scales - NAT 1004'!$A$65:$C$73,2,1)-VLOOKUP((TRUNC(($AN359+0.01)*3/13,0)+0.99),'Tax scales - NAT 1004'!$A$65:$C$73,3,1)),0)
*13/3,
0),
IF($E$2="Monthly",
ROUND(
ROUND(((TRUNC($AN359*3/13,0)+0.99)*VLOOKUP((TRUNC($AN359*3/13,0)+0.99),'Tax scales - NAT 1004'!$A$65:$C$73,2,1)-VLOOKUP((TRUNC($AN359*3/13,0)+0.99),'Tax scales - NAT 1004'!$A$65:$C$73,3,1)),0)
*13/3,
0),
""))),
""),
"")</f>
        <v/>
      </c>
      <c r="AU359" s="118">
        <f>IFERROR(
IF(VLOOKUP($C359,'Employee information'!$B:$M,COLUMNS('Employee information'!$B:$M),0)=11,
IF($E$2="Fortnightly",
ROUND(
ROUND((((TRUNC($AN359/2,0)+0.99))*VLOOKUP((TRUNC($AN359/2,0)+0.99),'Tax scales - NAT 3539'!$A$14:$C$38,2,1)-VLOOKUP((TRUNC($AN359/2,0)+0.99),'Tax scales - NAT 3539'!$A$14:$C$38,3,1)),0)
*2,
0),
IF(AND($E$2="Monthly",ROUND($AN359-TRUNC($AN359),2)=0.33),
ROUND(
ROUND(((TRUNC(($AN359+0.01)*3/13,0)+0.99)*VLOOKUP((TRUNC(($AN359+0.01)*3/13,0)+0.99),'Tax scales - NAT 3539'!$A$14:$C$38,2,1)-VLOOKUP((TRUNC(($AN359+0.01)*3/13,0)+0.99),'Tax scales - NAT 3539'!$A$14:$C$38,3,1)),0)
*13/3,
0),
IF($E$2="Monthly",
ROUND(
ROUND(((TRUNC($AN359*3/13,0)+0.99)*VLOOKUP((TRUNC($AN359*3/13,0)+0.99),'Tax scales - NAT 3539'!$A$14:$C$38,2,1)-VLOOKUP((TRUNC($AN359*3/13,0)+0.99),'Tax scales - NAT 3539'!$A$14:$C$38,3,1)),0)
*13/3,
0),
""))),
""),
"")</f>
        <v>1448</v>
      </c>
      <c r="AV359" s="118" t="str">
        <f>IFERROR(
IF(VLOOKUP($C359,'Employee information'!$B:$M,COLUMNS('Employee information'!$B:$M),0)=22,
IF($E$2="Fortnightly",
ROUND(
ROUND((((TRUNC($AN359/2,0)+0.99))*VLOOKUP((TRUNC($AN359/2,0)+0.99),'Tax scales - NAT 3539'!$A$43:$C$69,2,1)-VLOOKUP((TRUNC($AN359/2,0)+0.99),'Tax scales - NAT 3539'!$A$43:$C$69,3,1)),0)
*2,
0),
IF(AND($E$2="Monthly",ROUND($AN359-TRUNC($AN359),2)=0.33),
ROUND(
ROUND(((TRUNC(($AN359+0.01)*3/13,0)+0.99)*VLOOKUP((TRUNC(($AN359+0.01)*3/13,0)+0.99),'Tax scales - NAT 3539'!$A$43:$C$69,2,1)-VLOOKUP((TRUNC(($AN359+0.01)*3/13,0)+0.99),'Tax scales - NAT 3539'!$A$43:$C$69,3,1)),0)
*13/3,
0),
IF($E$2="Monthly",
ROUND(
ROUND(((TRUNC($AN359*3/13,0)+0.99)*VLOOKUP((TRUNC($AN359*3/13,0)+0.99),'Tax scales - NAT 3539'!$A$43:$C$69,2,1)-VLOOKUP((TRUNC($AN359*3/13,0)+0.99),'Tax scales - NAT 3539'!$A$43:$C$69,3,1)),0)
*13/3,
0),
""))),
""),
"")</f>
        <v/>
      </c>
      <c r="AW359" s="118" t="str">
        <f>IFERROR(
IF(VLOOKUP($C359,'Employee information'!$B:$M,COLUMNS('Employee information'!$B:$M),0)=33,
IF($E$2="Fortnightly",
ROUND(
ROUND((((TRUNC($AN359/2,0)+0.99))*VLOOKUP((TRUNC($AN359/2,0)+0.99),'Tax scales - NAT 3539'!$A$74:$C$94,2,1)-VLOOKUP((TRUNC($AN359/2,0)+0.99),'Tax scales - NAT 3539'!$A$74:$C$94,3,1)),0)
*2,
0),
IF(AND($E$2="Monthly",ROUND($AN359-TRUNC($AN359),2)=0.33),
ROUND(
ROUND(((TRUNC(($AN359+0.01)*3/13,0)+0.99)*VLOOKUP((TRUNC(($AN359+0.01)*3/13,0)+0.99),'Tax scales - NAT 3539'!$A$74:$C$94,2,1)-VLOOKUP((TRUNC(($AN359+0.01)*3/13,0)+0.99),'Tax scales - NAT 3539'!$A$74:$C$94,3,1)),0)
*13/3,
0),
IF($E$2="Monthly",
ROUND(
ROUND(((TRUNC($AN359*3/13,0)+0.99)*VLOOKUP((TRUNC($AN359*3/13,0)+0.99),'Tax scales - NAT 3539'!$A$74:$C$94,2,1)-VLOOKUP((TRUNC($AN359*3/13,0)+0.99),'Tax scales - NAT 3539'!$A$74:$C$94,3,1)),0)
*13/3,
0),
""))),
""),
"")</f>
        <v/>
      </c>
      <c r="AX359" s="118" t="str">
        <f>IFERROR(
IF(VLOOKUP($C359,'Employee information'!$B:$M,COLUMNS('Employee information'!$B:$M),0)=55,
IF($E$2="Fortnightly",
ROUND(
ROUND((((TRUNC($AN359/2,0)+0.99))*VLOOKUP((TRUNC($AN359/2,0)+0.99),'Tax scales - NAT 3539'!$A$99:$C$123,2,1)-VLOOKUP((TRUNC($AN359/2,0)+0.99),'Tax scales - NAT 3539'!$A$99:$C$123,3,1)),0)
*2,
0),
IF(AND($E$2="Monthly",ROUND($AN359-TRUNC($AN359),2)=0.33),
ROUND(
ROUND(((TRUNC(($AN359+0.01)*3/13,0)+0.99)*VLOOKUP((TRUNC(($AN359+0.01)*3/13,0)+0.99),'Tax scales - NAT 3539'!$A$99:$C$123,2,1)-VLOOKUP((TRUNC(($AN359+0.01)*3/13,0)+0.99),'Tax scales - NAT 3539'!$A$99:$C$123,3,1)),0)
*13/3,
0),
IF($E$2="Monthly",
ROUND(
ROUND(((TRUNC($AN359*3/13,0)+0.99)*VLOOKUP((TRUNC($AN359*3/13,0)+0.99),'Tax scales - NAT 3539'!$A$99:$C$123,2,1)-VLOOKUP((TRUNC($AN359*3/13,0)+0.99),'Tax scales - NAT 3539'!$A$99:$C$123,3,1)),0)
*13/3,
0),
""))),
""),
"")</f>
        <v/>
      </c>
      <c r="AY359" s="118" t="str">
        <f>IFERROR(
IF(VLOOKUP($C359,'Employee information'!$B:$M,COLUMNS('Employee information'!$B:$M),0)=66,
IF($E$2="Fortnightly",
ROUND(
ROUND((((TRUNC($AN359/2,0)+0.99))*VLOOKUP((TRUNC($AN359/2,0)+0.99),'Tax scales - NAT 3539'!$A$127:$C$154,2,1)-VLOOKUP((TRUNC($AN359/2,0)+0.99),'Tax scales - NAT 3539'!$A$127:$C$154,3,1)),0)
*2,
0),
IF(AND($E$2="Monthly",ROUND($AN359-TRUNC($AN359),2)=0.33),
ROUND(
ROUND(((TRUNC(($AN359+0.01)*3/13,0)+0.99)*VLOOKUP((TRUNC(($AN359+0.01)*3/13,0)+0.99),'Tax scales - NAT 3539'!$A$127:$C$154,2,1)-VLOOKUP((TRUNC(($AN359+0.01)*3/13,0)+0.99),'Tax scales - NAT 3539'!$A$127:$C$154,3,1)),0)
*13/3,
0),
IF($E$2="Monthly",
ROUND(
ROUND(((TRUNC($AN359*3/13,0)+0.99)*VLOOKUP((TRUNC($AN359*3/13,0)+0.99),'Tax scales - NAT 3539'!$A$127:$C$154,2,1)-VLOOKUP((TRUNC($AN359*3/13,0)+0.99),'Tax scales - NAT 3539'!$A$127:$C$154,3,1)),0)
*13/3,
0),
""))),
""),
"")</f>
        <v/>
      </c>
      <c r="AZ359" s="118">
        <f>IFERROR(
HLOOKUP(VLOOKUP($C359,'Employee information'!$B:$M,COLUMNS('Employee information'!$B:$M),0),'PAYG worksheet'!$AO$358:$AY$377,COUNTA($C$359:$C359)+1,0),
0)</f>
        <v>1448</v>
      </c>
      <c r="BA359" s="118"/>
      <c r="BB359" s="118">
        <f>IFERROR($AM359-$AZ359-$BA359,"")</f>
        <v>2249.576396206533</v>
      </c>
      <c r="BC359" s="119">
        <f>IFERROR(
IF(OR($AE359=1,$AE359=""),SUM($P359,$AA359,$AC359,$AK359)*VLOOKUP($C359,'Employee information'!$B:$Q,COLUMNS('Employee information'!$B:$H),0),
IF($AE359=0,SUM($P359,$AA359,$AK359)*VLOOKUP($C359,'Employee information'!$B:$Q,COLUMNS('Employee information'!$B:$H),0),
0)),
0)</f>
        <v>351.26975763962065</v>
      </c>
      <c r="BE359" s="114">
        <f t="shared" ref="BE359:BE377" si="372">IF(AND($E$2="Monthly",$A359&gt;12),"",
SUMIFS($AM:$AM,$C:$C,$C359,$A:$A,"&lt;="&amp;$A359)
)</f>
        <v>48068.493150684924</v>
      </c>
      <c r="BF359" s="114">
        <f t="shared" ref="BF359:BF377" si="373">IF(AND($E$2="Monthly",$A359&gt;12),"",
SUMIFS($AN:$AN,$C:$C,$C359,$A:$A,"&lt;="&amp;$A359)
)</f>
        <v>48068.493150684924</v>
      </c>
      <c r="BG359" s="114">
        <f t="shared" ref="BG359:BG377" si="374">IF(AND($E$2="Monthly",$A359&gt;12),"",
SUMIFS($AC:$AC,$C:$C,$C359,$A:$A,"&lt;="&amp;$A359)
)</f>
        <v>0</v>
      </c>
      <c r="BH359" s="114">
        <f t="shared" ref="BH359:BH377" si="375">IF(AND($E$2="Monthly",$A359&gt;12),"",
SUMIFS($AG:$AG,$C:$C,$C359,$A:$A,"&lt;="&amp;$A359)
)</f>
        <v>0</v>
      </c>
      <c r="BI359" s="114">
        <f t="shared" ref="BI359:BI377" si="376">IF(AND($E$2="Monthly",$A359&gt;12),"",
SUMIFS($AZ:$AZ,$C:$C,$C359,$A:$A,"&lt;="&amp;$A359)
)</f>
        <v>18824</v>
      </c>
      <c r="BJ359" s="114">
        <f t="shared" ref="BJ359:BJ377" si="377">IF(AND($E$2="Monthly",$A359&gt;12),"",
SUMIFS($BA:$BA,$C:$C,$C359,$A:$A,"&lt;="&amp;$A359)
)</f>
        <v>0</v>
      </c>
      <c r="BK359" s="114">
        <f t="shared" ref="BK359:BK377" si="378">IF(AND($E$2="Monthly",$A359&gt;12),"",
SUMIFS($AJ:$AJ,$C:$C,$C359,$A:$A,"&lt;="&amp;$A359)
)</f>
        <v>0</v>
      </c>
      <c r="BL359" s="114">
        <f>IF(AND($E$2="Monthly",$A359&gt;12),"",
SUMIFS($AK:$AK,$C:$C,$C359,$A:$A,"&lt;="&amp;$A359)
)</f>
        <v>0</v>
      </c>
      <c r="BM359" s="114">
        <f t="shared" ref="BM359:BM377" si="379">IF(AND($E$2="Monthly",$A359&gt;12),"",
SUMIFS($BC:$BC,$C:$C,$C359,$A:$A,"&lt;="&amp;$A359)
)</f>
        <v>4566.5068493150693</v>
      </c>
    </row>
    <row r="360" spans="1:65" x14ac:dyDescent="0.25">
      <c r="A360" s="228">
        <f t="shared" si="367"/>
        <v>13</v>
      </c>
      <c r="C360" s="278" t="s">
        <v>13</v>
      </c>
      <c r="E360" s="103">
        <f>IF($C360="",0,
IF(AND($E$2="Monthly",$A360&gt;12),0,
IF($E$2="Monthly",VLOOKUP($C360,'Employee information'!$B:$AM,COLUMNS('Employee information'!$B:S),0),
IF($E$2="Fortnightly",VLOOKUP($C360,'Employee information'!$B:$AM,COLUMNS('Employee information'!$B:R),0),
0))))</f>
        <v>0</v>
      </c>
      <c r="F360" s="106"/>
      <c r="G360" s="106"/>
      <c r="H360" s="106"/>
      <c r="I360" s="106"/>
      <c r="J360" s="103">
        <f t="shared" ref="J360:J377" si="380">IF($E$2="Monthly",
IF(AND($E$2="Monthly",$H360&lt;&gt;""),$H360,
IF(AND($E$2="Monthly",$E360=0),SUM($F360:$G360),
$E360)),
IF($E$2="Fortnightly",
IF(AND($E$2="Fortnightly",$H360&lt;&gt;""),$H360,
IF(AND($E$2="Fortnightly",$F360&lt;&gt;"",$E360&lt;&gt;0),$F360,
IF(AND($E$2="Fortnightly",$E360=0),SUM($F360:$G360),
$E360)))))</f>
        <v>0</v>
      </c>
      <c r="L360" s="113">
        <f>IF(AND($E$2="Monthly",$A360&gt;12),"",
IFERROR($J360*VLOOKUP($C360,'Employee information'!$B:$AI,COLUMNS('Employee information'!$B:$P),0),0))</f>
        <v>0</v>
      </c>
      <c r="M360" s="114">
        <f t="shared" ref="M360:M377" si="381">IF(AND($E$2="Monthly",$A360&gt;12),"",
SUMIFS($L:$L,$C:$C,$C360,$A:$A,"&lt;="&amp;$A360)
)</f>
        <v>1615.3846153846152</v>
      </c>
      <c r="O360" s="103">
        <f t="shared" ref="O360:O377" si="382">IF($E$2="Monthly",
IF(AND($E$2="Monthly",$H360&lt;&gt;""),$H360,
IF(AND($E$2="Monthly",$E360=0),$F360,
$E360)),
IF($E$2="Fortnightly",
IF(AND($E$2="Fortnightly",$H360&lt;&gt;""),$H360,
IF(AND($E$2="Fortnightly",$F360&lt;&gt;"",$E360&lt;&gt;0),$F360,
IF(AND($E$2="Fortnightly",$E360=0),$F360,
$E360)))))</f>
        <v>0</v>
      </c>
      <c r="P360" s="113">
        <f>IFERROR(
IF(AND($E$2="Monthly",$A360&gt;12),0,
$O360*VLOOKUP($C360,'Employee information'!$B:$AI,COLUMNS('Employee information'!$B:$P),0)),
0)</f>
        <v>0</v>
      </c>
      <c r="R360" s="114">
        <f t="shared" si="368"/>
        <v>1615.3846153846152</v>
      </c>
      <c r="T360" s="103"/>
      <c r="U360" s="103"/>
      <c r="V360" s="282">
        <f>IF($C360="","",
IF(AND($E$2="Monthly",$A360&gt;12),"",
$T360*VLOOKUP($C360,'Employee information'!$B:$P,COLUMNS('Employee information'!$B:$P),0)))</f>
        <v>0</v>
      </c>
      <c r="W360" s="282">
        <f>IF($C360="","",
IF(AND($E$2="Monthly",$A360&gt;12),"",
$U360*VLOOKUP($C360,'Employee information'!$B:$P,COLUMNS('Employee information'!$B:$P),0)))</f>
        <v>0</v>
      </c>
      <c r="X360" s="114">
        <f t="shared" si="369"/>
        <v>0</v>
      </c>
      <c r="Y360" s="114">
        <f t="shared" si="370"/>
        <v>288.46153846153845</v>
      </c>
      <c r="AA360" s="118">
        <f>IFERROR(
IF(OR('Basic payroll data'!$D$12="",'Basic payroll data'!$D$12="No"),0,
$T360*VLOOKUP($C360,'Employee information'!$B:$P,COLUMNS('Employee information'!$B:$P),0)*AL_loading_perc),
0)</f>
        <v>0</v>
      </c>
      <c r="AC360" s="118"/>
      <c r="AD360" s="118"/>
      <c r="AE360" s="283" t="str">
        <f t="shared" ref="AE360:AE377" si="383">IF(LEFT($AD360,6)="Is OTE",1,
IF(LEFT($AD360,10)="Is not OTE",0,
""))</f>
        <v/>
      </c>
      <c r="AF360" s="283" t="str">
        <f t="shared" ref="AF360:AF377" si="384">IF(RIGHT($AD360,12)="tax withheld",1,
IF(RIGHT($AD360,16)="tax not withheld",0,
""))</f>
        <v/>
      </c>
      <c r="AG360" s="118"/>
      <c r="AH360" s="118"/>
      <c r="AI360" s="283" t="str">
        <f t="shared" ref="AI360:AI377" si="385">IF($AH360="FBT",0,
IF($AH360="Not FBT",1,
""))</f>
        <v/>
      </c>
      <c r="AJ360" s="118"/>
      <c r="AK360" s="118"/>
      <c r="AM360" s="118">
        <f t="shared" ref="AM360:AM377" si="386">SUM($L360,$AA360,$AC360,$AG360,$AK360)-$AJ360</f>
        <v>0</v>
      </c>
      <c r="AN360" s="118">
        <f t="shared" si="371"/>
        <v>0</v>
      </c>
      <c r="AO360" s="118" t="str">
        <f>IFERROR(
IF(VLOOKUP($C360,'Employee information'!$B:$M,COLUMNS('Employee information'!$B:$M),0)=1,
IF($E$2="Fortnightly",
ROUND(
ROUND((((TRUNC($AN360/2,0)+0.99))*VLOOKUP((TRUNC($AN360/2,0)+0.99),'Tax scales - NAT 1004'!$A$12:$C$18,2,1)-VLOOKUP((TRUNC($AN360/2,0)+0.99),'Tax scales - NAT 1004'!$A$12:$C$18,3,1)),0)
*2,
0),
IF(AND($E$2="Monthly",ROUND($AN360-TRUNC($AN360),2)=0.33),
ROUND(
ROUND(((TRUNC(($AN360+0.01)*3/13,0)+0.99)*VLOOKUP((TRUNC(($AN360+0.01)*3/13,0)+0.99),'Tax scales - NAT 1004'!$A$12:$C$18,2,1)-VLOOKUP((TRUNC(($AN360+0.01)*3/13,0)+0.99),'Tax scales - NAT 1004'!$A$12:$C$18,3,1)),0)
*13/3,
0),
IF($E$2="Monthly",
ROUND(
ROUND(((TRUNC($AN360*3/13,0)+0.99)*VLOOKUP((TRUNC($AN360*3/13,0)+0.99),'Tax scales - NAT 1004'!$A$12:$C$18,2,1)-VLOOKUP((TRUNC($AN360*3/13,0)+0.99),'Tax scales - NAT 1004'!$A$12:$C$18,3,1)),0)
*13/3,
0),
""))),
""),
"")</f>
        <v/>
      </c>
      <c r="AP360" s="118" t="str">
        <f>IFERROR(
IF(VLOOKUP($C360,'Employee information'!$B:$M,COLUMNS('Employee information'!$B:$M),0)=2,
IF($E$2="Fortnightly",
ROUND(
ROUND((((TRUNC($AN360/2,0)+0.99))*VLOOKUP((TRUNC($AN360/2,0)+0.99),'Tax scales - NAT 1004'!$A$25:$C$33,2,1)-VLOOKUP((TRUNC($AN360/2,0)+0.99),'Tax scales - NAT 1004'!$A$25:$C$33,3,1)),0)
*2,
0),
IF(AND($E$2="Monthly",ROUND($AN360-TRUNC($AN360),2)=0.33),
ROUND(
ROUND(((TRUNC(($AN360+0.01)*3/13,0)+0.99)*VLOOKUP((TRUNC(($AN360+0.01)*3/13,0)+0.99),'Tax scales - NAT 1004'!$A$25:$C$33,2,1)-VLOOKUP((TRUNC(($AN360+0.01)*3/13,0)+0.99),'Tax scales - NAT 1004'!$A$25:$C$33,3,1)),0)
*13/3,
0),
IF($E$2="Monthly",
ROUND(
ROUND(((TRUNC($AN360*3/13,0)+0.99)*VLOOKUP((TRUNC($AN360*3/13,0)+0.99),'Tax scales - NAT 1004'!$A$25:$C$33,2,1)-VLOOKUP((TRUNC($AN360*3/13,0)+0.99),'Tax scales - NAT 1004'!$A$25:$C$33,3,1)),0)
*13/3,
0),
""))),
""),
"")</f>
        <v/>
      </c>
      <c r="AQ360" s="118" t="str">
        <f>IFERROR(
IF(VLOOKUP($C360,'Employee information'!$B:$M,COLUMNS('Employee information'!$B:$M),0)=3,
IF($E$2="Fortnightly",
ROUND(
ROUND((((TRUNC($AN360/2,0)+0.99))*VLOOKUP((TRUNC($AN360/2,0)+0.99),'Tax scales - NAT 1004'!$A$39:$C$41,2,1)-VLOOKUP((TRUNC($AN360/2,0)+0.99),'Tax scales - NAT 1004'!$A$39:$C$41,3,1)),0)
*2,
0),
IF(AND($E$2="Monthly",ROUND($AN360-TRUNC($AN360),2)=0.33),
ROUND(
ROUND(((TRUNC(($AN360+0.01)*3/13,0)+0.99)*VLOOKUP((TRUNC(($AN360+0.01)*3/13,0)+0.99),'Tax scales - NAT 1004'!$A$39:$C$41,2,1)-VLOOKUP((TRUNC(($AN360+0.01)*3/13,0)+0.99),'Tax scales - NAT 1004'!$A$39:$C$41,3,1)),0)
*13/3,
0),
IF($E$2="Monthly",
ROUND(
ROUND(((TRUNC($AN360*3/13,0)+0.99)*VLOOKUP((TRUNC($AN360*3/13,0)+0.99),'Tax scales - NAT 1004'!$A$39:$C$41,2,1)-VLOOKUP((TRUNC($AN360*3/13,0)+0.99),'Tax scales - NAT 1004'!$A$39:$C$41,3,1)),0)
*13/3,
0),
""))),
""),
"")</f>
        <v/>
      </c>
      <c r="AR360" s="118" t="str">
        <f>IFERROR(
IF(AND(VLOOKUP($C360,'Employee information'!$B:$M,COLUMNS('Employee information'!$B:$M),0)=4,
VLOOKUP($C360,'Employee information'!$B:$J,COLUMNS('Employee information'!$B:$J),0)="Resident"),
TRUNC(TRUNC($AN360)*'Tax scales - NAT 1004'!$B$47),
IF(AND(VLOOKUP($C360,'Employee information'!$B:$M,COLUMNS('Employee information'!$B:$M),0)=4,
VLOOKUP($C360,'Employee information'!$B:$J,COLUMNS('Employee information'!$B:$J),0)="Foreign resident"),
TRUNC(TRUNC($AN360)*'Tax scales - NAT 1004'!$B$48),
"")),
"")</f>
        <v/>
      </c>
      <c r="AS360" s="118" t="str">
        <f>IFERROR(
IF(VLOOKUP($C360,'Employee information'!$B:$M,COLUMNS('Employee information'!$B:$M),0)=5,
IF($E$2="Fortnightly",
ROUND(
ROUND((((TRUNC($AN360/2,0)+0.99))*VLOOKUP((TRUNC($AN360/2,0)+0.99),'Tax scales - NAT 1004'!$A$53:$C$59,2,1)-VLOOKUP((TRUNC($AN360/2,0)+0.99),'Tax scales - NAT 1004'!$A$53:$C$59,3,1)),0)
*2,
0),
IF(AND($E$2="Monthly",ROUND($AN360-TRUNC($AN360),2)=0.33),
ROUND(
ROUND(((TRUNC(($AN360+0.01)*3/13,0)+0.99)*VLOOKUP((TRUNC(($AN360+0.01)*3/13,0)+0.99),'Tax scales - NAT 1004'!$A$53:$C$59,2,1)-VLOOKUP((TRUNC(($AN360+0.01)*3/13,0)+0.99),'Tax scales - NAT 1004'!$A$53:$C$59,3,1)),0)
*13/3,
0),
IF($E$2="Monthly",
ROUND(
ROUND(((TRUNC($AN360*3/13,0)+0.99)*VLOOKUP((TRUNC($AN360*3/13,0)+0.99),'Tax scales - NAT 1004'!$A$53:$C$59,2,1)-VLOOKUP((TRUNC($AN360*3/13,0)+0.99),'Tax scales - NAT 1004'!$A$53:$C$59,3,1)),0)
*13/3,
0),
""))),
""),
"")</f>
        <v/>
      </c>
      <c r="AT360" s="118" t="str">
        <f>IFERROR(
IF(VLOOKUP($C360,'Employee information'!$B:$M,COLUMNS('Employee information'!$B:$M),0)=6,
IF($E$2="Fortnightly",
ROUND(
ROUND((((TRUNC($AN360/2,0)+0.99))*VLOOKUP((TRUNC($AN360/2,0)+0.99),'Tax scales - NAT 1004'!$A$65:$C$73,2,1)-VLOOKUP((TRUNC($AN360/2,0)+0.99),'Tax scales - NAT 1004'!$A$65:$C$73,3,1)),0)
*2,
0),
IF(AND($E$2="Monthly",ROUND($AN360-TRUNC($AN360),2)=0.33),
ROUND(
ROUND(((TRUNC(($AN360+0.01)*3/13,0)+0.99)*VLOOKUP((TRUNC(($AN360+0.01)*3/13,0)+0.99),'Tax scales - NAT 1004'!$A$65:$C$73,2,1)-VLOOKUP((TRUNC(($AN360+0.01)*3/13,0)+0.99),'Tax scales - NAT 1004'!$A$65:$C$73,3,1)),0)
*13/3,
0),
IF($E$2="Monthly",
ROUND(
ROUND(((TRUNC($AN360*3/13,0)+0.99)*VLOOKUP((TRUNC($AN360*3/13,0)+0.99),'Tax scales - NAT 1004'!$A$65:$C$73,2,1)-VLOOKUP((TRUNC($AN360*3/13,0)+0.99),'Tax scales - NAT 1004'!$A$65:$C$73,3,1)),0)
*13/3,
0),
""))),
""),
"")</f>
        <v/>
      </c>
      <c r="AU360" s="118">
        <f>IFERROR(
IF(VLOOKUP($C360,'Employee information'!$B:$M,COLUMNS('Employee information'!$B:$M),0)=11,
IF($E$2="Fortnightly",
ROUND(
ROUND((((TRUNC($AN360/2,0)+0.99))*VLOOKUP((TRUNC($AN360/2,0)+0.99),'Tax scales - NAT 3539'!$A$14:$C$38,2,1)-VLOOKUP((TRUNC($AN360/2,0)+0.99),'Tax scales - NAT 3539'!$A$14:$C$38,3,1)),0)
*2,
0),
IF(AND($E$2="Monthly",ROUND($AN360-TRUNC($AN360),2)=0.33),
ROUND(
ROUND(((TRUNC(($AN360+0.01)*3/13,0)+0.99)*VLOOKUP((TRUNC(($AN360+0.01)*3/13,0)+0.99),'Tax scales - NAT 3539'!$A$14:$C$38,2,1)-VLOOKUP((TRUNC(($AN360+0.01)*3/13,0)+0.99),'Tax scales - NAT 3539'!$A$14:$C$38,3,1)),0)
*13/3,
0),
IF($E$2="Monthly",
ROUND(
ROUND(((TRUNC($AN360*3/13,0)+0.99)*VLOOKUP((TRUNC($AN360*3/13,0)+0.99),'Tax scales - NAT 3539'!$A$14:$C$38,2,1)-VLOOKUP((TRUNC($AN360*3/13,0)+0.99),'Tax scales - NAT 3539'!$A$14:$C$38,3,1)),0)
*13/3,
0),
""))),
""),
"")</f>
        <v>0</v>
      </c>
      <c r="AV360" s="118" t="str">
        <f>IFERROR(
IF(VLOOKUP($C360,'Employee information'!$B:$M,COLUMNS('Employee information'!$B:$M),0)=22,
IF($E$2="Fortnightly",
ROUND(
ROUND((((TRUNC($AN360/2,0)+0.99))*VLOOKUP((TRUNC($AN360/2,0)+0.99),'Tax scales - NAT 3539'!$A$43:$C$69,2,1)-VLOOKUP((TRUNC($AN360/2,0)+0.99),'Tax scales - NAT 3539'!$A$43:$C$69,3,1)),0)
*2,
0),
IF(AND($E$2="Monthly",ROUND($AN360-TRUNC($AN360),2)=0.33),
ROUND(
ROUND(((TRUNC(($AN360+0.01)*3/13,0)+0.99)*VLOOKUP((TRUNC(($AN360+0.01)*3/13,0)+0.99),'Tax scales - NAT 3539'!$A$43:$C$69,2,1)-VLOOKUP((TRUNC(($AN360+0.01)*3/13,0)+0.99),'Tax scales - NAT 3539'!$A$43:$C$69,3,1)),0)
*13/3,
0),
IF($E$2="Monthly",
ROUND(
ROUND(((TRUNC($AN360*3/13,0)+0.99)*VLOOKUP((TRUNC($AN360*3/13,0)+0.99),'Tax scales - NAT 3539'!$A$43:$C$69,2,1)-VLOOKUP((TRUNC($AN360*3/13,0)+0.99),'Tax scales - NAT 3539'!$A$43:$C$69,3,1)),0)
*13/3,
0),
""))),
""),
"")</f>
        <v/>
      </c>
      <c r="AW360" s="118" t="str">
        <f>IFERROR(
IF(VLOOKUP($C360,'Employee information'!$B:$M,COLUMNS('Employee information'!$B:$M),0)=33,
IF($E$2="Fortnightly",
ROUND(
ROUND((((TRUNC($AN360/2,0)+0.99))*VLOOKUP((TRUNC($AN360/2,0)+0.99),'Tax scales - NAT 3539'!$A$74:$C$94,2,1)-VLOOKUP((TRUNC($AN360/2,0)+0.99),'Tax scales - NAT 3539'!$A$74:$C$94,3,1)),0)
*2,
0),
IF(AND($E$2="Monthly",ROUND($AN360-TRUNC($AN360),2)=0.33),
ROUND(
ROUND(((TRUNC(($AN360+0.01)*3/13,0)+0.99)*VLOOKUP((TRUNC(($AN360+0.01)*3/13,0)+0.99),'Tax scales - NAT 3539'!$A$74:$C$94,2,1)-VLOOKUP((TRUNC(($AN360+0.01)*3/13,0)+0.99),'Tax scales - NAT 3539'!$A$74:$C$94,3,1)),0)
*13/3,
0),
IF($E$2="Monthly",
ROUND(
ROUND(((TRUNC($AN360*3/13,0)+0.99)*VLOOKUP((TRUNC($AN360*3/13,0)+0.99),'Tax scales - NAT 3539'!$A$74:$C$94,2,1)-VLOOKUP((TRUNC($AN360*3/13,0)+0.99),'Tax scales - NAT 3539'!$A$74:$C$94,3,1)),0)
*13/3,
0),
""))),
""),
"")</f>
        <v/>
      </c>
      <c r="AX360" s="118" t="str">
        <f>IFERROR(
IF(VLOOKUP($C360,'Employee information'!$B:$M,COLUMNS('Employee information'!$B:$M),0)=55,
IF($E$2="Fortnightly",
ROUND(
ROUND((((TRUNC($AN360/2,0)+0.99))*VLOOKUP((TRUNC($AN360/2,0)+0.99),'Tax scales - NAT 3539'!$A$99:$C$123,2,1)-VLOOKUP((TRUNC($AN360/2,0)+0.99),'Tax scales - NAT 3539'!$A$99:$C$123,3,1)),0)
*2,
0),
IF(AND($E$2="Monthly",ROUND($AN360-TRUNC($AN360),2)=0.33),
ROUND(
ROUND(((TRUNC(($AN360+0.01)*3/13,0)+0.99)*VLOOKUP((TRUNC(($AN360+0.01)*3/13,0)+0.99),'Tax scales - NAT 3539'!$A$99:$C$123,2,1)-VLOOKUP((TRUNC(($AN360+0.01)*3/13,0)+0.99),'Tax scales - NAT 3539'!$A$99:$C$123,3,1)),0)
*13/3,
0),
IF($E$2="Monthly",
ROUND(
ROUND(((TRUNC($AN360*3/13,0)+0.99)*VLOOKUP((TRUNC($AN360*3/13,0)+0.99),'Tax scales - NAT 3539'!$A$99:$C$123,2,1)-VLOOKUP((TRUNC($AN360*3/13,0)+0.99),'Tax scales - NAT 3539'!$A$99:$C$123,3,1)),0)
*13/3,
0),
""))),
""),
"")</f>
        <v/>
      </c>
      <c r="AY360" s="118" t="str">
        <f>IFERROR(
IF(VLOOKUP($C360,'Employee information'!$B:$M,COLUMNS('Employee information'!$B:$M),0)=66,
IF($E$2="Fortnightly",
ROUND(
ROUND((((TRUNC($AN360/2,0)+0.99))*VLOOKUP((TRUNC($AN360/2,0)+0.99),'Tax scales - NAT 3539'!$A$127:$C$154,2,1)-VLOOKUP((TRUNC($AN360/2,0)+0.99),'Tax scales - NAT 3539'!$A$127:$C$154,3,1)),0)
*2,
0),
IF(AND($E$2="Monthly",ROUND($AN360-TRUNC($AN360),2)=0.33),
ROUND(
ROUND(((TRUNC(($AN360+0.01)*3/13,0)+0.99)*VLOOKUP((TRUNC(($AN360+0.01)*3/13,0)+0.99),'Tax scales - NAT 3539'!$A$127:$C$154,2,1)-VLOOKUP((TRUNC(($AN360+0.01)*3/13,0)+0.99),'Tax scales - NAT 3539'!$A$127:$C$154,3,1)),0)
*13/3,
0),
IF($E$2="Monthly",
ROUND(
ROUND(((TRUNC($AN360*3/13,0)+0.99)*VLOOKUP((TRUNC($AN360*3/13,0)+0.99),'Tax scales - NAT 3539'!$A$127:$C$154,2,1)-VLOOKUP((TRUNC($AN360*3/13,0)+0.99),'Tax scales - NAT 3539'!$A$127:$C$154,3,1)),0)
*13/3,
0),
""))),
""),
"")</f>
        <v/>
      </c>
      <c r="AZ360" s="118">
        <f>IFERROR(
HLOOKUP(VLOOKUP($C360,'Employee information'!$B:$M,COLUMNS('Employee information'!$B:$M),0),'PAYG worksheet'!$AO$358:$AY$377,COUNTA($C$359:$C360)+1,0),
0)</f>
        <v>0</v>
      </c>
      <c r="BA360" s="118"/>
      <c r="BB360" s="118">
        <f t="shared" ref="BB360:BB377" si="387">IFERROR($AM360-$AZ360-$BA360,"")</f>
        <v>0</v>
      </c>
      <c r="BC360" s="119">
        <f>IFERROR(
IF(OR($AE360=1,$AE360=""),SUM($P360,$AA360,$AC360,$AK360)*VLOOKUP($C360,'Employee information'!$B:$Q,COLUMNS('Employee information'!$B:$H),0),
IF($AE360=0,SUM($P360,$AA360,$AK360)*VLOOKUP($C360,'Employee information'!$B:$Q,COLUMNS('Employee information'!$B:$H),0),
0)),
0)</f>
        <v>0</v>
      </c>
      <c r="BE360" s="114">
        <f t="shared" si="372"/>
        <v>1615.3846153846152</v>
      </c>
      <c r="BF360" s="114">
        <f t="shared" si="373"/>
        <v>1615.3846153846152</v>
      </c>
      <c r="BG360" s="114">
        <f t="shared" si="374"/>
        <v>0</v>
      </c>
      <c r="BH360" s="114">
        <f t="shared" si="375"/>
        <v>0</v>
      </c>
      <c r="BI360" s="114">
        <f t="shared" si="376"/>
        <v>474</v>
      </c>
      <c r="BJ360" s="114">
        <f t="shared" si="377"/>
        <v>0</v>
      </c>
      <c r="BK360" s="114">
        <f t="shared" si="378"/>
        <v>0</v>
      </c>
      <c r="BL360" s="114">
        <f t="shared" ref="BL360:BL377" si="388">IF(AND($E$2="Monthly",$A360&gt;12),"",
SUMIFS($AK:$AK,$C:$C,$C360,$A:$A,"&lt;="&amp;$A360)
)</f>
        <v>0</v>
      </c>
      <c r="BM360" s="114">
        <f t="shared" si="379"/>
        <v>153.46153846153845</v>
      </c>
    </row>
    <row r="361" spans="1:65" x14ac:dyDescent="0.25">
      <c r="A361" s="228">
        <f t="shared" si="367"/>
        <v>13</v>
      </c>
      <c r="C361" s="278" t="s">
        <v>14</v>
      </c>
      <c r="E361" s="103">
        <f>IF($C361="",0,
IF(AND($E$2="Monthly",$A361&gt;12),0,
IF($E$2="Monthly",VLOOKUP($C361,'Employee information'!$B:$AM,COLUMNS('Employee information'!$B:S),0),
IF($E$2="Fortnightly",VLOOKUP($C361,'Employee information'!$B:$AM,COLUMNS('Employee information'!$B:R),0),
0))))</f>
        <v>0</v>
      </c>
      <c r="F361" s="106"/>
      <c r="G361" s="106"/>
      <c r="H361" s="106"/>
      <c r="I361" s="106"/>
      <c r="J361" s="103">
        <f t="shared" si="380"/>
        <v>0</v>
      </c>
      <c r="L361" s="113">
        <f>IF(AND($E$2="Monthly",$A361&gt;12),"",
IFERROR($J361*VLOOKUP($C361,'Employee information'!$B:$AI,COLUMNS('Employee information'!$B:$P),0),0))</f>
        <v>0</v>
      </c>
      <c r="M361" s="114">
        <f t="shared" si="381"/>
        <v>900</v>
      </c>
      <c r="O361" s="103">
        <f t="shared" si="382"/>
        <v>0</v>
      </c>
      <c r="P361" s="113">
        <f>IFERROR(
IF(AND($E$2="Monthly",$A361&gt;12),0,
$O361*VLOOKUP($C361,'Employee information'!$B:$AI,COLUMNS('Employee information'!$B:$P),0)),
0)</f>
        <v>0</v>
      </c>
      <c r="R361" s="114">
        <f t="shared" si="368"/>
        <v>900</v>
      </c>
      <c r="T361" s="103"/>
      <c r="U361" s="103"/>
      <c r="V361" s="282">
        <f>IF($C361="","",
IF(AND($E$2="Monthly",$A361&gt;12),"",
$T361*VLOOKUP($C361,'Employee information'!$B:$P,COLUMNS('Employee information'!$B:$P),0)))</f>
        <v>0</v>
      </c>
      <c r="W361" s="282">
        <f>IF($C361="","",
IF(AND($E$2="Monthly",$A361&gt;12),"",
$U361*VLOOKUP($C361,'Employee information'!$B:$P,COLUMNS('Employee information'!$B:$P),0)))</f>
        <v>0</v>
      </c>
      <c r="X361" s="114">
        <f t="shared" si="369"/>
        <v>0</v>
      </c>
      <c r="Y361" s="114">
        <f t="shared" si="370"/>
        <v>0</v>
      </c>
      <c r="AA361" s="118">
        <f>IFERROR(
IF(OR('Basic payroll data'!$D$12="",'Basic payroll data'!$D$12="No"),0,
$T361*VLOOKUP($C361,'Employee information'!$B:$P,COLUMNS('Employee information'!$B:$P),0)*AL_loading_perc),
0)</f>
        <v>0</v>
      </c>
      <c r="AC361" s="118"/>
      <c r="AD361" s="118"/>
      <c r="AE361" s="283" t="str">
        <f t="shared" si="383"/>
        <v/>
      </c>
      <c r="AF361" s="283" t="str">
        <f t="shared" si="384"/>
        <v/>
      </c>
      <c r="AG361" s="118"/>
      <c r="AH361" s="118"/>
      <c r="AI361" s="283" t="str">
        <f t="shared" si="385"/>
        <v/>
      </c>
      <c r="AJ361" s="118"/>
      <c r="AK361" s="118"/>
      <c r="AM361" s="118">
        <f t="shared" si="386"/>
        <v>0</v>
      </c>
      <c r="AN361" s="118">
        <f t="shared" si="371"/>
        <v>0</v>
      </c>
      <c r="AO361" s="118" t="str">
        <f>IFERROR(
IF(VLOOKUP($C361,'Employee information'!$B:$M,COLUMNS('Employee information'!$B:$M),0)=1,
IF($E$2="Fortnightly",
ROUND(
ROUND((((TRUNC($AN361/2,0)+0.99))*VLOOKUP((TRUNC($AN361/2,0)+0.99),'Tax scales - NAT 1004'!$A$12:$C$18,2,1)-VLOOKUP((TRUNC($AN361/2,0)+0.99),'Tax scales - NAT 1004'!$A$12:$C$18,3,1)),0)
*2,
0),
IF(AND($E$2="Monthly",ROUND($AN361-TRUNC($AN361),2)=0.33),
ROUND(
ROUND(((TRUNC(($AN361+0.01)*3/13,0)+0.99)*VLOOKUP((TRUNC(($AN361+0.01)*3/13,0)+0.99),'Tax scales - NAT 1004'!$A$12:$C$18,2,1)-VLOOKUP((TRUNC(($AN361+0.01)*3/13,0)+0.99),'Tax scales - NAT 1004'!$A$12:$C$18,3,1)),0)
*13/3,
0),
IF($E$2="Monthly",
ROUND(
ROUND(((TRUNC($AN361*3/13,0)+0.99)*VLOOKUP((TRUNC($AN361*3/13,0)+0.99),'Tax scales - NAT 1004'!$A$12:$C$18,2,1)-VLOOKUP((TRUNC($AN361*3/13,0)+0.99),'Tax scales - NAT 1004'!$A$12:$C$18,3,1)),0)
*13/3,
0),
""))),
""),
"")</f>
        <v/>
      </c>
      <c r="AP361" s="118" t="str">
        <f>IFERROR(
IF(VLOOKUP($C361,'Employee information'!$B:$M,COLUMNS('Employee information'!$B:$M),0)=2,
IF($E$2="Fortnightly",
ROUND(
ROUND((((TRUNC($AN361/2,0)+0.99))*VLOOKUP((TRUNC($AN361/2,0)+0.99),'Tax scales - NAT 1004'!$A$25:$C$33,2,1)-VLOOKUP((TRUNC($AN361/2,0)+0.99),'Tax scales - NAT 1004'!$A$25:$C$33,3,1)),0)
*2,
0),
IF(AND($E$2="Monthly",ROUND($AN361-TRUNC($AN361),2)=0.33),
ROUND(
ROUND(((TRUNC(($AN361+0.01)*3/13,0)+0.99)*VLOOKUP((TRUNC(($AN361+0.01)*3/13,0)+0.99),'Tax scales - NAT 1004'!$A$25:$C$33,2,1)-VLOOKUP((TRUNC(($AN361+0.01)*3/13,0)+0.99),'Tax scales - NAT 1004'!$A$25:$C$33,3,1)),0)
*13/3,
0),
IF($E$2="Monthly",
ROUND(
ROUND(((TRUNC($AN361*3/13,0)+0.99)*VLOOKUP((TRUNC($AN361*3/13,0)+0.99),'Tax scales - NAT 1004'!$A$25:$C$33,2,1)-VLOOKUP((TRUNC($AN361*3/13,0)+0.99),'Tax scales - NAT 1004'!$A$25:$C$33,3,1)),0)
*13/3,
0),
""))),
""),
"")</f>
        <v/>
      </c>
      <c r="AQ361" s="118" t="str">
        <f>IFERROR(
IF(VLOOKUP($C361,'Employee information'!$B:$M,COLUMNS('Employee information'!$B:$M),0)=3,
IF($E$2="Fortnightly",
ROUND(
ROUND((((TRUNC($AN361/2,0)+0.99))*VLOOKUP((TRUNC($AN361/2,0)+0.99),'Tax scales - NAT 1004'!$A$39:$C$41,2,1)-VLOOKUP((TRUNC($AN361/2,0)+0.99),'Tax scales - NAT 1004'!$A$39:$C$41,3,1)),0)
*2,
0),
IF(AND($E$2="Monthly",ROUND($AN361-TRUNC($AN361),2)=0.33),
ROUND(
ROUND(((TRUNC(($AN361+0.01)*3/13,0)+0.99)*VLOOKUP((TRUNC(($AN361+0.01)*3/13,0)+0.99),'Tax scales - NAT 1004'!$A$39:$C$41,2,1)-VLOOKUP((TRUNC(($AN361+0.01)*3/13,0)+0.99),'Tax scales - NAT 1004'!$A$39:$C$41,3,1)),0)
*13/3,
0),
IF($E$2="Monthly",
ROUND(
ROUND(((TRUNC($AN361*3/13,0)+0.99)*VLOOKUP((TRUNC($AN361*3/13,0)+0.99),'Tax scales - NAT 1004'!$A$39:$C$41,2,1)-VLOOKUP((TRUNC($AN361*3/13,0)+0.99),'Tax scales - NAT 1004'!$A$39:$C$41,3,1)),0)
*13/3,
0),
""))),
""),
"")</f>
        <v/>
      </c>
      <c r="AR361" s="118" t="str">
        <f>IFERROR(
IF(AND(VLOOKUP($C361,'Employee information'!$B:$M,COLUMNS('Employee information'!$B:$M),0)=4,
VLOOKUP($C361,'Employee information'!$B:$J,COLUMNS('Employee information'!$B:$J),0)="Resident"),
TRUNC(TRUNC($AN361)*'Tax scales - NAT 1004'!$B$47),
IF(AND(VLOOKUP($C361,'Employee information'!$B:$M,COLUMNS('Employee information'!$B:$M),0)=4,
VLOOKUP($C361,'Employee information'!$B:$J,COLUMNS('Employee information'!$B:$J),0)="Foreign resident"),
TRUNC(TRUNC($AN361)*'Tax scales - NAT 1004'!$B$48),
"")),
"")</f>
        <v/>
      </c>
      <c r="AS361" s="118" t="str">
        <f>IFERROR(
IF(VLOOKUP($C361,'Employee information'!$B:$M,COLUMNS('Employee information'!$B:$M),0)=5,
IF($E$2="Fortnightly",
ROUND(
ROUND((((TRUNC($AN361/2,0)+0.99))*VLOOKUP((TRUNC($AN361/2,0)+0.99),'Tax scales - NAT 1004'!$A$53:$C$59,2,1)-VLOOKUP((TRUNC($AN361/2,0)+0.99),'Tax scales - NAT 1004'!$A$53:$C$59,3,1)),0)
*2,
0),
IF(AND($E$2="Monthly",ROUND($AN361-TRUNC($AN361),2)=0.33),
ROUND(
ROUND(((TRUNC(($AN361+0.01)*3/13,0)+0.99)*VLOOKUP((TRUNC(($AN361+0.01)*3/13,0)+0.99),'Tax scales - NAT 1004'!$A$53:$C$59,2,1)-VLOOKUP((TRUNC(($AN361+0.01)*3/13,0)+0.99),'Tax scales - NAT 1004'!$A$53:$C$59,3,1)),0)
*13/3,
0),
IF($E$2="Monthly",
ROUND(
ROUND(((TRUNC($AN361*3/13,0)+0.99)*VLOOKUP((TRUNC($AN361*3/13,0)+0.99),'Tax scales - NAT 1004'!$A$53:$C$59,2,1)-VLOOKUP((TRUNC($AN361*3/13,0)+0.99),'Tax scales - NAT 1004'!$A$53:$C$59,3,1)),0)
*13/3,
0),
""))),
""),
"")</f>
        <v/>
      </c>
      <c r="AT361" s="118" t="str">
        <f>IFERROR(
IF(VLOOKUP($C361,'Employee information'!$B:$M,COLUMNS('Employee information'!$B:$M),0)=6,
IF($E$2="Fortnightly",
ROUND(
ROUND((((TRUNC($AN361/2,0)+0.99))*VLOOKUP((TRUNC($AN361/2,0)+0.99),'Tax scales - NAT 1004'!$A$65:$C$73,2,1)-VLOOKUP((TRUNC($AN361/2,0)+0.99),'Tax scales - NAT 1004'!$A$65:$C$73,3,1)),0)
*2,
0),
IF(AND($E$2="Monthly",ROUND($AN361-TRUNC($AN361),2)=0.33),
ROUND(
ROUND(((TRUNC(($AN361+0.01)*3/13,0)+0.99)*VLOOKUP((TRUNC(($AN361+0.01)*3/13,0)+0.99),'Tax scales - NAT 1004'!$A$65:$C$73,2,1)-VLOOKUP((TRUNC(($AN361+0.01)*3/13,0)+0.99),'Tax scales - NAT 1004'!$A$65:$C$73,3,1)),0)
*13/3,
0),
IF($E$2="Monthly",
ROUND(
ROUND(((TRUNC($AN361*3/13,0)+0.99)*VLOOKUP((TRUNC($AN361*3/13,0)+0.99),'Tax scales - NAT 1004'!$A$65:$C$73,2,1)-VLOOKUP((TRUNC($AN361*3/13,0)+0.99),'Tax scales - NAT 1004'!$A$65:$C$73,3,1)),0)
*13/3,
0),
""))),
""),
"")</f>
        <v/>
      </c>
      <c r="AU361" s="118" t="str">
        <f>IFERROR(
IF(VLOOKUP($C361,'Employee information'!$B:$M,COLUMNS('Employee information'!$B:$M),0)=11,
IF($E$2="Fortnightly",
ROUND(
ROUND((((TRUNC($AN361/2,0)+0.99))*VLOOKUP((TRUNC($AN361/2,0)+0.99),'Tax scales - NAT 3539'!$A$14:$C$38,2,1)-VLOOKUP((TRUNC($AN361/2,0)+0.99),'Tax scales - NAT 3539'!$A$14:$C$38,3,1)),0)
*2,
0),
IF(AND($E$2="Monthly",ROUND($AN361-TRUNC($AN361),2)=0.33),
ROUND(
ROUND(((TRUNC(($AN361+0.01)*3/13,0)+0.99)*VLOOKUP((TRUNC(($AN361+0.01)*3/13,0)+0.99),'Tax scales - NAT 3539'!$A$14:$C$38,2,1)-VLOOKUP((TRUNC(($AN361+0.01)*3/13,0)+0.99),'Tax scales - NAT 3539'!$A$14:$C$38,3,1)),0)
*13/3,
0),
IF($E$2="Monthly",
ROUND(
ROUND(((TRUNC($AN361*3/13,0)+0.99)*VLOOKUP((TRUNC($AN361*3/13,0)+0.99),'Tax scales - NAT 3539'!$A$14:$C$38,2,1)-VLOOKUP((TRUNC($AN361*3/13,0)+0.99),'Tax scales - NAT 3539'!$A$14:$C$38,3,1)),0)
*13/3,
0),
""))),
""),
"")</f>
        <v/>
      </c>
      <c r="AV361" s="118" t="str">
        <f>IFERROR(
IF(VLOOKUP($C361,'Employee information'!$B:$M,COLUMNS('Employee information'!$B:$M),0)=22,
IF($E$2="Fortnightly",
ROUND(
ROUND((((TRUNC($AN361/2,0)+0.99))*VLOOKUP((TRUNC($AN361/2,0)+0.99),'Tax scales - NAT 3539'!$A$43:$C$69,2,1)-VLOOKUP((TRUNC($AN361/2,0)+0.99),'Tax scales - NAT 3539'!$A$43:$C$69,3,1)),0)
*2,
0),
IF(AND($E$2="Monthly",ROUND($AN361-TRUNC($AN361),2)=0.33),
ROUND(
ROUND(((TRUNC(($AN361+0.01)*3/13,0)+0.99)*VLOOKUP((TRUNC(($AN361+0.01)*3/13,0)+0.99),'Tax scales - NAT 3539'!$A$43:$C$69,2,1)-VLOOKUP((TRUNC(($AN361+0.01)*3/13,0)+0.99),'Tax scales - NAT 3539'!$A$43:$C$69,3,1)),0)
*13/3,
0),
IF($E$2="Monthly",
ROUND(
ROUND(((TRUNC($AN361*3/13,0)+0.99)*VLOOKUP((TRUNC($AN361*3/13,0)+0.99),'Tax scales - NAT 3539'!$A$43:$C$69,2,1)-VLOOKUP((TRUNC($AN361*3/13,0)+0.99),'Tax scales - NAT 3539'!$A$43:$C$69,3,1)),0)
*13/3,
0),
""))),
""),
"")</f>
        <v/>
      </c>
      <c r="AW361" s="118">
        <f>IFERROR(
IF(VLOOKUP($C361,'Employee information'!$B:$M,COLUMNS('Employee information'!$B:$M),0)=33,
IF($E$2="Fortnightly",
ROUND(
ROUND((((TRUNC($AN361/2,0)+0.99))*VLOOKUP((TRUNC($AN361/2,0)+0.99),'Tax scales - NAT 3539'!$A$74:$C$94,2,1)-VLOOKUP((TRUNC($AN361/2,0)+0.99),'Tax scales - NAT 3539'!$A$74:$C$94,3,1)),0)
*2,
0),
IF(AND($E$2="Monthly",ROUND($AN361-TRUNC($AN361),2)=0.33),
ROUND(
ROUND(((TRUNC(($AN361+0.01)*3/13,0)+0.99)*VLOOKUP((TRUNC(($AN361+0.01)*3/13,0)+0.99),'Tax scales - NAT 3539'!$A$74:$C$94,2,1)-VLOOKUP((TRUNC(($AN361+0.01)*3/13,0)+0.99),'Tax scales - NAT 3539'!$A$74:$C$94,3,1)),0)
*13/3,
0),
IF($E$2="Monthly",
ROUND(
ROUND(((TRUNC($AN361*3/13,0)+0.99)*VLOOKUP((TRUNC($AN361*3/13,0)+0.99),'Tax scales - NAT 3539'!$A$74:$C$94,2,1)-VLOOKUP((TRUNC($AN361*3/13,0)+0.99),'Tax scales - NAT 3539'!$A$74:$C$94,3,1)),0)
*13/3,
0),
""))),
""),
"")</f>
        <v>0</v>
      </c>
      <c r="AX361" s="118" t="str">
        <f>IFERROR(
IF(VLOOKUP($C361,'Employee information'!$B:$M,COLUMNS('Employee information'!$B:$M),0)=55,
IF($E$2="Fortnightly",
ROUND(
ROUND((((TRUNC($AN361/2,0)+0.99))*VLOOKUP((TRUNC($AN361/2,0)+0.99),'Tax scales - NAT 3539'!$A$99:$C$123,2,1)-VLOOKUP((TRUNC($AN361/2,0)+0.99),'Tax scales - NAT 3539'!$A$99:$C$123,3,1)),0)
*2,
0),
IF(AND($E$2="Monthly",ROUND($AN361-TRUNC($AN361),2)=0.33),
ROUND(
ROUND(((TRUNC(($AN361+0.01)*3/13,0)+0.99)*VLOOKUP((TRUNC(($AN361+0.01)*3/13,0)+0.99),'Tax scales - NAT 3539'!$A$99:$C$123,2,1)-VLOOKUP((TRUNC(($AN361+0.01)*3/13,0)+0.99),'Tax scales - NAT 3539'!$A$99:$C$123,3,1)),0)
*13/3,
0),
IF($E$2="Monthly",
ROUND(
ROUND(((TRUNC($AN361*3/13,0)+0.99)*VLOOKUP((TRUNC($AN361*3/13,0)+0.99),'Tax scales - NAT 3539'!$A$99:$C$123,2,1)-VLOOKUP((TRUNC($AN361*3/13,0)+0.99),'Tax scales - NAT 3539'!$A$99:$C$123,3,1)),0)
*13/3,
0),
""))),
""),
"")</f>
        <v/>
      </c>
      <c r="AY361" s="118" t="str">
        <f>IFERROR(
IF(VLOOKUP($C361,'Employee information'!$B:$M,COLUMNS('Employee information'!$B:$M),0)=66,
IF($E$2="Fortnightly",
ROUND(
ROUND((((TRUNC($AN361/2,0)+0.99))*VLOOKUP((TRUNC($AN361/2,0)+0.99),'Tax scales - NAT 3539'!$A$127:$C$154,2,1)-VLOOKUP((TRUNC($AN361/2,0)+0.99),'Tax scales - NAT 3539'!$A$127:$C$154,3,1)),0)
*2,
0),
IF(AND($E$2="Monthly",ROUND($AN361-TRUNC($AN361),2)=0.33),
ROUND(
ROUND(((TRUNC(($AN361+0.01)*3/13,0)+0.99)*VLOOKUP((TRUNC(($AN361+0.01)*3/13,0)+0.99),'Tax scales - NAT 3539'!$A$127:$C$154,2,1)-VLOOKUP((TRUNC(($AN361+0.01)*3/13,0)+0.99),'Tax scales - NAT 3539'!$A$127:$C$154,3,1)),0)
*13/3,
0),
IF($E$2="Monthly",
ROUND(
ROUND(((TRUNC($AN361*3/13,0)+0.99)*VLOOKUP((TRUNC($AN361*3/13,0)+0.99),'Tax scales - NAT 3539'!$A$127:$C$154,2,1)-VLOOKUP((TRUNC($AN361*3/13,0)+0.99),'Tax scales - NAT 3539'!$A$127:$C$154,3,1)),0)
*13/3,
0),
""))),
""),
"")</f>
        <v/>
      </c>
      <c r="AZ361" s="118">
        <f>IFERROR(
HLOOKUP(VLOOKUP($C361,'Employee information'!$B:$M,COLUMNS('Employee information'!$B:$M),0),'PAYG worksheet'!$AO$358:$AY$377,COUNTA($C$359:$C361)+1,0),
0)</f>
        <v>0</v>
      </c>
      <c r="BA361" s="118"/>
      <c r="BB361" s="118">
        <f t="shared" si="387"/>
        <v>0</v>
      </c>
      <c r="BC361" s="119">
        <f>IFERROR(
IF(OR($AE361=1,$AE361=""),SUM($P361,$AA361,$AC361,$AK361)*VLOOKUP($C361,'Employee information'!$B:$Q,COLUMNS('Employee information'!$B:$H),0),
IF($AE361=0,SUM($P361,$AA361,$AK361)*VLOOKUP($C361,'Employee information'!$B:$Q,COLUMNS('Employee information'!$B:$H),0),
0)),
0)</f>
        <v>0</v>
      </c>
      <c r="BE361" s="114">
        <f t="shared" si="372"/>
        <v>900</v>
      </c>
      <c r="BF361" s="114">
        <f t="shared" si="373"/>
        <v>900</v>
      </c>
      <c r="BG361" s="114">
        <f t="shared" si="374"/>
        <v>0</v>
      </c>
      <c r="BH361" s="114">
        <f t="shared" si="375"/>
        <v>0</v>
      </c>
      <c r="BI361" s="114">
        <f t="shared" si="376"/>
        <v>292</v>
      </c>
      <c r="BJ361" s="114">
        <f t="shared" si="377"/>
        <v>0</v>
      </c>
      <c r="BK361" s="114">
        <f t="shared" si="378"/>
        <v>0</v>
      </c>
      <c r="BL361" s="114">
        <f t="shared" si="388"/>
        <v>0</v>
      </c>
      <c r="BM361" s="114">
        <f t="shared" si="379"/>
        <v>85.5</v>
      </c>
    </row>
    <row r="362" spans="1:65" x14ac:dyDescent="0.25">
      <c r="A362" s="228">
        <f t="shared" si="367"/>
        <v>13</v>
      </c>
      <c r="C362" s="278" t="s">
        <v>15</v>
      </c>
      <c r="E362" s="103">
        <f>IF($C362="",0,
IF(AND($E$2="Monthly",$A362&gt;12),0,
IF($E$2="Monthly",VLOOKUP($C362,'Employee information'!$B:$AM,COLUMNS('Employee information'!$B:S),0),
IF($E$2="Fortnightly",VLOOKUP($C362,'Employee information'!$B:$AM,COLUMNS('Employee information'!$B:R),0),
0))))</f>
        <v>75</v>
      </c>
      <c r="F362" s="106"/>
      <c r="G362" s="106"/>
      <c r="H362" s="106"/>
      <c r="I362" s="106"/>
      <c r="J362" s="103">
        <f t="shared" si="380"/>
        <v>75</v>
      </c>
      <c r="L362" s="113">
        <f>IF(AND($E$2="Monthly",$A362&gt;12),"",
IFERROR($J362*VLOOKUP($C362,'Employee information'!$B:$AI,COLUMNS('Employee information'!$B:$P),0),0))</f>
        <v>7692.3076923076924</v>
      </c>
      <c r="M362" s="114">
        <f t="shared" si="381"/>
        <v>99999.999999999985</v>
      </c>
      <c r="O362" s="103">
        <f t="shared" si="382"/>
        <v>75</v>
      </c>
      <c r="P362" s="113">
        <f>IFERROR(
IF(AND($E$2="Monthly",$A362&gt;12),0,
$O362*VLOOKUP($C362,'Employee information'!$B:$AI,COLUMNS('Employee information'!$B:$P),0)),
0)</f>
        <v>7692.3076923076924</v>
      </c>
      <c r="R362" s="114">
        <f t="shared" si="368"/>
        <v>99999.999999999985</v>
      </c>
      <c r="T362" s="103"/>
      <c r="U362" s="103"/>
      <c r="V362" s="282">
        <f>IF($C362="","",
IF(AND($E$2="Monthly",$A362&gt;12),"",
$T362*VLOOKUP($C362,'Employee information'!$B:$P,COLUMNS('Employee information'!$B:$P),0)))</f>
        <v>0</v>
      </c>
      <c r="W362" s="282">
        <f>IF($C362="","",
IF(AND($E$2="Monthly",$A362&gt;12),"",
$U362*VLOOKUP($C362,'Employee information'!$B:$P,COLUMNS('Employee information'!$B:$P),0)))</f>
        <v>0</v>
      </c>
      <c r="X362" s="114">
        <f t="shared" si="369"/>
        <v>1538.4615384615386</v>
      </c>
      <c r="Y362" s="114">
        <f t="shared" si="370"/>
        <v>512.82051282051282</v>
      </c>
      <c r="AA362" s="118">
        <f>IFERROR(
IF(OR('Basic payroll data'!$D$12="",'Basic payroll data'!$D$12="No"),0,
$T362*VLOOKUP($C362,'Employee information'!$B:$P,COLUMNS('Employee information'!$B:$P),0)*AL_loading_perc),
0)</f>
        <v>0</v>
      </c>
      <c r="AC362" s="118"/>
      <c r="AD362" s="118"/>
      <c r="AE362" s="283" t="str">
        <f t="shared" si="383"/>
        <v/>
      </c>
      <c r="AF362" s="283" t="str">
        <f t="shared" si="384"/>
        <v/>
      </c>
      <c r="AG362" s="118"/>
      <c r="AH362" s="118"/>
      <c r="AI362" s="283" t="str">
        <f t="shared" si="385"/>
        <v/>
      </c>
      <c r="AJ362" s="118"/>
      <c r="AK362" s="118"/>
      <c r="AM362" s="118">
        <f t="shared" si="386"/>
        <v>7692.3076923076924</v>
      </c>
      <c r="AN362" s="118">
        <f t="shared" si="371"/>
        <v>7692.3076923076924</v>
      </c>
      <c r="AO362" s="118" t="str">
        <f>IFERROR(
IF(VLOOKUP($C362,'Employee information'!$B:$M,COLUMNS('Employee information'!$B:$M),0)=1,
IF($E$2="Fortnightly",
ROUND(
ROUND((((TRUNC($AN362/2,0)+0.99))*VLOOKUP((TRUNC($AN362/2,0)+0.99),'Tax scales - NAT 1004'!$A$12:$C$18,2,1)-VLOOKUP((TRUNC($AN362/2,0)+0.99),'Tax scales - NAT 1004'!$A$12:$C$18,3,1)),0)
*2,
0),
IF(AND($E$2="Monthly",ROUND($AN362-TRUNC($AN362),2)=0.33),
ROUND(
ROUND(((TRUNC(($AN362+0.01)*3/13,0)+0.99)*VLOOKUP((TRUNC(($AN362+0.01)*3/13,0)+0.99),'Tax scales - NAT 1004'!$A$12:$C$18,2,1)-VLOOKUP((TRUNC(($AN362+0.01)*3/13,0)+0.99),'Tax scales - NAT 1004'!$A$12:$C$18,3,1)),0)
*13/3,
0),
IF($E$2="Monthly",
ROUND(
ROUND(((TRUNC($AN362*3/13,0)+0.99)*VLOOKUP((TRUNC($AN362*3/13,0)+0.99),'Tax scales - NAT 1004'!$A$12:$C$18,2,1)-VLOOKUP((TRUNC($AN362*3/13,0)+0.99),'Tax scales - NAT 1004'!$A$12:$C$18,3,1)),0)
*13/3,
0),
""))),
""),
"")</f>
        <v/>
      </c>
      <c r="AP362" s="118" t="str">
        <f>IFERROR(
IF(VLOOKUP($C362,'Employee information'!$B:$M,COLUMNS('Employee information'!$B:$M),0)=2,
IF($E$2="Fortnightly",
ROUND(
ROUND((((TRUNC($AN362/2,0)+0.99))*VLOOKUP((TRUNC($AN362/2,0)+0.99),'Tax scales - NAT 1004'!$A$25:$C$33,2,1)-VLOOKUP((TRUNC($AN362/2,0)+0.99),'Tax scales - NAT 1004'!$A$25:$C$33,3,1)),0)
*2,
0),
IF(AND($E$2="Monthly",ROUND($AN362-TRUNC($AN362),2)=0.33),
ROUND(
ROUND(((TRUNC(($AN362+0.01)*3/13,0)+0.99)*VLOOKUP((TRUNC(($AN362+0.01)*3/13,0)+0.99),'Tax scales - NAT 1004'!$A$25:$C$33,2,1)-VLOOKUP((TRUNC(($AN362+0.01)*3/13,0)+0.99),'Tax scales - NAT 1004'!$A$25:$C$33,3,1)),0)
*13/3,
0),
IF($E$2="Monthly",
ROUND(
ROUND(((TRUNC($AN362*3/13,0)+0.99)*VLOOKUP((TRUNC($AN362*3/13,0)+0.99),'Tax scales - NAT 1004'!$A$25:$C$33,2,1)-VLOOKUP((TRUNC($AN362*3/13,0)+0.99),'Tax scales - NAT 1004'!$A$25:$C$33,3,1)),0)
*13/3,
0),
""))),
""),
"")</f>
        <v/>
      </c>
      <c r="AQ362" s="118" t="str">
        <f>IFERROR(
IF(VLOOKUP($C362,'Employee information'!$B:$M,COLUMNS('Employee information'!$B:$M),0)=3,
IF($E$2="Fortnightly",
ROUND(
ROUND((((TRUNC($AN362/2,0)+0.99))*VLOOKUP((TRUNC($AN362/2,0)+0.99),'Tax scales - NAT 1004'!$A$39:$C$41,2,1)-VLOOKUP((TRUNC($AN362/2,0)+0.99),'Tax scales - NAT 1004'!$A$39:$C$41,3,1)),0)
*2,
0),
IF(AND($E$2="Monthly",ROUND($AN362-TRUNC($AN362),2)=0.33),
ROUND(
ROUND(((TRUNC(($AN362+0.01)*3/13,0)+0.99)*VLOOKUP((TRUNC(($AN362+0.01)*3/13,0)+0.99),'Tax scales - NAT 1004'!$A$39:$C$41,2,1)-VLOOKUP((TRUNC(($AN362+0.01)*3/13,0)+0.99),'Tax scales - NAT 1004'!$A$39:$C$41,3,1)),0)
*13/3,
0),
IF($E$2="Monthly",
ROUND(
ROUND(((TRUNC($AN362*3/13,0)+0.99)*VLOOKUP((TRUNC($AN362*3/13,0)+0.99),'Tax scales - NAT 1004'!$A$39:$C$41,2,1)-VLOOKUP((TRUNC($AN362*3/13,0)+0.99),'Tax scales - NAT 1004'!$A$39:$C$41,3,1)),0)
*13/3,
0),
""))),
""),
"")</f>
        <v/>
      </c>
      <c r="AR362" s="118" t="str">
        <f>IFERROR(
IF(AND(VLOOKUP($C362,'Employee information'!$B:$M,COLUMNS('Employee information'!$B:$M),0)=4,
VLOOKUP($C362,'Employee information'!$B:$J,COLUMNS('Employee information'!$B:$J),0)="Resident"),
TRUNC(TRUNC($AN362)*'Tax scales - NAT 1004'!$B$47),
IF(AND(VLOOKUP($C362,'Employee information'!$B:$M,COLUMNS('Employee information'!$B:$M),0)=4,
VLOOKUP($C362,'Employee information'!$B:$J,COLUMNS('Employee information'!$B:$J),0)="Foreign resident"),
TRUNC(TRUNC($AN362)*'Tax scales - NAT 1004'!$B$48),
"")),
"")</f>
        <v/>
      </c>
      <c r="AS362" s="118" t="str">
        <f>IFERROR(
IF(VLOOKUP($C362,'Employee information'!$B:$M,COLUMNS('Employee information'!$B:$M),0)=5,
IF($E$2="Fortnightly",
ROUND(
ROUND((((TRUNC($AN362/2,0)+0.99))*VLOOKUP((TRUNC($AN362/2,0)+0.99),'Tax scales - NAT 1004'!$A$53:$C$59,2,1)-VLOOKUP((TRUNC($AN362/2,0)+0.99),'Tax scales - NAT 1004'!$A$53:$C$59,3,1)),0)
*2,
0),
IF(AND($E$2="Monthly",ROUND($AN362-TRUNC($AN362),2)=0.33),
ROUND(
ROUND(((TRUNC(($AN362+0.01)*3/13,0)+0.99)*VLOOKUP((TRUNC(($AN362+0.01)*3/13,0)+0.99),'Tax scales - NAT 1004'!$A$53:$C$59,2,1)-VLOOKUP((TRUNC(($AN362+0.01)*3/13,0)+0.99),'Tax scales - NAT 1004'!$A$53:$C$59,3,1)),0)
*13/3,
0),
IF($E$2="Monthly",
ROUND(
ROUND(((TRUNC($AN362*3/13,0)+0.99)*VLOOKUP((TRUNC($AN362*3/13,0)+0.99),'Tax scales - NAT 1004'!$A$53:$C$59,2,1)-VLOOKUP((TRUNC($AN362*3/13,0)+0.99),'Tax scales - NAT 1004'!$A$53:$C$59,3,1)),0)
*13/3,
0),
""))),
""),
"")</f>
        <v/>
      </c>
      <c r="AT362" s="118" t="str">
        <f>IFERROR(
IF(VLOOKUP($C362,'Employee information'!$B:$M,COLUMNS('Employee information'!$B:$M),0)=6,
IF($E$2="Fortnightly",
ROUND(
ROUND((((TRUNC($AN362/2,0)+0.99))*VLOOKUP((TRUNC($AN362/2,0)+0.99),'Tax scales - NAT 1004'!$A$65:$C$73,2,1)-VLOOKUP((TRUNC($AN362/2,0)+0.99),'Tax scales - NAT 1004'!$A$65:$C$73,3,1)),0)
*2,
0),
IF(AND($E$2="Monthly",ROUND($AN362-TRUNC($AN362),2)=0.33),
ROUND(
ROUND(((TRUNC(($AN362+0.01)*3/13,0)+0.99)*VLOOKUP((TRUNC(($AN362+0.01)*3/13,0)+0.99),'Tax scales - NAT 1004'!$A$65:$C$73,2,1)-VLOOKUP((TRUNC(($AN362+0.01)*3/13,0)+0.99),'Tax scales - NAT 1004'!$A$65:$C$73,3,1)),0)
*13/3,
0),
IF($E$2="Monthly",
ROUND(
ROUND(((TRUNC($AN362*3/13,0)+0.99)*VLOOKUP((TRUNC($AN362*3/13,0)+0.99),'Tax scales - NAT 1004'!$A$65:$C$73,2,1)-VLOOKUP((TRUNC($AN362*3/13,0)+0.99),'Tax scales - NAT 1004'!$A$65:$C$73,3,1)),0)
*13/3,
0),
""))),
""),
"")</f>
        <v/>
      </c>
      <c r="AU362" s="118" t="str">
        <f>IFERROR(
IF(VLOOKUP($C362,'Employee information'!$B:$M,COLUMNS('Employee information'!$B:$M),0)=11,
IF($E$2="Fortnightly",
ROUND(
ROUND((((TRUNC($AN362/2,0)+0.99))*VLOOKUP((TRUNC($AN362/2,0)+0.99),'Tax scales - NAT 3539'!$A$14:$C$38,2,1)-VLOOKUP((TRUNC($AN362/2,0)+0.99),'Tax scales - NAT 3539'!$A$14:$C$38,3,1)),0)
*2,
0),
IF(AND($E$2="Monthly",ROUND($AN362-TRUNC($AN362),2)=0.33),
ROUND(
ROUND(((TRUNC(($AN362+0.01)*3/13,0)+0.99)*VLOOKUP((TRUNC(($AN362+0.01)*3/13,0)+0.99),'Tax scales - NAT 3539'!$A$14:$C$38,2,1)-VLOOKUP((TRUNC(($AN362+0.01)*3/13,0)+0.99),'Tax scales - NAT 3539'!$A$14:$C$38,3,1)),0)
*13/3,
0),
IF($E$2="Monthly",
ROUND(
ROUND(((TRUNC($AN362*3/13,0)+0.99)*VLOOKUP((TRUNC($AN362*3/13,0)+0.99),'Tax scales - NAT 3539'!$A$14:$C$38,2,1)-VLOOKUP((TRUNC($AN362*3/13,0)+0.99),'Tax scales - NAT 3539'!$A$14:$C$38,3,1)),0)
*13/3,
0),
""))),
""),
"")</f>
        <v/>
      </c>
      <c r="AV362" s="118" t="str">
        <f>IFERROR(
IF(VLOOKUP($C362,'Employee information'!$B:$M,COLUMNS('Employee information'!$B:$M),0)=22,
IF($E$2="Fortnightly",
ROUND(
ROUND((((TRUNC($AN362/2,0)+0.99))*VLOOKUP((TRUNC($AN362/2,0)+0.99),'Tax scales - NAT 3539'!$A$43:$C$69,2,1)-VLOOKUP((TRUNC($AN362/2,0)+0.99),'Tax scales - NAT 3539'!$A$43:$C$69,3,1)),0)
*2,
0),
IF(AND($E$2="Monthly",ROUND($AN362-TRUNC($AN362),2)=0.33),
ROUND(
ROUND(((TRUNC(($AN362+0.01)*3/13,0)+0.99)*VLOOKUP((TRUNC(($AN362+0.01)*3/13,0)+0.99),'Tax scales - NAT 3539'!$A$43:$C$69,2,1)-VLOOKUP((TRUNC(($AN362+0.01)*3/13,0)+0.99),'Tax scales - NAT 3539'!$A$43:$C$69,3,1)),0)
*13/3,
0),
IF($E$2="Monthly",
ROUND(
ROUND(((TRUNC($AN362*3/13,0)+0.99)*VLOOKUP((TRUNC($AN362*3/13,0)+0.99),'Tax scales - NAT 3539'!$A$43:$C$69,2,1)-VLOOKUP((TRUNC($AN362*3/13,0)+0.99),'Tax scales - NAT 3539'!$A$43:$C$69,3,1)),0)
*13/3,
0),
""))),
""),
"")</f>
        <v/>
      </c>
      <c r="AW362" s="118" t="str">
        <f>IFERROR(
IF(VLOOKUP($C362,'Employee information'!$B:$M,COLUMNS('Employee information'!$B:$M),0)=33,
IF($E$2="Fortnightly",
ROUND(
ROUND((((TRUNC($AN362/2,0)+0.99))*VLOOKUP((TRUNC($AN362/2,0)+0.99),'Tax scales - NAT 3539'!$A$74:$C$94,2,1)-VLOOKUP((TRUNC($AN362/2,0)+0.99),'Tax scales - NAT 3539'!$A$74:$C$94,3,1)),0)
*2,
0),
IF(AND($E$2="Monthly",ROUND($AN362-TRUNC($AN362),2)=0.33),
ROUND(
ROUND(((TRUNC(($AN362+0.01)*3/13,0)+0.99)*VLOOKUP((TRUNC(($AN362+0.01)*3/13,0)+0.99),'Tax scales - NAT 3539'!$A$74:$C$94,2,1)-VLOOKUP((TRUNC(($AN362+0.01)*3/13,0)+0.99),'Tax scales - NAT 3539'!$A$74:$C$94,3,1)),0)
*13/3,
0),
IF($E$2="Monthly",
ROUND(
ROUND(((TRUNC($AN362*3/13,0)+0.99)*VLOOKUP((TRUNC($AN362*3/13,0)+0.99),'Tax scales - NAT 3539'!$A$74:$C$94,2,1)-VLOOKUP((TRUNC($AN362*3/13,0)+0.99),'Tax scales - NAT 3539'!$A$74:$C$94,3,1)),0)
*13/3,
0),
""))),
""),
"")</f>
        <v/>
      </c>
      <c r="AX362" s="118">
        <f>IFERROR(
IF(VLOOKUP($C362,'Employee information'!$B:$M,COLUMNS('Employee information'!$B:$M),0)=55,
IF($E$2="Fortnightly",
ROUND(
ROUND((((TRUNC($AN362/2,0)+0.99))*VLOOKUP((TRUNC($AN362/2,0)+0.99),'Tax scales - NAT 3539'!$A$99:$C$123,2,1)-VLOOKUP((TRUNC($AN362/2,0)+0.99),'Tax scales - NAT 3539'!$A$99:$C$123,3,1)),0)
*2,
0),
IF(AND($E$2="Monthly",ROUND($AN362-TRUNC($AN362),2)=0.33),
ROUND(
ROUND(((TRUNC(($AN362+0.01)*3/13,0)+0.99)*VLOOKUP((TRUNC(($AN362+0.01)*3/13,0)+0.99),'Tax scales - NAT 3539'!$A$99:$C$123,2,1)-VLOOKUP((TRUNC(($AN362+0.01)*3/13,0)+0.99),'Tax scales - NAT 3539'!$A$99:$C$123,3,1)),0)
*13/3,
0),
IF($E$2="Monthly",
ROUND(
ROUND(((TRUNC($AN362*3/13,0)+0.99)*VLOOKUP((TRUNC($AN362*3/13,0)+0.99),'Tax scales - NAT 3539'!$A$99:$C$123,2,1)-VLOOKUP((TRUNC($AN362*3/13,0)+0.99),'Tax scales - NAT 3539'!$A$99:$C$123,3,1)),0)
*13/3,
0),
""))),
""),
"")</f>
        <v>3104</v>
      </c>
      <c r="AY362" s="118" t="str">
        <f>IFERROR(
IF(VLOOKUP($C362,'Employee information'!$B:$M,COLUMNS('Employee information'!$B:$M),0)=66,
IF($E$2="Fortnightly",
ROUND(
ROUND((((TRUNC($AN362/2,0)+0.99))*VLOOKUP((TRUNC($AN362/2,0)+0.99),'Tax scales - NAT 3539'!$A$127:$C$154,2,1)-VLOOKUP((TRUNC($AN362/2,0)+0.99),'Tax scales - NAT 3539'!$A$127:$C$154,3,1)),0)
*2,
0),
IF(AND($E$2="Monthly",ROUND($AN362-TRUNC($AN362),2)=0.33),
ROUND(
ROUND(((TRUNC(($AN362+0.01)*3/13,0)+0.99)*VLOOKUP((TRUNC(($AN362+0.01)*3/13,0)+0.99),'Tax scales - NAT 3539'!$A$127:$C$154,2,1)-VLOOKUP((TRUNC(($AN362+0.01)*3/13,0)+0.99),'Tax scales - NAT 3539'!$A$127:$C$154,3,1)),0)
*13/3,
0),
IF($E$2="Monthly",
ROUND(
ROUND(((TRUNC($AN362*3/13,0)+0.99)*VLOOKUP((TRUNC($AN362*3/13,0)+0.99),'Tax scales - NAT 3539'!$A$127:$C$154,2,1)-VLOOKUP((TRUNC($AN362*3/13,0)+0.99),'Tax scales - NAT 3539'!$A$127:$C$154,3,1)),0)
*13/3,
0),
""))),
""),
"")</f>
        <v/>
      </c>
      <c r="AZ362" s="118">
        <f>IFERROR(
HLOOKUP(VLOOKUP($C362,'Employee information'!$B:$M,COLUMNS('Employee information'!$B:$M),0),'PAYG worksheet'!$AO$358:$AY$377,COUNTA($C$359:$C362)+1,0),
0)</f>
        <v>3104</v>
      </c>
      <c r="BA362" s="118"/>
      <c r="BB362" s="118">
        <f t="shared" si="387"/>
        <v>4588.3076923076924</v>
      </c>
      <c r="BC362" s="119">
        <f>IFERROR(
IF(OR($AE362=1,$AE362=""),SUM($P362,$AA362,$AC362,$AK362)*VLOOKUP($C362,'Employee information'!$B:$Q,COLUMNS('Employee information'!$B:$H),0),
IF($AE362=0,SUM($P362,$AA362,$AK362)*VLOOKUP($C362,'Employee information'!$B:$Q,COLUMNS('Employee information'!$B:$H),0),
0)),
0)</f>
        <v>730.76923076923083</v>
      </c>
      <c r="BE362" s="114">
        <f t="shared" si="372"/>
        <v>100139.99999999999</v>
      </c>
      <c r="BF362" s="114">
        <f t="shared" si="373"/>
        <v>99999.999999999985</v>
      </c>
      <c r="BG362" s="114">
        <f t="shared" si="374"/>
        <v>0</v>
      </c>
      <c r="BH362" s="114">
        <f t="shared" si="375"/>
        <v>140</v>
      </c>
      <c r="BI362" s="114">
        <f t="shared" si="376"/>
        <v>40352</v>
      </c>
      <c r="BJ362" s="114">
        <f t="shared" si="377"/>
        <v>0</v>
      </c>
      <c r="BK362" s="114">
        <f t="shared" si="378"/>
        <v>0</v>
      </c>
      <c r="BL362" s="114">
        <f t="shared" si="388"/>
        <v>0</v>
      </c>
      <c r="BM362" s="114">
        <f t="shared" si="379"/>
        <v>9499.9999999999982</v>
      </c>
    </row>
    <row r="363" spans="1:65" x14ac:dyDescent="0.25">
      <c r="A363" s="228">
        <f t="shared" si="367"/>
        <v>13</v>
      </c>
      <c r="C363" s="278" t="s">
        <v>16</v>
      </c>
      <c r="E363" s="103">
        <f>IF($C363="",0,
IF(AND($E$2="Monthly",$A363&gt;12),0,
IF($E$2="Monthly",VLOOKUP($C363,'Employee information'!$B:$AM,COLUMNS('Employee information'!$B:S),0),
IF($E$2="Fortnightly",VLOOKUP($C363,'Employee information'!$B:$AM,COLUMNS('Employee information'!$B:R),0),
0))))</f>
        <v>75</v>
      </c>
      <c r="F363" s="106"/>
      <c r="G363" s="106"/>
      <c r="H363" s="106"/>
      <c r="I363" s="106"/>
      <c r="J363" s="103">
        <f t="shared" si="380"/>
        <v>75</v>
      </c>
      <c r="L363" s="113">
        <f>IF(AND($E$2="Monthly",$A363&gt;12),"",
IFERROR($J363*VLOOKUP($C363,'Employee information'!$B:$AI,COLUMNS('Employee information'!$B:$P),0),0))</f>
        <v>4125</v>
      </c>
      <c r="M363" s="114">
        <f t="shared" si="381"/>
        <v>53625</v>
      </c>
      <c r="O363" s="103">
        <f t="shared" si="382"/>
        <v>75</v>
      </c>
      <c r="P363" s="113">
        <f>IFERROR(
IF(AND($E$2="Monthly",$A363&gt;12),0,
$O363*VLOOKUP($C363,'Employee information'!$B:$AI,COLUMNS('Employee information'!$B:$P),0)),
0)</f>
        <v>4125</v>
      </c>
      <c r="R363" s="114">
        <f t="shared" si="368"/>
        <v>53625</v>
      </c>
      <c r="T363" s="103"/>
      <c r="U363" s="103"/>
      <c r="V363" s="282">
        <f>IF($C363="","",
IF(AND($E$2="Monthly",$A363&gt;12),"",
$T363*VLOOKUP($C363,'Employee information'!$B:$P,COLUMNS('Employee information'!$B:$P),0)))</f>
        <v>0</v>
      </c>
      <c r="W363" s="282">
        <f>IF($C363="","",
IF(AND($E$2="Monthly",$A363&gt;12),"",
$U363*VLOOKUP($C363,'Employee information'!$B:$P,COLUMNS('Employee information'!$B:$P),0)))</f>
        <v>0</v>
      </c>
      <c r="X363" s="114">
        <f t="shared" si="369"/>
        <v>0</v>
      </c>
      <c r="Y363" s="114">
        <f t="shared" si="370"/>
        <v>0</v>
      </c>
      <c r="AA363" s="118">
        <f>IFERROR(
IF(OR('Basic payroll data'!$D$12="",'Basic payroll data'!$D$12="No"),0,
$T363*VLOOKUP($C363,'Employee information'!$B:$P,COLUMNS('Employee information'!$B:$P),0)*AL_loading_perc),
0)</f>
        <v>0</v>
      </c>
      <c r="AC363" s="118"/>
      <c r="AD363" s="118"/>
      <c r="AE363" s="283" t="str">
        <f t="shared" si="383"/>
        <v/>
      </c>
      <c r="AF363" s="283" t="str">
        <f t="shared" si="384"/>
        <v/>
      </c>
      <c r="AG363" s="118"/>
      <c r="AH363" s="118"/>
      <c r="AI363" s="283" t="str">
        <f t="shared" si="385"/>
        <v/>
      </c>
      <c r="AJ363" s="118"/>
      <c r="AK363" s="118"/>
      <c r="AM363" s="118">
        <f t="shared" si="386"/>
        <v>4125</v>
      </c>
      <c r="AN363" s="118">
        <f t="shared" si="371"/>
        <v>4125</v>
      </c>
      <c r="AO363" s="118" t="str">
        <f>IFERROR(
IF(VLOOKUP($C363,'Employee information'!$B:$M,COLUMNS('Employee information'!$B:$M),0)=1,
IF($E$2="Fortnightly",
ROUND(
ROUND((((TRUNC($AN363/2,0)+0.99))*VLOOKUP((TRUNC($AN363/2,0)+0.99),'Tax scales - NAT 1004'!$A$12:$C$18,2,1)-VLOOKUP((TRUNC($AN363/2,0)+0.99),'Tax scales - NAT 1004'!$A$12:$C$18,3,1)),0)
*2,
0),
IF(AND($E$2="Monthly",ROUND($AN363-TRUNC($AN363),2)=0.33),
ROUND(
ROUND(((TRUNC(($AN363+0.01)*3/13,0)+0.99)*VLOOKUP((TRUNC(($AN363+0.01)*3/13,0)+0.99),'Tax scales - NAT 1004'!$A$12:$C$18,2,1)-VLOOKUP((TRUNC(($AN363+0.01)*3/13,0)+0.99),'Tax scales - NAT 1004'!$A$12:$C$18,3,1)),0)
*13/3,
0),
IF($E$2="Monthly",
ROUND(
ROUND(((TRUNC($AN363*3/13,0)+0.99)*VLOOKUP((TRUNC($AN363*3/13,0)+0.99),'Tax scales - NAT 1004'!$A$12:$C$18,2,1)-VLOOKUP((TRUNC($AN363*3/13,0)+0.99),'Tax scales - NAT 1004'!$A$12:$C$18,3,1)),0)
*13/3,
0),
""))),
""),
"")</f>
        <v/>
      </c>
      <c r="AP363" s="118" t="str">
        <f>IFERROR(
IF(VLOOKUP($C363,'Employee information'!$B:$M,COLUMNS('Employee information'!$B:$M),0)=2,
IF($E$2="Fortnightly",
ROUND(
ROUND((((TRUNC($AN363/2,0)+0.99))*VLOOKUP((TRUNC($AN363/2,0)+0.99),'Tax scales - NAT 1004'!$A$25:$C$33,2,1)-VLOOKUP((TRUNC($AN363/2,0)+0.99),'Tax scales - NAT 1004'!$A$25:$C$33,3,1)),0)
*2,
0),
IF(AND($E$2="Monthly",ROUND($AN363-TRUNC($AN363),2)=0.33),
ROUND(
ROUND(((TRUNC(($AN363+0.01)*3/13,0)+0.99)*VLOOKUP((TRUNC(($AN363+0.01)*3/13,0)+0.99),'Tax scales - NAT 1004'!$A$25:$C$33,2,1)-VLOOKUP((TRUNC(($AN363+0.01)*3/13,0)+0.99),'Tax scales - NAT 1004'!$A$25:$C$33,3,1)),0)
*13/3,
0),
IF($E$2="Monthly",
ROUND(
ROUND(((TRUNC($AN363*3/13,0)+0.99)*VLOOKUP((TRUNC($AN363*3/13,0)+0.99),'Tax scales - NAT 1004'!$A$25:$C$33,2,1)-VLOOKUP((TRUNC($AN363*3/13,0)+0.99),'Tax scales - NAT 1004'!$A$25:$C$33,3,1)),0)
*13/3,
0),
""))),
""),
"")</f>
        <v/>
      </c>
      <c r="AQ363" s="118" t="str">
        <f>IFERROR(
IF(VLOOKUP($C363,'Employee information'!$B:$M,COLUMNS('Employee information'!$B:$M),0)=3,
IF($E$2="Fortnightly",
ROUND(
ROUND((((TRUNC($AN363/2,0)+0.99))*VLOOKUP((TRUNC($AN363/2,0)+0.99),'Tax scales - NAT 1004'!$A$39:$C$41,2,1)-VLOOKUP((TRUNC($AN363/2,0)+0.99),'Tax scales - NAT 1004'!$A$39:$C$41,3,1)),0)
*2,
0),
IF(AND($E$2="Monthly",ROUND($AN363-TRUNC($AN363),2)=0.33),
ROUND(
ROUND(((TRUNC(($AN363+0.01)*3/13,0)+0.99)*VLOOKUP((TRUNC(($AN363+0.01)*3/13,0)+0.99),'Tax scales - NAT 1004'!$A$39:$C$41,2,1)-VLOOKUP((TRUNC(($AN363+0.01)*3/13,0)+0.99),'Tax scales - NAT 1004'!$A$39:$C$41,3,1)),0)
*13/3,
0),
IF($E$2="Monthly",
ROUND(
ROUND(((TRUNC($AN363*3/13,0)+0.99)*VLOOKUP((TRUNC($AN363*3/13,0)+0.99),'Tax scales - NAT 1004'!$A$39:$C$41,2,1)-VLOOKUP((TRUNC($AN363*3/13,0)+0.99),'Tax scales - NAT 1004'!$A$39:$C$41,3,1)),0)
*13/3,
0),
""))),
""),
"")</f>
        <v/>
      </c>
      <c r="AR363" s="118" t="str">
        <f>IFERROR(
IF(AND(VLOOKUP($C363,'Employee information'!$B:$M,COLUMNS('Employee information'!$B:$M),0)=4,
VLOOKUP($C363,'Employee information'!$B:$J,COLUMNS('Employee information'!$B:$J),0)="Resident"),
TRUNC(TRUNC($AN363)*'Tax scales - NAT 1004'!$B$47),
IF(AND(VLOOKUP($C363,'Employee information'!$B:$M,COLUMNS('Employee information'!$B:$M),0)=4,
VLOOKUP($C363,'Employee information'!$B:$J,COLUMNS('Employee information'!$B:$J),0)="Foreign resident"),
TRUNC(TRUNC($AN363)*'Tax scales - NAT 1004'!$B$48),
"")),
"")</f>
        <v/>
      </c>
      <c r="AS363" s="118" t="str">
        <f>IFERROR(
IF(VLOOKUP($C363,'Employee information'!$B:$M,COLUMNS('Employee information'!$B:$M),0)=5,
IF($E$2="Fortnightly",
ROUND(
ROUND((((TRUNC($AN363/2,0)+0.99))*VLOOKUP((TRUNC($AN363/2,0)+0.99),'Tax scales - NAT 1004'!$A$53:$C$59,2,1)-VLOOKUP((TRUNC($AN363/2,0)+0.99),'Tax scales - NAT 1004'!$A$53:$C$59,3,1)),0)
*2,
0),
IF(AND($E$2="Monthly",ROUND($AN363-TRUNC($AN363),2)=0.33),
ROUND(
ROUND(((TRUNC(($AN363+0.01)*3/13,0)+0.99)*VLOOKUP((TRUNC(($AN363+0.01)*3/13,0)+0.99),'Tax scales - NAT 1004'!$A$53:$C$59,2,1)-VLOOKUP((TRUNC(($AN363+0.01)*3/13,0)+0.99),'Tax scales - NAT 1004'!$A$53:$C$59,3,1)),0)
*13/3,
0),
IF($E$2="Monthly",
ROUND(
ROUND(((TRUNC($AN363*3/13,0)+0.99)*VLOOKUP((TRUNC($AN363*3/13,0)+0.99),'Tax scales - NAT 1004'!$A$53:$C$59,2,1)-VLOOKUP((TRUNC($AN363*3/13,0)+0.99),'Tax scales - NAT 1004'!$A$53:$C$59,3,1)),0)
*13/3,
0),
""))),
""),
"")</f>
        <v/>
      </c>
      <c r="AT363" s="118" t="str">
        <f>IFERROR(
IF(VLOOKUP($C363,'Employee information'!$B:$M,COLUMNS('Employee information'!$B:$M),0)=6,
IF($E$2="Fortnightly",
ROUND(
ROUND((((TRUNC($AN363/2,0)+0.99))*VLOOKUP((TRUNC($AN363/2,0)+0.99),'Tax scales - NAT 1004'!$A$65:$C$73,2,1)-VLOOKUP((TRUNC($AN363/2,0)+0.99),'Tax scales - NAT 1004'!$A$65:$C$73,3,1)),0)
*2,
0),
IF(AND($E$2="Monthly",ROUND($AN363-TRUNC($AN363),2)=0.33),
ROUND(
ROUND(((TRUNC(($AN363+0.01)*3/13,0)+0.99)*VLOOKUP((TRUNC(($AN363+0.01)*3/13,0)+0.99),'Tax scales - NAT 1004'!$A$65:$C$73,2,1)-VLOOKUP((TRUNC(($AN363+0.01)*3/13,0)+0.99),'Tax scales - NAT 1004'!$A$65:$C$73,3,1)),0)
*13/3,
0),
IF($E$2="Monthly",
ROUND(
ROUND(((TRUNC($AN363*3/13,0)+0.99)*VLOOKUP((TRUNC($AN363*3/13,0)+0.99),'Tax scales - NAT 1004'!$A$65:$C$73,2,1)-VLOOKUP((TRUNC($AN363*3/13,0)+0.99),'Tax scales - NAT 1004'!$A$65:$C$73,3,1)),0)
*13/3,
0),
""))),
""),
"")</f>
        <v/>
      </c>
      <c r="AU363" s="118">
        <f>IFERROR(
IF(VLOOKUP($C363,'Employee information'!$B:$M,COLUMNS('Employee information'!$B:$M),0)=11,
IF($E$2="Fortnightly",
ROUND(
ROUND((((TRUNC($AN363/2,0)+0.99))*VLOOKUP((TRUNC($AN363/2,0)+0.99),'Tax scales - NAT 3539'!$A$14:$C$38,2,1)-VLOOKUP((TRUNC($AN363/2,0)+0.99),'Tax scales - NAT 3539'!$A$14:$C$38,3,1)),0)
*2,
0),
IF(AND($E$2="Monthly",ROUND($AN363-TRUNC($AN363),2)=0.33),
ROUND(
ROUND(((TRUNC(($AN363+0.01)*3/13,0)+0.99)*VLOOKUP((TRUNC(($AN363+0.01)*3/13,0)+0.99),'Tax scales - NAT 3539'!$A$14:$C$38,2,1)-VLOOKUP((TRUNC(($AN363+0.01)*3/13,0)+0.99),'Tax scales - NAT 3539'!$A$14:$C$38,3,1)),0)
*13/3,
0),
IF($E$2="Monthly",
ROUND(
ROUND(((TRUNC($AN363*3/13,0)+0.99)*VLOOKUP((TRUNC($AN363*3/13,0)+0.99),'Tax scales - NAT 3539'!$A$14:$C$38,2,1)-VLOOKUP((TRUNC($AN363*3/13,0)+0.99),'Tax scales - NAT 3539'!$A$14:$C$38,3,1)),0)
*13/3,
0),
""))),
""),
"")</f>
        <v>1680</v>
      </c>
      <c r="AV363" s="118" t="str">
        <f>IFERROR(
IF(VLOOKUP($C363,'Employee information'!$B:$M,COLUMNS('Employee information'!$B:$M),0)=22,
IF($E$2="Fortnightly",
ROUND(
ROUND((((TRUNC($AN363/2,0)+0.99))*VLOOKUP((TRUNC($AN363/2,0)+0.99),'Tax scales - NAT 3539'!$A$43:$C$69,2,1)-VLOOKUP((TRUNC($AN363/2,0)+0.99),'Tax scales - NAT 3539'!$A$43:$C$69,3,1)),0)
*2,
0),
IF(AND($E$2="Monthly",ROUND($AN363-TRUNC($AN363),2)=0.33),
ROUND(
ROUND(((TRUNC(($AN363+0.01)*3/13,0)+0.99)*VLOOKUP((TRUNC(($AN363+0.01)*3/13,0)+0.99),'Tax scales - NAT 3539'!$A$43:$C$69,2,1)-VLOOKUP((TRUNC(($AN363+0.01)*3/13,0)+0.99),'Tax scales - NAT 3539'!$A$43:$C$69,3,1)),0)
*13/3,
0),
IF($E$2="Monthly",
ROUND(
ROUND(((TRUNC($AN363*3/13,0)+0.99)*VLOOKUP((TRUNC($AN363*3/13,0)+0.99),'Tax scales - NAT 3539'!$A$43:$C$69,2,1)-VLOOKUP((TRUNC($AN363*3/13,0)+0.99),'Tax scales - NAT 3539'!$A$43:$C$69,3,1)),0)
*13/3,
0),
""))),
""),
"")</f>
        <v/>
      </c>
      <c r="AW363" s="118" t="str">
        <f>IFERROR(
IF(VLOOKUP($C363,'Employee information'!$B:$M,COLUMNS('Employee information'!$B:$M),0)=33,
IF($E$2="Fortnightly",
ROUND(
ROUND((((TRUNC($AN363/2,0)+0.99))*VLOOKUP((TRUNC($AN363/2,0)+0.99),'Tax scales - NAT 3539'!$A$74:$C$94,2,1)-VLOOKUP((TRUNC($AN363/2,0)+0.99),'Tax scales - NAT 3539'!$A$74:$C$94,3,1)),0)
*2,
0),
IF(AND($E$2="Monthly",ROUND($AN363-TRUNC($AN363),2)=0.33),
ROUND(
ROUND(((TRUNC(($AN363+0.01)*3/13,0)+0.99)*VLOOKUP((TRUNC(($AN363+0.01)*3/13,0)+0.99),'Tax scales - NAT 3539'!$A$74:$C$94,2,1)-VLOOKUP((TRUNC(($AN363+0.01)*3/13,0)+0.99),'Tax scales - NAT 3539'!$A$74:$C$94,3,1)),0)
*13/3,
0),
IF($E$2="Monthly",
ROUND(
ROUND(((TRUNC($AN363*3/13,0)+0.99)*VLOOKUP((TRUNC($AN363*3/13,0)+0.99),'Tax scales - NAT 3539'!$A$74:$C$94,2,1)-VLOOKUP((TRUNC($AN363*3/13,0)+0.99),'Tax scales - NAT 3539'!$A$74:$C$94,3,1)),0)
*13/3,
0),
""))),
""),
"")</f>
        <v/>
      </c>
      <c r="AX363" s="118" t="str">
        <f>IFERROR(
IF(VLOOKUP($C363,'Employee information'!$B:$M,COLUMNS('Employee information'!$B:$M),0)=55,
IF($E$2="Fortnightly",
ROUND(
ROUND((((TRUNC($AN363/2,0)+0.99))*VLOOKUP((TRUNC($AN363/2,0)+0.99),'Tax scales - NAT 3539'!$A$99:$C$123,2,1)-VLOOKUP((TRUNC($AN363/2,0)+0.99),'Tax scales - NAT 3539'!$A$99:$C$123,3,1)),0)
*2,
0),
IF(AND($E$2="Monthly",ROUND($AN363-TRUNC($AN363),2)=0.33),
ROUND(
ROUND(((TRUNC(($AN363+0.01)*3/13,0)+0.99)*VLOOKUP((TRUNC(($AN363+0.01)*3/13,0)+0.99),'Tax scales - NAT 3539'!$A$99:$C$123,2,1)-VLOOKUP((TRUNC(($AN363+0.01)*3/13,0)+0.99),'Tax scales - NAT 3539'!$A$99:$C$123,3,1)),0)
*13/3,
0),
IF($E$2="Monthly",
ROUND(
ROUND(((TRUNC($AN363*3/13,0)+0.99)*VLOOKUP((TRUNC($AN363*3/13,0)+0.99),'Tax scales - NAT 3539'!$A$99:$C$123,2,1)-VLOOKUP((TRUNC($AN363*3/13,0)+0.99),'Tax scales - NAT 3539'!$A$99:$C$123,3,1)),0)
*13/3,
0),
""))),
""),
"")</f>
        <v/>
      </c>
      <c r="AY363" s="118" t="str">
        <f>IFERROR(
IF(VLOOKUP($C363,'Employee information'!$B:$M,COLUMNS('Employee information'!$B:$M),0)=66,
IF($E$2="Fortnightly",
ROUND(
ROUND((((TRUNC($AN363/2,0)+0.99))*VLOOKUP((TRUNC($AN363/2,0)+0.99),'Tax scales - NAT 3539'!$A$127:$C$154,2,1)-VLOOKUP((TRUNC($AN363/2,0)+0.99),'Tax scales - NAT 3539'!$A$127:$C$154,3,1)),0)
*2,
0),
IF(AND($E$2="Monthly",ROUND($AN363-TRUNC($AN363),2)=0.33),
ROUND(
ROUND(((TRUNC(($AN363+0.01)*3/13,0)+0.99)*VLOOKUP((TRUNC(($AN363+0.01)*3/13,0)+0.99),'Tax scales - NAT 3539'!$A$127:$C$154,2,1)-VLOOKUP((TRUNC(($AN363+0.01)*3/13,0)+0.99),'Tax scales - NAT 3539'!$A$127:$C$154,3,1)),0)
*13/3,
0),
IF($E$2="Monthly",
ROUND(
ROUND(((TRUNC($AN363*3/13,0)+0.99)*VLOOKUP((TRUNC($AN363*3/13,0)+0.99),'Tax scales - NAT 3539'!$A$127:$C$154,2,1)-VLOOKUP((TRUNC($AN363*3/13,0)+0.99),'Tax scales - NAT 3539'!$A$127:$C$154,3,1)),0)
*13/3,
0),
""))),
""),
"")</f>
        <v/>
      </c>
      <c r="AZ363" s="118">
        <f>IFERROR(
HLOOKUP(VLOOKUP($C363,'Employee information'!$B:$M,COLUMNS('Employee information'!$B:$M),0),'PAYG worksheet'!$AO$358:$AY$377,COUNTA($C$359:$C363)+1,0),
0)</f>
        <v>1680</v>
      </c>
      <c r="BA363" s="118"/>
      <c r="BB363" s="118">
        <f t="shared" si="387"/>
        <v>2445</v>
      </c>
      <c r="BC363" s="119">
        <f>IFERROR(
IF(OR($AE363=1,$AE363=""),SUM($P363,$AA363,$AC363,$AK363)*VLOOKUP($C363,'Employee information'!$B:$Q,COLUMNS('Employee information'!$B:$H),0),
IF($AE363=0,SUM($P363,$AA363,$AK363)*VLOOKUP($C363,'Employee information'!$B:$Q,COLUMNS('Employee information'!$B:$H),0),
0)),
0)</f>
        <v>391.875</v>
      </c>
      <c r="BE363" s="114">
        <f t="shared" si="372"/>
        <v>53725</v>
      </c>
      <c r="BF363" s="114">
        <f t="shared" si="373"/>
        <v>53725</v>
      </c>
      <c r="BG363" s="114">
        <f t="shared" si="374"/>
        <v>0</v>
      </c>
      <c r="BH363" s="114">
        <f t="shared" si="375"/>
        <v>0</v>
      </c>
      <c r="BI363" s="114">
        <f t="shared" si="376"/>
        <v>21888</v>
      </c>
      <c r="BJ363" s="114">
        <f t="shared" si="377"/>
        <v>0</v>
      </c>
      <c r="BK363" s="114">
        <f t="shared" si="378"/>
        <v>0</v>
      </c>
      <c r="BL363" s="114">
        <f t="shared" si="388"/>
        <v>100</v>
      </c>
      <c r="BM363" s="114">
        <f t="shared" si="379"/>
        <v>5103.875</v>
      </c>
    </row>
    <row r="364" spans="1:65" x14ac:dyDescent="0.25">
      <c r="A364" s="228">
        <f t="shared" si="367"/>
        <v>13</v>
      </c>
      <c r="C364" s="278" t="s">
        <v>17</v>
      </c>
      <c r="E364" s="103">
        <f>IF($C364="",0,
IF(AND($E$2="Monthly",$A364&gt;12),0,
IF($E$2="Monthly",VLOOKUP($C364,'Employee information'!$B:$AM,COLUMNS('Employee information'!$B:S),0),
IF($E$2="Fortnightly",VLOOKUP($C364,'Employee information'!$B:$AM,COLUMNS('Employee information'!$B:R),0),
0))))</f>
        <v>75</v>
      </c>
      <c r="F364" s="106"/>
      <c r="G364" s="106"/>
      <c r="H364" s="106"/>
      <c r="I364" s="106"/>
      <c r="J364" s="103">
        <f t="shared" si="380"/>
        <v>75</v>
      </c>
      <c r="L364" s="113">
        <f>IF(AND($E$2="Monthly",$A364&gt;12),"",
IFERROR($J364*VLOOKUP($C364,'Employee information'!$B:$AI,COLUMNS('Employee information'!$B:$P),0),0))</f>
        <v>2500</v>
      </c>
      <c r="M364" s="114">
        <f t="shared" si="381"/>
        <v>32500</v>
      </c>
      <c r="O364" s="103">
        <f t="shared" si="382"/>
        <v>75</v>
      </c>
      <c r="P364" s="113">
        <f>IFERROR(
IF(AND($E$2="Monthly",$A364&gt;12),0,
$O364*VLOOKUP($C364,'Employee information'!$B:$AI,COLUMNS('Employee information'!$B:$P),0)),
0)</f>
        <v>2500</v>
      </c>
      <c r="R364" s="114">
        <f t="shared" si="368"/>
        <v>32500</v>
      </c>
      <c r="T364" s="103"/>
      <c r="U364" s="103"/>
      <c r="V364" s="282">
        <f>IF($C364="","",
IF(AND($E$2="Monthly",$A364&gt;12),"",
$T364*VLOOKUP($C364,'Employee information'!$B:$P,COLUMNS('Employee information'!$B:$P),0)))</f>
        <v>0</v>
      </c>
      <c r="W364" s="282">
        <f>IF($C364="","",
IF(AND($E$2="Monthly",$A364&gt;12),"",
$U364*VLOOKUP($C364,'Employee information'!$B:$P,COLUMNS('Employee information'!$B:$P),0)))</f>
        <v>0</v>
      </c>
      <c r="X364" s="114">
        <f t="shared" si="369"/>
        <v>0</v>
      </c>
      <c r="Y364" s="114">
        <f t="shared" si="370"/>
        <v>0</v>
      </c>
      <c r="AA364" s="118">
        <f>IFERROR(
IF(OR('Basic payroll data'!$D$12="",'Basic payroll data'!$D$12="No"),0,
$T364*VLOOKUP($C364,'Employee information'!$B:$P,COLUMNS('Employee information'!$B:$P),0)*AL_loading_perc),
0)</f>
        <v>0</v>
      </c>
      <c r="AC364" s="118"/>
      <c r="AD364" s="118"/>
      <c r="AE364" s="283" t="str">
        <f t="shared" si="383"/>
        <v/>
      </c>
      <c r="AF364" s="283" t="str">
        <f t="shared" si="384"/>
        <v/>
      </c>
      <c r="AG364" s="118"/>
      <c r="AH364" s="118"/>
      <c r="AI364" s="283" t="str">
        <f t="shared" si="385"/>
        <v/>
      </c>
      <c r="AJ364" s="118"/>
      <c r="AK364" s="118"/>
      <c r="AM364" s="118">
        <f t="shared" si="386"/>
        <v>2500</v>
      </c>
      <c r="AN364" s="118">
        <f t="shared" si="371"/>
        <v>2500</v>
      </c>
      <c r="AO364" s="118" t="str">
        <f>IFERROR(
IF(VLOOKUP($C364,'Employee information'!$B:$M,COLUMNS('Employee information'!$B:$M),0)=1,
IF($E$2="Fortnightly",
ROUND(
ROUND((((TRUNC($AN364/2,0)+0.99))*VLOOKUP((TRUNC($AN364/2,0)+0.99),'Tax scales - NAT 1004'!$A$12:$C$18,2,1)-VLOOKUP((TRUNC($AN364/2,0)+0.99),'Tax scales - NAT 1004'!$A$12:$C$18,3,1)),0)
*2,
0),
IF(AND($E$2="Monthly",ROUND($AN364-TRUNC($AN364),2)=0.33),
ROUND(
ROUND(((TRUNC(($AN364+0.01)*3/13,0)+0.99)*VLOOKUP((TRUNC(($AN364+0.01)*3/13,0)+0.99),'Tax scales - NAT 1004'!$A$12:$C$18,2,1)-VLOOKUP((TRUNC(($AN364+0.01)*3/13,0)+0.99),'Tax scales - NAT 1004'!$A$12:$C$18,3,1)),0)
*13/3,
0),
IF($E$2="Monthly",
ROUND(
ROUND(((TRUNC($AN364*3/13,0)+0.99)*VLOOKUP((TRUNC($AN364*3/13,0)+0.99),'Tax scales - NAT 1004'!$A$12:$C$18,2,1)-VLOOKUP((TRUNC($AN364*3/13,0)+0.99),'Tax scales - NAT 1004'!$A$12:$C$18,3,1)),0)
*13/3,
0),
""))),
""),
"")</f>
        <v/>
      </c>
      <c r="AP364" s="118" t="str">
        <f>IFERROR(
IF(VLOOKUP($C364,'Employee information'!$B:$M,COLUMNS('Employee information'!$B:$M),0)=2,
IF($E$2="Fortnightly",
ROUND(
ROUND((((TRUNC($AN364/2,0)+0.99))*VLOOKUP((TRUNC($AN364/2,0)+0.99),'Tax scales - NAT 1004'!$A$25:$C$33,2,1)-VLOOKUP((TRUNC($AN364/2,0)+0.99),'Tax scales - NAT 1004'!$A$25:$C$33,3,1)),0)
*2,
0),
IF(AND($E$2="Monthly",ROUND($AN364-TRUNC($AN364),2)=0.33),
ROUND(
ROUND(((TRUNC(($AN364+0.01)*3/13,0)+0.99)*VLOOKUP((TRUNC(($AN364+0.01)*3/13,0)+0.99),'Tax scales - NAT 1004'!$A$25:$C$33,2,1)-VLOOKUP((TRUNC(($AN364+0.01)*3/13,0)+0.99),'Tax scales - NAT 1004'!$A$25:$C$33,3,1)),0)
*13/3,
0),
IF($E$2="Monthly",
ROUND(
ROUND(((TRUNC($AN364*3/13,0)+0.99)*VLOOKUP((TRUNC($AN364*3/13,0)+0.99),'Tax scales - NAT 1004'!$A$25:$C$33,2,1)-VLOOKUP((TRUNC($AN364*3/13,0)+0.99),'Tax scales - NAT 1004'!$A$25:$C$33,3,1)),0)
*13/3,
0),
""))),
""),
"")</f>
        <v/>
      </c>
      <c r="AQ364" s="118" t="str">
        <f>IFERROR(
IF(VLOOKUP($C364,'Employee information'!$B:$M,COLUMNS('Employee information'!$B:$M),0)=3,
IF($E$2="Fortnightly",
ROUND(
ROUND((((TRUNC($AN364/2,0)+0.99))*VLOOKUP((TRUNC($AN364/2,0)+0.99),'Tax scales - NAT 1004'!$A$39:$C$41,2,1)-VLOOKUP((TRUNC($AN364/2,0)+0.99),'Tax scales - NAT 1004'!$A$39:$C$41,3,1)),0)
*2,
0),
IF(AND($E$2="Monthly",ROUND($AN364-TRUNC($AN364),2)=0.33),
ROUND(
ROUND(((TRUNC(($AN364+0.01)*3/13,0)+0.99)*VLOOKUP((TRUNC(($AN364+0.01)*3/13,0)+0.99),'Tax scales - NAT 1004'!$A$39:$C$41,2,1)-VLOOKUP((TRUNC(($AN364+0.01)*3/13,0)+0.99),'Tax scales - NAT 1004'!$A$39:$C$41,3,1)),0)
*13/3,
0),
IF($E$2="Monthly",
ROUND(
ROUND(((TRUNC($AN364*3/13,0)+0.99)*VLOOKUP((TRUNC($AN364*3/13,0)+0.99),'Tax scales - NAT 1004'!$A$39:$C$41,2,1)-VLOOKUP((TRUNC($AN364*3/13,0)+0.99),'Tax scales - NAT 1004'!$A$39:$C$41,3,1)),0)
*13/3,
0),
""))),
""),
"")</f>
        <v/>
      </c>
      <c r="AR364" s="118">
        <f>IFERROR(
IF(AND(VLOOKUP($C364,'Employee information'!$B:$M,COLUMNS('Employee information'!$B:$M),0)=4,
VLOOKUP($C364,'Employee information'!$B:$J,COLUMNS('Employee information'!$B:$J),0)="Resident"),
TRUNC(TRUNC($AN364)*'Tax scales - NAT 1004'!$B$47),
IF(AND(VLOOKUP($C364,'Employee information'!$B:$M,COLUMNS('Employee information'!$B:$M),0)=4,
VLOOKUP($C364,'Employee information'!$B:$J,COLUMNS('Employee information'!$B:$J),0)="Foreign resident"),
TRUNC(TRUNC($AN364)*'Tax scales - NAT 1004'!$B$48),
"")),
"")</f>
        <v>1175</v>
      </c>
      <c r="AS364" s="118" t="str">
        <f>IFERROR(
IF(VLOOKUP($C364,'Employee information'!$B:$M,COLUMNS('Employee information'!$B:$M),0)=5,
IF($E$2="Fortnightly",
ROUND(
ROUND((((TRUNC($AN364/2,0)+0.99))*VLOOKUP((TRUNC($AN364/2,0)+0.99),'Tax scales - NAT 1004'!$A$53:$C$59,2,1)-VLOOKUP((TRUNC($AN364/2,0)+0.99),'Tax scales - NAT 1004'!$A$53:$C$59,3,1)),0)
*2,
0),
IF(AND($E$2="Monthly",ROUND($AN364-TRUNC($AN364),2)=0.33),
ROUND(
ROUND(((TRUNC(($AN364+0.01)*3/13,0)+0.99)*VLOOKUP((TRUNC(($AN364+0.01)*3/13,0)+0.99),'Tax scales - NAT 1004'!$A$53:$C$59,2,1)-VLOOKUP((TRUNC(($AN364+0.01)*3/13,0)+0.99),'Tax scales - NAT 1004'!$A$53:$C$59,3,1)),0)
*13/3,
0),
IF($E$2="Monthly",
ROUND(
ROUND(((TRUNC($AN364*3/13,0)+0.99)*VLOOKUP((TRUNC($AN364*3/13,0)+0.99),'Tax scales - NAT 1004'!$A$53:$C$59,2,1)-VLOOKUP((TRUNC($AN364*3/13,0)+0.99),'Tax scales - NAT 1004'!$A$53:$C$59,3,1)),0)
*13/3,
0),
""))),
""),
"")</f>
        <v/>
      </c>
      <c r="AT364" s="118" t="str">
        <f>IFERROR(
IF(VLOOKUP($C364,'Employee information'!$B:$M,COLUMNS('Employee information'!$B:$M),0)=6,
IF($E$2="Fortnightly",
ROUND(
ROUND((((TRUNC($AN364/2,0)+0.99))*VLOOKUP((TRUNC($AN364/2,0)+0.99),'Tax scales - NAT 1004'!$A$65:$C$73,2,1)-VLOOKUP((TRUNC($AN364/2,0)+0.99),'Tax scales - NAT 1004'!$A$65:$C$73,3,1)),0)
*2,
0),
IF(AND($E$2="Monthly",ROUND($AN364-TRUNC($AN364),2)=0.33),
ROUND(
ROUND(((TRUNC(($AN364+0.01)*3/13,0)+0.99)*VLOOKUP((TRUNC(($AN364+0.01)*3/13,0)+0.99),'Tax scales - NAT 1004'!$A$65:$C$73,2,1)-VLOOKUP((TRUNC(($AN364+0.01)*3/13,0)+0.99),'Tax scales - NAT 1004'!$A$65:$C$73,3,1)),0)
*13/3,
0),
IF($E$2="Monthly",
ROUND(
ROUND(((TRUNC($AN364*3/13,0)+0.99)*VLOOKUP((TRUNC($AN364*3/13,0)+0.99),'Tax scales - NAT 1004'!$A$65:$C$73,2,1)-VLOOKUP((TRUNC($AN364*3/13,0)+0.99),'Tax scales - NAT 1004'!$A$65:$C$73,3,1)),0)
*13/3,
0),
""))),
""),
"")</f>
        <v/>
      </c>
      <c r="AU364" s="118" t="str">
        <f>IFERROR(
IF(VLOOKUP($C364,'Employee information'!$B:$M,COLUMNS('Employee information'!$B:$M),0)=11,
IF($E$2="Fortnightly",
ROUND(
ROUND((((TRUNC($AN364/2,0)+0.99))*VLOOKUP((TRUNC($AN364/2,0)+0.99),'Tax scales - NAT 3539'!$A$14:$C$38,2,1)-VLOOKUP((TRUNC($AN364/2,0)+0.99),'Tax scales - NAT 3539'!$A$14:$C$38,3,1)),0)
*2,
0),
IF(AND($E$2="Monthly",ROUND($AN364-TRUNC($AN364),2)=0.33),
ROUND(
ROUND(((TRUNC(($AN364+0.01)*3/13,0)+0.99)*VLOOKUP((TRUNC(($AN364+0.01)*3/13,0)+0.99),'Tax scales - NAT 3539'!$A$14:$C$38,2,1)-VLOOKUP((TRUNC(($AN364+0.01)*3/13,0)+0.99),'Tax scales - NAT 3539'!$A$14:$C$38,3,1)),0)
*13/3,
0),
IF($E$2="Monthly",
ROUND(
ROUND(((TRUNC($AN364*3/13,0)+0.99)*VLOOKUP((TRUNC($AN364*3/13,0)+0.99),'Tax scales - NAT 3539'!$A$14:$C$38,2,1)-VLOOKUP((TRUNC($AN364*3/13,0)+0.99),'Tax scales - NAT 3539'!$A$14:$C$38,3,1)),0)
*13/3,
0),
""))),
""),
"")</f>
        <v/>
      </c>
      <c r="AV364" s="118" t="str">
        <f>IFERROR(
IF(VLOOKUP($C364,'Employee information'!$B:$M,COLUMNS('Employee information'!$B:$M),0)=22,
IF($E$2="Fortnightly",
ROUND(
ROUND((((TRUNC($AN364/2,0)+0.99))*VLOOKUP((TRUNC($AN364/2,0)+0.99),'Tax scales - NAT 3539'!$A$43:$C$69,2,1)-VLOOKUP((TRUNC($AN364/2,0)+0.99),'Tax scales - NAT 3539'!$A$43:$C$69,3,1)),0)
*2,
0),
IF(AND($E$2="Monthly",ROUND($AN364-TRUNC($AN364),2)=0.33),
ROUND(
ROUND(((TRUNC(($AN364+0.01)*3/13,0)+0.99)*VLOOKUP((TRUNC(($AN364+0.01)*3/13,0)+0.99),'Tax scales - NAT 3539'!$A$43:$C$69,2,1)-VLOOKUP((TRUNC(($AN364+0.01)*3/13,0)+0.99),'Tax scales - NAT 3539'!$A$43:$C$69,3,1)),0)
*13/3,
0),
IF($E$2="Monthly",
ROUND(
ROUND(((TRUNC($AN364*3/13,0)+0.99)*VLOOKUP((TRUNC($AN364*3/13,0)+0.99),'Tax scales - NAT 3539'!$A$43:$C$69,2,1)-VLOOKUP((TRUNC($AN364*3/13,0)+0.99),'Tax scales - NAT 3539'!$A$43:$C$69,3,1)),0)
*13/3,
0),
""))),
""),
"")</f>
        <v/>
      </c>
      <c r="AW364" s="118" t="str">
        <f>IFERROR(
IF(VLOOKUP($C364,'Employee information'!$B:$M,COLUMNS('Employee information'!$B:$M),0)=33,
IF($E$2="Fortnightly",
ROUND(
ROUND((((TRUNC($AN364/2,0)+0.99))*VLOOKUP((TRUNC($AN364/2,0)+0.99),'Tax scales - NAT 3539'!$A$74:$C$94,2,1)-VLOOKUP((TRUNC($AN364/2,0)+0.99),'Tax scales - NAT 3539'!$A$74:$C$94,3,1)),0)
*2,
0),
IF(AND($E$2="Monthly",ROUND($AN364-TRUNC($AN364),2)=0.33),
ROUND(
ROUND(((TRUNC(($AN364+0.01)*3/13,0)+0.99)*VLOOKUP((TRUNC(($AN364+0.01)*3/13,0)+0.99),'Tax scales - NAT 3539'!$A$74:$C$94,2,1)-VLOOKUP((TRUNC(($AN364+0.01)*3/13,0)+0.99),'Tax scales - NAT 3539'!$A$74:$C$94,3,1)),0)
*13/3,
0),
IF($E$2="Monthly",
ROUND(
ROUND(((TRUNC($AN364*3/13,0)+0.99)*VLOOKUP((TRUNC($AN364*3/13,0)+0.99),'Tax scales - NAT 3539'!$A$74:$C$94,2,1)-VLOOKUP((TRUNC($AN364*3/13,0)+0.99),'Tax scales - NAT 3539'!$A$74:$C$94,3,1)),0)
*13/3,
0),
""))),
""),
"")</f>
        <v/>
      </c>
      <c r="AX364" s="118" t="str">
        <f>IFERROR(
IF(VLOOKUP($C364,'Employee information'!$B:$M,COLUMNS('Employee information'!$B:$M),0)=55,
IF($E$2="Fortnightly",
ROUND(
ROUND((((TRUNC($AN364/2,0)+0.99))*VLOOKUP((TRUNC($AN364/2,0)+0.99),'Tax scales - NAT 3539'!$A$99:$C$123,2,1)-VLOOKUP((TRUNC($AN364/2,0)+0.99),'Tax scales - NAT 3539'!$A$99:$C$123,3,1)),0)
*2,
0),
IF(AND($E$2="Monthly",ROUND($AN364-TRUNC($AN364),2)=0.33),
ROUND(
ROUND(((TRUNC(($AN364+0.01)*3/13,0)+0.99)*VLOOKUP((TRUNC(($AN364+0.01)*3/13,0)+0.99),'Tax scales - NAT 3539'!$A$99:$C$123,2,1)-VLOOKUP((TRUNC(($AN364+0.01)*3/13,0)+0.99),'Tax scales - NAT 3539'!$A$99:$C$123,3,1)),0)
*13/3,
0),
IF($E$2="Monthly",
ROUND(
ROUND(((TRUNC($AN364*3/13,0)+0.99)*VLOOKUP((TRUNC($AN364*3/13,0)+0.99),'Tax scales - NAT 3539'!$A$99:$C$123,2,1)-VLOOKUP((TRUNC($AN364*3/13,0)+0.99),'Tax scales - NAT 3539'!$A$99:$C$123,3,1)),0)
*13/3,
0),
""))),
""),
"")</f>
        <v/>
      </c>
      <c r="AY364" s="118" t="str">
        <f>IFERROR(
IF(VLOOKUP($C364,'Employee information'!$B:$M,COLUMNS('Employee information'!$B:$M),0)=66,
IF($E$2="Fortnightly",
ROUND(
ROUND((((TRUNC($AN364/2,0)+0.99))*VLOOKUP((TRUNC($AN364/2,0)+0.99),'Tax scales - NAT 3539'!$A$127:$C$154,2,1)-VLOOKUP((TRUNC($AN364/2,0)+0.99),'Tax scales - NAT 3539'!$A$127:$C$154,3,1)),0)
*2,
0),
IF(AND($E$2="Monthly",ROUND($AN364-TRUNC($AN364),2)=0.33),
ROUND(
ROUND(((TRUNC(($AN364+0.01)*3/13,0)+0.99)*VLOOKUP((TRUNC(($AN364+0.01)*3/13,0)+0.99),'Tax scales - NAT 3539'!$A$127:$C$154,2,1)-VLOOKUP((TRUNC(($AN364+0.01)*3/13,0)+0.99),'Tax scales - NAT 3539'!$A$127:$C$154,3,1)),0)
*13/3,
0),
IF($E$2="Monthly",
ROUND(
ROUND(((TRUNC($AN364*3/13,0)+0.99)*VLOOKUP((TRUNC($AN364*3/13,0)+0.99),'Tax scales - NAT 3539'!$A$127:$C$154,2,1)-VLOOKUP((TRUNC($AN364*3/13,0)+0.99),'Tax scales - NAT 3539'!$A$127:$C$154,3,1)),0)
*13/3,
0),
""))),
""),
"")</f>
        <v/>
      </c>
      <c r="AZ364" s="118">
        <f>IFERROR(
HLOOKUP(VLOOKUP($C364,'Employee information'!$B:$M,COLUMNS('Employee information'!$B:$M),0),'PAYG worksheet'!$AO$358:$AY$377,COUNTA($C$359:$C364)+1,0),
0)</f>
        <v>1175</v>
      </c>
      <c r="BA364" s="118"/>
      <c r="BB364" s="118">
        <f t="shared" si="387"/>
        <v>1325</v>
      </c>
      <c r="BC364" s="119">
        <f>IFERROR(
IF(OR($AE364=1,$AE364=""),SUM($P364,$AA364,$AC364,$AK364)*VLOOKUP($C364,'Employee information'!$B:$Q,COLUMNS('Employee information'!$B:$H),0),
IF($AE364=0,SUM($P364,$AA364,$AK364)*VLOOKUP($C364,'Employee information'!$B:$Q,COLUMNS('Employee information'!$B:$H),0),
0)),
0)</f>
        <v>237.5</v>
      </c>
      <c r="BE364" s="114">
        <f t="shared" si="372"/>
        <v>32500</v>
      </c>
      <c r="BF364" s="114">
        <f t="shared" si="373"/>
        <v>32500</v>
      </c>
      <c r="BG364" s="114">
        <f t="shared" si="374"/>
        <v>0</v>
      </c>
      <c r="BH364" s="114">
        <f t="shared" si="375"/>
        <v>0</v>
      </c>
      <c r="BI364" s="114">
        <f t="shared" si="376"/>
        <v>15275</v>
      </c>
      <c r="BJ364" s="114">
        <f t="shared" si="377"/>
        <v>0</v>
      </c>
      <c r="BK364" s="114">
        <f t="shared" si="378"/>
        <v>0</v>
      </c>
      <c r="BL364" s="114">
        <f t="shared" si="388"/>
        <v>0</v>
      </c>
      <c r="BM364" s="114">
        <f t="shared" si="379"/>
        <v>3087.5</v>
      </c>
    </row>
    <row r="365" spans="1:65" x14ac:dyDescent="0.25">
      <c r="A365" s="228">
        <f t="shared" si="367"/>
        <v>13</v>
      </c>
      <c r="C365" s="278" t="s">
        <v>95</v>
      </c>
      <c r="E365" s="103">
        <f>IF($C365="",0,
IF(AND($E$2="Monthly",$A365&gt;12),0,
IF($E$2="Monthly",VLOOKUP($C365,'Employee information'!$B:$AM,COLUMNS('Employee information'!$B:S),0),
IF($E$2="Fortnightly",VLOOKUP($C365,'Employee information'!$B:$AM,COLUMNS('Employee information'!$B:R),0),
0))))</f>
        <v>45</v>
      </c>
      <c r="F365" s="106"/>
      <c r="G365" s="106"/>
      <c r="H365" s="106"/>
      <c r="I365" s="106"/>
      <c r="J365" s="103">
        <f t="shared" si="380"/>
        <v>45</v>
      </c>
      <c r="L365" s="113">
        <f>IF(AND($E$2="Monthly",$A365&gt;12),"",
IFERROR($J365*VLOOKUP($C365,'Employee information'!$B:$AI,COLUMNS('Employee information'!$B:$P),0),0))</f>
        <v>1107.6923076923078</v>
      </c>
      <c r="M365" s="114">
        <f t="shared" si="381"/>
        <v>14400.000000000005</v>
      </c>
      <c r="O365" s="103">
        <f t="shared" si="382"/>
        <v>45</v>
      </c>
      <c r="P365" s="113">
        <f>IFERROR(
IF(AND($E$2="Monthly",$A365&gt;12),0,
$O365*VLOOKUP($C365,'Employee information'!$B:$AI,COLUMNS('Employee information'!$B:$P),0)),
0)</f>
        <v>1107.6923076923078</v>
      </c>
      <c r="R365" s="114">
        <f t="shared" si="368"/>
        <v>14400.000000000005</v>
      </c>
      <c r="T365" s="103"/>
      <c r="U365" s="103"/>
      <c r="V365" s="282">
        <f>IF($C365="","",
IF(AND($E$2="Monthly",$A365&gt;12),"",
$T365*VLOOKUP($C365,'Employee information'!$B:$P,COLUMNS('Employee information'!$B:$P),0)))</f>
        <v>0</v>
      </c>
      <c r="W365" s="282">
        <f>IF($C365="","",
IF(AND($E$2="Monthly",$A365&gt;12),"",
$U365*VLOOKUP($C365,'Employee information'!$B:$P,COLUMNS('Employee information'!$B:$P),0)))</f>
        <v>0</v>
      </c>
      <c r="X365" s="114">
        <f t="shared" si="369"/>
        <v>0</v>
      </c>
      <c r="Y365" s="114">
        <f t="shared" si="370"/>
        <v>0</v>
      </c>
      <c r="AA365" s="118">
        <f>IFERROR(
IF(OR('Basic payroll data'!$D$12="",'Basic payroll data'!$D$12="No"),0,
$T365*VLOOKUP($C365,'Employee information'!$B:$P,COLUMNS('Employee information'!$B:$P),0)*AL_loading_perc),
0)</f>
        <v>0</v>
      </c>
      <c r="AC365" s="118"/>
      <c r="AD365" s="118"/>
      <c r="AE365" s="283" t="str">
        <f t="shared" si="383"/>
        <v/>
      </c>
      <c r="AF365" s="283" t="str">
        <f t="shared" si="384"/>
        <v/>
      </c>
      <c r="AG365" s="118"/>
      <c r="AH365" s="118"/>
      <c r="AI365" s="283" t="str">
        <f t="shared" si="385"/>
        <v/>
      </c>
      <c r="AJ365" s="118"/>
      <c r="AK365" s="118"/>
      <c r="AM365" s="118">
        <f t="shared" si="386"/>
        <v>1107.6923076923078</v>
      </c>
      <c r="AN365" s="118">
        <f t="shared" si="371"/>
        <v>1107.6923076923078</v>
      </c>
      <c r="AO365" s="118" t="str">
        <f>IFERROR(
IF(VLOOKUP($C365,'Employee information'!$B:$M,COLUMNS('Employee information'!$B:$M),0)=1,
IF($E$2="Fortnightly",
ROUND(
ROUND((((TRUNC($AN365/2,0)+0.99))*VLOOKUP((TRUNC($AN365/2,0)+0.99),'Tax scales - NAT 1004'!$A$12:$C$18,2,1)-VLOOKUP((TRUNC($AN365/2,0)+0.99),'Tax scales - NAT 1004'!$A$12:$C$18,3,1)),0)
*2,
0),
IF(AND($E$2="Monthly",ROUND($AN365-TRUNC($AN365),2)=0.33),
ROUND(
ROUND(((TRUNC(($AN365+0.01)*3/13,0)+0.99)*VLOOKUP((TRUNC(($AN365+0.01)*3/13,0)+0.99),'Tax scales - NAT 1004'!$A$12:$C$18,2,1)-VLOOKUP((TRUNC(($AN365+0.01)*3/13,0)+0.99),'Tax scales - NAT 1004'!$A$12:$C$18,3,1)),0)
*13/3,
0),
IF($E$2="Monthly",
ROUND(
ROUND(((TRUNC($AN365*3/13,0)+0.99)*VLOOKUP((TRUNC($AN365*3/13,0)+0.99),'Tax scales - NAT 1004'!$A$12:$C$18,2,1)-VLOOKUP((TRUNC($AN365*3/13,0)+0.99),'Tax scales - NAT 1004'!$A$12:$C$18,3,1)),0)
*13/3,
0),
""))),
""),
"")</f>
        <v/>
      </c>
      <c r="AP365" s="118" t="str">
        <f>IFERROR(
IF(VLOOKUP($C365,'Employee information'!$B:$M,COLUMNS('Employee information'!$B:$M),0)=2,
IF($E$2="Fortnightly",
ROUND(
ROUND((((TRUNC($AN365/2,0)+0.99))*VLOOKUP((TRUNC($AN365/2,0)+0.99),'Tax scales - NAT 1004'!$A$25:$C$33,2,1)-VLOOKUP((TRUNC($AN365/2,0)+0.99),'Tax scales - NAT 1004'!$A$25:$C$33,3,1)),0)
*2,
0),
IF(AND($E$2="Monthly",ROUND($AN365-TRUNC($AN365),2)=0.33),
ROUND(
ROUND(((TRUNC(($AN365+0.01)*3/13,0)+0.99)*VLOOKUP((TRUNC(($AN365+0.01)*3/13,0)+0.99),'Tax scales - NAT 1004'!$A$25:$C$33,2,1)-VLOOKUP((TRUNC(($AN365+0.01)*3/13,0)+0.99),'Tax scales - NAT 1004'!$A$25:$C$33,3,1)),0)
*13/3,
0),
IF($E$2="Monthly",
ROUND(
ROUND(((TRUNC($AN365*3/13,0)+0.99)*VLOOKUP((TRUNC($AN365*3/13,0)+0.99),'Tax scales - NAT 1004'!$A$25:$C$33,2,1)-VLOOKUP((TRUNC($AN365*3/13,0)+0.99),'Tax scales - NAT 1004'!$A$25:$C$33,3,1)),0)
*13/3,
0),
""))),
""),
"")</f>
        <v/>
      </c>
      <c r="AQ365" s="118" t="str">
        <f>IFERROR(
IF(VLOOKUP($C365,'Employee information'!$B:$M,COLUMNS('Employee information'!$B:$M),0)=3,
IF($E$2="Fortnightly",
ROUND(
ROUND((((TRUNC($AN365/2,0)+0.99))*VLOOKUP((TRUNC($AN365/2,0)+0.99),'Tax scales - NAT 1004'!$A$39:$C$41,2,1)-VLOOKUP((TRUNC($AN365/2,0)+0.99),'Tax scales - NAT 1004'!$A$39:$C$41,3,1)),0)
*2,
0),
IF(AND($E$2="Monthly",ROUND($AN365-TRUNC($AN365),2)=0.33),
ROUND(
ROUND(((TRUNC(($AN365+0.01)*3/13,0)+0.99)*VLOOKUP((TRUNC(($AN365+0.01)*3/13,0)+0.99),'Tax scales - NAT 1004'!$A$39:$C$41,2,1)-VLOOKUP((TRUNC(($AN365+0.01)*3/13,0)+0.99),'Tax scales - NAT 1004'!$A$39:$C$41,3,1)),0)
*13/3,
0),
IF($E$2="Monthly",
ROUND(
ROUND(((TRUNC($AN365*3/13,0)+0.99)*VLOOKUP((TRUNC($AN365*3/13,0)+0.99),'Tax scales - NAT 1004'!$A$39:$C$41,2,1)-VLOOKUP((TRUNC($AN365*3/13,0)+0.99),'Tax scales - NAT 1004'!$A$39:$C$41,3,1)),0)
*13/3,
0),
""))),
""),
"")</f>
        <v/>
      </c>
      <c r="AR365" s="118" t="str">
        <f>IFERROR(
IF(AND(VLOOKUP($C365,'Employee information'!$B:$M,COLUMNS('Employee information'!$B:$M),0)=4,
VLOOKUP($C365,'Employee information'!$B:$J,COLUMNS('Employee information'!$B:$J),0)="Resident"),
TRUNC(TRUNC($AN365)*'Tax scales - NAT 1004'!$B$47),
IF(AND(VLOOKUP($C365,'Employee information'!$B:$M,COLUMNS('Employee information'!$B:$M),0)=4,
VLOOKUP($C365,'Employee information'!$B:$J,COLUMNS('Employee information'!$B:$J),0)="Foreign resident"),
TRUNC(TRUNC($AN365)*'Tax scales - NAT 1004'!$B$48),
"")),
"")</f>
        <v/>
      </c>
      <c r="AS365" s="118" t="str">
        <f>IFERROR(
IF(VLOOKUP($C365,'Employee information'!$B:$M,COLUMNS('Employee information'!$B:$M),0)=5,
IF($E$2="Fortnightly",
ROUND(
ROUND((((TRUNC($AN365/2,0)+0.99))*VLOOKUP((TRUNC($AN365/2,0)+0.99),'Tax scales - NAT 1004'!$A$53:$C$59,2,1)-VLOOKUP((TRUNC($AN365/2,0)+0.99),'Tax scales - NAT 1004'!$A$53:$C$59,3,1)),0)
*2,
0),
IF(AND($E$2="Monthly",ROUND($AN365-TRUNC($AN365),2)=0.33),
ROUND(
ROUND(((TRUNC(($AN365+0.01)*3/13,0)+0.99)*VLOOKUP((TRUNC(($AN365+0.01)*3/13,0)+0.99),'Tax scales - NAT 1004'!$A$53:$C$59,2,1)-VLOOKUP((TRUNC(($AN365+0.01)*3/13,0)+0.99),'Tax scales - NAT 1004'!$A$53:$C$59,3,1)),0)
*13/3,
0),
IF($E$2="Monthly",
ROUND(
ROUND(((TRUNC($AN365*3/13,0)+0.99)*VLOOKUP((TRUNC($AN365*3/13,0)+0.99),'Tax scales - NAT 1004'!$A$53:$C$59,2,1)-VLOOKUP((TRUNC($AN365*3/13,0)+0.99),'Tax scales - NAT 1004'!$A$53:$C$59,3,1)),0)
*13/3,
0),
""))),
""),
"")</f>
        <v/>
      </c>
      <c r="AT365" s="118" t="str">
        <f>IFERROR(
IF(VLOOKUP($C365,'Employee information'!$B:$M,COLUMNS('Employee information'!$B:$M),0)=6,
IF($E$2="Fortnightly",
ROUND(
ROUND((((TRUNC($AN365/2,0)+0.99))*VLOOKUP((TRUNC($AN365/2,0)+0.99),'Tax scales - NAT 1004'!$A$65:$C$73,2,1)-VLOOKUP((TRUNC($AN365/2,0)+0.99),'Tax scales - NAT 1004'!$A$65:$C$73,3,1)),0)
*2,
0),
IF(AND($E$2="Monthly",ROUND($AN365-TRUNC($AN365),2)=0.33),
ROUND(
ROUND(((TRUNC(($AN365+0.01)*3/13,0)+0.99)*VLOOKUP((TRUNC(($AN365+0.01)*3/13,0)+0.99),'Tax scales - NAT 1004'!$A$65:$C$73,2,1)-VLOOKUP((TRUNC(($AN365+0.01)*3/13,0)+0.99),'Tax scales - NAT 1004'!$A$65:$C$73,3,1)),0)
*13/3,
0),
IF($E$2="Monthly",
ROUND(
ROUND(((TRUNC($AN365*3/13,0)+0.99)*VLOOKUP((TRUNC($AN365*3/13,0)+0.99),'Tax scales - NAT 1004'!$A$65:$C$73,2,1)-VLOOKUP((TRUNC($AN365*3/13,0)+0.99),'Tax scales - NAT 1004'!$A$65:$C$73,3,1)),0)
*13/3,
0),
""))),
""),
"")</f>
        <v/>
      </c>
      <c r="AU365" s="118" t="str">
        <f>IFERROR(
IF(VLOOKUP($C365,'Employee information'!$B:$M,COLUMNS('Employee information'!$B:$M),0)=11,
IF($E$2="Fortnightly",
ROUND(
ROUND((((TRUNC($AN365/2,0)+0.99))*VLOOKUP((TRUNC($AN365/2,0)+0.99),'Tax scales - NAT 3539'!$A$14:$C$38,2,1)-VLOOKUP((TRUNC($AN365/2,0)+0.99),'Tax scales - NAT 3539'!$A$14:$C$38,3,1)),0)
*2,
0),
IF(AND($E$2="Monthly",ROUND($AN365-TRUNC($AN365),2)=0.33),
ROUND(
ROUND(((TRUNC(($AN365+0.01)*3/13,0)+0.99)*VLOOKUP((TRUNC(($AN365+0.01)*3/13,0)+0.99),'Tax scales - NAT 3539'!$A$14:$C$38,2,1)-VLOOKUP((TRUNC(($AN365+0.01)*3/13,0)+0.99),'Tax scales - NAT 3539'!$A$14:$C$38,3,1)),0)
*13/3,
0),
IF($E$2="Monthly",
ROUND(
ROUND(((TRUNC($AN365*3/13,0)+0.99)*VLOOKUP((TRUNC($AN365*3/13,0)+0.99),'Tax scales - NAT 3539'!$A$14:$C$38,2,1)-VLOOKUP((TRUNC($AN365*3/13,0)+0.99),'Tax scales - NAT 3539'!$A$14:$C$38,3,1)),0)
*13/3,
0),
""))),
""),
"")</f>
        <v/>
      </c>
      <c r="AV365" s="118" t="str">
        <f>IFERROR(
IF(VLOOKUP($C365,'Employee information'!$B:$M,COLUMNS('Employee information'!$B:$M),0)=22,
IF($E$2="Fortnightly",
ROUND(
ROUND((((TRUNC($AN365/2,0)+0.99))*VLOOKUP((TRUNC($AN365/2,0)+0.99),'Tax scales - NAT 3539'!$A$43:$C$69,2,1)-VLOOKUP((TRUNC($AN365/2,0)+0.99),'Tax scales - NAT 3539'!$A$43:$C$69,3,1)),0)
*2,
0),
IF(AND($E$2="Monthly",ROUND($AN365-TRUNC($AN365),2)=0.33),
ROUND(
ROUND(((TRUNC(($AN365+0.01)*3/13,0)+0.99)*VLOOKUP((TRUNC(($AN365+0.01)*3/13,0)+0.99),'Tax scales - NAT 3539'!$A$43:$C$69,2,1)-VLOOKUP((TRUNC(($AN365+0.01)*3/13,0)+0.99),'Tax scales - NAT 3539'!$A$43:$C$69,3,1)),0)
*13/3,
0),
IF($E$2="Monthly",
ROUND(
ROUND(((TRUNC($AN365*3/13,0)+0.99)*VLOOKUP((TRUNC($AN365*3/13,0)+0.99),'Tax scales - NAT 3539'!$A$43:$C$69,2,1)-VLOOKUP((TRUNC($AN365*3/13,0)+0.99),'Tax scales - NAT 3539'!$A$43:$C$69,3,1)),0)
*13/3,
0),
""))),
""),
"")</f>
        <v/>
      </c>
      <c r="AW365" s="118" t="str">
        <f>IFERROR(
IF(VLOOKUP($C365,'Employee information'!$B:$M,COLUMNS('Employee information'!$B:$M),0)=33,
IF($E$2="Fortnightly",
ROUND(
ROUND((((TRUNC($AN365/2,0)+0.99))*VLOOKUP((TRUNC($AN365/2,0)+0.99),'Tax scales - NAT 3539'!$A$74:$C$94,2,1)-VLOOKUP((TRUNC($AN365/2,0)+0.99),'Tax scales - NAT 3539'!$A$74:$C$94,3,1)),0)
*2,
0),
IF(AND($E$2="Monthly",ROUND($AN365-TRUNC($AN365),2)=0.33),
ROUND(
ROUND(((TRUNC(($AN365+0.01)*3/13,0)+0.99)*VLOOKUP((TRUNC(($AN365+0.01)*3/13,0)+0.99),'Tax scales - NAT 3539'!$A$74:$C$94,2,1)-VLOOKUP((TRUNC(($AN365+0.01)*3/13,0)+0.99),'Tax scales - NAT 3539'!$A$74:$C$94,3,1)),0)
*13/3,
0),
IF($E$2="Monthly",
ROUND(
ROUND(((TRUNC($AN365*3/13,0)+0.99)*VLOOKUP((TRUNC($AN365*3/13,0)+0.99),'Tax scales - NAT 3539'!$A$74:$C$94,2,1)-VLOOKUP((TRUNC($AN365*3/13,0)+0.99),'Tax scales - NAT 3539'!$A$74:$C$94,3,1)),0)
*13/3,
0),
""))),
""),
"")</f>
        <v/>
      </c>
      <c r="AX365" s="118" t="str">
        <f>IFERROR(
IF(VLOOKUP($C365,'Employee information'!$B:$M,COLUMNS('Employee information'!$B:$M),0)=55,
IF($E$2="Fortnightly",
ROUND(
ROUND((((TRUNC($AN365/2,0)+0.99))*VLOOKUP((TRUNC($AN365/2,0)+0.99),'Tax scales - NAT 3539'!$A$99:$C$123,2,1)-VLOOKUP((TRUNC($AN365/2,0)+0.99),'Tax scales - NAT 3539'!$A$99:$C$123,3,1)),0)
*2,
0),
IF(AND($E$2="Monthly",ROUND($AN365-TRUNC($AN365),2)=0.33),
ROUND(
ROUND(((TRUNC(($AN365+0.01)*3/13,0)+0.99)*VLOOKUP((TRUNC(($AN365+0.01)*3/13,0)+0.99),'Tax scales - NAT 3539'!$A$99:$C$123,2,1)-VLOOKUP((TRUNC(($AN365+0.01)*3/13,0)+0.99),'Tax scales - NAT 3539'!$A$99:$C$123,3,1)),0)
*13/3,
0),
IF($E$2="Monthly",
ROUND(
ROUND(((TRUNC($AN365*3/13,0)+0.99)*VLOOKUP((TRUNC($AN365*3/13,0)+0.99),'Tax scales - NAT 3539'!$A$99:$C$123,2,1)-VLOOKUP((TRUNC($AN365*3/13,0)+0.99),'Tax scales - NAT 3539'!$A$99:$C$123,3,1)),0)
*13/3,
0),
""))),
""),
"")</f>
        <v/>
      </c>
      <c r="AY365" s="118">
        <f>IFERROR(
IF(VLOOKUP($C365,'Employee information'!$B:$M,COLUMNS('Employee information'!$B:$M),0)=66,
IF($E$2="Fortnightly",
ROUND(
ROUND((((TRUNC($AN365/2,0)+0.99))*VLOOKUP((TRUNC($AN365/2,0)+0.99),'Tax scales - NAT 3539'!$A$127:$C$154,2,1)-VLOOKUP((TRUNC($AN365/2,0)+0.99),'Tax scales - NAT 3539'!$A$127:$C$154,3,1)),0)
*2,
0),
IF(AND($E$2="Monthly",ROUND($AN365-TRUNC($AN365),2)=0.33),
ROUND(
ROUND(((TRUNC(($AN365+0.01)*3/13,0)+0.99)*VLOOKUP((TRUNC(($AN365+0.01)*3/13,0)+0.99),'Tax scales - NAT 3539'!$A$127:$C$154,2,1)-VLOOKUP((TRUNC(($AN365+0.01)*3/13,0)+0.99),'Tax scales - NAT 3539'!$A$127:$C$154,3,1)),0)
*13/3,
0),
IF($E$2="Monthly",
ROUND(
ROUND(((TRUNC($AN365*3/13,0)+0.99)*VLOOKUP((TRUNC($AN365*3/13,0)+0.99),'Tax scales - NAT 3539'!$A$127:$C$154,2,1)-VLOOKUP((TRUNC($AN365*3/13,0)+0.99),'Tax scales - NAT 3539'!$A$127:$C$154,3,1)),0)
*13/3,
0),
""))),
""),
"")</f>
        <v>74</v>
      </c>
      <c r="AZ365" s="118">
        <f>IFERROR(
HLOOKUP(VLOOKUP($C365,'Employee information'!$B:$M,COLUMNS('Employee information'!$B:$M),0),'PAYG worksheet'!$AO$358:$AY$377,COUNTA($C$359:$C365)+1,0),
0)</f>
        <v>74</v>
      </c>
      <c r="BA365" s="118"/>
      <c r="BB365" s="118">
        <f t="shared" si="387"/>
        <v>1033.6923076923078</v>
      </c>
      <c r="BC365" s="119">
        <f>IFERROR(
IF(OR($AE365=1,$AE365=""),SUM($P365,$AA365,$AC365,$AK365)*VLOOKUP($C365,'Employee information'!$B:$Q,COLUMNS('Employee information'!$B:$H),0),
IF($AE365=0,SUM($P365,$AA365,$AK365)*VLOOKUP($C365,'Employee information'!$B:$Q,COLUMNS('Employee information'!$B:$H),0),
0)),
0)</f>
        <v>105.23076923076924</v>
      </c>
      <c r="BE365" s="114">
        <f t="shared" si="372"/>
        <v>14400.000000000005</v>
      </c>
      <c r="BF365" s="114">
        <f t="shared" si="373"/>
        <v>14400.000000000005</v>
      </c>
      <c r="BG365" s="114">
        <f t="shared" si="374"/>
        <v>0</v>
      </c>
      <c r="BH365" s="114">
        <f t="shared" si="375"/>
        <v>0</v>
      </c>
      <c r="BI365" s="114">
        <f t="shared" si="376"/>
        <v>962</v>
      </c>
      <c r="BJ365" s="114">
        <f t="shared" si="377"/>
        <v>0</v>
      </c>
      <c r="BK365" s="114">
        <f t="shared" si="378"/>
        <v>0</v>
      </c>
      <c r="BL365" s="114">
        <f t="shared" si="388"/>
        <v>0</v>
      </c>
      <c r="BM365" s="114">
        <f t="shared" si="379"/>
        <v>1368.0000000000005</v>
      </c>
    </row>
    <row r="366" spans="1:65" x14ac:dyDescent="0.25">
      <c r="A366" s="228">
        <f t="shared" si="367"/>
        <v>13</v>
      </c>
      <c r="C366" s="278"/>
      <c r="E366" s="103">
        <f>IF($C366="",0,
IF(AND($E$2="Monthly",$A366&gt;12),0,
IF($E$2="Monthly",VLOOKUP($C366,'Employee information'!$B:$AM,COLUMNS('Employee information'!$B:S),0),
IF($E$2="Fortnightly",VLOOKUP($C366,'Employee information'!$B:$AM,COLUMNS('Employee information'!$B:R),0),
0))))</f>
        <v>0</v>
      </c>
      <c r="F366" s="106"/>
      <c r="G366" s="106"/>
      <c r="H366" s="106"/>
      <c r="I366" s="106"/>
      <c r="J366" s="103">
        <f>IF($E$2="Monthly",
IF(AND($E$2="Monthly",$H366&lt;&gt;""),$H366,
IF(AND($E$2="Monthly",$E366=0),SUM($F366:$G366),
$E366)),
IF($E$2="Fortnightly",
IF(AND($E$2="Fortnightly",$H366&lt;&gt;""),$H366,
IF(AND($E$2="Fortnightly",$F366&lt;&gt;"",$E366&lt;&gt;0),$F366,
IF(AND($E$2="Fortnightly",$E366=0),SUM($F366:$G366),
$E366)))))</f>
        <v>0</v>
      </c>
      <c r="L366" s="113">
        <f>IF(AND($E$2="Monthly",$A366&gt;12),"",
IFERROR($J366*VLOOKUP($C366,'Employee information'!$B:$AI,COLUMNS('Employee information'!$B:$P),0),0))</f>
        <v>0</v>
      </c>
      <c r="M366" s="114">
        <f t="shared" si="381"/>
        <v>0</v>
      </c>
      <c r="O366" s="103">
        <f t="shared" si="382"/>
        <v>0</v>
      </c>
      <c r="P366" s="113">
        <f>IFERROR(
IF(AND($E$2="Monthly",$A366&gt;12),0,
$O366*VLOOKUP($C366,'Employee information'!$B:$AI,COLUMNS('Employee information'!$B:$P),0)),
0)</f>
        <v>0</v>
      </c>
      <c r="R366" s="114">
        <f t="shared" si="368"/>
        <v>0</v>
      </c>
      <c r="T366" s="103"/>
      <c r="U366" s="103"/>
      <c r="V366" s="282" t="str">
        <f>IF($C366="","",
IF(AND($E$2="Monthly",$A366&gt;12),"",
$T366*VLOOKUP($C366,'Employee information'!$B:$P,COLUMNS('Employee information'!$B:$P),0)))</f>
        <v/>
      </c>
      <c r="W366" s="282" t="str">
        <f>IF($C366="","",
IF(AND($E$2="Monthly",$A366&gt;12),"",
$U366*VLOOKUP($C366,'Employee information'!$B:$P,COLUMNS('Employee information'!$B:$P),0)))</f>
        <v/>
      </c>
      <c r="X366" s="114">
        <f t="shared" si="369"/>
        <v>0</v>
      </c>
      <c r="Y366" s="114">
        <f t="shared" si="370"/>
        <v>0</v>
      </c>
      <c r="AA366" s="118">
        <f>IFERROR(
IF(OR('Basic payroll data'!$D$12="",'Basic payroll data'!$D$12="No"),0,
$T366*VLOOKUP($C366,'Employee information'!$B:$P,COLUMNS('Employee information'!$B:$P),0)*AL_loading_perc),
0)</f>
        <v>0</v>
      </c>
      <c r="AC366" s="118"/>
      <c r="AD366" s="118"/>
      <c r="AE366" s="283" t="str">
        <f t="shared" si="383"/>
        <v/>
      </c>
      <c r="AF366" s="283" t="str">
        <f t="shared" si="384"/>
        <v/>
      </c>
      <c r="AG366" s="118"/>
      <c r="AH366" s="118"/>
      <c r="AI366" s="283" t="str">
        <f t="shared" si="385"/>
        <v/>
      </c>
      <c r="AJ366" s="118"/>
      <c r="AK366" s="118"/>
      <c r="AM366" s="118">
        <f t="shared" si="386"/>
        <v>0</v>
      </c>
      <c r="AN366" s="118">
        <f t="shared" si="371"/>
        <v>0</v>
      </c>
      <c r="AO366" s="118" t="str">
        <f>IFERROR(
IF(VLOOKUP($C366,'Employee information'!$B:$M,COLUMNS('Employee information'!$B:$M),0)=1,
IF($E$2="Fortnightly",
ROUND(
ROUND((((TRUNC($AN366/2,0)+0.99))*VLOOKUP((TRUNC($AN366/2,0)+0.99),'Tax scales - NAT 1004'!$A$12:$C$18,2,1)-VLOOKUP((TRUNC($AN366/2,0)+0.99),'Tax scales - NAT 1004'!$A$12:$C$18,3,1)),0)
*2,
0),
IF(AND($E$2="Monthly",ROUND($AN366-TRUNC($AN366),2)=0.33),
ROUND(
ROUND(((TRUNC(($AN366+0.01)*3/13,0)+0.99)*VLOOKUP((TRUNC(($AN366+0.01)*3/13,0)+0.99),'Tax scales - NAT 1004'!$A$12:$C$18,2,1)-VLOOKUP((TRUNC(($AN366+0.01)*3/13,0)+0.99),'Tax scales - NAT 1004'!$A$12:$C$18,3,1)),0)
*13/3,
0),
IF($E$2="Monthly",
ROUND(
ROUND(((TRUNC($AN366*3/13,0)+0.99)*VLOOKUP((TRUNC($AN366*3/13,0)+0.99),'Tax scales - NAT 1004'!$A$12:$C$18,2,1)-VLOOKUP((TRUNC($AN366*3/13,0)+0.99),'Tax scales - NAT 1004'!$A$12:$C$18,3,1)),0)
*13/3,
0),
""))),
""),
"")</f>
        <v/>
      </c>
      <c r="AP366" s="118" t="str">
        <f>IFERROR(
IF(VLOOKUP($C366,'Employee information'!$B:$M,COLUMNS('Employee information'!$B:$M),0)=2,
IF($E$2="Fortnightly",
ROUND(
ROUND((((TRUNC($AN366/2,0)+0.99))*VLOOKUP((TRUNC($AN366/2,0)+0.99),'Tax scales - NAT 1004'!$A$25:$C$33,2,1)-VLOOKUP((TRUNC($AN366/2,0)+0.99),'Tax scales - NAT 1004'!$A$25:$C$33,3,1)),0)
*2,
0),
IF(AND($E$2="Monthly",ROUND($AN366-TRUNC($AN366),2)=0.33),
ROUND(
ROUND(((TRUNC(($AN366+0.01)*3/13,0)+0.99)*VLOOKUP((TRUNC(($AN366+0.01)*3/13,0)+0.99),'Tax scales - NAT 1004'!$A$25:$C$33,2,1)-VLOOKUP((TRUNC(($AN366+0.01)*3/13,0)+0.99),'Tax scales - NAT 1004'!$A$25:$C$33,3,1)),0)
*13/3,
0),
IF($E$2="Monthly",
ROUND(
ROUND(((TRUNC($AN366*3/13,0)+0.99)*VLOOKUP((TRUNC($AN366*3/13,0)+0.99),'Tax scales - NAT 1004'!$A$25:$C$33,2,1)-VLOOKUP((TRUNC($AN366*3/13,0)+0.99),'Tax scales - NAT 1004'!$A$25:$C$33,3,1)),0)
*13/3,
0),
""))),
""),
"")</f>
        <v/>
      </c>
      <c r="AQ366" s="118" t="str">
        <f>IFERROR(
IF(VLOOKUP($C366,'Employee information'!$B:$M,COLUMNS('Employee information'!$B:$M),0)=3,
IF($E$2="Fortnightly",
ROUND(
ROUND((((TRUNC($AN366/2,0)+0.99))*VLOOKUP((TRUNC($AN366/2,0)+0.99),'Tax scales - NAT 1004'!$A$39:$C$41,2,1)-VLOOKUP((TRUNC($AN366/2,0)+0.99),'Tax scales - NAT 1004'!$A$39:$C$41,3,1)),0)
*2,
0),
IF(AND($E$2="Monthly",ROUND($AN366-TRUNC($AN366),2)=0.33),
ROUND(
ROUND(((TRUNC(($AN366+0.01)*3/13,0)+0.99)*VLOOKUP((TRUNC(($AN366+0.01)*3/13,0)+0.99),'Tax scales - NAT 1004'!$A$39:$C$41,2,1)-VLOOKUP((TRUNC(($AN366+0.01)*3/13,0)+0.99),'Tax scales - NAT 1004'!$A$39:$C$41,3,1)),0)
*13/3,
0),
IF($E$2="Monthly",
ROUND(
ROUND(((TRUNC($AN366*3/13,0)+0.99)*VLOOKUP((TRUNC($AN366*3/13,0)+0.99),'Tax scales - NAT 1004'!$A$39:$C$41,2,1)-VLOOKUP((TRUNC($AN366*3/13,0)+0.99),'Tax scales - NAT 1004'!$A$39:$C$41,3,1)),0)
*13/3,
0),
""))),
""),
"")</f>
        <v/>
      </c>
      <c r="AR366" s="118" t="str">
        <f>IFERROR(
IF(AND(VLOOKUP($C366,'Employee information'!$B:$M,COLUMNS('Employee information'!$B:$M),0)=4,
VLOOKUP($C366,'Employee information'!$B:$J,COLUMNS('Employee information'!$B:$J),0)="Resident"),
TRUNC(TRUNC($AN366)*'Tax scales - NAT 1004'!$B$47),
IF(AND(VLOOKUP($C366,'Employee information'!$B:$M,COLUMNS('Employee information'!$B:$M),0)=4,
VLOOKUP($C366,'Employee information'!$B:$J,COLUMNS('Employee information'!$B:$J),0)="Foreign resident"),
TRUNC(TRUNC($AN366)*'Tax scales - NAT 1004'!$B$48),
"")),
"")</f>
        <v/>
      </c>
      <c r="AS366" s="118" t="str">
        <f>IFERROR(
IF(VLOOKUP($C366,'Employee information'!$B:$M,COLUMNS('Employee information'!$B:$M),0)=5,
IF($E$2="Fortnightly",
ROUND(
ROUND((((TRUNC($AN366/2,0)+0.99))*VLOOKUP((TRUNC($AN366/2,0)+0.99),'Tax scales - NAT 1004'!$A$53:$C$59,2,1)-VLOOKUP((TRUNC($AN366/2,0)+0.99),'Tax scales - NAT 1004'!$A$53:$C$59,3,1)),0)
*2,
0),
IF(AND($E$2="Monthly",ROUND($AN366-TRUNC($AN366),2)=0.33),
ROUND(
ROUND(((TRUNC(($AN366+0.01)*3/13,0)+0.99)*VLOOKUP((TRUNC(($AN366+0.01)*3/13,0)+0.99),'Tax scales - NAT 1004'!$A$53:$C$59,2,1)-VLOOKUP((TRUNC(($AN366+0.01)*3/13,0)+0.99),'Tax scales - NAT 1004'!$A$53:$C$59,3,1)),0)
*13/3,
0),
IF($E$2="Monthly",
ROUND(
ROUND(((TRUNC($AN366*3/13,0)+0.99)*VLOOKUP((TRUNC($AN366*3/13,0)+0.99),'Tax scales - NAT 1004'!$A$53:$C$59,2,1)-VLOOKUP((TRUNC($AN366*3/13,0)+0.99),'Tax scales - NAT 1004'!$A$53:$C$59,3,1)),0)
*13/3,
0),
""))),
""),
"")</f>
        <v/>
      </c>
      <c r="AT366" s="118" t="str">
        <f>IFERROR(
IF(VLOOKUP($C366,'Employee information'!$B:$M,COLUMNS('Employee information'!$B:$M),0)=6,
IF($E$2="Fortnightly",
ROUND(
ROUND((((TRUNC($AN366/2,0)+0.99))*VLOOKUP((TRUNC($AN366/2,0)+0.99),'Tax scales - NAT 1004'!$A$65:$C$73,2,1)-VLOOKUP((TRUNC($AN366/2,0)+0.99),'Tax scales - NAT 1004'!$A$65:$C$73,3,1)),0)
*2,
0),
IF(AND($E$2="Monthly",ROUND($AN366-TRUNC($AN366),2)=0.33),
ROUND(
ROUND(((TRUNC(($AN366+0.01)*3/13,0)+0.99)*VLOOKUP((TRUNC(($AN366+0.01)*3/13,0)+0.99),'Tax scales - NAT 1004'!$A$65:$C$73,2,1)-VLOOKUP((TRUNC(($AN366+0.01)*3/13,0)+0.99),'Tax scales - NAT 1004'!$A$65:$C$73,3,1)),0)
*13/3,
0),
IF($E$2="Monthly",
ROUND(
ROUND(((TRUNC($AN366*3/13,0)+0.99)*VLOOKUP((TRUNC($AN366*3/13,0)+0.99),'Tax scales - NAT 1004'!$A$65:$C$73,2,1)-VLOOKUP((TRUNC($AN366*3/13,0)+0.99),'Tax scales - NAT 1004'!$A$65:$C$73,3,1)),0)
*13/3,
0),
""))),
""),
"")</f>
        <v/>
      </c>
      <c r="AU366" s="118" t="str">
        <f>IFERROR(
IF(VLOOKUP($C366,'Employee information'!$B:$M,COLUMNS('Employee information'!$B:$M),0)=11,
IF($E$2="Fortnightly",
ROUND(
ROUND((((TRUNC($AN366/2,0)+0.99))*VLOOKUP((TRUNC($AN366/2,0)+0.99),'Tax scales - NAT 3539'!$A$14:$C$38,2,1)-VLOOKUP((TRUNC($AN366/2,0)+0.99),'Tax scales - NAT 3539'!$A$14:$C$38,3,1)),0)
*2,
0),
IF(AND($E$2="Monthly",ROUND($AN366-TRUNC($AN366),2)=0.33),
ROUND(
ROUND(((TRUNC(($AN366+0.01)*3/13,0)+0.99)*VLOOKUP((TRUNC(($AN366+0.01)*3/13,0)+0.99),'Tax scales - NAT 3539'!$A$14:$C$38,2,1)-VLOOKUP((TRUNC(($AN366+0.01)*3/13,0)+0.99),'Tax scales - NAT 3539'!$A$14:$C$38,3,1)),0)
*13/3,
0),
IF($E$2="Monthly",
ROUND(
ROUND(((TRUNC($AN366*3/13,0)+0.99)*VLOOKUP((TRUNC($AN366*3/13,0)+0.99),'Tax scales - NAT 3539'!$A$14:$C$38,2,1)-VLOOKUP((TRUNC($AN366*3/13,0)+0.99),'Tax scales - NAT 3539'!$A$14:$C$38,3,1)),0)
*13/3,
0),
""))),
""),
"")</f>
        <v/>
      </c>
      <c r="AV366" s="118" t="str">
        <f>IFERROR(
IF(VLOOKUP($C366,'Employee information'!$B:$M,COLUMNS('Employee information'!$B:$M),0)=22,
IF($E$2="Fortnightly",
ROUND(
ROUND((((TRUNC($AN366/2,0)+0.99))*VLOOKUP((TRUNC($AN366/2,0)+0.99),'Tax scales - NAT 3539'!$A$43:$C$69,2,1)-VLOOKUP((TRUNC($AN366/2,0)+0.99),'Tax scales - NAT 3539'!$A$43:$C$69,3,1)),0)
*2,
0),
IF(AND($E$2="Monthly",ROUND($AN366-TRUNC($AN366),2)=0.33),
ROUND(
ROUND(((TRUNC(($AN366+0.01)*3/13,0)+0.99)*VLOOKUP((TRUNC(($AN366+0.01)*3/13,0)+0.99),'Tax scales - NAT 3539'!$A$43:$C$69,2,1)-VLOOKUP((TRUNC(($AN366+0.01)*3/13,0)+0.99),'Tax scales - NAT 3539'!$A$43:$C$69,3,1)),0)
*13/3,
0),
IF($E$2="Monthly",
ROUND(
ROUND(((TRUNC($AN366*3/13,0)+0.99)*VLOOKUP((TRUNC($AN366*3/13,0)+0.99),'Tax scales - NAT 3539'!$A$43:$C$69,2,1)-VLOOKUP((TRUNC($AN366*3/13,0)+0.99),'Tax scales - NAT 3539'!$A$43:$C$69,3,1)),0)
*13/3,
0),
""))),
""),
"")</f>
        <v/>
      </c>
      <c r="AW366" s="118" t="str">
        <f>IFERROR(
IF(VLOOKUP($C366,'Employee information'!$B:$M,COLUMNS('Employee information'!$B:$M),0)=33,
IF($E$2="Fortnightly",
ROUND(
ROUND((((TRUNC($AN366/2,0)+0.99))*VLOOKUP((TRUNC($AN366/2,0)+0.99),'Tax scales - NAT 3539'!$A$74:$C$94,2,1)-VLOOKUP((TRUNC($AN366/2,0)+0.99),'Tax scales - NAT 3539'!$A$74:$C$94,3,1)),0)
*2,
0),
IF(AND($E$2="Monthly",ROUND($AN366-TRUNC($AN366),2)=0.33),
ROUND(
ROUND(((TRUNC(($AN366+0.01)*3/13,0)+0.99)*VLOOKUP((TRUNC(($AN366+0.01)*3/13,0)+0.99),'Tax scales - NAT 3539'!$A$74:$C$94,2,1)-VLOOKUP((TRUNC(($AN366+0.01)*3/13,0)+0.99),'Tax scales - NAT 3539'!$A$74:$C$94,3,1)),0)
*13/3,
0),
IF($E$2="Monthly",
ROUND(
ROUND(((TRUNC($AN366*3/13,0)+0.99)*VLOOKUP((TRUNC($AN366*3/13,0)+0.99),'Tax scales - NAT 3539'!$A$74:$C$94,2,1)-VLOOKUP((TRUNC($AN366*3/13,0)+0.99),'Tax scales - NAT 3539'!$A$74:$C$94,3,1)),0)
*13/3,
0),
""))),
""),
"")</f>
        <v/>
      </c>
      <c r="AX366" s="118" t="str">
        <f>IFERROR(
IF(VLOOKUP($C366,'Employee information'!$B:$M,COLUMNS('Employee information'!$B:$M),0)=55,
IF($E$2="Fortnightly",
ROUND(
ROUND((((TRUNC($AN366/2,0)+0.99))*VLOOKUP((TRUNC($AN366/2,0)+0.99),'Tax scales - NAT 3539'!$A$99:$C$123,2,1)-VLOOKUP((TRUNC($AN366/2,0)+0.99),'Tax scales - NAT 3539'!$A$99:$C$123,3,1)),0)
*2,
0),
IF(AND($E$2="Monthly",ROUND($AN366-TRUNC($AN366),2)=0.33),
ROUND(
ROUND(((TRUNC(($AN366+0.01)*3/13,0)+0.99)*VLOOKUP((TRUNC(($AN366+0.01)*3/13,0)+0.99),'Tax scales - NAT 3539'!$A$99:$C$123,2,1)-VLOOKUP((TRUNC(($AN366+0.01)*3/13,0)+0.99),'Tax scales - NAT 3539'!$A$99:$C$123,3,1)),0)
*13/3,
0),
IF($E$2="Monthly",
ROUND(
ROUND(((TRUNC($AN366*3/13,0)+0.99)*VLOOKUP((TRUNC($AN366*3/13,0)+0.99),'Tax scales - NAT 3539'!$A$99:$C$123,2,1)-VLOOKUP((TRUNC($AN366*3/13,0)+0.99),'Tax scales - NAT 3539'!$A$99:$C$123,3,1)),0)
*13/3,
0),
""))),
""),
"")</f>
        <v/>
      </c>
      <c r="AY366" s="118" t="str">
        <f>IFERROR(
IF(VLOOKUP($C366,'Employee information'!$B:$M,COLUMNS('Employee information'!$B:$M),0)=66,
IF($E$2="Fortnightly",
ROUND(
ROUND((((TRUNC($AN366/2,0)+0.99))*VLOOKUP((TRUNC($AN366/2,0)+0.99),'Tax scales - NAT 3539'!$A$127:$C$154,2,1)-VLOOKUP((TRUNC($AN366/2,0)+0.99),'Tax scales - NAT 3539'!$A$127:$C$154,3,1)),0)
*2,
0),
IF(AND($E$2="Monthly",ROUND($AN366-TRUNC($AN366),2)=0.33),
ROUND(
ROUND(((TRUNC(($AN366+0.01)*3/13,0)+0.99)*VLOOKUP((TRUNC(($AN366+0.01)*3/13,0)+0.99),'Tax scales - NAT 3539'!$A$127:$C$154,2,1)-VLOOKUP((TRUNC(($AN366+0.01)*3/13,0)+0.99),'Tax scales - NAT 3539'!$A$127:$C$154,3,1)),0)
*13/3,
0),
IF($E$2="Monthly",
ROUND(
ROUND(((TRUNC($AN366*3/13,0)+0.99)*VLOOKUP((TRUNC($AN366*3/13,0)+0.99),'Tax scales - NAT 3539'!$A$127:$C$154,2,1)-VLOOKUP((TRUNC($AN366*3/13,0)+0.99),'Tax scales - NAT 3539'!$A$127:$C$154,3,1)),0)
*13/3,
0),
""))),
""),
"")</f>
        <v/>
      </c>
      <c r="AZ366" s="118">
        <f>IFERROR(
HLOOKUP(VLOOKUP($C366,'Employee information'!$B:$M,COLUMNS('Employee information'!$B:$M),0),'PAYG worksheet'!$AO$358:$AY$377,COUNTA($C$359:$C366)+1,0),
0)</f>
        <v>0</v>
      </c>
      <c r="BA366" s="118"/>
      <c r="BB366" s="118">
        <f t="shared" si="387"/>
        <v>0</v>
      </c>
      <c r="BC366" s="119">
        <f>IFERROR(
IF(OR($AE366=1,$AE366=""),SUM($P366,$AA366,$AC366,$AK366)*VLOOKUP($C366,'Employee information'!$B:$Q,COLUMNS('Employee information'!$B:$H),0),
IF($AE366=0,SUM($P366,$AA366,$AK366)*VLOOKUP($C366,'Employee information'!$B:$Q,COLUMNS('Employee information'!$B:$H),0),
0)),
0)</f>
        <v>0</v>
      </c>
      <c r="BE366" s="114">
        <f t="shared" si="372"/>
        <v>0</v>
      </c>
      <c r="BF366" s="114">
        <f t="shared" si="373"/>
        <v>0</v>
      </c>
      <c r="BG366" s="114">
        <f t="shared" si="374"/>
        <v>0</v>
      </c>
      <c r="BH366" s="114">
        <f t="shared" si="375"/>
        <v>0</v>
      </c>
      <c r="BI366" s="114">
        <f t="shared" si="376"/>
        <v>0</v>
      </c>
      <c r="BJ366" s="114">
        <f t="shared" si="377"/>
        <v>0</v>
      </c>
      <c r="BK366" s="114">
        <f t="shared" si="378"/>
        <v>0</v>
      </c>
      <c r="BL366" s="114">
        <f t="shared" si="388"/>
        <v>0</v>
      </c>
      <c r="BM366" s="114">
        <f t="shared" si="379"/>
        <v>0</v>
      </c>
    </row>
    <row r="367" spans="1:65" x14ac:dyDescent="0.25">
      <c r="A367" s="228">
        <f t="shared" si="367"/>
        <v>13</v>
      </c>
      <c r="C367" s="278"/>
      <c r="E367" s="103">
        <f>IF($C367="",0,
IF(AND($E$2="Monthly",$A367&gt;12),0,
IF($E$2="Monthly",VLOOKUP($C367,'Employee information'!$B:$AM,COLUMNS('Employee information'!$B:S),0),
IF($E$2="Fortnightly",VLOOKUP($C367,'Employee information'!$B:$AM,COLUMNS('Employee information'!$B:R),0),
0))))</f>
        <v>0</v>
      </c>
      <c r="F367" s="106"/>
      <c r="G367" s="106"/>
      <c r="H367" s="106"/>
      <c r="I367" s="106"/>
      <c r="J367" s="103">
        <f t="shared" si="380"/>
        <v>0</v>
      </c>
      <c r="L367" s="113">
        <f>IF(AND($E$2="Monthly",$A367&gt;12),"",
IFERROR($J367*VLOOKUP($C367,'Employee information'!$B:$AI,COLUMNS('Employee information'!$B:$P),0),0))</f>
        <v>0</v>
      </c>
      <c r="M367" s="114">
        <f t="shared" si="381"/>
        <v>0</v>
      </c>
      <c r="O367" s="103">
        <f t="shared" si="382"/>
        <v>0</v>
      </c>
      <c r="P367" s="113">
        <f>IFERROR(
IF(AND($E$2="Monthly",$A367&gt;12),0,
$O367*VLOOKUP($C367,'Employee information'!$B:$AI,COLUMNS('Employee information'!$B:$P),0)),
0)</f>
        <v>0</v>
      </c>
      <c r="R367" s="114">
        <f t="shared" si="368"/>
        <v>0</v>
      </c>
      <c r="T367" s="103"/>
      <c r="U367" s="103"/>
      <c r="V367" s="282" t="str">
        <f>IF($C367="","",
IF(AND($E$2="Monthly",$A367&gt;12),"",
$T367*VLOOKUP($C367,'Employee information'!$B:$P,COLUMNS('Employee information'!$B:$P),0)))</f>
        <v/>
      </c>
      <c r="W367" s="282" t="str">
        <f>IF($C367="","",
IF(AND($E$2="Monthly",$A367&gt;12),"",
$U367*VLOOKUP($C367,'Employee information'!$B:$P,COLUMNS('Employee information'!$B:$P),0)))</f>
        <v/>
      </c>
      <c r="X367" s="114">
        <f t="shared" si="369"/>
        <v>0</v>
      </c>
      <c r="Y367" s="114">
        <f t="shared" si="370"/>
        <v>0</v>
      </c>
      <c r="AA367" s="118">
        <f>IFERROR(
IF(OR('Basic payroll data'!$D$12="",'Basic payroll data'!$D$12="No"),0,
$T367*VLOOKUP($C367,'Employee information'!$B:$P,COLUMNS('Employee information'!$B:$P),0)*AL_loading_perc),
0)</f>
        <v>0</v>
      </c>
      <c r="AC367" s="118"/>
      <c r="AD367" s="118"/>
      <c r="AE367" s="283" t="str">
        <f t="shared" si="383"/>
        <v/>
      </c>
      <c r="AF367" s="283" t="str">
        <f t="shared" si="384"/>
        <v/>
      </c>
      <c r="AG367" s="118"/>
      <c r="AH367" s="118"/>
      <c r="AI367" s="283" t="str">
        <f t="shared" si="385"/>
        <v/>
      </c>
      <c r="AJ367" s="118"/>
      <c r="AK367" s="118"/>
      <c r="AM367" s="118">
        <f t="shared" si="386"/>
        <v>0</v>
      </c>
      <c r="AN367" s="118">
        <f t="shared" si="371"/>
        <v>0</v>
      </c>
      <c r="AO367" s="118" t="str">
        <f>IFERROR(
IF(VLOOKUP($C367,'Employee information'!$B:$M,COLUMNS('Employee information'!$B:$M),0)=1,
IF($E$2="Fortnightly",
ROUND(
ROUND((((TRUNC($AN367/2,0)+0.99))*VLOOKUP((TRUNC($AN367/2,0)+0.99),'Tax scales - NAT 1004'!$A$12:$C$18,2,1)-VLOOKUP((TRUNC($AN367/2,0)+0.99),'Tax scales - NAT 1004'!$A$12:$C$18,3,1)),0)
*2,
0),
IF(AND($E$2="Monthly",ROUND($AN367-TRUNC($AN367),2)=0.33),
ROUND(
ROUND(((TRUNC(($AN367+0.01)*3/13,0)+0.99)*VLOOKUP((TRUNC(($AN367+0.01)*3/13,0)+0.99),'Tax scales - NAT 1004'!$A$12:$C$18,2,1)-VLOOKUP((TRUNC(($AN367+0.01)*3/13,0)+0.99),'Tax scales - NAT 1004'!$A$12:$C$18,3,1)),0)
*13/3,
0),
IF($E$2="Monthly",
ROUND(
ROUND(((TRUNC($AN367*3/13,0)+0.99)*VLOOKUP((TRUNC($AN367*3/13,0)+0.99),'Tax scales - NAT 1004'!$A$12:$C$18,2,1)-VLOOKUP((TRUNC($AN367*3/13,0)+0.99),'Tax scales - NAT 1004'!$A$12:$C$18,3,1)),0)
*13/3,
0),
""))),
""),
"")</f>
        <v/>
      </c>
      <c r="AP367" s="118" t="str">
        <f>IFERROR(
IF(VLOOKUP($C367,'Employee information'!$B:$M,COLUMNS('Employee information'!$B:$M),0)=2,
IF($E$2="Fortnightly",
ROUND(
ROUND((((TRUNC($AN367/2,0)+0.99))*VLOOKUP((TRUNC($AN367/2,0)+0.99),'Tax scales - NAT 1004'!$A$25:$C$33,2,1)-VLOOKUP((TRUNC($AN367/2,0)+0.99),'Tax scales - NAT 1004'!$A$25:$C$33,3,1)),0)
*2,
0),
IF(AND($E$2="Monthly",ROUND($AN367-TRUNC($AN367),2)=0.33),
ROUND(
ROUND(((TRUNC(($AN367+0.01)*3/13,0)+0.99)*VLOOKUP((TRUNC(($AN367+0.01)*3/13,0)+0.99),'Tax scales - NAT 1004'!$A$25:$C$33,2,1)-VLOOKUP((TRUNC(($AN367+0.01)*3/13,0)+0.99),'Tax scales - NAT 1004'!$A$25:$C$33,3,1)),0)
*13/3,
0),
IF($E$2="Monthly",
ROUND(
ROUND(((TRUNC($AN367*3/13,0)+0.99)*VLOOKUP((TRUNC($AN367*3/13,0)+0.99),'Tax scales - NAT 1004'!$A$25:$C$33,2,1)-VLOOKUP((TRUNC($AN367*3/13,0)+0.99),'Tax scales - NAT 1004'!$A$25:$C$33,3,1)),0)
*13/3,
0),
""))),
""),
"")</f>
        <v/>
      </c>
      <c r="AQ367" s="118" t="str">
        <f>IFERROR(
IF(VLOOKUP($C367,'Employee information'!$B:$M,COLUMNS('Employee information'!$B:$M),0)=3,
IF($E$2="Fortnightly",
ROUND(
ROUND((((TRUNC($AN367/2,0)+0.99))*VLOOKUP((TRUNC($AN367/2,0)+0.99),'Tax scales - NAT 1004'!$A$39:$C$41,2,1)-VLOOKUP((TRUNC($AN367/2,0)+0.99),'Tax scales - NAT 1004'!$A$39:$C$41,3,1)),0)
*2,
0),
IF(AND($E$2="Monthly",ROUND($AN367-TRUNC($AN367),2)=0.33),
ROUND(
ROUND(((TRUNC(($AN367+0.01)*3/13,0)+0.99)*VLOOKUP((TRUNC(($AN367+0.01)*3/13,0)+0.99),'Tax scales - NAT 1004'!$A$39:$C$41,2,1)-VLOOKUP((TRUNC(($AN367+0.01)*3/13,0)+0.99),'Tax scales - NAT 1004'!$A$39:$C$41,3,1)),0)
*13/3,
0),
IF($E$2="Monthly",
ROUND(
ROUND(((TRUNC($AN367*3/13,0)+0.99)*VLOOKUP((TRUNC($AN367*3/13,0)+0.99),'Tax scales - NAT 1004'!$A$39:$C$41,2,1)-VLOOKUP((TRUNC($AN367*3/13,0)+0.99),'Tax scales - NAT 1004'!$A$39:$C$41,3,1)),0)
*13/3,
0),
""))),
""),
"")</f>
        <v/>
      </c>
      <c r="AR367" s="118" t="str">
        <f>IFERROR(
IF(AND(VLOOKUP($C367,'Employee information'!$B:$M,COLUMNS('Employee information'!$B:$M),0)=4,
VLOOKUP($C367,'Employee information'!$B:$J,COLUMNS('Employee information'!$B:$J),0)="Resident"),
TRUNC(TRUNC($AN367)*'Tax scales - NAT 1004'!$B$47),
IF(AND(VLOOKUP($C367,'Employee information'!$B:$M,COLUMNS('Employee information'!$B:$M),0)=4,
VLOOKUP($C367,'Employee information'!$B:$J,COLUMNS('Employee information'!$B:$J),0)="Foreign resident"),
TRUNC(TRUNC($AN367)*'Tax scales - NAT 1004'!$B$48),
"")),
"")</f>
        <v/>
      </c>
      <c r="AS367" s="118" t="str">
        <f>IFERROR(
IF(VLOOKUP($C367,'Employee information'!$B:$M,COLUMNS('Employee information'!$B:$M),0)=5,
IF($E$2="Fortnightly",
ROUND(
ROUND((((TRUNC($AN367/2,0)+0.99))*VLOOKUP((TRUNC($AN367/2,0)+0.99),'Tax scales - NAT 1004'!$A$53:$C$59,2,1)-VLOOKUP((TRUNC($AN367/2,0)+0.99),'Tax scales - NAT 1004'!$A$53:$C$59,3,1)),0)
*2,
0),
IF(AND($E$2="Monthly",ROUND($AN367-TRUNC($AN367),2)=0.33),
ROUND(
ROUND(((TRUNC(($AN367+0.01)*3/13,0)+0.99)*VLOOKUP((TRUNC(($AN367+0.01)*3/13,0)+0.99),'Tax scales - NAT 1004'!$A$53:$C$59,2,1)-VLOOKUP((TRUNC(($AN367+0.01)*3/13,0)+0.99),'Tax scales - NAT 1004'!$A$53:$C$59,3,1)),0)
*13/3,
0),
IF($E$2="Monthly",
ROUND(
ROUND(((TRUNC($AN367*3/13,0)+0.99)*VLOOKUP((TRUNC($AN367*3/13,0)+0.99),'Tax scales - NAT 1004'!$A$53:$C$59,2,1)-VLOOKUP((TRUNC($AN367*3/13,0)+0.99),'Tax scales - NAT 1004'!$A$53:$C$59,3,1)),0)
*13/3,
0),
""))),
""),
"")</f>
        <v/>
      </c>
      <c r="AT367" s="118" t="str">
        <f>IFERROR(
IF(VLOOKUP($C367,'Employee information'!$B:$M,COLUMNS('Employee information'!$B:$M),0)=6,
IF($E$2="Fortnightly",
ROUND(
ROUND((((TRUNC($AN367/2,0)+0.99))*VLOOKUP((TRUNC($AN367/2,0)+0.99),'Tax scales - NAT 1004'!$A$65:$C$73,2,1)-VLOOKUP((TRUNC($AN367/2,0)+0.99),'Tax scales - NAT 1004'!$A$65:$C$73,3,1)),0)
*2,
0),
IF(AND($E$2="Monthly",ROUND($AN367-TRUNC($AN367),2)=0.33),
ROUND(
ROUND(((TRUNC(($AN367+0.01)*3/13,0)+0.99)*VLOOKUP((TRUNC(($AN367+0.01)*3/13,0)+0.99),'Tax scales - NAT 1004'!$A$65:$C$73,2,1)-VLOOKUP((TRUNC(($AN367+0.01)*3/13,0)+0.99),'Tax scales - NAT 1004'!$A$65:$C$73,3,1)),0)
*13/3,
0),
IF($E$2="Monthly",
ROUND(
ROUND(((TRUNC($AN367*3/13,0)+0.99)*VLOOKUP((TRUNC($AN367*3/13,0)+0.99),'Tax scales - NAT 1004'!$A$65:$C$73,2,1)-VLOOKUP((TRUNC($AN367*3/13,0)+0.99),'Tax scales - NAT 1004'!$A$65:$C$73,3,1)),0)
*13/3,
0),
""))),
""),
"")</f>
        <v/>
      </c>
      <c r="AU367" s="118" t="str">
        <f>IFERROR(
IF(VLOOKUP($C367,'Employee information'!$B:$M,COLUMNS('Employee information'!$B:$M),0)=11,
IF($E$2="Fortnightly",
ROUND(
ROUND((((TRUNC($AN367/2,0)+0.99))*VLOOKUP((TRUNC($AN367/2,0)+0.99),'Tax scales - NAT 3539'!$A$14:$C$38,2,1)-VLOOKUP((TRUNC($AN367/2,0)+0.99),'Tax scales - NAT 3539'!$A$14:$C$38,3,1)),0)
*2,
0),
IF(AND($E$2="Monthly",ROUND($AN367-TRUNC($AN367),2)=0.33),
ROUND(
ROUND(((TRUNC(($AN367+0.01)*3/13,0)+0.99)*VLOOKUP((TRUNC(($AN367+0.01)*3/13,0)+0.99),'Tax scales - NAT 3539'!$A$14:$C$38,2,1)-VLOOKUP((TRUNC(($AN367+0.01)*3/13,0)+0.99),'Tax scales - NAT 3539'!$A$14:$C$38,3,1)),0)
*13/3,
0),
IF($E$2="Monthly",
ROUND(
ROUND(((TRUNC($AN367*3/13,0)+0.99)*VLOOKUP((TRUNC($AN367*3/13,0)+0.99),'Tax scales - NAT 3539'!$A$14:$C$38,2,1)-VLOOKUP((TRUNC($AN367*3/13,0)+0.99),'Tax scales - NAT 3539'!$A$14:$C$38,3,1)),0)
*13/3,
0),
""))),
""),
"")</f>
        <v/>
      </c>
      <c r="AV367" s="118" t="str">
        <f>IFERROR(
IF(VLOOKUP($C367,'Employee information'!$B:$M,COLUMNS('Employee information'!$B:$M),0)=22,
IF($E$2="Fortnightly",
ROUND(
ROUND((((TRUNC($AN367/2,0)+0.99))*VLOOKUP((TRUNC($AN367/2,0)+0.99),'Tax scales - NAT 3539'!$A$43:$C$69,2,1)-VLOOKUP((TRUNC($AN367/2,0)+0.99),'Tax scales - NAT 3539'!$A$43:$C$69,3,1)),0)
*2,
0),
IF(AND($E$2="Monthly",ROUND($AN367-TRUNC($AN367),2)=0.33),
ROUND(
ROUND(((TRUNC(($AN367+0.01)*3/13,0)+0.99)*VLOOKUP((TRUNC(($AN367+0.01)*3/13,0)+0.99),'Tax scales - NAT 3539'!$A$43:$C$69,2,1)-VLOOKUP((TRUNC(($AN367+0.01)*3/13,0)+0.99),'Tax scales - NAT 3539'!$A$43:$C$69,3,1)),0)
*13/3,
0),
IF($E$2="Monthly",
ROUND(
ROUND(((TRUNC($AN367*3/13,0)+0.99)*VLOOKUP((TRUNC($AN367*3/13,0)+0.99),'Tax scales - NAT 3539'!$A$43:$C$69,2,1)-VLOOKUP((TRUNC($AN367*3/13,0)+0.99),'Tax scales - NAT 3539'!$A$43:$C$69,3,1)),0)
*13/3,
0),
""))),
""),
"")</f>
        <v/>
      </c>
      <c r="AW367" s="118" t="str">
        <f>IFERROR(
IF(VLOOKUP($C367,'Employee information'!$B:$M,COLUMNS('Employee information'!$B:$M),0)=33,
IF($E$2="Fortnightly",
ROUND(
ROUND((((TRUNC($AN367/2,0)+0.99))*VLOOKUP((TRUNC($AN367/2,0)+0.99),'Tax scales - NAT 3539'!$A$74:$C$94,2,1)-VLOOKUP((TRUNC($AN367/2,0)+0.99),'Tax scales - NAT 3539'!$A$74:$C$94,3,1)),0)
*2,
0),
IF(AND($E$2="Monthly",ROUND($AN367-TRUNC($AN367),2)=0.33),
ROUND(
ROUND(((TRUNC(($AN367+0.01)*3/13,0)+0.99)*VLOOKUP((TRUNC(($AN367+0.01)*3/13,0)+0.99),'Tax scales - NAT 3539'!$A$74:$C$94,2,1)-VLOOKUP((TRUNC(($AN367+0.01)*3/13,0)+0.99),'Tax scales - NAT 3539'!$A$74:$C$94,3,1)),0)
*13/3,
0),
IF($E$2="Monthly",
ROUND(
ROUND(((TRUNC($AN367*3/13,0)+0.99)*VLOOKUP((TRUNC($AN367*3/13,0)+0.99),'Tax scales - NAT 3539'!$A$74:$C$94,2,1)-VLOOKUP((TRUNC($AN367*3/13,0)+0.99),'Tax scales - NAT 3539'!$A$74:$C$94,3,1)),0)
*13/3,
0),
""))),
""),
"")</f>
        <v/>
      </c>
      <c r="AX367" s="118" t="str">
        <f>IFERROR(
IF(VLOOKUP($C367,'Employee information'!$B:$M,COLUMNS('Employee information'!$B:$M),0)=55,
IF($E$2="Fortnightly",
ROUND(
ROUND((((TRUNC($AN367/2,0)+0.99))*VLOOKUP((TRUNC($AN367/2,0)+0.99),'Tax scales - NAT 3539'!$A$99:$C$123,2,1)-VLOOKUP((TRUNC($AN367/2,0)+0.99),'Tax scales - NAT 3539'!$A$99:$C$123,3,1)),0)
*2,
0),
IF(AND($E$2="Monthly",ROUND($AN367-TRUNC($AN367),2)=0.33),
ROUND(
ROUND(((TRUNC(($AN367+0.01)*3/13,0)+0.99)*VLOOKUP((TRUNC(($AN367+0.01)*3/13,0)+0.99),'Tax scales - NAT 3539'!$A$99:$C$123,2,1)-VLOOKUP((TRUNC(($AN367+0.01)*3/13,0)+0.99),'Tax scales - NAT 3539'!$A$99:$C$123,3,1)),0)
*13/3,
0),
IF($E$2="Monthly",
ROUND(
ROUND(((TRUNC($AN367*3/13,0)+0.99)*VLOOKUP((TRUNC($AN367*3/13,0)+0.99),'Tax scales - NAT 3539'!$A$99:$C$123,2,1)-VLOOKUP((TRUNC($AN367*3/13,0)+0.99),'Tax scales - NAT 3539'!$A$99:$C$123,3,1)),0)
*13/3,
0),
""))),
""),
"")</f>
        <v/>
      </c>
      <c r="AY367" s="118" t="str">
        <f>IFERROR(
IF(VLOOKUP($C367,'Employee information'!$B:$M,COLUMNS('Employee information'!$B:$M),0)=66,
IF($E$2="Fortnightly",
ROUND(
ROUND((((TRUNC($AN367/2,0)+0.99))*VLOOKUP((TRUNC($AN367/2,0)+0.99),'Tax scales - NAT 3539'!$A$127:$C$154,2,1)-VLOOKUP((TRUNC($AN367/2,0)+0.99),'Tax scales - NAT 3539'!$A$127:$C$154,3,1)),0)
*2,
0),
IF(AND($E$2="Monthly",ROUND($AN367-TRUNC($AN367),2)=0.33),
ROUND(
ROUND(((TRUNC(($AN367+0.01)*3/13,0)+0.99)*VLOOKUP((TRUNC(($AN367+0.01)*3/13,0)+0.99),'Tax scales - NAT 3539'!$A$127:$C$154,2,1)-VLOOKUP((TRUNC(($AN367+0.01)*3/13,0)+0.99),'Tax scales - NAT 3539'!$A$127:$C$154,3,1)),0)
*13/3,
0),
IF($E$2="Monthly",
ROUND(
ROUND(((TRUNC($AN367*3/13,0)+0.99)*VLOOKUP((TRUNC($AN367*3/13,0)+0.99),'Tax scales - NAT 3539'!$A$127:$C$154,2,1)-VLOOKUP((TRUNC($AN367*3/13,0)+0.99),'Tax scales - NAT 3539'!$A$127:$C$154,3,1)),0)
*13/3,
0),
""))),
""),
"")</f>
        <v/>
      </c>
      <c r="AZ367" s="118">
        <f>IFERROR(
HLOOKUP(VLOOKUP($C367,'Employee information'!$B:$M,COLUMNS('Employee information'!$B:$M),0),'PAYG worksheet'!$AO$358:$AY$377,COUNTA($C$359:$C367)+1,0),
0)</f>
        <v>0</v>
      </c>
      <c r="BA367" s="118"/>
      <c r="BB367" s="118">
        <f t="shared" si="387"/>
        <v>0</v>
      </c>
      <c r="BC367" s="119">
        <f>IFERROR(
IF(OR($AE367=1,$AE367=""),SUM($P367,$AA367,$AC367,$AK367)*VLOOKUP($C367,'Employee information'!$B:$Q,COLUMNS('Employee information'!$B:$H),0),
IF($AE367=0,SUM($P367,$AA367,$AK367)*VLOOKUP($C367,'Employee information'!$B:$Q,COLUMNS('Employee information'!$B:$H),0),
0)),
0)</f>
        <v>0</v>
      </c>
      <c r="BE367" s="114">
        <f t="shared" si="372"/>
        <v>0</v>
      </c>
      <c r="BF367" s="114">
        <f t="shared" si="373"/>
        <v>0</v>
      </c>
      <c r="BG367" s="114">
        <f t="shared" si="374"/>
        <v>0</v>
      </c>
      <c r="BH367" s="114">
        <f t="shared" si="375"/>
        <v>0</v>
      </c>
      <c r="BI367" s="114">
        <f t="shared" si="376"/>
        <v>0</v>
      </c>
      <c r="BJ367" s="114">
        <f t="shared" si="377"/>
        <v>0</v>
      </c>
      <c r="BK367" s="114">
        <f t="shared" si="378"/>
        <v>0</v>
      </c>
      <c r="BL367" s="114">
        <f t="shared" si="388"/>
        <v>0</v>
      </c>
      <c r="BM367" s="114">
        <f t="shared" si="379"/>
        <v>0</v>
      </c>
    </row>
    <row r="368" spans="1:65" x14ac:dyDescent="0.25">
      <c r="A368" s="228">
        <f t="shared" si="367"/>
        <v>13</v>
      </c>
      <c r="C368" s="278"/>
      <c r="E368" s="103">
        <f>IF($C368="",0,
IF(AND($E$2="Monthly",$A368&gt;12),0,
IF($E$2="Monthly",VLOOKUP($C368,'Employee information'!$B:$AM,COLUMNS('Employee information'!$B:S),0),
IF($E$2="Fortnightly",VLOOKUP($C368,'Employee information'!$B:$AM,COLUMNS('Employee information'!$B:R),0),
0))))</f>
        <v>0</v>
      </c>
      <c r="F368" s="106"/>
      <c r="G368" s="106"/>
      <c r="H368" s="106"/>
      <c r="I368" s="106"/>
      <c r="J368" s="103">
        <f t="shared" si="380"/>
        <v>0</v>
      </c>
      <c r="L368" s="113">
        <f>IF(AND($E$2="Monthly",$A368&gt;12),"",
IFERROR($J368*VLOOKUP($C368,'Employee information'!$B:$AI,COLUMNS('Employee information'!$B:$P),0),0))</f>
        <v>0</v>
      </c>
      <c r="M368" s="114">
        <f t="shared" si="381"/>
        <v>0</v>
      </c>
      <c r="O368" s="103">
        <f>IF($E$2="Monthly",
IF(AND($E$2="Monthly",$H368&lt;&gt;""),$H368,
IF(AND($E$2="Monthly",$E368=0),$F368,
$E368)),
IF($E$2="Fortnightly",
IF(AND($E$2="Fortnightly",$H368&lt;&gt;""),$H368,
IF(AND($E$2="Fortnightly",$F368&lt;&gt;"",$E368&lt;&gt;0),$F368,
IF(AND($E$2="Fortnightly",$E368=0),$F368,
$E368)))))</f>
        <v>0</v>
      </c>
      <c r="P368" s="113">
        <f>IFERROR(
IF(AND($E$2="Monthly",$A368&gt;12),0,
$O368*VLOOKUP($C368,'Employee information'!$B:$AI,COLUMNS('Employee information'!$B:$P),0)),
0)</f>
        <v>0</v>
      </c>
      <c r="R368" s="114">
        <f t="shared" si="368"/>
        <v>0</v>
      </c>
      <c r="T368" s="103"/>
      <c r="U368" s="103"/>
      <c r="V368" s="282" t="str">
        <f>IF($C368="","",
IF(AND($E$2="Monthly",$A368&gt;12),"",
$T368*VLOOKUP($C368,'Employee information'!$B:$P,COLUMNS('Employee information'!$B:$P),0)))</f>
        <v/>
      </c>
      <c r="W368" s="282" t="str">
        <f>IF($C368="","",
IF(AND($E$2="Monthly",$A368&gt;12),"",
$U368*VLOOKUP($C368,'Employee information'!$B:$P,COLUMNS('Employee information'!$B:$P),0)))</f>
        <v/>
      </c>
      <c r="X368" s="114">
        <f t="shared" si="369"/>
        <v>0</v>
      </c>
      <c r="Y368" s="114">
        <f t="shared" si="370"/>
        <v>0</v>
      </c>
      <c r="AA368" s="118">
        <f>IFERROR(
IF(OR('Basic payroll data'!$D$12="",'Basic payroll data'!$D$12="No"),0,
$T368*VLOOKUP($C368,'Employee information'!$B:$P,COLUMNS('Employee information'!$B:$P),0)*AL_loading_perc),
0)</f>
        <v>0</v>
      </c>
      <c r="AC368" s="118"/>
      <c r="AD368" s="118"/>
      <c r="AE368" s="283" t="str">
        <f t="shared" si="383"/>
        <v/>
      </c>
      <c r="AF368" s="283" t="str">
        <f t="shared" si="384"/>
        <v/>
      </c>
      <c r="AG368" s="118"/>
      <c r="AH368" s="118"/>
      <c r="AI368" s="283" t="str">
        <f t="shared" si="385"/>
        <v/>
      </c>
      <c r="AJ368" s="118"/>
      <c r="AK368" s="118"/>
      <c r="AM368" s="118">
        <f t="shared" si="386"/>
        <v>0</v>
      </c>
      <c r="AN368" s="118">
        <f t="shared" si="371"/>
        <v>0</v>
      </c>
      <c r="AO368" s="118" t="str">
        <f>IFERROR(
IF(VLOOKUP($C368,'Employee information'!$B:$M,COLUMNS('Employee information'!$B:$M),0)=1,
IF($E$2="Fortnightly",
ROUND(
ROUND((((TRUNC($AN368/2,0)+0.99))*VLOOKUP((TRUNC($AN368/2,0)+0.99),'Tax scales - NAT 1004'!$A$12:$C$18,2,1)-VLOOKUP((TRUNC($AN368/2,0)+0.99),'Tax scales - NAT 1004'!$A$12:$C$18,3,1)),0)
*2,
0),
IF(AND($E$2="Monthly",ROUND($AN368-TRUNC($AN368),2)=0.33),
ROUND(
ROUND(((TRUNC(($AN368+0.01)*3/13,0)+0.99)*VLOOKUP((TRUNC(($AN368+0.01)*3/13,0)+0.99),'Tax scales - NAT 1004'!$A$12:$C$18,2,1)-VLOOKUP((TRUNC(($AN368+0.01)*3/13,0)+0.99),'Tax scales - NAT 1004'!$A$12:$C$18,3,1)),0)
*13/3,
0),
IF($E$2="Monthly",
ROUND(
ROUND(((TRUNC($AN368*3/13,0)+0.99)*VLOOKUP((TRUNC($AN368*3/13,0)+0.99),'Tax scales - NAT 1004'!$A$12:$C$18,2,1)-VLOOKUP((TRUNC($AN368*3/13,0)+0.99),'Tax scales - NAT 1004'!$A$12:$C$18,3,1)),0)
*13/3,
0),
""))),
""),
"")</f>
        <v/>
      </c>
      <c r="AP368" s="118" t="str">
        <f>IFERROR(
IF(VLOOKUP($C368,'Employee information'!$B:$M,COLUMNS('Employee information'!$B:$M),0)=2,
IF($E$2="Fortnightly",
ROUND(
ROUND((((TRUNC($AN368/2,0)+0.99))*VLOOKUP((TRUNC($AN368/2,0)+0.99),'Tax scales - NAT 1004'!$A$25:$C$33,2,1)-VLOOKUP((TRUNC($AN368/2,0)+0.99),'Tax scales - NAT 1004'!$A$25:$C$33,3,1)),0)
*2,
0),
IF(AND($E$2="Monthly",ROUND($AN368-TRUNC($AN368),2)=0.33),
ROUND(
ROUND(((TRUNC(($AN368+0.01)*3/13,0)+0.99)*VLOOKUP((TRUNC(($AN368+0.01)*3/13,0)+0.99),'Tax scales - NAT 1004'!$A$25:$C$33,2,1)-VLOOKUP((TRUNC(($AN368+0.01)*3/13,0)+0.99),'Tax scales - NAT 1004'!$A$25:$C$33,3,1)),0)
*13/3,
0),
IF($E$2="Monthly",
ROUND(
ROUND(((TRUNC($AN368*3/13,0)+0.99)*VLOOKUP((TRUNC($AN368*3/13,0)+0.99),'Tax scales - NAT 1004'!$A$25:$C$33,2,1)-VLOOKUP((TRUNC($AN368*3/13,0)+0.99),'Tax scales - NAT 1004'!$A$25:$C$33,3,1)),0)
*13/3,
0),
""))),
""),
"")</f>
        <v/>
      </c>
      <c r="AQ368" s="118" t="str">
        <f>IFERROR(
IF(VLOOKUP($C368,'Employee information'!$B:$M,COLUMNS('Employee information'!$B:$M),0)=3,
IF($E$2="Fortnightly",
ROUND(
ROUND((((TRUNC($AN368/2,0)+0.99))*VLOOKUP((TRUNC($AN368/2,0)+0.99),'Tax scales - NAT 1004'!$A$39:$C$41,2,1)-VLOOKUP((TRUNC($AN368/2,0)+0.99),'Tax scales - NAT 1004'!$A$39:$C$41,3,1)),0)
*2,
0),
IF(AND($E$2="Monthly",ROUND($AN368-TRUNC($AN368),2)=0.33),
ROUND(
ROUND(((TRUNC(($AN368+0.01)*3/13,0)+0.99)*VLOOKUP((TRUNC(($AN368+0.01)*3/13,0)+0.99),'Tax scales - NAT 1004'!$A$39:$C$41,2,1)-VLOOKUP((TRUNC(($AN368+0.01)*3/13,0)+0.99),'Tax scales - NAT 1004'!$A$39:$C$41,3,1)),0)
*13/3,
0),
IF($E$2="Monthly",
ROUND(
ROUND(((TRUNC($AN368*3/13,0)+0.99)*VLOOKUP((TRUNC($AN368*3/13,0)+0.99),'Tax scales - NAT 1004'!$A$39:$C$41,2,1)-VLOOKUP((TRUNC($AN368*3/13,0)+0.99),'Tax scales - NAT 1004'!$A$39:$C$41,3,1)),0)
*13/3,
0),
""))),
""),
"")</f>
        <v/>
      </c>
      <c r="AR368" s="118" t="str">
        <f>IFERROR(
IF(AND(VLOOKUP($C368,'Employee information'!$B:$M,COLUMNS('Employee information'!$B:$M),0)=4,
VLOOKUP($C368,'Employee information'!$B:$J,COLUMNS('Employee information'!$B:$J),0)="Resident"),
TRUNC(TRUNC($AN368)*'Tax scales - NAT 1004'!$B$47),
IF(AND(VLOOKUP($C368,'Employee information'!$B:$M,COLUMNS('Employee information'!$B:$M),0)=4,
VLOOKUP($C368,'Employee information'!$B:$J,COLUMNS('Employee information'!$B:$J),0)="Foreign resident"),
TRUNC(TRUNC($AN368)*'Tax scales - NAT 1004'!$B$48),
"")),
"")</f>
        <v/>
      </c>
      <c r="AS368" s="118" t="str">
        <f>IFERROR(
IF(VLOOKUP($C368,'Employee information'!$B:$M,COLUMNS('Employee information'!$B:$M),0)=5,
IF($E$2="Fortnightly",
ROUND(
ROUND((((TRUNC($AN368/2,0)+0.99))*VLOOKUP((TRUNC($AN368/2,0)+0.99),'Tax scales - NAT 1004'!$A$53:$C$59,2,1)-VLOOKUP((TRUNC($AN368/2,0)+0.99),'Tax scales - NAT 1004'!$A$53:$C$59,3,1)),0)
*2,
0),
IF(AND($E$2="Monthly",ROUND($AN368-TRUNC($AN368),2)=0.33),
ROUND(
ROUND(((TRUNC(($AN368+0.01)*3/13,0)+0.99)*VLOOKUP((TRUNC(($AN368+0.01)*3/13,0)+0.99),'Tax scales - NAT 1004'!$A$53:$C$59,2,1)-VLOOKUP((TRUNC(($AN368+0.01)*3/13,0)+0.99),'Tax scales - NAT 1004'!$A$53:$C$59,3,1)),0)
*13/3,
0),
IF($E$2="Monthly",
ROUND(
ROUND(((TRUNC($AN368*3/13,0)+0.99)*VLOOKUP((TRUNC($AN368*3/13,0)+0.99),'Tax scales - NAT 1004'!$A$53:$C$59,2,1)-VLOOKUP((TRUNC($AN368*3/13,0)+0.99),'Tax scales - NAT 1004'!$A$53:$C$59,3,1)),0)
*13/3,
0),
""))),
""),
"")</f>
        <v/>
      </c>
      <c r="AT368" s="118" t="str">
        <f>IFERROR(
IF(VLOOKUP($C368,'Employee information'!$B:$M,COLUMNS('Employee information'!$B:$M),0)=6,
IF($E$2="Fortnightly",
ROUND(
ROUND((((TRUNC($AN368/2,0)+0.99))*VLOOKUP((TRUNC($AN368/2,0)+0.99),'Tax scales - NAT 1004'!$A$65:$C$73,2,1)-VLOOKUP((TRUNC($AN368/2,0)+0.99),'Tax scales - NAT 1004'!$A$65:$C$73,3,1)),0)
*2,
0),
IF(AND($E$2="Monthly",ROUND($AN368-TRUNC($AN368),2)=0.33),
ROUND(
ROUND(((TRUNC(($AN368+0.01)*3/13,0)+0.99)*VLOOKUP((TRUNC(($AN368+0.01)*3/13,0)+0.99),'Tax scales - NAT 1004'!$A$65:$C$73,2,1)-VLOOKUP((TRUNC(($AN368+0.01)*3/13,0)+0.99),'Tax scales - NAT 1004'!$A$65:$C$73,3,1)),0)
*13/3,
0),
IF($E$2="Monthly",
ROUND(
ROUND(((TRUNC($AN368*3/13,0)+0.99)*VLOOKUP((TRUNC($AN368*3/13,0)+0.99),'Tax scales - NAT 1004'!$A$65:$C$73,2,1)-VLOOKUP((TRUNC($AN368*3/13,0)+0.99),'Tax scales - NAT 1004'!$A$65:$C$73,3,1)),0)
*13/3,
0),
""))),
""),
"")</f>
        <v/>
      </c>
      <c r="AU368" s="118" t="str">
        <f>IFERROR(
IF(VLOOKUP($C368,'Employee information'!$B:$M,COLUMNS('Employee information'!$B:$M),0)=11,
IF($E$2="Fortnightly",
ROUND(
ROUND((((TRUNC($AN368/2,0)+0.99))*VLOOKUP((TRUNC($AN368/2,0)+0.99),'Tax scales - NAT 3539'!$A$14:$C$38,2,1)-VLOOKUP((TRUNC($AN368/2,0)+0.99),'Tax scales - NAT 3539'!$A$14:$C$38,3,1)),0)
*2,
0),
IF(AND($E$2="Monthly",ROUND($AN368-TRUNC($AN368),2)=0.33),
ROUND(
ROUND(((TRUNC(($AN368+0.01)*3/13,0)+0.99)*VLOOKUP((TRUNC(($AN368+0.01)*3/13,0)+0.99),'Tax scales - NAT 3539'!$A$14:$C$38,2,1)-VLOOKUP((TRUNC(($AN368+0.01)*3/13,0)+0.99),'Tax scales - NAT 3539'!$A$14:$C$38,3,1)),0)
*13/3,
0),
IF($E$2="Monthly",
ROUND(
ROUND(((TRUNC($AN368*3/13,0)+0.99)*VLOOKUP((TRUNC($AN368*3/13,0)+0.99),'Tax scales - NAT 3539'!$A$14:$C$38,2,1)-VLOOKUP((TRUNC($AN368*3/13,0)+0.99),'Tax scales - NAT 3539'!$A$14:$C$38,3,1)),0)
*13/3,
0),
""))),
""),
"")</f>
        <v/>
      </c>
      <c r="AV368" s="118" t="str">
        <f>IFERROR(
IF(VLOOKUP($C368,'Employee information'!$B:$M,COLUMNS('Employee information'!$B:$M),0)=22,
IF($E$2="Fortnightly",
ROUND(
ROUND((((TRUNC($AN368/2,0)+0.99))*VLOOKUP((TRUNC($AN368/2,0)+0.99),'Tax scales - NAT 3539'!$A$43:$C$69,2,1)-VLOOKUP((TRUNC($AN368/2,0)+0.99),'Tax scales - NAT 3539'!$A$43:$C$69,3,1)),0)
*2,
0),
IF(AND($E$2="Monthly",ROUND($AN368-TRUNC($AN368),2)=0.33),
ROUND(
ROUND(((TRUNC(($AN368+0.01)*3/13,0)+0.99)*VLOOKUP((TRUNC(($AN368+0.01)*3/13,0)+0.99),'Tax scales - NAT 3539'!$A$43:$C$69,2,1)-VLOOKUP((TRUNC(($AN368+0.01)*3/13,0)+0.99),'Tax scales - NAT 3539'!$A$43:$C$69,3,1)),0)
*13/3,
0),
IF($E$2="Monthly",
ROUND(
ROUND(((TRUNC($AN368*3/13,0)+0.99)*VLOOKUP((TRUNC($AN368*3/13,0)+0.99),'Tax scales - NAT 3539'!$A$43:$C$69,2,1)-VLOOKUP((TRUNC($AN368*3/13,0)+0.99),'Tax scales - NAT 3539'!$A$43:$C$69,3,1)),0)
*13/3,
0),
""))),
""),
"")</f>
        <v/>
      </c>
      <c r="AW368" s="118" t="str">
        <f>IFERROR(
IF(VLOOKUP($C368,'Employee information'!$B:$M,COLUMNS('Employee information'!$B:$M),0)=33,
IF($E$2="Fortnightly",
ROUND(
ROUND((((TRUNC($AN368/2,0)+0.99))*VLOOKUP((TRUNC($AN368/2,0)+0.99),'Tax scales - NAT 3539'!$A$74:$C$94,2,1)-VLOOKUP((TRUNC($AN368/2,0)+0.99),'Tax scales - NAT 3539'!$A$74:$C$94,3,1)),0)
*2,
0),
IF(AND($E$2="Monthly",ROUND($AN368-TRUNC($AN368),2)=0.33),
ROUND(
ROUND(((TRUNC(($AN368+0.01)*3/13,0)+0.99)*VLOOKUP((TRUNC(($AN368+0.01)*3/13,0)+0.99),'Tax scales - NAT 3539'!$A$74:$C$94,2,1)-VLOOKUP((TRUNC(($AN368+0.01)*3/13,0)+0.99),'Tax scales - NAT 3539'!$A$74:$C$94,3,1)),0)
*13/3,
0),
IF($E$2="Monthly",
ROUND(
ROUND(((TRUNC($AN368*3/13,0)+0.99)*VLOOKUP((TRUNC($AN368*3/13,0)+0.99),'Tax scales - NAT 3539'!$A$74:$C$94,2,1)-VLOOKUP((TRUNC($AN368*3/13,0)+0.99),'Tax scales - NAT 3539'!$A$74:$C$94,3,1)),0)
*13/3,
0),
""))),
""),
"")</f>
        <v/>
      </c>
      <c r="AX368" s="118" t="str">
        <f>IFERROR(
IF(VLOOKUP($C368,'Employee information'!$B:$M,COLUMNS('Employee information'!$B:$M),0)=55,
IF($E$2="Fortnightly",
ROUND(
ROUND((((TRUNC($AN368/2,0)+0.99))*VLOOKUP((TRUNC($AN368/2,0)+0.99),'Tax scales - NAT 3539'!$A$99:$C$123,2,1)-VLOOKUP((TRUNC($AN368/2,0)+0.99),'Tax scales - NAT 3539'!$A$99:$C$123,3,1)),0)
*2,
0),
IF(AND($E$2="Monthly",ROUND($AN368-TRUNC($AN368),2)=0.33),
ROUND(
ROUND(((TRUNC(($AN368+0.01)*3/13,0)+0.99)*VLOOKUP((TRUNC(($AN368+0.01)*3/13,0)+0.99),'Tax scales - NAT 3539'!$A$99:$C$123,2,1)-VLOOKUP((TRUNC(($AN368+0.01)*3/13,0)+0.99),'Tax scales - NAT 3539'!$A$99:$C$123,3,1)),0)
*13/3,
0),
IF($E$2="Monthly",
ROUND(
ROUND(((TRUNC($AN368*3/13,0)+0.99)*VLOOKUP((TRUNC($AN368*3/13,0)+0.99),'Tax scales - NAT 3539'!$A$99:$C$123,2,1)-VLOOKUP((TRUNC($AN368*3/13,0)+0.99),'Tax scales - NAT 3539'!$A$99:$C$123,3,1)),0)
*13/3,
0),
""))),
""),
"")</f>
        <v/>
      </c>
      <c r="AY368" s="118" t="str">
        <f>IFERROR(
IF(VLOOKUP($C368,'Employee information'!$B:$M,COLUMNS('Employee information'!$B:$M),0)=66,
IF($E$2="Fortnightly",
ROUND(
ROUND((((TRUNC($AN368/2,0)+0.99))*VLOOKUP((TRUNC($AN368/2,0)+0.99),'Tax scales - NAT 3539'!$A$127:$C$154,2,1)-VLOOKUP((TRUNC($AN368/2,0)+0.99),'Tax scales - NAT 3539'!$A$127:$C$154,3,1)),0)
*2,
0),
IF(AND($E$2="Monthly",ROUND($AN368-TRUNC($AN368),2)=0.33),
ROUND(
ROUND(((TRUNC(($AN368+0.01)*3/13,0)+0.99)*VLOOKUP((TRUNC(($AN368+0.01)*3/13,0)+0.99),'Tax scales - NAT 3539'!$A$127:$C$154,2,1)-VLOOKUP((TRUNC(($AN368+0.01)*3/13,0)+0.99),'Tax scales - NAT 3539'!$A$127:$C$154,3,1)),0)
*13/3,
0),
IF($E$2="Monthly",
ROUND(
ROUND(((TRUNC($AN368*3/13,0)+0.99)*VLOOKUP((TRUNC($AN368*3/13,0)+0.99),'Tax scales - NAT 3539'!$A$127:$C$154,2,1)-VLOOKUP((TRUNC($AN368*3/13,0)+0.99),'Tax scales - NAT 3539'!$A$127:$C$154,3,1)),0)
*13/3,
0),
""))),
""),
"")</f>
        <v/>
      </c>
      <c r="AZ368" s="118">
        <f>IFERROR(
HLOOKUP(VLOOKUP($C368,'Employee information'!$B:$M,COLUMNS('Employee information'!$B:$M),0),'PAYG worksheet'!$AO$358:$AY$377,COUNTA($C$359:$C368)+1,0),
0)</f>
        <v>0</v>
      </c>
      <c r="BA368" s="118"/>
      <c r="BB368" s="118">
        <f t="shared" si="387"/>
        <v>0</v>
      </c>
      <c r="BC368" s="119">
        <f>IFERROR(
IF(OR($AE368=1,$AE368=""),SUM($P368,$AA368,$AC368,$AK368)*VLOOKUP($C368,'Employee information'!$B:$Q,COLUMNS('Employee information'!$B:$H),0),
IF($AE368=0,SUM($P368,$AA368,$AK368)*VLOOKUP($C368,'Employee information'!$B:$Q,COLUMNS('Employee information'!$B:$H),0),
0)),
0)</f>
        <v>0</v>
      </c>
      <c r="BE368" s="114">
        <f t="shared" si="372"/>
        <v>0</v>
      </c>
      <c r="BF368" s="114">
        <f t="shared" si="373"/>
        <v>0</v>
      </c>
      <c r="BG368" s="114">
        <f t="shared" si="374"/>
        <v>0</v>
      </c>
      <c r="BH368" s="114">
        <f t="shared" si="375"/>
        <v>0</v>
      </c>
      <c r="BI368" s="114">
        <f t="shared" si="376"/>
        <v>0</v>
      </c>
      <c r="BJ368" s="114">
        <f t="shared" si="377"/>
        <v>0</v>
      </c>
      <c r="BK368" s="114">
        <f t="shared" si="378"/>
        <v>0</v>
      </c>
      <c r="BL368" s="114">
        <f t="shared" si="388"/>
        <v>0</v>
      </c>
      <c r="BM368" s="114">
        <f t="shared" si="379"/>
        <v>0</v>
      </c>
    </row>
    <row r="369" spans="1:65" x14ac:dyDescent="0.25">
      <c r="A369" s="228">
        <f t="shared" si="367"/>
        <v>13</v>
      </c>
      <c r="C369" s="278"/>
      <c r="E369" s="103">
        <f>IF($C369="",0,
IF(AND($E$2="Monthly",$A369&gt;12),0,
IF($E$2="Monthly",VLOOKUP($C369,'Employee information'!$B:$AM,COLUMNS('Employee information'!$B:S),0),
IF($E$2="Fortnightly",VLOOKUP($C369,'Employee information'!$B:$AM,COLUMNS('Employee information'!$B:R),0),
0))))</f>
        <v>0</v>
      </c>
      <c r="F369" s="106"/>
      <c r="G369" s="106"/>
      <c r="H369" s="106"/>
      <c r="I369" s="106"/>
      <c r="J369" s="103">
        <f t="shared" si="380"/>
        <v>0</v>
      </c>
      <c r="L369" s="113">
        <f>IF(AND($E$2="Monthly",$A369&gt;12),"",
IFERROR($J369*VLOOKUP($C369,'Employee information'!$B:$AI,COLUMNS('Employee information'!$B:$P),0),0))</f>
        <v>0</v>
      </c>
      <c r="M369" s="114">
        <f t="shared" si="381"/>
        <v>0</v>
      </c>
      <c r="O369" s="103">
        <f t="shared" si="382"/>
        <v>0</v>
      </c>
      <c r="P369" s="113">
        <f>IFERROR(
IF(AND($E$2="Monthly",$A369&gt;12),0,
$O369*VLOOKUP($C369,'Employee information'!$B:$AI,COLUMNS('Employee information'!$B:$P),0)),
0)</f>
        <v>0</v>
      </c>
      <c r="R369" s="114">
        <f t="shared" si="368"/>
        <v>0</v>
      </c>
      <c r="T369" s="103"/>
      <c r="U369" s="103"/>
      <c r="V369" s="282" t="str">
        <f>IF($C369="","",
IF(AND($E$2="Monthly",$A369&gt;12),"",
$T369*VLOOKUP($C369,'Employee information'!$B:$P,COLUMNS('Employee information'!$B:$P),0)))</f>
        <v/>
      </c>
      <c r="W369" s="282" t="str">
        <f>IF($C369="","",
IF(AND($E$2="Monthly",$A369&gt;12),"",
$U369*VLOOKUP($C369,'Employee information'!$B:$P,COLUMNS('Employee information'!$B:$P),0)))</f>
        <v/>
      </c>
      <c r="X369" s="114">
        <f t="shared" si="369"/>
        <v>0</v>
      </c>
      <c r="Y369" s="114">
        <f t="shared" si="370"/>
        <v>0</v>
      </c>
      <c r="AA369" s="118">
        <f>IFERROR(
IF(OR('Basic payroll data'!$D$12="",'Basic payroll data'!$D$12="No"),0,
$T369*VLOOKUP($C369,'Employee information'!$B:$P,COLUMNS('Employee information'!$B:$P),0)*AL_loading_perc),
0)</f>
        <v>0</v>
      </c>
      <c r="AC369" s="118"/>
      <c r="AD369" s="118"/>
      <c r="AE369" s="283" t="str">
        <f t="shared" si="383"/>
        <v/>
      </c>
      <c r="AF369" s="283" t="str">
        <f t="shared" si="384"/>
        <v/>
      </c>
      <c r="AG369" s="118"/>
      <c r="AH369" s="118"/>
      <c r="AI369" s="283" t="str">
        <f t="shared" si="385"/>
        <v/>
      </c>
      <c r="AJ369" s="118"/>
      <c r="AK369" s="118"/>
      <c r="AM369" s="118">
        <f t="shared" si="386"/>
        <v>0</v>
      </c>
      <c r="AN369" s="118">
        <f t="shared" si="371"/>
        <v>0</v>
      </c>
      <c r="AO369" s="118" t="str">
        <f>IFERROR(
IF(VLOOKUP($C369,'Employee information'!$B:$M,COLUMNS('Employee information'!$B:$M),0)=1,
IF($E$2="Fortnightly",
ROUND(
ROUND((((TRUNC($AN369/2,0)+0.99))*VLOOKUP((TRUNC($AN369/2,0)+0.99),'Tax scales - NAT 1004'!$A$12:$C$18,2,1)-VLOOKUP((TRUNC($AN369/2,0)+0.99),'Tax scales - NAT 1004'!$A$12:$C$18,3,1)),0)
*2,
0),
IF(AND($E$2="Monthly",ROUND($AN369-TRUNC($AN369),2)=0.33),
ROUND(
ROUND(((TRUNC(($AN369+0.01)*3/13,0)+0.99)*VLOOKUP((TRUNC(($AN369+0.01)*3/13,0)+0.99),'Tax scales - NAT 1004'!$A$12:$C$18,2,1)-VLOOKUP((TRUNC(($AN369+0.01)*3/13,0)+0.99),'Tax scales - NAT 1004'!$A$12:$C$18,3,1)),0)
*13/3,
0),
IF($E$2="Monthly",
ROUND(
ROUND(((TRUNC($AN369*3/13,0)+0.99)*VLOOKUP((TRUNC($AN369*3/13,0)+0.99),'Tax scales - NAT 1004'!$A$12:$C$18,2,1)-VLOOKUP((TRUNC($AN369*3/13,0)+0.99),'Tax scales - NAT 1004'!$A$12:$C$18,3,1)),0)
*13/3,
0),
""))),
""),
"")</f>
        <v/>
      </c>
      <c r="AP369" s="118" t="str">
        <f>IFERROR(
IF(VLOOKUP($C369,'Employee information'!$B:$M,COLUMNS('Employee information'!$B:$M),0)=2,
IF($E$2="Fortnightly",
ROUND(
ROUND((((TRUNC($AN369/2,0)+0.99))*VLOOKUP((TRUNC($AN369/2,0)+0.99),'Tax scales - NAT 1004'!$A$25:$C$33,2,1)-VLOOKUP((TRUNC($AN369/2,0)+0.99),'Tax scales - NAT 1004'!$A$25:$C$33,3,1)),0)
*2,
0),
IF(AND($E$2="Monthly",ROUND($AN369-TRUNC($AN369),2)=0.33),
ROUND(
ROUND(((TRUNC(($AN369+0.01)*3/13,0)+0.99)*VLOOKUP((TRUNC(($AN369+0.01)*3/13,0)+0.99),'Tax scales - NAT 1004'!$A$25:$C$33,2,1)-VLOOKUP((TRUNC(($AN369+0.01)*3/13,0)+0.99),'Tax scales - NAT 1004'!$A$25:$C$33,3,1)),0)
*13/3,
0),
IF($E$2="Monthly",
ROUND(
ROUND(((TRUNC($AN369*3/13,0)+0.99)*VLOOKUP((TRUNC($AN369*3/13,0)+0.99),'Tax scales - NAT 1004'!$A$25:$C$33,2,1)-VLOOKUP((TRUNC($AN369*3/13,0)+0.99),'Tax scales - NAT 1004'!$A$25:$C$33,3,1)),0)
*13/3,
0),
""))),
""),
"")</f>
        <v/>
      </c>
      <c r="AQ369" s="118" t="str">
        <f>IFERROR(
IF(VLOOKUP($C369,'Employee information'!$B:$M,COLUMNS('Employee information'!$B:$M),0)=3,
IF($E$2="Fortnightly",
ROUND(
ROUND((((TRUNC($AN369/2,0)+0.99))*VLOOKUP((TRUNC($AN369/2,0)+0.99),'Tax scales - NAT 1004'!$A$39:$C$41,2,1)-VLOOKUP((TRUNC($AN369/2,0)+0.99),'Tax scales - NAT 1004'!$A$39:$C$41,3,1)),0)
*2,
0),
IF(AND($E$2="Monthly",ROUND($AN369-TRUNC($AN369),2)=0.33),
ROUND(
ROUND(((TRUNC(($AN369+0.01)*3/13,0)+0.99)*VLOOKUP((TRUNC(($AN369+0.01)*3/13,0)+0.99),'Tax scales - NAT 1004'!$A$39:$C$41,2,1)-VLOOKUP((TRUNC(($AN369+0.01)*3/13,0)+0.99),'Tax scales - NAT 1004'!$A$39:$C$41,3,1)),0)
*13/3,
0),
IF($E$2="Monthly",
ROUND(
ROUND(((TRUNC($AN369*3/13,0)+0.99)*VLOOKUP((TRUNC($AN369*3/13,0)+0.99),'Tax scales - NAT 1004'!$A$39:$C$41,2,1)-VLOOKUP((TRUNC($AN369*3/13,0)+0.99),'Tax scales - NAT 1004'!$A$39:$C$41,3,1)),0)
*13/3,
0),
""))),
""),
"")</f>
        <v/>
      </c>
      <c r="AR369" s="118" t="str">
        <f>IFERROR(
IF(AND(VLOOKUP($C369,'Employee information'!$B:$M,COLUMNS('Employee information'!$B:$M),0)=4,
VLOOKUP($C369,'Employee information'!$B:$J,COLUMNS('Employee information'!$B:$J),0)="Resident"),
TRUNC(TRUNC($AN369)*'Tax scales - NAT 1004'!$B$47),
IF(AND(VLOOKUP($C369,'Employee information'!$B:$M,COLUMNS('Employee information'!$B:$M),0)=4,
VLOOKUP($C369,'Employee information'!$B:$J,COLUMNS('Employee information'!$B:$J),0)="Foreign resident"),
TRUNC(TRUNC($AN369)*'Tax scales - NAT 1004'!$B$48),
"")),
"")</f>
        <v/>
      </c>
      <c r="AS369" s="118" t="str">
        <f>IFERROR(
IF(VLOOKUP($C369,'Employee information'!$B:$M,COLUMNS('Employee information'!$B:$M),0)=5,
IF($E$2="Fortnightly",
ROUND(
ROUND((((TRUNC($AN369/2,0)+0.99))*VLOOKUP((TRUNC($AN369/2,0)+0.99),'Tax scales - NAT 1004'!$A$53:$C$59,2,1)-VLOOKUP((TRUNC($AN369/2,0)+0.99),'Tax scales - NAT 1004'!$A$53:$C$59,3,1)),0)
*2,
0),
IF(AND($E$2="Monthly",ROUND($AN369-TRUNC($AN369),2)=0.33),
ROUND(
ROUND(((TRUNC(($AN369+0.01)*3/13,0)+0.99)*VLOOKUP((TRUNC(($AN369+0.01)*3/13,0)+0.99),'Tax scales - NAT 1004'!$A$53:$C$59,2,1)-VLOOKUP((TRUNC(($AN369+0.01)*3/13,0)+0.99),'Tax scales - NAT 1004'!$A$53:$C$59,3,1)),0)
*13/3,
0),
IF($E$2="Monthly",
ROUND(
ROUND(((TRUNC($AN369*3/13,0)+0.99)*VLOOKUP((TRUNC($AN369*3/13,0)+0.99),'Tax scales - NAT 1004'!$A$53:$C$59,2,1)-VLOOKUP((TRUNC($AN369*3/13,0)+0.99),'Tax scales - NAT 1004'!$A$53:$C$59,3,1)),0)
*13/3,
0),
""))),
""),
"")</f>
        <v/>
      </c>
      <c r="AT369" s="118" t="str">
        <f>IFERROR(
IF(VLOOKUP($C369,'Employee information'!$B:$M,COLUMNS('Employee information'!$B:$M),0)=6,
IF($E$2="Fortnightly",
ROUND(
ROUND((((TRUNC($AN369/2,0)+0.99))*VLOOKUP((TRUNC($AN369/2,0)+0.99),'Tax scales - NAT 1004'!$A$65:$C$73,2,1)-VLOOKUP((TRUNC($AN369/2,0)+0.99),'Tax scales - NAT 1004'!$A$65:$C$73,3,1)),0)
*2,
0),
IF(AND($E$2="Monthly",ROUND($AN369-TRUNC($AN369),2)=0.33),
ROUND(
ROUND(((TRUNC(($AN369+0.01)*3/13,0)+0.99)*VLOOKUP((TRUNC(($AN369+0.01)*3/13,0)+0.99),'Tax scales - NAT 1004'!$A$65:$C$73,2,1)-VLOOKUP((TRUNC(($AN369+0.01)*3/13,0)+0.99),'Tax scales - NAT 1004'!$A$65:$C$73,3,1)),0)
*13/3,
0),
IF($E$2="Monthly",
ROUND(
ROUND(((TRUNC($AN369*3/13,0)+0.99)*VLOOKUP((TRUNC($AN369*3/13,0)+0.99),'Tax scales - NAT 1004'!$A$65:$C$73,2,1)-VLOOKUP((TRUNC($AN369*3/13,0)+0.99),'Tax scales - NAT 1004'!$A$65:$C$73,3,1)),0)
*13/3,
0),
""))),
""),
"")</f>
        <v/>
      </c>
      <c r="AU369" s="118" t="str">
        <f>IFERROR(
IF(VLOOKUP($C369,'Employee information'!$B:$M,COLUMNS('Employee information'!$B:$M),0)=11,
IF($E$2="Fortnightly",
ROUND(
ROUND((((TRUNC($AN369/2,0)+0.99))*VLOOKUP((TRUNC($AN369/2,0)+0.99),'Tax scales - NAT 3539'!$A$14:$C$38,2,1)-VLOOKUP((TRUNC($AN369/2,0)+0.99),'Tax scales - NAT 3539'!$A$14:$C$38,3,1)),0)
*2,
0),
IF(AND($E$2="Monthly",ROUND($AN369-TRUNC($AN369),2)=0.33),
ROUND(
ROUND(((TRUNC(($AN369+0.01)*3/13,0)+0.99)*VLOOKUP((TRUNC(($AN369+0.01)*3/13,0)+0.99),'Tax scales - NAT 3539'!$A$14:$C$38,2,1)-VLOOKUP((TRUNC(($AN369+0.01)*3/13,0)+0.99),'Tax scales - NAT 3539'!$A$14:$C$38,3,1)),0)
*13/3,
0),
IF($E$2="Monthly",
ROUND(
ROUND(((TRUNC($AN369*3/13,0)+0.99)*VLOOKUP((TRUNC($AN369*3/13,0)+0.99),'Tax scales - NAT 3539'!$A$14:$C$38,2,1)-VLOOKUP((TRUNC($AN369*3/13,0)+0.99),'Tax scales - NAT 3539'!$A$14:$C$38,3,1)),0)
*13/3,
0),
""))),
""),
"")</f>
        <v/>
      </c>
      <c r="AV369" s="118" t="str">
        <f>IFERROR(
IF(VLOOKUP($C369,'Employee information'!$B:$M,COLUMNS('Employee information'!$B:$M),0)=22,
IF($E$2="Fortnightly",
ROUND(
ROUND((((TRUNC($AN369/2,0)+0.99))*VLOOKUP((TRUNC($AN369/2,0)+0.99),'Tax scales - NAT 3539'!$A$43:$C$69,2,1)-VLOOKUP((TRUNC($AN369/2,0)+0.99),'Tax scales - NAT 3539'!$A$43:$C$69,3,1)),0)
*2,
0),
IF(AND($E$2="Monthly",ROUND($AN369-TRUNC($AN369),2)=0.33),
ROUND(
ROUND(((TRUNC(($AN369+0.01)*3/13,0)+0.99)*VLOOKUP((TRUNC(($AN369+0.01)*3/13,0)+0.99),'Tax scales - NAT 3539'!$A$43:$C$69,2,1)-VLOOKUP((TRUNC(($AN369+0.01)*3/13,0)+0.99),'Tax scales - NAT 3539'!$A$43:$C$69,3,1)),0)
*13/3,
0),
IF($E$2="Monthly",
ROUND(
ROUND(((TRUNC($AN369*3/13,0)+0.99)*VLOOKUP((TRUNC($AN369*3/13,0)+0.99),'Tax scales - NAT 3539'!$A$43:$C$69,2,1)-VLOOKUP((TRUNC($AN369*3/13,0)+0.99),'Tax scales - NAT 3539'!$A$43:$C$69,3,1)),0)
*13/3,
0),
""))),
""),
"")</f>
        <v/>
      </c>
      <c r="AW369" s="118" t="str">
        <f>IFERROR(
IF(VLOOKUP($C369,'Employee information'!$B:$M,COLUMNS('Employee information'!$B:$M),0)=33,
IF($E$2="Fortnightly",
ROUND(
ROUND((((TRUNC($AN369/2,0)+0.99))*VLOOKUP((TRUNC($AN369/2,0)+0.99),'Tax scales - NAT 3539'!$A$74:$C$94,2,1)-VLOOKUP((TRUNC($AN369/2,0)+0.99),'Tax scales - NAT 3539'!$A$74:$C$94,3,1)),0)
*2,
0),
IF(AND($E$2="Monthly",ROUND($AN369-TRUNC($AN369),2)=0.33),
ROUND(
ROUND(((TRUNC(($AN369+0.01)*3/13,0)+0.99)*VLOOKUP((TRUNC(($AN369+0.01)*3/13,0)+0.99),'Tax scales - NAT 3539'!$A$74:$C$94,2,1)-VLOOKUP((TRUNC(($AN369+0.01)*3/13,0)+0.99),'Tax scales - NAT 3539'!$A$74:$C$94,3,1)),0)
*13/3,
0),
IF($E$2="Monthly",
ROUND(
ROUND(((TRUNC($AN369*3/13,0)+0.99)*VLOOKUP((TRUNC($AN369*3/13,0)+0.99),'Tax scales - NAT 3539'!$A$74:$C$94,2,1)-VLOOKUP((TRUNC($AN369*3/13,0)+0.99),'Tax scales - NAT 3539'!$A$74:$C$94,3,1)),0)
*13/3,
0),
""))),
""),
"")</f>
        <v/>
      </c>
      <c r="AX369" s="118" t="str">
        <f>IFERROR(
IF(VLOOKUP($C369,'Employee information'!$B:$M,COLUMNS('Employee information'!$B:$M),0)=55,
IF($E$2="Fortnightly",
ROUND(
ROUND((((TRUNC($AN369/2,0)+0.99))*VLOOKUP((TRUNC($AN369/2,0)+0.99),'Tax scales - NAT 3539'!$A$99:$C$123,2,1)-VLOOKUP((TRUNC($AN369/2,0)+0.99),'Tax scales - NAT 3539'!$A$99:$C$123,3,1)),0)
*2,
0),
IF(AND($E$2="Monthly",ROUND($AN369-TRUNC($AN369),2)=0.33),
ROUND(
ROUND(((TRUNC(($AN369+0.01)*3/13,0)+0.99)*VLOOKUP((TRUNC(($AN369+0.01)*3/13,0)+0.99),'Tax scales - NAT 3539'!$A$99:$C$123,2,1)-VLOOKUP((TRUNC(($AN369+0.01)*3/13,0)+0.99),'Tax scales - NAT 3539'!$A$99:$C$123,3,1)),0)
*13/3,
0),
IF($E$2="Monthly",
ROUND(
ROUND(((TRUNC($AN369*3/13,0)+0.99)*VLOOKUP((TRUNC($AN369*3/13,0)+0.99),'Tax scales - NAT 3539'!$A$99:$C$123,2,1)-VLOOKUP((TRUNC($AN369*3/13,0)+0.99),'Tax scales - NAT 3539'!$A$99:$C$123,3,1)),0)
*13/3,
0),
""))),
""),
"")</f>
        <v/>
      </c>
      <c r="AY369" s="118" t="str">
        <f>IFERROR(
IF(VLOOKUP($C369,'Employee information'!$B:$M,COLUMNS('Employee information'!$B:$M),0)=66,
IF($E$2="Fortnightly",
ROUND(
ROUND((((TRUNC($AN369/2,0)+0.99))*VLOOKUP((TRUNC($AN369/2,0)+0.99),'Tax scales - NAT 3539'!$A$127:$C$154,2,1)-VLOOKUP((TRUNC($AN369/2,0)+0.99),'Tax scales - NAT 3539'!$A$127:$C$154,3,1)),0)
*2,
0),
IF(AND($E$2="Monthly",ROUND($AN369-TRUNC($AN369),2)=0.33),
ROUND(
ROUND(((TRUNC(($AN369+0.01)*3/13,0)+0.99)*VLOOKUP((TRUNC(($AN369+0.01)*3/13,0)+0.99),'Tax scales - NAT 3539'!$A$127:$C$154,2,1)-VLOOKUP((TRUNC(($AN369+0.01)*3/13,0)+0.99),'Tax scales - NAT 3539'!$A$127:$C$154,3,1)),0)
*13/3,
0),
IF($E$2="Monthly",
ROUND(
ROUND(((TRUNC($AN369*3/13,0)+0.99)*VLOOKUP((TRUNC($AN369*3/13,0)+0.99),'Tax scales - NAT 3539'!$A$127:$C$154,2,1)-VLOOKUP((TRUNC($AN369*3/13,0)+0.99),'Tax scales - NAT 3539'!$A$127:$C$154,3,1)),0)
*13/3,
0),
""))),
""),
"")</f>
        <v/>
      </c>
      <c r="AZ369" s="118">
        <f>IFERROR(
HLOOKUP(VLOOKUP($C369,'Employee information'!$B:$M,COLUMNS('Employee information'!$B:$M),0),'PAYG worksheet'!$AO$358:$AY$377,COUNTA($C$359:$C369)+1,0),
0)</f>
        <v>0</v>
      </c>
      <c r="BA369" s="118"/>
      <c r="BB369" s="118">
        <f t="shared" si="387"/>
        <v>0</v>
      </c>
      <c r="BC369" s="119">
        <f>IFERROR(
IF(OR($AE369=1,$AE369=""),SUM($P369,$AA369,$AC369,$AK369)*VLOOKUP($C369,'Employee information'!$B:$Q,COLUMNS('Employee information'!$B:$H),0),
IF($AE369=0,SUM($P369,$AA369,$AK369)*VLOOKUP($C369,'Employee information'!$B:$Q,COLUMNS('Employee information'!$B:$H),0),
0)),
0)</f>
        <v>0</v>
      </c>
      <c r="BE369" s="114">
        <f t="shared" si="372"/>
        <v>0</v>
      </c>
      <c r="BF369" s="114">
        <f t="shared" si="373"/>
        <v>0</v>
      </c>
      <c r="BG369" s="114">
        <f t="shared" si="374"/>
        <v>0</v>
      </c>
      <c r="BH369" s="114">
        <f t="shared" si="375"/>
        <v>0</v>
      </c>
      <c r="BI369" s="114">
        <f t="shared" si="376"/>
        <v>0</v>
      </c>
      <c r="BJ369" s="114">
        <f t="shared" si="377"/>
        <v>0</v>
      </c>
      <c r="BK369" s="114">
        <f t="shared" si="378"/>
        <v>0</v>
      </c>
      <c r="BL369" s="114">
        <f t="shared" si="388"/>
        <v>0</v>
      </c>
      <c r="BM369" s="114">
        <f t="shared" si="379"/>
        <v>0</v>
      </c>
    </row>
    <row r="370" spans="1:65" x14ac:dyDescent="0.25">
      <c r="A370" s="228">
        <f t="shared" si="367"/>
        <v>13</v>
      </c>
      <c r="C370" s="278"/>
      <c r="E370" s="103">
        <f>IF($C370="",0,
IF(AND($E$2="Monthly",$A370&gt;12),0,
IF($E$2="Monthly",VLOOKUP($C370,'Employee information'!$B:$AM,COLUMNS('Employee information'!$B:S),0),
IF($E$2="Fortnightly",VLOOKUP($C370,'Employee information'!$B:$AM,COLUMNS('Employee information'!$B:R),0),
0))))</f>
        <v>0</v>
      </c>
      <c r="F370" s="106"/>
      <c r="G370" s="106"/>
      <c r="H370" s="106"/>
      <c r="I370" s="106"/>
      <c r="J370" s="103">
        <f t="shared" si="380"/>
        <v>0</v>
      </c>
      <c r="L370" s="113">
        <f>IF(AND($E$2="Monthly",$A370&gt;12),"",
IFERROR($J370*VLOOKUP($C370,'Employee information'!$B:$AI,COLUMNS('Employee information'!$B:$P),0),0))</f>
        <v>0</v>
      </c>
      <c r="M370" s="114">
        <f t="shared" si="381"/>
        <v>0</v>
      </c>
      <c r="O370" s="103">
        <f t="shared" si="382"/>
        <v>0</v>
      </c>
      <c r="P370" s="113">
        <f>IFERROR(
IF(AND($E$2="Monthly",$A370&gt;12),0,
$O370*VLOOKUP($C370,'Employee information'!$B:$AI,COLUMNS('Employee information'!$B:$P),0)),
0)</f>
        <v>0</v>
      </c>
      <c r="R370" s="114">
        <f t="shared" si="368"/>
        <v>0</v>
      </c>
      <c r="T370" s="103"/>
      <c r="U370" s="103"/>
      <c r="V370" s="282" t="str">
        <f>IF($C370="","",
IF(AND($E$2="Monthly",$A370&gt;12),"",
$T370*VLOOKUP($C370,'Employee information'!$B:$P,COLUMNS('Employee information'!$B:$P),0)))</f>
        <v/>
      </c>
      <c r="W370" s="282" t="str">
        <f>IF($C370="","",
IF(AND($E$2="Monthly",$A370&gt;12),"",
$U370*VLOOKUP($C370,'Employee information'!$B:$P,COLUMNS('Employee information'!$B:$P),0)))</f>
        <v/>
      </c>
      <c r="X370" s="114">
        <f t="shared" si="369"/>
        <v>0</v>
      </c>
      <c r="Y370" s="114">
        <f t="shared" si="370"/>
        <v>0</v>
      </c>
      <c r="AA370" s="118">
        <f>IFERROR(
IF(OR('Basic payroll data'!$D$12="",'Basic payroll data'!$D$12="No"),0,
$T370*VLOOKUP($C370,'Employee information'!$B:$P,COLUMNS('Employee information'!$B:$P),0)*AL_loading_perc),
0)</f>
        <v>0</v>
      </c>
      <c r="AC370" s="118"/>
      <c r="AD370" s="118"/>
      <c r="AE370" s="283" t="str">
        <f t="shared" si="383"/>
        <v/>
      </c>
      <c r="AF370" s="283" t="str">
        <f t="shared" si="384"/>
        <v/>
      </c>
      <c r="AG370" s="118"/>
      <c r="AH370" s="118"/>
      <c r="AI370" s="283" t="str">
        <f t="shared" si="385"/>
        <v/>
      </c>
      <c r="AJ370" s="118"/>
      <c r="AK370" s="118"/>
      <c r="AM370" s="118">
        <f t="shared" si="386"/>
        <v>0</v>
      </c>
      <c r="AN370" s="118">
        <f t="shared" si="371"/>
        <v>0</v>
      </c>
      <c r="AO370" s="118" t="str">
        <f>IFERROR(
IF(VLOOKUP($C370,'Employee information'!$B:$M,COLUMNS('Employee information'!$B:$M),0)=1,
IF($E$2="Fortnightly",
ROUND(
ROUND((((TRUNC($AN370/2,0)+0.99))*VLOOKUP((TRUNC($AN370/2,0)+0.99),'Tax scales - NAT 1004'!$A$12:$C$18,2,1)-VLOOKUP((TRUNC($AN370/2,0)+0.99),'Tax scales - NAT 1004'!$A$12:$C$18,3,1)),0)
*2,
0),
IF(AND($E$2="Monthly",ROUND($AN370-TRUNC($AN370),2)=0.33),
ROUND(
ROUND(((TRUNC(($AN370+0.01)*3/13,0)+0.99)*VLOOKUP((TRUNC(($AN370+0.01)*3/13,0)+0.99),'Tax scales - NAT 1004'!$A$12:$C$18,2,1)-VLOOKUP((TRUNC(($AN370+0.01)*3/13,0)+0.99),'Tax scales - NAT 1004'!$A$12:$C$18,3,1)),0)
*13/3,
0),
IF($E$2="Monthly",
ROUND(
ROUND(((TRUNC($AN370*3/13,0)+0.99)*VLOOKUP((TRUNC($AN370*3/13,0)+0.99),'Tax scales - NAT 1004'!$A$12:$C$18,2,1)-VLOOKUP((TRUNC($AN370*3/13,0)+0.99),'Tax scales - NAT 1004'!$A$12:$C$18,3,1)),0)
*13/3,
0),
""))),
""),
"")</f>
        <v/>
      </c>
      <c r="AP370" s="118" t="str">
        <f>IFERROR(
IF(VLOOKUP($C370,'Employee information'!$B:$M,COLUMNS('Employee information'!$B:$M),0)=2,
IF($E$2="Fortnightly",
ROUND(
ROUND((((TRUNC($AN370/2,0)+0.99))*VLOOKUP((TRUNC($AN370/2,0)+0.99),'Tax scales - NAT 1004'!$A$25:$C$33,2,1)-VLOOKUP((TRUNC($AN370/2,0)+0.99),'Tax scales - NAT 1004'!$A$25:$C$33,3,1)),0)
*2,
0),
IF(AND($E$2="Monthly",ROUND($AN370-TRUNC($AN370),2)=0.33),
ROUND(
ROUND(((TRUNC(($AN370+0.01)*3/13,0)+0.99)*VLOOKUP((TRUNC(($AN370+0.01)*3/13,0)+0.99),'Tax scales - NAT 1004'!$A$25:$C$33,2,1)-VLOOKUP((TRUNC(($AN370+0.01)*3/13,0)+0.99),'Tax scales - NAT 1004'!$A$25:$C$33,3,1)),0)
*13/3,
0),
IF($E$2="Monthly",
ROUND(
ROUND(((TRUNC($AN370*3/13,0)+0.99)*VLOOKUP((TRUNC($AN370*3/13,0)+0.99),'Tax scales - NAT 1004'!$A$25:$C$33,2,1)-VLOOKUP((TRUNC($AN370*3/13,0)+0.99),'Tax scales - NAT 1004'!$A$25:$C$33,3,1)),0)
*13/3,
0),
""))),
""),
"")</f>
        <v/>
      </c>
      <c r="AQ370" s="118" t="str">
        <f>IFERROR(
IF(VLOOKUP($C370,'Employee information'!$B:$M,COLUMNS('Employee information'!$B:$M),0)=3,
IF($E$2="Fortnightly",
ROUND(
ROUND((((TRUNC($AN370/2,0)+0.99))*VLOOKUP((TRUNC($AN370/2,0)+0.99),'Tax scales - NAT 1004'!$A$39:$C$41,2,1)-VLOOKUP((TRUNC($AN370/2,0)+0.99),'Tax scales - NAT 1004'!$A$39:$C$41,3,1)),0)
*2,
0),
IF(AND($E$2="Monthly",ROUND($AN370-TRUNC($AN370),2)=0.33),
ROUND(
ROUND(((TRUNC(($AN370+0.01)*3/13,0)+0.99)*VLOOKUP((TRUNC(($AN370+0.01)*3/13,0)+0.99),'Tax scales - NAT 1004'!$A$39:$C$41,2,1)-VLOOKUP((TRUNC(($AN370+0.01)*3/13,0)+0.99),'Tax scales - NAT 1004'!$A$39:$C$41,3,1)),0)
*13/3,
0),
IF($E$2="Monthly",
ROUND(
ROUND(((TRUNC($AN370*3/13,0)+0.99)*VLOOKUP((TRUNC($AN370*3/13,0)+0.99),'Tax scales - NAT 1004'!$A$39:$C$41,2,1)-VLOOKUP((TRUNC($AN370*3/13,0)+0.99),'Tax scales - NAT 1004'!$A$39:$C$41,3,1)),0)
*13/3,
0),
""))),
""),
"")</f>
        <v/>
      </c>
      <c r="AR370" s="118" t="str">
        <f>IFERROR(
IF(AND(VLOOKUP($C370,'Employee information'!$B:$M,COLUMNS('Employee information'!$B:$M),0)=4,
VLOOKUP($C370,'Employee information'!$B:$J,COLUMNS('Employee information'!$B:$J),0)="Resident"),
TRUNC(TRUNC($AN370)*'Tax scales - NAT 1004'!$B$47),
IF(AND(VLOOKUP($C370,'Employee information'!$B:$M,COLUMNS('Employee information'!$B:$M),0)=4,
VLOOKUP($C370,'Employee information'!$B:$J,COLUMNS('Employee information'!$B:$J),0)="Foreign resident"),
TRUNC(TRUNC($AN370)*'Tax scales - NAT 1004'!$B$48),
"")),
"")</f>
        <v/>
      </c>
      <c r="AS370" s="118" t="str">
        <f>IFERROR(
IF(VLOOKUP($C370,'Employee information'!$B:$M,COLUMNS('Employee information'!$B:$M),0)=5,
IF($E$2="Fortnightly",
ROUND(
ROUND((((TRUNC($AN370/2,0)+0.99))*VLOOKUP((TRUNC($AN370/2,0)+0.99),'Tax scales - NAT 1004'!$A$53:$C$59,2,1)-VLOOKUP((TRUNC($AN370/2,0)+0.99),'Tax scales - NAT 1004'!$A$53:$C$59,3,1)),0)
*2,
0),
IF(AND($E$2="Monthly",ROUND($AN370-TRUNC($AN370),2)=0.33),
ROUND(
ROUND(((TRUNC(($AN370+0.01)*3/13,0)+0.99)*VLOOKUP((TRUNC(($AN370+0.01)*3/13,0)+0.99),'Tax scales - NAT 1004'!$A$53:$C$59,2,1)-VLOOKUP((TRUNC(($AN370+0.01)*3/13,0)+0.99),'Tax scales - NAT 1004'!$A$53:$C$59,3,1)),0)
*13/3,
0),
IF($E$2="Monthly",
ROUND(
ROUND(((TRUNC($AN370*3/13,0)+0.99)*VLOOKUP((TRUNC($AN370*3/13,0)+0.99),'Tax scales - NAT 1004'!$A$53:$C$59,2,1)-VLOOKUP((TRUNC($AN370*3/13,0)+0.99),'Tax scales - NAT 1004'!$A$53:$C$59,3,1)),0)
*13/3,
0),
""))),
""),
"")</f>
        <v/>
      </c>
      <c r="AT370" s="118" t="str">
        <f>IFERROR(
IF(VLOOKUP($C370,'Employee information'!$B:$M,COLUMNS('Employee information'!$B:$M),0)=6,
IF($E$2="Fortnightly",
ROUND(
ROUND((((TRUNC($AN370/2,0)+0.99))*VLOOKUP((TRUNC($AN370/2,0)+0.99),'Tax scales - NAT 1004'!$A$65:$C$73,2,1)-VLOOKUP((TRUNC($AN370/2,0)+0.99),'Tax scales - NAT 1004'!$A$65:$C$73,3,1)),0)
*2,
0),
IF(AND($E$2="Monthly",ROUND($AN370-TRUNC($AN370),2)=0.33),
ROUND(
ROUND(((TRUNC(($AN370+0.01)*3/13,0)+0.99)*VLOOKUP((TRUNC(($AN370+0.01)*3/13,0)+0.99),'Tax scales - NAT 1004'!$A$65:$C$73,2,1)-VLOOKUP((TRUNC(($AN370+0.01)*3/13,0)+0.99),'Tax scales - NAT 1004'!$A$65:$C$73,3,1)),0)
*13/3,
0),
IF($E$2="Monthly",
ROUND(
ROUND(((TRUNC($AN370*3/13,0)+0.99)*VLOOKUP((TRUNC($AN370*3/13,0)+0.99),'Tax scales - NAT 1004'!$A$65:$C$73,2,1)-VLOOKUP((TRUNC($AN370*3/13,0)+0.99),'Tax scales - NAT 1004'!$A$65:$C$73,3,1)),0)
*13/3,
0),
""))),
""),
"")</f>
        <v/>
      </c>
      <c r="AU370" s="118" t="str">
        <f>IFERROR(
IF(VLOOKUP($C370,'Employee information'!$B:$M,COLUMNS('Employee information'!$B:$M),0)=11,
IF($E$2="Fortnightly",
ROUND(
ROUND((((TRUNC($AN370/2,0)+0.99))*VLOOKUP((TRUNC($AN370/2,0)+0.99),'Tax scales - NAT 3539'!$A$14:$C$38,2,1)-VLOOKUP((TRUNC($AN370/2,0)+0.99),'Tax scales - NAT 3539'!$A$14:$C$38,3,1)),0)
*2,
0),
IF(AND($E$2="Monthly",ROUND($AN370-TRUNC($AN370),2)=0.33),
ROUND(
ROUND(((TRUNC(($AN370+0.01)*3/13,0)+0.99)*VLOOKUP((TRUNC(($AN370+0.01)*3/13,0)+0.99),'Tax scales - NAT 3539'!$A$14:$C$38,2,1)-VLOOKUP((TRUNC(($AN370+0.01)*3/13,0)+0.99),'Tax scales - NAT 3539'!$A$14:$C$38,3,1)),0)
*13/3,
0),
IF($E$2="Monthly",
ROUND(
ROUND(((TRUNC($AN370*3/13,0)+0.99)*VLOOKUP((TRUNC($AN370*3/13,0)+0.99),'Tax scales - NAT 3539'!$A$14:$C$38,2,1)-VLOOKUP((TRUNC($AN370*3/13,0)+0.99),'Tax scales - NAT 3539'!$A$14:$C$38,3,1)),0)
*13/3,
0),
""))),
""),
"")</f>
        <v/>
      </c>
      <c r="AV370" s="118" t="str">
        <f>IFERROR(
IF(VLOOKUP($C370,'Employee information'!$B:$M,COLUMNS('Employee information'!$B:$M),0)=22,
IF($E$2="Fortnightly",
ROUND(
ROUND((((TRUNC($AN370/2,0)+0.99))*VLOOKUP((TRUNC($AN370/2,0)+0.99),'Tax scales - NAT 3539'!$A$43:$C$69,2,1)-VLOOKUP((TRUNC($AN370/2,0)+0.99),'Tax scales - NAT 3539'!$A$43:$C$69,3,1)),0)
*2,
0),
IF(AND($E$2="Monthly",ROUND($AN370-TRUNC($AN370),2)=0.33),
ROUND(
ROUND(((TRUNC(($AN370+0.01)*3/13,0)+0.99)*VLOOKUP((TRUNC(($AN370+0.01)*3/13,0)+0.99),'Tax scales - NAT 3539'!$A$43:$C$69,2,1)-VLOOKUP((TRUNC(($AN370+0.01)*3/13,0)+0.99),'Tax scales - NAT 3539'!$A$43:$C$69,3,1)),0)
*13/3,
0),
IF($E$2="Monthly",
ROUND(
ROUND(((TRUNC($AN370*3/13,0)+0.99)*VLOOKUP((TRUNC($AN370*3/13,0)+0.99),'Tax scales - NAT 3539'!$A$43:$C$69,2,1)-VLOOKUP((TRUNC($AN370*3/13,0)+0.99),'Tax scales - NAT 3539'!$A$43:$C$69,3,1)),0)
*13/3,
0),
""))),
""),
"")</f>
        <v/>
      </c>
      <c r="AW370" s="118" t="str">
        <f>IFERROR(
IF(VLOOKUP($C370,'Employee information'!$B:$M,COLUMNS('Employee information'!$B:$M),0)=33,
IF($E$2="Fortnightly",
ROUND(
ROUND((((TRUNC($AN370/2,0)+0.99))*VLOOKUP((TRUNC($AN370/2,0)+0.99),'Tax scales - NAT 3539'!$A$74:$C$94,2,1)-VLOOKUP((TRUNC($AN370/2,0)+0.99),'Tax scales - NAT 3539'!$A$74:$C$94,3,1)),0)
*2,
0),
IF(AND($E$2="Monthly",ROUND($AN370-TRUNC($AN370),2)=0.33),
ROUND(
ROUND(((TRUNC(($AN370+0.01)*3/13,0)+0.99)*VLOOKUP((TRUNC(($AN370+0.01)*3/13,0)+0.99),'Tax scales - NAT 3539'!$A$74:$C$94,2,1)-VLOOKUP((TRUNC(($AN370+0.01)*3/13,0)+0.99),'Tax scales - NAT 3539'!$A$74:$C$94,3,1)),0)
*13/3,
0),
IF($E$2="Monthly",
ROUND(
ROUND(((TRUNC($AN370*3/13,0)+0.99)*VLOOKUP((TRUNC($AN370*3/13,0)+0.99),'Tax scales - NAT 3539'!$A$74:$C$94,2,1)-VLOOKUP((TRUNC($AN370*3/13,0)+0.99),'Tax scales - NAT 3539'!$A$74:$C$94,3,1)),0)
*13/3,
0),
""))),
""),
"")</f>
        <v/>
      </c>
      <c r="AX370" s="118" t="str">
        <f>IFERROR(
IF(VLOOKUP($C370,'Employee information'!$B:$M,COLUMNS('Employee information'!$B:$M),0)=55,
IF($E$2="Fortnightly",
ROUND(
ROUND((((TRUNC($AN370/2,0)+0.99))*VLOOKUP((TRUNC($AN370/2,0)+0.99),'Tax scales - NAT 3539'!$A$99:$C$123,2,1)-VLOOKUP((TRUNC($AN370/2,0)+0.99),'Tax scales - NAT 3539'!$A$99:$C$123,3,1)),0)
*2,
0),
IF(AND($E$2="Monthly",ROUND($AN370-TRUNC($AN370),2)=0.33),
ROUND(
ROUND(((TRUNC(($AN370+0.01)*3/13,0)+0.99)*VLOOKUP((TRUNC(($AN370+0.01)*3/13,0)+0.99),'Tax scales - NAT 3539'!$A$99:$C$123,2,1)-VLOOKUP((TRUNC(($AN370+0.01)*3/13,0)+0.99),'Tax scales - NAT 3539'!$A$99:$C$123,3,1)),0)
*13/3,
0),
IF($E$2="Monthly",
ROUND(
ROUND(((TRUNC($AN370*3/13,0)+0.99)*VLOOKUP((TRUNC($AN370*3/13,0)+0.99),'Tax scales - NAT 3539'!$A$99:$C$123,2,1)-VLOOKUP((TRUNC($AN370*3/13,0)+0.99),'Tax scales - NAT 3539'!$A$99:$C$123,3,1)),0)
*13/3,
0),
""))),
""),
"")</f>
        <v/>
      </c>
      <c r="AY370" s="118" t="str">
        <f>IFERROR(
IF(VLOOKUP($C370,'Employee information'!$B:$M,COLUMNS('Employee information'!$B:$M),0)=66,
IF($E$2="Fortnightly",
ROUND(
ROUND((((TRUNC($AN370/2,0)+0.99))*VLOOKUP((TRUNC($AN370/2,0)+0.99),'Tax scales - NAT 3539'!$A$127:$C$154,2,1)-VLOOKUP((TRUNC($AN370/2,0)+0.99),'Tax scales - NAT 3539'!$A$127:$C$154,3,1)),0)
*2,
0),
IF(AND($E$2="Monthly",ROUND($AN370-TRUNC($AN370),2)=0.33),
ROUND(
ROUND(((TRUNC(($AN370+0.01)*3/13,0)+0.99)*VLOOKUP((TRUNC(($AN370+0.01)*3/13,0)+0.99),'Tax scales - NAT 3539'!$A$127:$C$154,2,1)-VLOOKUP((TRUNC(($AN370+0.01)*3/13,0)+0.99),'Tax scales - NAT 3539'!$A$127:$C$154,3,1)),0)
*13/3,
0),
IF($E$2="Monthly",
ROUND(
ROUND(((TRUNC($AN370*3/13,0)+0.99)*VLOOKUP((TRUNC($AN370*3/13,0)+0.99),'Tax scales - NAT 3539'!$A$127:$C$154,2,1)-VLOOKUP((TRUNC($AN370*3/13,0)+0.99),'Tax scales - NAT 3539'!$A$127:$C$154,3,1)),0)
*13/3,
0),
""))),
""),
"")</f>
        <v/>
      </c>
      <c r="AZ370" s="118">
        <f>IFERROR(
HLOOKUP(VLOOKUP($C370,'Employee information'!$B:$M,COLUMNS('Employee information'!$B:$M),0),'PAYG worksheet'!$AO$358:$AY$377,COUNTA($C$359:$C370)+1,0),
0)</f>
        <v>0</v>
      </c>
      <c r="BA370" s="118"/>
      <c r="BB370" s="118">
        <f t="shared" si="387"/>
        <v>0</v>
      </c>
      <c r="BC370" s="119">
        <f>IFERROR(
IF(OR($AE370=1,$AE370=""),SUM($P370,$AA370,$AC370,$AK370)*VLOOKUP($C370,'Employee information'!$B:$Q,COLUMNS('Employee information'!$B:$H),0),
IF($AE370=0,SUM($P370,$AA370,$AK370)*VLOOKUP($C370,'Employee information'!$B:$Q,COLUMNS('Employee information'!$B:$H),0),
0)),
0)</f>
        <v>0</v>
      </c>
      <c r="BE370" s="114">
        <f t="shared" si="372"/>
        <v>0</v>
      </c>
      <c r="BF370" s="114">
        <f t="shared" si="373"/>
        <v>0</v>
      </c>
      <c r="BG370" s="114">
        <f t="shared" si="374"/>
        <v>0</v>
      </c>
      <c r="BH370" s="114">
        <f t="shared" si="375"/>
        <v>0</v>
      </c>
      <c r="BI370" s="114">
        <f t="shared" si="376"/>
        <v>0</v>
      </c>
      <c r="BJ370" s="114">
        <f t="shared" si="377"/>
        <v>0</v>
      </c>
      <c r="BK370" s="114">
        <f t="shared" si="378"/>
        <v>0</v>
      </c>
      <c r="BL370" s="114">
        <f t="shared" si="388"/>
        <v>0</v>
      </c>
      <c r="BM370" s="114">
        <f t="shared" si="379"/>
        <v>0</v>
      </c>
    </row>
    <row r="371" spans="1:65" x14ac:dyDescent="0.25">
      <c r="A371" s="228">
        <f t="shared" si="367"/>
        <v>13</v>
      </c>
      <c r="C371" s="278"/>
      <c r="E371" s="103">
        <f>IF($C371="",0,
IF(AND($E$2="Monthly",$A371&gt;12),0,
IF($E$2="Monthly",VLOOKUP($C371,'Employee information'!$B:$AM,COLUMNS('Employee information'!$B:S),0),
IF($E$2="Fortnightly",VLOOKUP($C371,'Employee information'!$B:$AM,COLUMNS('Employee information'!$B:R),0),
0))))</f>
        <v>0</v>
      </c>
      <c r="F371" s="106"/>
      <c r="G371" s="106"/>
      <c r="H371" s="106"/>
      <c r="I371" s="106"/>
      <c r="J371" s="103">
        <f t="shared" si="380"/>
        <v>0</v>
      </c>
      <c r="L371" s="113">
        <f>IF(AND($E$2="Monthly",$A371&gt;12),"",
IFERROR($J371*VLOOKUP($C371,'Employee information'!$B:$AI,COLUMNS('Employee information'!$B:$P),0),0))</f>
        <v>0</v>
      </c>
      <c r="M371" s="114">
        <f t="shared" si="381"/>
        <v>0</v>
      </c>
      <c r="O371" s="103">
        <f t="shared" si="382"/>
        <v>0</v>
      </c>
      <c r="P371" s="113">
        <f>IFERROR(
IF(AND($E$2="Monthly",$A371&gt;12),0,
$O371*VLOOKUP($C371,'Employee information'!$B:$AI,COLUMNS('Employee information'!$B:$P),0)),
0)</f>
        <v>0</v>
      </c>
      <c r="R371" s="114">
        <f t="shared" si="368"/>
        <v>0</v>
      </c>
      <c r="T371" s="103"/>
      <c r="U371" s="103"/>
      <c r="V371" s="282" t="str">
        <f>IF($C371="","",
IF(AND($E$2="Monthly",$A371&gt;12),"",
$T371*VLOOKUP($C371,'Employee information'!$B:$P,COLUMNS('Employee information'!$B:$P),0)))</f>
        <v/>
      </c>
      <c r="W371" s="282" t="str">
        <f>IF($C371="","",
IF(AND($E$2="Monthly",$A371&gt;12),"",
$U371*VLOOKUP($C371,'Employee information'!$B:$P,COLUMNS('Employee information'!$B:$P),0)))</f>
        <v/>
      </c>
      <c r="X371" s="114">
        <f t="shared" si="369"/>
        <v>0</v>
      </c>
      <c r="Y371" s="114">
        <f t="shared" si="370"/>
        <v>0</v>
      </c>
      <c r="AA371" s="118">
        <f>IFERROR(
IF(OR('Basic payroll data'!$D$12="",'Basic payroll data'!$D$12="No"),0,
$T371*VLOOKUP($C371,'Employee information'!$B:$P,COLUMNS('Employee information'!$B:$P),0)*AL_loading_perc),
0)</f>
        <v>0</v>
      </c>
      <c r="AC371" s="118"/>
      <c r="AD371" s="118"/>
      <c r="AE371" s="283" t="str">
        <f t="shared" si="383"/>
        <v/>
      </c>
      <c r="AF371" s="283" t="str">
        <f t="shared" si="384"/>
        <v/>
      </c>
      <c r="AG371" s="118"/>
      <c r="AH371" s="118"/>
      <c r="AI371" s="283" t="str">
        <f t="shared" si="385"/>
        <v/>
      </c>
      <c r="AJ371" s="118"/>
      <c r="AK371" s="118"/>
      <c r="AM371" s="118">
        <f t="shared" si="386"/>
        <v>0</v>
      </c>
      <c r="AN371" s="118">
        <f t="shared" si="371"/>
        <v>0</v>
      </c>
      <c r="AO371" s="118" t="str">
        <f>IFERROR(
IF(VLOOKUP($C371,'Employee information'!$B:$M,COLUMNS('Employee information'!$B:$M),0)=1,
IF($E$2="Fortnightly",
ROUND(
ROUND((((TRUNC($AN371/2,0)+0.99))*VLOOKUP((TRUNC($AN371/2,0)+0.99),'Tax scales - NAT 1004'!$A$12:$C$18,2,1)-VLOOKUP((TRUNC($AN371/2,0)+0.99),'Tax scales - NAT 1004'!$A$12:$C$18,3,1)),0)
*2,
0),
IF(AND($E$2="Monthly",ROUND($AN371-TRUNC($AN371),2)=0.33),
ROUND(
ROUND(((TRUNC(($AN371+0.01)*3/13,0)+0.99)*VLOOKUP((TRUNC(($AN371+0.01)*3/13,0)+0.99),'Tax scales - NAT 1004'!$A$12:$C$18,2,1)-VLOOKUP((TRUNC(($AN371+0.01)*3/13,0)+0.99),'Tax scales - NAT 1004'!$A$12:$C$18,3,1)),0)
*13/3,
0),
IF($E$2="Monthly",
ROUND(
ROUND(((TRUNC($AN371*3/13,0)+0.99)*VLOOKUP((TRUNC($AN371*3/13,0)+0.99),'Tax scales - NAT 1004'!$A$12:$C$18,2,1)-VLOOKUP((TRUNC($AN371*3/13,0)+0.99),'Tax scales - NAT 1004'!$A$12:$C$18,3,1)),0)
*13/3,
0),
""))),
""),
"")</f>
        <v/>
      </c>
      <c r="AP371" s="118" t="str">
        <f>IFERROR(
IF(VLOOKUP($C371,'Employee information'!$B:$M,COLUMNS('Employee information'!$B:$M),0)=2,
IF($E$2="Fortnightly",
ROUND(
ROUND((((TRUNC($AN371/2,0)+0.99))*VLOOKUP((TRUNC($AN371/2,0)+0.99),'Tax scales - NAT 1004'!$A$25:$C$33,2,1)-VLOOKUP((TRUNC($AN371/2,0)+0.99),'Tax scales - NAT 1004'!$A$25:$C$33,3,1)),0)
*2,
0),
IF(AND($E$2="Monthly",ROUND($AN371-TRUNC($AN371),2)=0.33),
ROUND(
ROUND(((TRUNC(($AN371+0.01)*3/13,0)+0.99)*VLOOKUP((TRUNC(($AN371+0.01)*3/13,0)+0.99),'Tax scales - NAT 1004'!$A$25:$C$33,2,1)-VLOOKUP((TRUNC(($AN371+0.01)*3/13,0)+0.99),'Tax scales - NAT 1004'!$A$25:$C$33,3,1)),0)
*13/3,
0),
IF($E$2="Monthly",
ROUND(
ROUND(((TRUNC($AN371*3/13,0)+0.99)*VLOOKUP((TRUNC($AN371*3/13,0)+0.99),'Tax scales - NAT 1004'!$A$25:$C$33,2,1)-VLOOKUP((TRUNC($AN371*3/13,0)+0.99),'Tax scales - NAT 1004'!$A$25:$C$33,3,1)),0)
*13/3,
0),
""))),
""),
"")</f>
        <v/>
      </c>
      <c r="AQ371" s="118" t="str">
        <f>IFERROR(
IF(VLOOKUP($C371,'Employee information'!$B:$M,COLUMNS('Employee information'!$B:$M),0)=3,
IF($E$2="Fortnightly",
ROUND(
ROUND((((TRUNC($AN371/2,0)+0.99))*VLOOKUP((TRUNC($AN371/2,0)+0.99),'Tax scales - NAT 1004'!$A$39:$C$41,2,1)-VLOOKUP((TRUNC($AN371/2,0)+0.99),'Tax scales - NAT 1004'!$A$39:$C$41,3,1)),0)
*2,
0),
IF(AND($E$2="Monthly",ROUND($AN371-TRUNC($AN371),2)=0.33),
ROUND(
ROUND(((TRUNC(($AN371+0.01)*3/13,0)+0.99)*VLOOKUP((TRUNC(($AN371+0.01)*3/13,0)+0.99),'Tax scales - NAT 1004'!$A$39:$C$41,2,1)-VLOOKUP((TRUNC(($AN371+0.01)*3/13,0)+0.99),'Tax scales - NAT 1004'!$A$39:$C$41,3,1)),0)
*13/3,
0),
IF($E$2="Monthly",
ROUND(
ROUND(((TRUNC($AN371*3/13,0)+0.99)*VLOOKUP((TRUNC($AN371*3/13,0)+0.99),'Tax scales - NAT 1004'!$A$39:$C$41,2,1)-VLOOKUP((TRUNC($AN371*3/13,0)+0.99),'Tax scales - NAT 1004'!$A$39:$C$41,3,1)),0)
*13/3,
0),
""))),
""),
"")</f>
        <v/>
      </c>
      <c r="AR371" s="118" t="str">
        <f>IFERROR(
IF(AND(VLOOKUP($C371,'Employee information'!$B:$M,COLUMNS('Employee information'!$B:$M),0)=4,
VLOOKUP($C371,'Employee information'!$B:$J,COLUMNS('Employee information'!$B:$J),0)="Resident"),
TRUNC(TRUNC($AN371)*'Tax scales - NAT 1004'!$B$47),
IF(AND(VLOOKUP($C371,'Employee information'!$B:$M,COLUMNS('Employee information'!$B:$M),0)=4,
VLOOKUP($C371,'Employee information'!$B:$J,COLUMNS('Employee information'!$B:$J),0)="Foreign resident"),
TRUNC(TRUNC($AN371)*'Tax scales - NAT 1004'!$B$48),
"")),
"")</f>
        <v/>
      </c>
      <c r="AS371" s="118" t="str">
        <f>IFERROR(
IF(VLOOKUP($C371,'Employee information'!$B:$M,COLUMNS('Employee information'!$B:$M),0)=5,
IF($E$2="Fortnightly",
ROUND(
ROUND((((TRUNC($AN371/2,0)+0.99))*VLOOKUP((TRUNC($AN371/2,0)+0.99),'Tax scales - NAT 1004'!$A$53:$C$59,2,1)-VLOOKUP((TRUNC($AN371/2,0)+0.99),'Tax scales - NAT 1004'!$A$53:$C$59,3,1)),0)
*2,
0),
IF(AND($E$2="Monthly",ROUND($AN371-TRUNC($AN371),2)=0.33),
ROUND(
ROUND(((TRUNC(($AN371+0.01)*3/13,0)+0.99)*VLOOKUP((TRUNC(($AN371+0.01)*3/13,0)+0.99),'Tax scales - NAT 1004'!$A$53:$C$59,2,1)-VLOOKUP((TRUNC(($AN371+0.01)*3/13,0)+0.99),'Tax scales - NAT 1004'!$A$53:$C$59,3,1)),0)
*13/3,
0),
IF($E$2="Monthly",
ROUND(
ROUND(((TRUNC($AN371*3/13,0)+0.99)*VLOOKUP((TRUNC($AN371*3/13,0)+0.99),'Tax scales - NAT 1004'!$A$53:$C$59,2,1)-VLOOKUP((TRUNC($AN371*3/13,0)+0.99),'Tax scales - NAT 1004'!$A$53:$C$59,3,1)),0)
*13/3,
0),
""))),
""),
"")</f>
        <v/>
      </c>
      <c r="AT371" s="118" t="str">
        <f>IFERROR(
IF(VLOOKUP($C371,'Employee information'!$B:$M,COLUMNS('Employee information'!$B:$M),0)=6,
IF($E$2="Fortnightly",
ROUND(
ROUND((((TRUNC($AN371/2,0)+0.99))*VLOOKUP((TRUNC($AN371/2,0)+0.99),'Tax scales - NAT 1004'!$A$65:$C$73,2,1)-VLOOKUP((TRUNC($AN371/2,0)+0.99),'Tax scales - NAT 1004'!$A$65:$C$73,3,1)),0)
*2,
0),
IF(AND($E$2="Monthly",ROUND($AN371-TRUNC($AN371),2)=0.33),
ROUND(
ROUND(((TRUNC(($AN371+0.01)*3/13,0)+0.99)*VLOOKUP((TRUNC(($AN371+0.01)*3/13,0)+0.99),'Tax scales - NAT 1004'!$A$65:$C$73,2,1)-VLOOKUP((TRUNC(($AN371+0.01)*3/13,0)+0.99),'Tax scales - NAT 1004'!$A$65:$C$73,3,1)),0)
*13/3,
0),
IF($E$2="Monthly",
ROUND(
ROUND(((TRUNC($AN371*3/13,0)+0.99)*VLOOKUP((TRUNC($AN371*3/13,0)+0.99),'Tax scales - NAT 1004'!$A$65:$C$73,2,1)-VLOOKUP((TRUNC($AN371*3/13,0)+0.99),'Tax scales - NAT 1004'!$A$65:$C$73,3,1)),0)
*13/3,
0),
""))),
""),
"")</f>
        <v/>
      </c>
      <c r="AU371" s="118" t="str">
        <f>IFERROR(
IF(VLOOKUP($C371,'Employee information'!$B:$M,COLUMNS('Employee information'!$B:$M),0)=11,
IF($E$2="Fortnightly",
ROUND(
ROUND((((TRUNC($AN371/2,0)+0.99))*VLOOKUP((TRUNC($AN371/2,0)+0.99),'Tax scales - NAT 3539'!$A$14:$C$38,2,1)-VLOOKUP((TRUNC($AN371/2,0)+0.99),'Tax scales - NAT 3539'!$A$14:$C$38,3,1)),0)
*2,
0),
IF(AND($E$2="Monthly",ROUND($AN371-TRUNC($AN371),2)=0.33),
ROUND(
ROUND(((TRUNC(($AN371+0.01)*3/13,0)+0.99)*VLOOKUP((TRUNC(($AN371+0.01)*3/13,0)+0.99),'Tax scales - NAT 3539'!$A$14:$C$38,2,1)-VLOOKUP((TRUNC(($AN371+0.01)*3/13,0)+0.99),'Tax scales - NAT 3539'!$A$14:$C$38,3,1)),0)
*13/3,
0),
IF($E$2="Monthly",
ROUND(
ROUND(((TRUNC($AN371*3/13,0)+0.99)*VLOOKUP((TRUNC($AN371*3/13,0)+0.99),'Tax scales - NAT 3539'!$A$14:$C$38,2,1)-VLOOKUP((TRUNC($AN371*3/13,0)+0.99),'Tax scales - NAT 3539'!$A$14:$C$38,3,1)),0)
*13/3,
0),
""))),
""),
"")</f>
        <v/>
      </c>
      <c r="AV371" s="118" t="str">
        <f>IFERROR(
IF(VLOOKUP($C371,'Employee information'!$B:$M,COLUMNS('Employee information'!$B:$M),0)=22,
IF($E$2="Fortnightly",
ROUND(
ROUND((((TRUNC($AN371/2,0)+0.99))*VLOOKUP((TRUNC($AN371/2,0)+0.99),'Tax scales - NAT 3539'!$A$43:$C$69,2,1)-VLOOKUP((TRUNC($AN371/2,0)+0.99),'Tax scales - NAT 3539'!$A$43:$C$69,3,1)),0)
*2,
0),
IF(AND($E$2="Monthly",ROUND($AN371-TRUNC($AN371),2)=0.33),
ROUND(
ROUND(((TRUNC(($AN371+0.01)*3/13,0)+0.99)*VLOOKUP((TRUNC(($AN371+0.01)*3/13,0)+0.99),'Tax scales - NAT 3539'!$A$43:$C$69,2,1)-VLOOKUP((TRUNC(($AN371+0.01)*3/13,0)+0.99),'Tax scales - NAT 3539'!$A$43:$C$69,3,1)),0)
*13/3,
0),
IF($E$2="Monthly",
ROUND(
ROUND(((TRUNC($AN371*3/13,0)+0.99)*VLOOKUP((TRUNC($AN371*3/13,0)+0.99),'Tax scales - NAT 3539'!$A$43:$C$69,2,1)-VLOOKUP((TRUNC($AN371*3/13,0)+0.99),'Tax scales - NAT 3539'!$A$43:$C$69,3,1)),0)
*13/3,
0),
""))),
""),
"")</f>
        <v/>
      </c>
      <c r="AW371" s="118" t="str">
        <f>IFERROR(
IF(VLOOKUP($C371,'Employee information'!$B:$M,COLUMNS('Employee information'!$B:$M),0)=33,
IF($E$2="Fortnightly",
ROUND(
ROUND((((TRUNC($AN371/2,0)+0.99))*VLOOKUP((TRUNC($AN371/2,0)+0.99),'Tax scales - NAT 3539'!$A$74:$C$94,2,1)-VLOOKUP((TRUNC($AN371/2,0)+0.99),'Tax scales - NAT 3539'!$A$74:$C$94,3,1)),0)
*2,
0),
IF(AND($E$2="Monthly",ROUND($AN371-TRUNC($AN371),2)=0.33),
ROUND(
ROUND(((TRUNC(($AN371+0.01)*3/13,0)+0.99)*VLOOKUP((TRUNC(($AN371+0.01)*3/13,0)+0.99),'Tax scales - NAT 3539'!$A$74:$C$94,2,1)-VLOOKUP((TRUNC(($AN371+0.01)*3/13,0)+0.99),'Tax scales - NAT 3539'!$A$74:$C$94,3,1)),0)
*13/3,
0),
IF($E$2="Monthly",
ROUND(
ROUND(((TRUNC($AN371*3/13,0)+0.99)*VLOOKUP((TRUNC($AN371*3/13,0)+0.99),'Tax scales - NAT 3539'!$A$74:$C$94,2,1)-VLOOKUP((TRUNC($AN371*3/13,0)+0.99),'Tax scales - NAT 3539'!$A$74:$C$94,3,1)),0)
*13/3,
0),
""))),
""),
"")</f>
        <v/>
      </c>
      <c r="AX371" s="118" t="str">
        <f>IFERROR(
IF(VLOOKUP($C371,'Employee information'!$B:$M,COLUMNS('Employee information'!$B:$M),0)=55,
IF($E$2="Fortnightly",
ROUND(
ROUND((((TRUNC($AN371/2,0)+0.99))*VLOOKUP((TRUNC($AN371/2,0)+0.99),'Tax scales - NAT 3539'!$A$99:$C$123,2,1)-VLOOKUP((TRUNC($AN371/2,0)+0.99),'Tax scales - NAT 3539'!$A$99:$C$123,3,1)),0)
*2,
0),
IF(AND($E$2="Monthly",ROUND($AN371-TRUNC($AN371),2)=0.33),
ROUND(
ROUND(((TRUNC(($AN371+0.01)*3/13,0)+0.99)*VLOOKUP((TRUNC(($AN371+0.01)*3/13,0)+0.99),'Tax scales - NAT 3539'!$A$99:$C$123,2,1)-VLOOKUP((TRUNC(($AN371+0.01)*3/13,0)+0.99),'Tax scales - NAT 3539'!$A$99:$C$123,3,1)),0)
*13/3,
0),
IF($E$2="Monthly",
ROUND(
ROUND(((TRUNC($AN371*3/13,0)+0.99)*VLOOKUP((TRUNC($AN371*3/13,0)+0.99),'Tax scales - NAT 3539'!$A$99:$C$123,2,1)-VLOOKUP((TRUNC($AN371*3/13,0)+0.99),'Tax scales - NAT 3539'!$A$99:$C$123,3,1)),0)
*13/3,
0),
""))),
""),
"")</f>
        <v/>
      </c>
      <c r="AY371" s="118" t="str">
        <f>IFERROR(
IF(VLOOKUP($C371,'Employee information'!$B:$M,COLUMNS('Employee information'!$B:$M),0)=66,
IF($E$2="Fortnightly",
ROUND(
ROUND((((TRUNC($AN371/2,0)+0.99))*VLOOKUP((TRUNC($AN371/2,0)+0.99),'Tax scales - NAT 3539'!$A$127:$C$154,2,1)-VLOOKUP((TRUNC($AN371/2,0)+0.99),'Tax scales - NAT 3539'!$A$127:$C$154,3,1)),0)
*2,
0),
IF(AND($E$2="Monthly",ROUND($AN371-TRUNC($AN371),2)=0.33),
ROUND(
ROUND(((TRUNC(($AN371+0.01)*3/13,0)+0.99)*VLOOKUP((TRUNC(($AN371+0.01)*3/13,0)+0.99),'Tax scales - NAT 3539'!$A$127:$C$154,2,1)-VLOOKUP((TRUNC(($AN371+0.01)*3/13,0)+0.99),'Tax scales - NAT 3539'!$A$127:$C$154,3,1)),0)
*13/3,
0),
IF($E$2="Monthly",
ROUND(
ROUND(((TRUNC($AN371*3/13,0)+0.99)*VLOOKUP((TRUNC($AN371*3/13,0)+0.99),'Tax scales - NAT 3539'!$A$127:$C$154,2,1)-VLOOKUP((TRUNC($AN371*3/13,0)+0.99),'Tax scales - NAT 3539'!$A$127:$C$154,3,1)),0)
*13/3,
0),
""))),
""),
"")</f>
        <v/>
      </c>
      <c r="AZ371" s="118">
        <f>IFERROR(
HLOOKUP(VLOOKUP($C371,'Employee information'!$B:$M,COLUMNS('Employee information'!$B:$M),0),'PAYG worksheet'!$AO$358:$AY$377,COUNTA($C$359:$C371)+1,0),
0)</f>
        <v>0</v>
      </c>
      <c r="BA371" s="118"/>
      <c r="BB371" s="118">
        <f t="shared" si="387"/>
        <v>0</v>
      </c>
      <c r="BC371" s="119">
        <f>IFERROR(
IF(OR($AE371=1,$AE371=""),SUM($P371,$AA371,$AC371,$AK371)*VLOOKUP($C371,'Employee information'!$B:$Q,COLUMNS('Employee information'!$B:$H),0),
IF($AE371=0,SUM($P371,$AA371,$AK371)*VLOOKUP($C371,'Employee information'!$B:$Q,COLUMNS('Employee information'!$B:$H),0),
0)),
0)</f>
        <v>0</v>
      </c>
      <c r="BE371" s="114">
        <f t="shared" si="372"/>
        <v>0</v>
      </c>
      <c r="BF371" s="114">
        <f t="shared" si="373"/>
        <v>0</v>
      </c>
      <c r="BG371" s="114">
        <f t="shared" si="374"/>
        <v>0</v>
      </c>
      <c r="BH371" s="114">
        <f t="shared" si="375"/>
        <v>0</v>
      </c>
      <c r="BI371" s="114">
        <f t="shared" si="376"/>
        <v>0</v>
      </c>
      <c r="BJ371" s="114">
        <f t="shared" si="377"/>
        <v>0</v>
      </c>
      <c r="BK371" s="114">
        <f t="shared" si="378"/>
        <v>0</v>
      </c>
      <c r="BL371" s="114">
        <f t="shared" si="388"/>
        <v>0</v>
      </c>
      <c r="BM371" s="114">
        <f t="shared" si="379"/>
        <v>0</v>
      </c>
    </row>
    <row r="372" spans="1:65" x14ac:dyDescent="0.25">
      <c r="A372" s="228">
        <f t="shared" si="367"/>
        <v>13</v>
      </c>
      <c r="C372" s="278"/>
      <c r="E372" s="103">
        <f>IF($C372="",0,
IF(AND($E$2="Monthly",$A372&gt;12),0,
IF($E$2="Monthly",VLOOKUP($C372,'Employee information'!$B:$AM,COLUMNS('Employee information'!$B:S),0),
IF($E$2="Fortnightly",VLOOKUP($C372,'Employee information'!$B:$AM,COLUMNS('Employee information'!$B:R),0),
0))))</f>
        <v>0</v>
      </c>
      <c r="F372" s="106"/>
      <c r="G372" s="106"/>
      <c r="H372" s="106"/>
      <c r="I372" s="106"/>
      <c r="J372" s="103">
        <f t="shared" si="380"/>
        <v>0</v>
      </c>
      <c r="L372" s="113">
        <f>IF(AND($E$2="Monthly",$A372&gt;12),"",
IFERROR($J372*VLOOKUP($C372,'Employee information'!$B:$AI,COLUMNS('Employee information'!$B:$P),0),0))</f>
        <v>0</v>
      </c>
      <c r="M372" s="114">
        <f t="shared" si="381"/>
        <v>0</v>
      </c>
      <c r="O372" s="103">
        <f t="shared" si="382"/>
        <v>0</v>
      </c>
      <c r="P372" s="113">
        <f>IFERROR(
IF(AND($E$2="Monthly",$A372&gt;12),0,
$O372*VLOOKUP($C372,'Employee information'!$B:$AI,COLUMNS('Employee information'!$B:$P),0)),
0)</f>
        <v>0</v>
      </c>
      <c r="R372" s="114">
        <f t="shared" si="368"/>
        <v>0</v>
      </c>
      <c r="T372" s="103"/>
      <c r="U372" s="103"/>
      <c r="V372" s="282" t="str">
        <f>IF($C372="","",
IF(AND($E$2="Monthly",$A372&gt;12),"",
$T372*VLOOKUP($C372,'Employee information'!$B:$P,COLUMNS('Employee information'!$B:$P),0)))</f>
        <v/>
      </c>
      <c r="W372" s="282" t="str">
        <f>IF($C372="","",
IF(AND($E$2="Monthly",$A372&gt;12),"",
$U372*VLOOKUP($C372,'Employee information'!$B:$P,COLUMNS('Employee information'!$B:$P),0)))</f>
        <v/>
      </c>
      <c r="X372" s="114">
        <f t="shared" si="369"/>
        <v>0</v>
      </c>
      <c r="Y372" s="114">
        <f t="shared" si="370"/>
        <v>0</v>
      </c>
      <c r="AA372" s="118">
        <f>IFERROR(
IF(OR('Basic payroll data'!$D$12="",'Basic payroll data'!$D$12="No"),0,
$T372*VLOOKUP($C372,'Employee information'!$B:$P,COLUMNS('Employee information'!$B:$P),0)*AL_loading_perc),
0)</f>
        <v>0</v>
      </c>
      <c r="AC372" s="118"/>
      <c r="AD372" s="118"/>
      <c r="AE372" s="283" t="str">
        <f t="shared" si="383"/>
        <v/>
      </c>
      <c r="AF372" s="283" t="str">
        <f t="shared" si="384"/>
        <v/>
      </c>
      <c r="AG372" s="118"/>
      <c r="AH372" s="118"/>
      <c r="AI372" s="283" t="str">
        <f t="shared" si="385"/>
        <v/>
      </c>
      <c r="AJ372" s="118"/>
      <c r="AK372" s="118"/>
      <c r="AM372" s="118">
        <f t="shared" si="386"/>
        <v>0</v>
      </c>
      <c r="AN372" s="118">
        <f t="shared" si="371"/>
        <v>0</v>
      </c>
      <c r="AO372" s="118" t="str">
        <f>IFERROR(
IF(VLOOKUP($C372,'Employee information'!$B:$M,COLUMNS('Employee information'!$B:$M),0)=1,
IF($E$2="Fortnightly",
ROUND(
ROUND((((TRUNC($AN372/2,0)+0.99))*VLOOKUP((TRUNC($AN372/2,0)+0.99),'Tax scales - NAT 1004'!$A$12:$C$18,2,1)-VLOOKUP((TRUNC($AN372/2,0)+0.99),'Tax scales - NAT 1004'!$A$12:$C$18,3,1)),0)
*2,
0),
IF(AND($E$2="Monthly",ROUND($AN372-TRUNC($AN372),2)=0.33),
ROUND(
ROUND(((TRUNC(($AN372+0.01)*3/13,0)+0.99)*VLOOKUP((TRUNC(($AN372+0.01)*3/13,0)+0.99),'Tax scales - NAT 1004'!$A$12:$C$18,2,1)-VLOOKUP((TRUNC(($AN372+0.01)*3/13,0)+0.99),'Tax scales - NAT 1004'!$A$12:$C$18,3,1)),0)
*13/3,
0),
IF($E$2="Monthly",
ROUND(
ROUND(((TRUNC($AN372*3/13,0)+0.99)*VLOOKUP((TRUNC($AN372*3/13,0)+0.99),'Tax scales - NAT 1004'!$A$12:$C$18,2,1)-VLOOKUP((TRUNC($AN372*3/13,0)+0.99),'Tax scales - NAT 1004'!$A$12:$C$18,3,1)),0)
*13/3,
0),
""))),
""),
"")</f>
        <v/>
      </c>
      <c r="AP372" s="118" t="str">
        <f>IFERROR(
IF(VLOOKUP($C372,'Employee information'!$B:$M,COLUMNS('Employee information'!$B:$M),0)=2,
IF($E$2="Fortnightly",
ROUND(
ROUND((((TRUNC($AN372/2,0)+0.99))*VLOOKUP((TRUNC($AN372/2,0)+0.99),'Tax scales - NAT 1004'!$A$25:$C$33,2,1)-VLOOKUP((TRUNC($AN372/2,0)+0.99),'Tax scales - NAT 1004'!$A$25:$C$33,3,1)),0)
*2,
0),
IF(AND($E$2="Monthly",ROUND($AN372-TRUNC($AN372),2)=0.33),
ROUND(
ROUND(((TRUNC(($AN372+0.01)*3/13,0)+0.99)*VLOOKUP((TRUNC(($AN372+0.01)*3/13,0)+0.99),'Tax scales - NAT 1004'!$A$25:$C$33,2,1)-VLOOKUP((TRUNC(($AN372+0.01)*3/13,0)+0.99),'Tax scales - NAT 1004'!$A$25:$C$33,3,1)),0)
*13/3,
0),
IF($E$2="Monthly",
ROUND(
ROUND(((TRUNC($AN372*3/13,0)+0.99)*VLOOKUP((TRUNC($AN372*3/13,0)+0.99),'Tax scales - NAT 1004'!$A$25:$C$33,2,1)-VLOOKUP((TRUNC($AN372*3/13,0)+0.99),'Tax scales - NAT 1004'!$A$25:$C$33,3,1)),0)
*13/3,
0),
""))),
""),
"")</f>
        <v/>
      </c>
      <c r="AQ372" s="118" t="str">
        <f>IFERROR(
IF(VLOOKUP($C372,'Employee information'!$B:$M,COLUMNS('Employee information'!$B:$M),0)=3,
IF($E$2="Fortnightly",
ROUND(
ROUND((((TRUNC($AN372/2,0)+0.99))*VLOOKUP((TRUNC($AN372/2,0)+0.99),'Tax scales - NAT 1004'!$A$39:$C$41,2,1)-VLOOKUP((TRUNC($AN372/2,0)+0.99),'Tax scales - NAT 1004'!$A$39:$C$41,3,1)),0)
*2,
0),
IF(AND($E$2="Monthly",ROUND($AN372-TRUNC($AN372),2)=0.33),
ROUND(
ROUND(((TRUNC(($AN372+0.01)*3/13,0)+0.99)*VLOOKUP((TRUNC(($AN372+0.01)*3/13,0)+0.99),'Tax scales - NAT 1004'!$A$39:$C$41,2,1)-VLOOKUP((TRUNC(($AN372+0.01)*3/13,0)+0.99),'Tax scales - NAT 1004'!$A$39:$C$41,3,1)),0)
*13/3,
0),
IF($E$2="Monthly",
ROUND(
ROUND(((TRUNC($AN372*3/13,0)+0.99)*VLOOKUP((TRUNC($AN372*3/13,0)+0.99),'Tax scales - NAT 1004'!$A$39:$C$41,2,1)-VLOOKUP((TRUNC($AN372*3/13,0)+0.99),'Tax scales - NAT 1004'!$A$39:$C$41,3,1)),0)
*13/3,
0),
""))),
""),
"")</f>
        <v/>
      </c>
      <c r="AR372" s="118" t="str">
        <f>IFERROR(
IF(AND(VLOOKUP($C372,'Employee information'!$B:$M,COLUMNS('Employee information'!$B:$M),0)=4,
VLOOKUP($C372,'Employee information'!$B:$J,COLUMNS('Employee information'!$B:$J),0)="Resident"),
TRUNC(TRUNC($AN372)*'Tax scales - NAT 1004'!$B$47),
IF(AND(VLOOKUP($C372,'Employee information'!$B:$M,COLUMNS('Employee information'!$B:$M),0)=4,
VLOOKUP($C372,'Employee information'!$B:$J,COLUMNS('Employee information'!$B:$J),0)="Foreign resident"),
TRUNC(TRUNC($AN372)*'Tax scales - NAT 1004'!$B$48),
"")),
"")</f>
        <v/>
      </c>
      <c r="AS372" s="118" t="str">
        <f>IFERROR(
IF(VLOOKUP($C372,'Employee information'!$B:$M,COLUMNS('Employee information'!$B:$M),0)=5,
IF($E$2="Fortnightly",
ROUND(
ROUND((((TRUNC($AN372/2,0)+0.99))*VLOOKUP((TRUNC($AN372/2,0)+0.99),'Tax scales - NAT 1004'!$A$53:$C$59,2,1)-VLOOKUP((TRUNC($AN372/2,0)+0.99),'Tax scales - NAT 1004'!$A$53:$C$59,3,1)),0)
*2,
0),
IF(AND($E$2="Monthly",ROUND($AN372-TRUNC($AN372),2)=0.33),
ROUND(
ROUND(((TRUNC(($AN372+0.01)*3/13,0)+0.99)*VLOOKUP((TRUNC(($AN372+0.01)*3/13,0)+0.99),'Tax scales - NAT 1004'!$A$53:$C$59,2,1)-VLOOKUP((TRUNC(($AN372+0.01)*3/13,0)+0.99),'Tax scales - NAT 1004'!$A$53:$C$59,3,1)),0)
*13/3,
0),
IF($E$2="Monthly",
ROUND(
ROUND(((TRUNC($AN372*3/13,0)+0.99)*VLOOKUP((TRUNC($AN372*3/13,0)+0.99),'Tax scales - NAT 1004'!$A$53:$C$59,2,1)-VLOOKUP((TRUNC($AN372*3/13,0)+0.99),'Tax scales - NAT 1004'!$A$53:$C$59,3,1)),0)
*13/3,
0),
""))),
""),
"")</f>
        <v/>
      </c>
      <c r="AT372" s="118" t="str">
        <f>IFERROR(
IF(VLOOKUP($C372,'Employee information'!$B:$M,COLUMNS('Employee information'!$B:$M),0)=6,
IF($E$2="Fortnightly",
ROUND(
ROUND((((TRUNC($AN372/2,0)+0.99))*VLOOKUP((TRUNC($AN372/2,0)+0.99),'Tax scales - NAT 1004'!$A$65:$C$73,2,1)-VLOOKUP((TRUNC($AN372/2,0)+0.99),'Tax scales - NAT 1004'!$A$65:$C$73,3,1)),0)
*2,
0),
IF(AND($E$2="Monthly",ROUND($AN372-TRUNC($AN372),2)=0.33),
ROUND(
ROUND(((TRUNC(($AN372+0.01)*3/13,0)+0.99)*VLOOKUP((TRUNC(($AN372+0.01)*3/13,0)+0.99),'Tax scales - NAT 1004'!$A$65:$C$73,2,1)-VLOOKUP((TRUNC(($AN372+0.01)*3/13,0)+0.99),'Tax scales - NAT 1004'!$A$65:$C$73,3,1)),0)
*13/3,
0),
IF($E$2="Monthly",
ROUND(
ROUND(((TRUNC($AN372*3/13,0)+0.99)*VLOOKUP((TRUNC($AN372*3/13,0)+0.99),'Tax scales - NAT 1004'!$A$65:$C$73,2,1)-VLOOKUP((TRUNC($AN372*3/13,0)+0.99),'Tax scales - NAT 1004'!$A$65:$C$73,3,1)),0)
*13/3,
0),
""))),
""),
"")</f>
        <v/>
      </c>
      <c r="AU372" s="118" t="str">
        <f>IFERROR(
IF(VLOOKUP($C372,'Employee information'!$B:$M,COLUMNS('Employee information'!$B:$M),0)=11,
IF($E$2="Fortnightly",
ROUND(
ROUND((((TRUNC($AN372/2,0)+0.99))*VLOOKUP((TRUNC($AN372/2,0)+0.99),'Tax scales - NAT 3539'!$A$14:$C$38,2,1)-VLOOKUP((TRUNC($AN372/2,0)+0.99),'Tax scales - NAT 3539'!$A$14:$C$38,3,1)),0)
*2,
0),
IF(AND($E$2="Monthly",ROUND($AN372-TRUNC($AN372),2)=0.33),
ROUND(
ROUND(((TRUNC(($AN372+0.01)*3/13,0)+0.99)*VLOOKUP((TRUNC(($AN372+0.01)*3/13,0)+0.99),'Tax scales - NAT 3539'!$A$14:$C$38,2,1)-VLOOKUP((TRUNC(($AN372+0.01)*3/13,0)+0.99),'Tax scales - NAT 3539'!$A$14:$C$38,3,1)),0)
*13/3,
0),
IF($E$2="Monthly",
ROUND(
ROUND(((TRUNC($AN372*3/13,0)+0.99)*VLOOKUP((TRUNC($AN372*3/13,0)+0.99),'Tax scales - NAT 3539'!$A$14:$C$38,2,1)-VLOOKUP((TRUNC($AN372*3/13,0)+0.99),'Tax scales - NAT 3539'!$A$14:$C$38,3,1)),0)
*13/3,
0),
""))),
""),
"")</f>
        <v/>
      </c>
      <c r="AV372" s="118" t="str">
        <f>IFERROR(
IF(VLOOKUP($C372,'Employee information'!$B:$M,COLUMNS('Employee information'!$B:$M),0)=22,
IF($E$2="Fortnightly",
ROUND(
ROUND((((TRUNC($AN372/2,0)+0.99))*VLOOKUP((TRUNC($AN372/2,0)+0.99),'Tax scales - NAT 3539'!$A$43:$C$69,2,1)-VLOOKUP((TRUNC($AN372/2,0)+0.99),'Tax scales - NAT 3539'!$A$43:$C$69,3,1)),0)
*2,
0),
IF(AND($E$2="Monthly",ROUND($AN372-TRUNC($AN372),2)=0.33),
ROUND(
ROUND(((TRUNC(($AN372+0.01)*3/13,0)+0.99)*VLOOKUP((TRUNC(($AN372+0.01)*3/13,0)+0.99),'Tax scales - NAT 3539'!$A$43:$C$69,2,1)-VLOOKUP((TRUNC(($AN372+0.01)*3/13,0)+0.99),'Tax scales - NAT 3539'!$A$43:$C$69,3,1)),0)
*13/3,
0),
IF($E$2="Monthly",
ROUND(
ROUND(((TRUNC($AN372*3/13,0)+0.99)*VLOOKUP((TRUNC($AN372*3/13,0)+0.99),'Tax scales - NAT 3539'!$A$43:$C$69,2,1)-VLOOKUP((TRUNC($AN372*3/13,0)+0.99),'Tax scales - NAT 3539'!$A$43:$C$69,3,1)),0)
*13/3,
0),
""))),
""),
"")</f>
        <v/>
      </c>
      <c r="AW372" s="118" t="str">
        <f>IFERROR(
IF(VLOOKUP($C372,'Employee information'!$B:$M,COLUMNS('Employee information'!$B:$M),0)=33,
IF($E$2="Fortnightly",
ROUND(
ROUND((((TRUNC($AN372/2,0)+0.99))*VLOOKUP((TRUNC($AN372/2,0)+0.99),'Tax scales - NAT 3539'!$A$74:$C$94,2,1)-VLOOKUP((TRUNC($AN372/2,0)+0.99),'Tax scales - NAT 3539'!$A$74:$C$94,3,1)),0)
*2,
0),
IF(AND($E$2="Monthly",ROUND($AN372-TRUNC($AN372),2)=0.33),
ROUND(
ROUND(((TRUNC(($AN372+0.01)*3/13,0)+0.99)*VLOOKUP((TRUNC(($AN372+0.01)*3/13,0)+0.99),'Tax scales - NAT 3539'!$A$74:$C$94,2,1)-VLOOKUP((TRUNC(($AN372+0.01)*3/13,0)+0.99),'Tax scales - NAT 3539'!$A$74:$C$94,3,1)),0)
*13/3,
0),
IF($E$2="Monthly",
ROUND(
ROUND(((TRUNC($AN372*3/13,0)+0.99)*VLOOKUP((TRUNC($AN372*3/13,0)+0.99),'Tax scales - NAT 3539'!$A$74:$C$94,2,1)-VLOOKUP((TRUNC($AN372*3/13,0)+0.99),'Tax scales - NAT 3539'!$A$74:$C$94,3,1)),0)
*13/3,
0),
""))),
""),
"")</f>
        <v/>
      </c>
      <c r="AX372" s="118" t="str">
        <f>IFERROR(
IF(VLOOKUP($C372,'Employee information'!$B:$M,COLUMNS('Employee information'!$B:$M),0)=55,
IF($E$2="Fortnightly",
ROUND(
ROUND((((TRUNC($AN372/2,0)+0.99))*VLOOKUP((TRUNC($AN372/2,0)+0.99),'Tax scales - NAT 3539'!$A$99:$C$123,2,1)-VLOOKUP((TRUNC($AN372/2,0)+0.99),'Tax scales - NAT 3539'!$A$99:$C$123,3,1)),0)
*2,
0),
IF(AND($E$2="Monthly",ROUND($AN372-TRUNC($AN372),2)=0.33),
ROUND(
ROUND(((TRUNC(($AN372+0.01)*3/13,0)+0.99)*VLOOKUP((TRUNC(($AN372+0.01)*3/13,0)+0.99),'Tax scales - NAT 3539'!$A$99:$C$123,2,1)-VLOOKUP((TRUNC(($AN372+0.01)*3/13,0)+0.99),'Tax scales - NAT 3539'!$A$99:$C$123,3,1)),0)
*13/3,
0),
IF($E$2="Monthly",
ROUND(
ROUND(((TRUNC($AN372*3/13,0)+0.99)*VLOOKUP((TRUNC($AN372*3/13,0)+0.99),'Tax scales - NAT 3539'!$A$99:$C$123,2,1)-VLOOKUP((TRUNC($AN372*3/13,0)+0.99),'Tax scales - NAT 3539'!$A$99:$C$123,3,1)),0)
*13/3,
0),
""))),
""),
"")</f>
        <v/>
      </c>
      <c r="AY372" s="118" t="str">
        <f>IFERROR(
IF(VLOOKUP($C372,'Employee information'!$B:$M,COLUMNS('Employee information'!$B:$M),0)=66,
IF($E$2="Fortnightly",
ROUND(
ROUND((((TRUNC($AN372/2,0)+0.99))*VLOOKUP((TRUNC($AN372/2,0)+0.99),'Tax scales - NAT 3539'!$A$127:$C$154,2,1)-VLOOKUP((TRUNC($AN372/2,0)+0.99),'Tax scales - NAT 3539'!$A$127:$C$154,3,1)),0)
*2,
0),
IF(AND($E$2="Monthly",ROUND($AN372-TRUNC($AN372),2)=0.33),
ROUND(
ROUND(((TRUNC(($AN372+0.01)*3/13,0)+0.99)*VLOOKUP((TRUNC(($AN372+0.01)*3/13,0)+0.99),'Tax scales - NAT 3539'!$A$127:$C$154,2,1)-VLOOKUP((TRUNC(($AN372+0.01)*3/13,0)+0.99),'Tax scales - NAT 3539'!$A$127:$C$154,3,1)),0)
*13/3,
0),
IF($E$2="Monthly",
ROUND(
ROUND(((TRUNC($AN372*3/13,0)+0.99)*VLOOKUP((TRUNC($AN372*3/13,0)+0.99),'Tax scales - NAT 3539'!$A$127:$C$154,2,1)-VLOOKUP((TRUNC($AN372*3/13,0)+0.99),'Tax scales - NAT 3539'!$A$127:$C$154,3,1)),0)
*13/3,
0),
""))),
""),
"")</f>
        <v/>
      </c>
      <c r="AZ372" s="118">
        <f>IFERROR(
HLOOKUP(VLOOKUP($C372,'Employee information'!$B:$M,COLUMNS('Employee information'!$B:$M),0),'PAYG worksheet'!$AO$358:$AY$377,COUNTA($C$359:$C372)+1,0),
0)</f>
        <v>0</v>
      </c>
      <c r="BA372" s="118"/>
      <c r="BB372" s="118">
        <f t="shared" si="387"/>
        <v>0</v>
      </c>
      <c r="BC372" s="119">
        <f>IFERROR(
IF(OR($AE372=1,$AE372=""),SUM($P372,$AA372,$AC372,$AK372)*VLOOKUP($C372,'Employee information'!$B:$Q,COLUMNS('Employee information'!$B:$H),0),
IF($AE372=0,SUM($P372,$AA372,$AK372)*VLOOKUP($C372,'Employee information'!$B:$Q,COLUMNS('Employee information'!$B:$H),0),
0)),
0)</f>
        <v>0</v>
      </c>
      <c r="BE372" s="114">
        <f t="shared" si="372"/>
        <v>0</v>
      </c>
      <c r="BF372" s="114">
        <f t="shared" si="373"/>
        <v>0</v>
      </c>
      <c r="BG372" s="114">
        <f t="shared" si="374"/>
        <v>0</v>
      </c>
      <c r="BH372" s="114">
        <f t="shared" si="375"/>
        <v>0</v>
      </c>
      <c r="BI372" s="114">
        <f t="shared" si="376"/>
        <v>0</v>
      </c>
      <c r="BJ372" s="114">
        <f t="shared" si="377"/>
        <v>0</v>
      </c>
      <c r="BK372" s="114">
        <f t="shared" si="378"/>
        <v>0</v>
      </c>
      <c r="BL372" s="114">
        <f t="shared" si="388"/>
        <v>0</v>
      </c>
      <c r="BM372" s="114">
        <f t="shared" si="379"/>
        <v>0</v>
      </c>
    </row>
    <row r="373" spans="1:65" x14ac:dyDescent="0.25">
      <c r="A373" s="228">
        <f t="shared" si="367"/>
        <v>13</v>
      </c>
      <c r="C373" s="278"/>
      <c r="E373" s="103">
        <f>IF($C373="",0,
IF(AND($E$2="Monthly",$A373&gt;12),0,
IF($E$2="Monthly",VLOOKUP($C373,'Employee information'!$B:$AM,COLUMNS('Employee information'!$B:S),0),
IF($E$2="Fortnightly",VLOOKUP($C373,'Employee information'!$B:$AM,COLUMNS('Employee information'!$B:R),0),
0))))</f>
        <v>0</v>
      </c>
      <c r="F373" s="106"/>
      <c r="G373" s="106"/>
      <c r="H373" s="106"/>
      <c r="I373" s="106"/>
      <c r="J373" s="103">
        <f t="shared" si="380"/>
        <v>0</v>
      </c>
      <c r="L373" s="113">
        <f>IF(AND($E$2="Monthly",$A373&gt;12),"",
IFERROR($J373*VLOOKUP($C373,'Employee information'!$B:$AI,COLUMNS('Employee information'!$B:$P),0),0))</f>
        <v>0</v>
      </c>
      <c r="M373" s="114">
        <f t="shared" si="381"/>
        <v>0</v>
      </c>
      <c r="O373" s="103">
        <f t="shared" si="382"/>
        <v>0</v>
      </c>
      <c r="P373" s="113">
        <f>IFERROR(
IF(AND($E$2="Monthly",$A373&gt;12),0,
$O373*VLOOKUP($C373,'Employee information'!$B:$AI,COLUMNS('Employee information'!$B:$P),0)),
0)</f>
        <v>0</v>
      </c>
      <c r="R373" s="114">
        <f t="shared" si="368"/>
        <v>0</v>
      </c>
      <c r="T373" s="103"/>
      <c r="U373" s="103"/>
      <c r="V373" s="282" t="str">
        <f>IF($C373="","",
IF(AND($E$2="Monthly",$A373&gt;12),"",
$T373*VLOOKUP($C373,'Employee information'!$B:$P,COLUMNS('Employee information'!$B:$P),0)))</f>
        <v/>
      </c>
      <c r="W373" s="282" t="str">
        <f>IF($C373="","",
IF(AND($E$2="Monthly",$A373&gt;12),"",
$U373*VLOOKUP($C373,'Employee information'!$B:$P,COLUMNS('Employee information'!$B:$P),0)))</f>
        <v/>
      </c>
      <c r="X373" s="114">
        <f t="shared" si="369"/>
        <v>0</v>
      </c>
      <c r="Y373" s="114">
        <f t="shared" si="370"/>
        <v>0</v>
      </c>
      <c r="AA373" s="118">
        <f>IFERROR(
IF(OR('Basic payroll data'!$D$12="",'Basic payroll data'!$D$12="No"),0,
$T373*VLOOKUP($C373,'Employee information'!$B:$P,COLUMNS('Employee information'!$B:$P),0)*AL_loading_perc),
0)</f>
        <v>0</v>
      </c>
      <c r="AC373" s="118"/>
      <c r="AD373" s="118"/>
      <c r="AE373" s="283" t="str">
        <f t="shared" si="383"/>
        <v/>
      </c>
      <c r="AF373" s="283" t="str">
        <f t="shared" si="384"/>
        <v/>
      </c>
      <c r="AG373" s="118"/>
      <c r="AH373" s="118"/>
      <c r="AI373" s="283" t="str">
        <f t="shared" si="385"/>
        <v/>
      </c>
      <c r="AJ373" s="118"/>
      <c r="AK373" s="118"/>
      <c r="AM373" s="118">
        <f t="shared" si="386"/>
        <v>0</v>
      </c>
      <c r="AN373" s="118">
        <f t="shared" si="371"/>
        <v>0</v>
      </c>
      <c r="AO373" s="118" t="str">
        <f>IFERROR(
IF(VLOOKUP($C373,'Employee information'!$B:$M,COLUMNS('Employee information'!$B:$M),0)=1,
IF($E$2="Fortnightly",
ROUND(
ROUND((((TRUNC($AN373/2,0)+0.99))*VLOOKUP((TRUNC($AN373/2,0)+0.99),'Tax scales - NAT 1004'!$A$12:$C$18,2,1)-VLOOKUP((TRUNC($AN373/2,0)+0.99),'Tax scales - NAT 1004'!$A$12:$C$18,3,1)),0)
*2,
0),
IF(AND($E$2="Monthly",ROUND($AN373-TRUNC($AN373),2)=0.33),
ROUND(
ROUND(((TRUNC(($AN373+0.01)*3/13,0)+0.99)*VLOOKUP((TRUNC(($AN373+0.01)*3/13,0)+0.99),'Tax scales - NAT 1004'!$A$12:$C$18,2,1)-VLOOKUP((TRUNC(($AN373+0.01)*3/13,0)+0.99),'Tax scales - NAT 1004'!$A$12:$C$18,3,1)),0)
*13/3,
0),
IF($E$2="Monthly",
ROUND(
ROUND(((TRUNC($AN373*3/13,0)+0.99)*VLOOKUP((TRUNC($AN373*3/13,0)+0.99),'Tax scales - NAT 1004'!$A$12:$C$18,2,1)-VLOOKUP((TRUNC($AN373*3/13,0)+0.99),'Tax scales - NAT 1004'!$A$12:$C$18,3,1)),0)
*13/3,
0),
""))),
""),
"")</f>
        <v/>
      </c>
      <c r="AP373" s="118" t="str">
        <f>IFERROR(
IF(VLOOKUP($C373,'Employee information'!$B:$M,COLUMNS('Employee information'!$B:$M),0)=2,
IF($E$2="Fortnightly",
ROUND(
ROUND((((TRUNC($AN373/2,0)+0.99))*VLOOKUP((TRUNC($AN373/2,0)+0.99),'Tax scales - NAT 1004'!$A$25:$C$33,2,1)-VLOOKUP((TRUNC($AN373/2,0)+0.99),'Tax scales - NAT 1004'!$A$25:$C$33,3,1)),0)
*2,
0),
IF(AND($E$2="Monthly",ROUND($AN373-TRUNC($AN373),2)=0.33),
ROUND(
ROUND(((TRUNC(($AN373+0.01)*3/13,0)+0.99)*VLOOKUP((TRUNC(($AN373+0.01)*3/13,0)+0.99),'Tax scales - NAT 1004'!$A$25:$C$33,2,1)-VLOOKUP((TRUNC(($AN373+0.01)*3/13,0)+0.99),'Tax scales - NAT 1004'!$A$25:$C$33,3,1)),0)
*13/3,
0),
IF($E$2="Monthly",
ROUND(
ROUND(((TRUNC($AN373*3/13,0)+0.99)*VLOOKUP((TRUNC($AN373*3/13,0)+0.99),'Tax scales - NAT 1004'!$A$25:$C$33,2,1)-VLOOKUP((TRUNC($AN373*3/13,0)+0.99),'Tax scales - NAT 1004'!$A$25:$C$33,3,1)),0)
*13/3,
0),
""))),
""),
"")</f>
        <v/>
      </c>
      <c r="AQ373" s="118" t="str">
        <f>IFERROR(
IF(VLOOKUP($C373,'Employee information'!$B:$M,COLUMNS('Employee information'!$B:$M),0)=3,
IF($E$2="Fortnightly",
ROUND(
ROUND((((TRUNC($AN373/2,0)+0.99))*VLOOKUP((TRUNC($AN373/2,0)+0.99),'Tax scales - NAT 1004'!$A$39:$C$41,2,1)-VLOOKUP((TRUNC($AN373/2,0)+0.99),'Tax scales - NAT 1004'!$A$39:$C$41,3,1)),0)
*2,
0),
IF(AND($E$2="Monthly",ROUND($AN373-TRUNC($AN373),2)=0.33),
ROUND(
ROUND(((TRUNC(($AN373+0.01)*3/13,0)+0.99)*VLOOKUP((TRUNC(($AN373+0.01)*3/13,0)+0.99),'Tax scales - NAT 1004'!$A$39:$C$41,2,1)-VLOOKUP((TRUNC(($AN373+0.01)*3/13,0)+0.99),'Tax scales - NAT 1004'!$A$39:$C$41,3,1)),0)
*13/3,
0),
IF($E$2="Monthly",
ROUND(
ROUND(((TRUNC($AN373*3/13,0)+0.99)*VLOOKUP((TRUNC($AN373*3/13,0)+0.99),'Tax scales - NAT 1004'!$A$39:$C$41,2,1)-VLOOKUP((TRUNC($AN373*3/13,0)+0.99),'Tax scales - NAT 1004'!$A$39:$C$41,3,1)),0)
*13/3,
0),
""))),
""),
"")</f>
        <v/>
      </c>
      <c r="AR373" s="118" t="str">
        <f>IFERROR(
IF(AND(VLOOKUP($C373,'Employee information'!$B:$M,COLUMNS('Employee information'!$B:$M),0)=4,
VLOOKUP($C373,'Employee information'!$B:$J,COLUMNS('Employee information'!$B:$J),0)="Resident"),
TRUNC(TRUNC($AN373)*'Tax scales - NAT 1004'!$B$47),
IF(AND(VLOOKUP($C373,'Employee information'!$B:$M,COLUMNS('Employee information'!$B:$M),0)=4,
VLOOKUP($C373,'Employee information'!$B:$J,COLUMNS('Employee information'!$B:$J),0)="Foreign resident"),
TRUNC(TRUNC($AN373)*'Tax scales - NAT 1004'!$B$48),
"")),
"")</f>
        <v/>
      </c>
      <c r="AS373" s="118" t="str">
        <f>IFERROR(
IF(VLOOKUP($C373,'Employee information'!$B:$M,COLUMNS('Employee information'!$B:$M),0)=5,
IF($E$2="Fortnightly",
ROUND(
ROUND((((TRUNC($AN373/2,0)+0.99))*VLOOKUP((TRUNC($AN373/2,0)+0.99),'Tax scales - NAT 1004'!$A$53:$C$59,2,1)-VLOOKUP((TRUNC($AN373/2,0)+0.99),'Tax scales - NAT 1004'!$A$53:$C$59,3,1)),0)
*2,
0),
IF(AND($E$2="Monthly",ROUND($AN373-TRUNC($AN373),2)=0.33),
ROUND(
ROUND(((TRUNC(($AN373+0.01)*3/13,0)+0.99)*VLOOKUP((TRUNC(($AN373+0.01)*3/13,0)+0.99),'Tax scales - NAT 1004'!$A$53:$C$59,2,1)-VLOOKUP((TRUNC(($AN373+0.01)*3/13,0)+0.99),'Tax scales - NAT 1004'!$A$53:$C$59,3,1)),0)
*13/3,
0),
IF($E$2="Monthly",
ROUND(
ROUND(((TRUNC($AN373*3/13,0)+0.99)*VLOOKUP((TRUNC($AN373*3/13,0)+0.99),'Tax scales - NAT 1004'!$A$53:$C$59,2,1)-VLOOKUP((TRUNC($AN373*3/13,0)+0.99),'Tax scales - NAT 1004'!$A$53:$C$59,3,1)),0)
*13/3,
0),
""))),
""),
"")</f>
        <v/>
      </c>
      <c r="AT373" s="118" t="str">
        <f>IFERROR(
IF(VLOOKUP($C373,'Employee information'!$B:$M,COLUMNS('Employee information'!$B:$M),0)=6,
IF($E$2="Fortnightly",
ROUND(
ROUND((((TRUNC($AN373/2,0)+0.99))*VLOOKUP((TRUNC($AN373/2,0)+0.99),'Tax scales - NAT 1004'!$A$65:$C$73,2,1)-VLOOKUP((TRUNC($AN373/2,0)+0.99),'Tax scales - NAT 1004'!$A$65:$C$73,3,1)),0)
*2,
0),
IF(AND($E$2="Monthly",ROUND($AN373-TRUNC($AN373),2)=0.33),
ROUND(
ROUND(((TRUNC(($AN373+0.01)*3/13,0)+0.99)*VLOOKUP((TRUNC(($AN373+0.01)*3/13,0)+0.99),'Tax scales - NAT 1004'!$A$65:$C$73,2,1)-VLOOKUP((TRUNC(($AN373+0.01)*3/13,0)+0.99),'Tax scales - NAT 1004'!$A$65:$C$73,3,1)),0)
*13/3,
0),
IF($E$2="Monthly",
ROUND(
ROUND(((TRUNC($AN373*3/13,0)+0.99)*VLOOKUP((TRUNC($AN373*3/13,0)+0.99),'Tax scales - NAT 1004'!$A$65:$C$73,2,1)-VLOOKUP((TRUNC($AN373*3/13,0)+0.99),'Tax scales - NAT 1004'!$A$65:$C$73,3,1)),0)
*13/3,
0),
""))),
""),
"")</f>
        <v/>
      </c>
      <c r="AU373" s="118" t="str">
        <f>IFERROR(
IF(VLOOKUP($C373,'Employee information'!$B:$M,COLUMNS('Employee information'!$B:$M),0)=11,
IF($E$2="Fortnightly",
ROUND(
ROUND((((TRUNC($AN373/2,0)+0.99))*VLOOKUP((TRUNC($AN373/2,0)+0.99),'Tax scales - NAT 3539'!$A$14:$C$38,2,1)-VLOOKUP((TRUNC($AN373/2,0)+0.99),'Tax scales - NAT 3539'!$A$14:$C$38,3,1)),0)
*2,
0),
IF(AND($E$2="Monthly",ROUND($AN373-TRUNC($AN373),2)=0.33),
ROUND(
ROUND(((TRUNC(($AN373+0.01)*3/13,0)+0.99)*VLOOKUP((TRUNC(($AN373+0.01)*3/13,0)+0.99),'Tax scales - NAT 3539'!$A$14:$C$38,2,1)-VLOOKUP((TRUNC(($AN373+0.01)*3/13,0)+0.99),'Tax scales - NAT 3539'!$A$14:$C$38,3,1)),0)
*13/3,
0),
IF($E$2="Monthly",
ROUND(
ROUND(((TRUNC($AN373*3/13,0)+0.99)*VLOOKUP((TRUNC($AN373*3/13,0)+0.99),'Tax scales - NAT 3539'!$A$14:$C$38,2,1)-VLOOKUP((TRUNC($AN373*3/13,0)+0.99),'Tax scales - NAT 3539'!$A$14:$C$38,3,1)),0)
*13/3,
0),
""))),
""),
"")</f>
        <v/>
      </c>
      <c r="AV373" s="118" t="str">
        <f>IFERROR(
IF(VLOOKUP($C373,'Employee information'!$B:$M,COLUMNS('Employee information'!$B:$M),0)=22,
IF($E$2="Fortnightly",
ROUND(
ROUND((((TRUNC($AN373/2,0)+0.99))*VLOOKUP((TRUNC($AN373/2,0)+0.99),'Tax scales - NAT 3539'!$A$43:$C$69,2,1)-VLOOKUP((TRUNC($AN373/2,0)+0.99),'Tax scales - NAT 3539'!$A$43:$C$69,3,1)),0)
*2,
0),
IF(AND($E$2="Monthly",ROUND($AN373-TRUNC($AN373),2)=0.33),
ROUND(
ROUND(((TRUNC(($AN373+0.01)*3/13,0)+0.99)*VLOOKUP((TRUNC(($AN373+0.01)*3/13,0)+0.99),'Tax scales - NAT 3539'!$A$43:$C$69,2,1)-VLOOKUP((TRUNC(($AN373+0.01)*3/13,0)+0.99),'Tax scales - NAT 3539'!$A$43:$C$69,3,1)),0)
*13/3,
0),
IF($E$2="Monthly",
ROUND(
ROUND(((TRUNC($AN373*3/13,0)+0.99)*VLOOKUP((TRUNC($AN373*3/13,0)+0.99),'Tax scales - NAT 3539'!$A$43:$C$69,2,1)-VLOOKUP((TRUNC($AN373*3/13,0)+0.99),'Tax scales - NAT 3539'!$A$43:$C$69,3,1)),0)
*13/3,
0),
""))),
""),
"")</f>
        <v/>
      </c>
      <c r="AW373" s="118" t="str">
        <f>IFERROR(
IF(VLOOKUP($C373,'Employee information'!$B:$M,COLUMNS('Employee information'!$B:$M),0)=33,
IF($E$2="Fortnightly",
ROUND(
ROUND((((TRUNC($AN373/2,0)+0.99))*VLOOKUP((TRUNC($AN373/2,0)+0.99),'Tax scales - NAT 3539'!$A$74:$C$94,2,1)-VLOOKUP((TRUNC($AN373/2,0)+0.99),'Tax scales - NAT 3539'!$A$74:$C$94,3,1)),0)
*2,
0),
IF(AND($E$2="Monthly",ROUND($AN373-TRUNC($AN373),2)=0.33),
ROUND(
ROUND(((TRUNC(($AN373+0.01)*3/13,0)+0.99)*VLOOKUP((TRUNC(($AN373+0.01)*3/13,0)+0.99),'Tax scales - NAT 3539'!$A$74:$C$94,2,1)-VLOOKUP((TRUNC(($AN373+0.01)*3/13,0)+0.99),'Tax scales - NAT 3539'!$A$74:$C$94,3,1)),0)
*13/3,
0),
IF($E$2="Monthly",
ROUND(
ROUND(((TRUNC($AN373*3/13,0)+0.99)*VLOOKUP((TRUNC($AN373*3/13,0)+0.99),'Tax scales - NAT 3539'!$A$74:$C$94,2,1)-VLOOKUP((TRUNC($AN373*3/13,0)+0.99),'Tax scales - NAT 3539'!$A$74:$C$94,3,1)),0)
*13/3,
0),
""))),
""),
"")</f>
        <v/>
      </c>
      <c r="AX373" s="118" t="str">
        <f>IFERROR(
IF(VLOOKUP($C373,'Employee information'!$B:$M,COLUMNS('Employee information'!$B:$M),0)=55,
IF($E$2="Fortnightly",
ROUND(
ROUND((((TRUNC($AN373/2,0)+0.99))*VLOOKUP((TRUNC($AN373/2,0)+0.99),'Tax scales - NAT 3539'!$A$99:$C$123,2,1)-VLOOKUP((TRUNC($AN373/2,0)+0.99),'Tax scales - NAT 3539'!$A$99:$C$123,3,1)),0)
*2,
0),
IF(AND($E$2="Monthly",ROUND($AN373-TRUNC($AN373),2)=0.33),
ROUND(
ROUND(((TRUNC(($AN373+0.01)*3/13,0)+0.99)*VLOOKUP((TRUNC(($AN373+0.01)*3/13,0)+0.99),'Tax scales - NAT 3539'!$A$99:$C$123,2,1)-VLOOKUP((TRUNC(($AN373+0.01)*3/13,0)+0.99),'Tax scales - NAT 3539'!$A$99:$C$123,3,1)),0)
*13/3,
0),
IF($E$2="Monthly",
ROUND(
ROUND(((TRUNC($AN373*3/13,0)+0.99)*VLOOKUP((TRUNC($AN373*3/13,0)+0.99),'Tax scales - NAT 3539'!$A$99:$C$123,2,1)-VLOOKUP((TRUNC($AN373*3/13,0)+0.99),'Tax scales - NAT 3539'!$A$99:$C$123,3,1)),0)
*13/3,
0),
""))),
""),
"")</f>
        <v/>
      </c>
      <c r="AY373" s="118" t="str">
        <f>IFERROR(
IF(VLOOKUP($C373,'Employee information'!$B:$M,COLUMNS('Employee information'!$B:$M),0)=66,
IF($E$2="Fortnightly",
ROUND(
ROUND((((TRUNC($AN373/2,0)+0.99))*VLOOKUP((TRUNC($AN373/2,0)+0.99),'Tax scales - NAT 3539'!$A$127:$C$154,2,1)-VLOOKUP((TRUNC($AN373/2,0)+0.99),'Tax scales - NAT 3539'!$A$127:$C$154,3,1)),0)
*2,
0),
IF(AND($E$2="Monthly",ROUND($AN373-TRUNC($AN373),2)=0.33),
ROUND(
ROUND(((TRUNC(($AN373+0.01)*3/13,0)+0.99)*VLOOKUP((TRUNC(($AN373+0.01)*3/13,0)+0.99),'Tax scales - NAT 3539'!$A$127:$C$154,2,1)-VLOOKUP((TRUNC(($AN373+0.01)*3/13,0)+0.99),'Tax scales - NAT 3539'!$A$127:$C$154,3,1)),0)
*13/3,
0),
IF($E$2="Monthly",
ROUND(
ROUND(((TRUNC($AN373*3/13,0)+0.99)*VLOOKUP((TRUNC($AN373*3/13,0)+0.99),'Tax scales - NAT 3539'!$A$127:$C$154,2,1)-VLOOKUP((TRUNC($AN373*3/13,0)+0.99),'Tax scales - NAT 3539'!$A$127:$C$154,3,1)),0)
*13/3,
0),
""))),
""),
"")</f>
        <v/>
      </c>
      <c r="AZ373" s="118">
        <f>IFERROR(
HLOOKUP(VLOOKUP($C373,'Employee information'!$B:$M,COLUMNS('Employee information'!$B:$M),0),'PAYG worksheet'!$AO$358:$AY$377,COUNTA($C$359:$C373)+1,0),
0)</f>
        <v>0</v>
      </c>
      <c r="BA373" s="118"/>
      <c r="BB373" s="118">
        <f t="shared" si="387"/>
        <v>0</v>
      </c>
      <c r="BC373" s="119">
        <f>IFERROR(
IF(OR($AE373=1,$AE373=""),SUM($P373,$AA373,$AC373,$AK373)*VLOOKUP($C373,'Employee information'!$B:$Q,COLUMNS('Employee information'!$B:$H),0),
IF($AE373=0,SUM($P373,$AA373,$AK373)*VLOOKUP($C373,'Employee information'!$B:$Q,COLUMNS('Employee information'!$B:$H),0),
0)),
0)</f>
        <v>0</v>
      </c>
      <c r="BE373" s="114">
        <f t="shared" si="372"/>
        <v>0</v>
      </c>
      <c r="BF373" s="114">
        <f t="shared" si="373"/>
        <v>0</v>
      </c>
      <c r="BG373" s="114">
        <f t="shared" si="374"/>
        <v>0</v>
      </c>
      <c r="BH373" s="114">
        <f t="shared" si="375"/>
        <v>0</v>
      </c>
      <c r="BI373" s="114">
        <f t="shared" si="376"/>
        <v>0</v>
      </c>
      <c r="BJ373" s="114">
        <f t="shared" si="377"/>
        <v>0</v>
      </c>
      <c r="BK373" s="114">
        <f t="shared" si="378"/>
        <v>0</v>
      </c>
      <c r="BL373" s="114">
        <f t="shared" si="388"/>
        <v>0</v>
      </c>
      <c r="BM373" s="114">
        <f t="shared" si="379"/>
        <v>0</v>
      </c>
    </row>
    <row r="374" spans="1:65" x14ac:dyDescent="0.25">
      <c r="A374" s="228">
        <f t="shared" si="367"/>
        <v>13</v>
      </c>
      <c r="C374" s="278"/>
      <c r="E374" s="103">
        <f>IF($C374="",0,
IF(AND($E$2="Monthly",$A374&gt;12),0,
IF($E$2="Monthly",VLOOKUP($C374,'Employee information'!$B:$AM,COLUMNS('Employee information'!$B:S),0),
IF($E$2="Fortnightly",VLOOKUP($C374,'Employee information'!$B:$AM,COLUMNS('Employee information'!$B:R),0),
0))))</f>
        <v>0</v>
      </c>
      <c r="F374" s="106"/>
      <c r="G374" s="106"/>
      <c r="H374" s="106"/>
      <c r="I374" s="106"/>
      <c r="J374" s="103">
        <f t="shared" si="380"/>
        <v>0</v>
      </c>
      <c r="L374" s="113">
        <f>IF(AND($E$2="Monthly",$A374&gt;12),"",
IFERROR($J374*VLOOKUP($C374,'Employee information'!$B:$AI,COLUMNS('Employee information'!$B:$P),0),0))</f>
        <v>0</v>
      </c>
      <c r="M374" s="114">
        <f t="shared" si="381"/>
        <v>0</v>
      </c>
      <c r="O374" s="103">
        <f t="shared" si="382"/>
        <v>0</v>
      </c>
      <c r="P374" s="113">
        <f>IFERROR(
IF(AND($E$2="Monthly",$A374&gt;12),0,
$O374*VLOOKUP($C374,'Employee information'!$B:$AI,COLUMNS('Employee information'!$B:$P),0)),
0)</f>
        <v>0</v>
      </c>
      <c r="R374" s="114">
        <f t="shared" si="368"/>
        <v>0</v>
      </c>
      <c r="T374" s="103"/>
      <c r="U374" s="103"/>
      <c r="V374" s="282" t="str">
        <f>IF($C374="","",
IF(AND($E$2="Monthly",$A374&gt;12),"",
$T374*VLOOKUP($C374,'Employee information'!$B:$P,COLUMNS('Employee information'!$B:$P),0)))</f>
        <v/>
      </c>
      <c r="W374" s="282" t="str">
        <f>IF($C374="","",
IF(AND($E$2="Monthly",$A374&gt;12),"",
$U374*VLOOKUP($C374,'Employee information'!$B:$P,COLUMNS('Employee information'!$B:$P),0)))</f>
        <v/>
      </c>
      <c r="X374" s="114">
        <f t="shared" si="369"/>
        <v>0</v>
      </c>
      <c r="Y374" s="114">
        <f t="shared" si="370"/>
        <v>0</v>
      </c>
      <c r="AA374" s="118">
        <f>IFERROR(
IF(OR('Basic payroll data'!$D$12="",'Basic payroll data'!$D$12="No"),0,
$T374*VLOOKUP($C374,'Employee information'!$B:$P,COLUMNS('Employee information'!$B:$P),0)*AL_loading_perc),
0)</f>
        <v>0</v>
      </c>
      <c r="AC374" s="118"/>
      <c r="AD374" s="118"/>
      <c r="AE374" s="283" t="str">
        <f t="shared" si="383"/>
        <v/>
      </c>
      <c r="AF374" s="283" t="str">
        <f t="shared" si="384"/>
        <v/>
      </c>
      <c r="AG374" s="118"/>
      <c r="AH374" s="118"/>
      <c r="AI374" s="283" t="str">
        <f t="shared" si="385"/>
        <v/>
      </c>
      <c r="AJ374" s="118"/>
      <c r="AK374" s="118"/>
      <c r="AM374" s="118">
        <f t="shared" si="386"/>
        <v>0</v>
      </c>
      <c r="AN374" s="118">
        <f t="shared" si="371"/>
        <v>0</v>
      </c>
      <c r="AO374" s="118" t="str">
        <f>IFERROR(
IF(VLOOKUP($C374,'Employee information'!$B:$M,COLUMNS('Employee information'!$B:$M),0)=1,
IF($E$2="Fortnightly",
ROUND(
ROUND((((TRUNC($AN374/2,0)+0.99))*VLOOKUP((TRUNC($AN374/2,0)+0.99),'Tax scales - NAT 1004'!$A$12:$C$18,2,1)-VLOOKUP((TRUNC($AN374/2,0)+0.99),'Tax scales - NAT 1004'!$A$12:$C$18,3,1)),0)
*2,
0),
IF(AND($E$2="Monthly",ROUND($AN374-TRUNC($AN374),2)=0.33),
ROUND(
ROUND(((TRUNC(($AN374+0.01)*3/13,0)+0.99)*VLOOKUP((TRUNC(($AN374+0.01)*3/13,0)+0.99),'Tax scales - NAT 1004'!$A$12:$C$18,2,1)-VLOOKUP((TRUNC(($AN374+0.01)*3/13,0)+0.99),'Tax scales - NAT 1004'!$A$12:$C$18,3,1)),0)
*13/3,
0),
IF($E$2="Monthly",
ROUND(
ROUND(((TRUNC($AN374*3/13,0)+0.99)*VLOOKUP((TRUNC($AN374*3/13,0)+0.99),'Tax scales - NAT 1004'!$A$12:$C$18,2,1)-VLOOKUP((TRUNC($AN374*3/13,0)+0.99),'Tax scales - NAT 1004'!$A$12:$C$18,3,1)),0)
*13/3,
0),
""))),
""),
"")</f>
        <v/>
      </c>
      <c r="AP374" s="118" t="str">
        <f>IFERROR(
IF(VLOOKUP($C374,'Employee information'!$B:$M,COLUMNS('Employee information'!$B:$M),0)=2,
IF($E$2="Fortnightly",
ROUND(
ROUND((((TRUNC($AN374/2,0)+0.99))*VLOOKUP((TRUNC($AN374/2,0)+0.99),'Tax scales - NAT 1004'!$A$25:$C$33,2,1)-VLOOKUP((TRUNC($AN374/2,0)+0.99),'Tax scales - NAT 1004'!$A$25:$C$33,3,1)),0)
*2,
0),
IF(AND($E$2="Monthly",ROUND($AN374-TRUNC($AN374),2)=0.33),
ROUND(
ROUND(((TRUNC(($AN374+0.01)*3/13,0)+0.99)*VLOOKUP((TRUNC(($AN374+0.01)*3/13,0)+0.99),'Tax scales - NAT 1004'!$A$25:$C$33,2,1)-VLOOKUP((TRUNC(($AN374+0.01)*3/13,0)+0.99),'Tax scales - NAT 1004'!$A$25:$C$33,3,1)),0)
*13/3,
0),
IF($E$2="Monthly",
ROUND(
ROUND(((TRUNC($AN374*3/13,0)+0.99)*VLOOKUP((TRUNC($AN374*3/13,0)+0.99),'Tax scales - NAT 1004'!$A$25:$C$33,2,1)-VLOOKUP((TRUNC($AN374*3/13,0)+0.99),'Tax scales - NAT 1004'!$A$25:$C$33,3,1)),0)
*13/3,
0),
""))),
""),
"")</f>
        <v/>
      </c>
      <c r="AQ374" s="118" t="str">
        <f>IFERROR(
IF(VLOOKUP($C374,'Employee information'!$B:$M,COLUMNS('Employee information'!$B:$M),0)=3,
IF($E$2="Fortnightly",
ROUND(
ROUND((((TRUNC($AN374/2,0)+0.99))*VLOOKUP((TRUNC($AN374/2,0)+0.99),'Tax scales - NAT 1004'!$A$39:$C$41,2,1)-VLOOKUP((TRUNC($AN374/2,0)+0.99),'Tax scales - NAT 1004'!$A$39:$C$41,3,1)),0)
*2,
0),
IF(AND($E$2="Monthly",ROUND($AN374-TRUNC($AN374),2)=0.33),
ROUND(
ROUND(((TRUNC(($AN374+0.01)*3/13,0)+0.99)*VLOOKUP((TRUNC(($AN374+0.01)*3/13,0)+0.99),'Tax scales - NAT 1004'!$A$39:$C$41,2,1)-VLOOKUP((TRUNC(($AN374+0.01)*3/13,0)+0.99),'Tax scales - NAT 1004'!$A$39:$C$41,3,1)),0)
*13/3,
0),
IF($E$2="Monthly",
ROUND(
ROUND(((TRUNC($AN374*3/13,0)+0.99)*VLOOKUP((TRUNC($AN374*3/13,0)+0.99),'Tax scales - NAT 1004'!$A$39:$C$41,2,1)-VLOOKUP((TRUNC($AN374*3/13,0)+0.99),'Tax scales - NAT 1004'!$A$39:$C$41,3,1)),0)
*13/3,
0),
""))),
""),
"")</f>
        <v/>
      </c>
      <c r="AR374" s="118" t="str">
        <f>IFERROR(
IF(AND(VLOOKUP($C374,'Employee information'!$B:$M,COLUMNS('Employee information'!$B:$M),0)=4,
VLOOKUP($C374,'Employee information'!$B:$J,COLUMNS('Employee information'!$B:$J),0)="Resident"),
TRUNC(TRUNC($AN374)*'Tax scales - NAT 1004'!$B$47),
IF(AND(VLOOKUP($C374,'Employee information'!$B:$M,COLUMNS('Employee information'!$B:$M),0)=4,
VLOOKUP($C374,'Employee information'!$B:$J,COLUMNS('Employee information'!$B:$J),0)="Foreign resident"),
TRUNC(TRUNC($AN374)*'Tax scales - NAT 1004'!$B$48),
"")),
"")</f>
        <v/>
      </c>
      <c r="AS374" s="118" t="str">
        <f>IFERROR(
IF(VLOOKUP($C374,'Employee information'!$B:$M,COLUMNS('Employee information'!$B:$M),0)=5,
IF($E$2="Fortnightly",
ROUND(
ROUND((((TRUNC($AN374/2,0)+0.99))*VLOOKUP((TRUNC($AN374/2,0)+0.99),'Tax scales - NAT 1004'!$A$53:$C$59,2,1)-VLOOKUP((TRUNC($AN374/2,0)+0.99),'Tax scales - NAT 1004'!$A$53:$C$59,3,1)),0)
*2,
0),
IF(AND($E$2="Monthly",ROUND($AN374-TRUNC($AN374),2)=0.33),
ROUND(
ROUND(((TRUNC(($AN374+0.01)*3/13,0)+0.99)*VLOOKUP((TRUNC(($AN374+0.01)*3/13,0)+0.99),'Tax scales - NAT 1004'!$A$53:$C$59,2,1)-VLOOKUP((TRUNC(($AN374+0.01)*3/13,0)+0.99),'Tax scales - NAT 1004'!$A$53:$C$59,3,1)),0)
*13/3,
0),
IF($E$2="Monthly",
ROUND(
ROUND(((TRUNC($AN374*3/13,0)+0.99)*VLOOKUP((TRUNC($AN374*3/13,0)+0.99),'Tax scales - NAT 1004'!$A$53:$C$59,2,1)-VLOOKUP((TRUNC($AN374*3/13,0)+0.99),'Tax scales - NAT 1004'!$A$53:$C$59,3,1)),0)
*13/3,
0),
""))),
""),
"")</f>
        <v/>
      </c>
      <c r="AT374" s="118" t="str">
        <f>IFERROR(
IF(VLOOKUP($C374,'Employee information'!$B:$M,COLUMNS('Employee information'!$B:$M),0)=6,
IF($E$2="Fortnightly",
ROUND(
ROUND((((TRUNC($AN374/2,0)+0.99))*VLOOKUP((TRUNC($AN374/2,0)+0.99),'Tax scales - NAT 1004'!$A$65:$C$73,2,1)-VLOOKUP((TRUNC($AN374/2,0)+0.99),'Tax scales - NAT 1004'!$A$65:$C$73,3,1)),0)
*2,
0),
IF(AND($E$2="Monthly",ROUND($AN374-TRUNC($AN374),2)=0.33),
ROUND(
ROUND(((TRUNC(($AN374+0.01)*3/13,0)+0.99)*VLOOKUP((TRUNC(($AN374+0.01)*3/13,0)+0.99),'Tax scales - NAT 1004'!$A$65:$C$73,2,1)-VLOOKUP((TRUNC(($AN374+0.01)*3/13,0)+0.99),'Tax scales - NAT 1004'!$A$65:$C$73,3,1)),0)
*13/3,
0),
IF($E$2="Monthly",
ROUND(
ROUND(((TRUNC($AN374*3/13,0)+0.99)*VLOOKUP((TRUNC($AN374*3/13,0)+0.99),'Tax scales - NAT 1004'!$A$65:$C$73,2,1)-VLOOKUP((TRUNC($AN374*3/13,0)+0.99),'Tax scales - NAT 1004'!$A$65:$C$73,3,1)),0)
*13/3,
0),
""))),
""),
"")</f>
        <v/>
      </c>
      <c r="AU374" s="118" t="str">
        <f>IFERROR(
IF(VLOOKUP($C374,'Employee information'!$B:$M,COLUMNS('Employee information'!$B:$M),0)=11,
IF($E$2="Fortnightly",
ROUND(
ROUND((((TRUNC($AN374/2,0)+0.99))*VLOOKUP((TRUNC($AN374/2,0)+0.99),'Tax scales - NAT 3539'!$A$14:$C$38,2,1)-VLOOKUP((TRUNC($AN374/2,0)+0.99),'Tax scales - NAT 3539'!$A$14:$C$38,3,1)),0)
*2,
0),
IF(AND($E$2="Monthly",ROUND($AN374-TRUNC($AN374),2)=0.33),
ROUND(
ROUND(((TRUNC(($AN374+0.01)*3/13,0)+0.99)*VLOOKUP((TRUNC(($AN374+0.01)*3/13,0)+0.99),'Tax scales - NAT 3539'!$A$14:$C$38,2,1)-VLOOKUP((TRUNC(($AN374+0.01)*3/13,0)+0.99),'Tax scales - NAT 3539'!$A$14:$C$38,3,1)),0)
*13/3,
0),
IF($E$2="Monthly",
ROUND(
ROUND(((TRUNC($AN374*3/13,0)+0.99)*VLOOKUP((TRUNC($AN374*3/13,0)+0.99),'Tax scales - NAT 3539'!$A$14:$C$38,2,1)-VLOOKUP((TRUNC($AN374*3/13,0)+0.99),'Tax scales - NAT 3539'!$A$14:$C$38,3,1)),0)
*13/3,
0),
""))),
""),
"")</f>
        <v/>
      </c>
      <c r="AV374" s="118" t="str">
        <f>IFERROR(
IF(VLOOKUP($C374,'Employee information'!$B:$M,COLUMNS('Employee information'!$B:$M),0)=22,
IF($E$2="Fortnightly",
ROUND(
ROUND((((TRUNC($AN374/2,0)+0.99))*VLOOKUP((TRUNC($AN374/2,0)+0.99),'Tax scales - NAT 3539'!$A$43:$C$69,2,1)-VLOOKUP((TRUNC($AN374/2,0)+0.99),'Tax scales - NAT 3539'!$A$43:$C$69,3,1)),0)
*2,
0),
IF(AND($E$2="Monthly",ROUND($AN374-TRUNC($AN374),2)=0.33),
ROUND(
ROUND(((TRUNC(($AN374+0.01)*3/13,0)+0.99)*VLOOKUP((TRUNC(($AN374+0.01)*3/13,0)+0.99),'Tax scales - NAT 3539'!$A$43:$C$69,2,1)-VLOOKUP((TRUNC(($AN374+0.01)*3/13,0)+0.99),'Tax scales - NAT 3539'!$A$43:$C$69,3,1)),0)
*13/3,
0),
IF($E$2="Monthly",
ROUND(
ROUND(((TRUNC($AN374*3/13,0)+0.99)*VLOOKUP((TRUNC($AN374*3/13,0)+0.99),'Tax scales - NAT 3539'!$A$43:$C$69,2,1)-VLOOKUP((TRUNC($AN374*3/13,0)+0.99),'Tax scales - NAT 3539'!$A$43:$C$69,3,1)),0)
*13/3,
0),
""))),
""),
"")</f>
        <v/>
      </c>
      <c r="AW374" s="118" t="str">
        <f>IFERROR(
IF(VLOOKUP($C374,'Employee information'!$B:$M,COLUMNS('Employee information'!$B:$M),0)=33,
IF($E$2="Fortnightly",
ROUND(
ROUND((((TRUNC($AN374/2,0)+0.99))*VLOOKUP((TRUNC($AN374/2,0)+0.99),'Tax scales - NAT 3539'!$A$74:$C$94,2,1)-VLOOKUP((TRUNC($AN374/2,0)+0.99),'Tax scales - NAT 3539'!$A$74:$C$94,3,1)),0)
*2,
0),
IF(AND($E$2="Monthly",ROUND($AN374-TRUNC($AN374),2)=0.33),
ROUND(
ROUND(((TRUNC(($AN374+0.01)*3/13,0)+0.99)*VLOOKUP((TRUNC(($AN374+0.01)*3/13,0)+0.99),'Tax scales - NAT 3539'!$A$74:$C$94,2,1)-VLOOKUP((TRUNC(($AN374+0.01)*3/13,0)+0.99),'Tax scales - NAT 3539'!$A$74:$C$94,3,1)),0)
*13/3,
0),
IF($E$2="Monthly",
ROUND(
ROUND(((TRUNC($AN374*3/13,0)+0.99)*VLOOKUP((TRUNC($AN374*3/13,0)+0.99),'Tax scales - NAT 3539'!$A$74:$C$94,2,1)-VLOOKUP((TRUNC($AN374*3/13,0)+0.99),'Tax scales - NAT 3539'!$A$74:$C$94,3,1)),0)
*13/3,
0),
""))),
""),
"")</f>
        <v/>
      </c>
      <c r="AX374" s="118" t="str">
        <f>IFERROR(
IF(VLOOKUP($C374,'Employee information'!$B:$M,COLUMNS('Employee information'!$B:$M),0)=55,
IF($E$2="Fortnightly",
ROUND(
ROUND((((TRUNC($AN374/2,0)+0.99))*VLOOKUP((TRUNC($AN374/2,0)+0.99),'Tax scales - NAT 3539'!$A$99:$C$123,2,1)-VLOOKUP((TRUNC($AN374/2,0)+0.99),'Tax scales - NAT 3539'!$A$99:$C$123,3,1)),0)
*2,
0),
IF(AND($E$2="Monthly",ROUND($AN374-TRUNC($AN374),2)=0.33),
ROUND(
ROUND(((TRUNC(($AN374+0.01)*3/13,0)+0.99)*VLOOKUP((TRUNC(($AN374+0.01)*3/13,0)+0.99),'Tax scales - NAT 3539'!$A$99:$C$123,2,1)-VLOOKUP((TRUNC(($AN374+0.01)*3/13,0)+0.99),'Tax scales - NAT 3539'!$A$99:$C$123,3,1)),0)
*13/3,
0),
IF($E$2="Monthly",
ROUND(
ROUND(((TRUNC($AN374*3/13,0)+0.99)*VLOOKUP((TRUNC($AN374*3/13,0)+0.99),'Tax scales - NAT 3539'!$A$99:$C$123,2,1)-VLOOKUP((TRUNC($AN374*3/13,0)+0.99),'Tax scales - NAT 3539'!$A$99:$C$123,3,1)),0)
*13/3,
0),
""))),
""),
"")</f>
        <v/>
      </c>
      <c r="AY374" s="118" t="str">
        <f>IFERROR(
IF(VLOOKUP($C374,'Employee information'!$B:$M,COLUMNS('Employee information'!$B:$M),0)=66,
IF($E$2="Fortnightly",
ROUND(
ROUND((((TRUNC($AN374/2,0)+0.99))*VLOOKUP((TRUNC($AN374/2,0)+0.99),'Tax scales - NAT 3539'!$A$127:$C$154,2,1)-VLOOKUP((TRUNC($AN374/2,0)+0.99),'Tax scales - NAT 3539'!$A$127:$C$154,3,1)),0)
*2,
0),
IF(AND($E$2="Monthly",ROUND($AN374-TRUNC($AN374),2)=0.33),
ROUND(
ROUND(((TRUNC(($AN374+0.01)*3/13,0)+0.99)*VLOOKUP((TRUNC(($AN374+0.01)*3/13,0)+0.99),'Tax scales - NAT 3539'!$A$127:$C$154,2,1)-VLOOKUP((TRUNC(($AN374+0.01)*3/13,0)+0.99),'Tax scales - NAT 3539'!$A$127:$C$154,3,1)),0)
*13/3,
0),
IF($E$2="Monthly",
ROUND(
ROUND(((TRUNC($AN374*3/13,0)+0.99)*VLOOKUP((TRUNC($AN374*3/13,0)+0.99),'Tax scales - NAT 3539'!$A$127:$C$154,2,1)-VLOOKUP((TRUNC($AN374*3/13,0)+0.99),'Tax scales - NAT 3539'!$A$127:$C$154,3,1)),0)
*13/3,
0),
""))),
""),
"")</f>
        <v/>
      </c>
      <c r="AZ374" s="118">
        <f>IFERROR(
HLOOKUP(VLOOKUP($C374,'Employee information'!$B:$M,COLUMNS('Employee information'!$B:$M),0),'PAYG worksheet'!$AO$358:$AY$377,COUNTA($C$359:$C374)+1,0),
0)</f>
        <v>0</v>
      </c>
      <c r="BA374" s="118"/>
      <c r="BB374" s="118">
        <f t="shared" si="387"/>
        <v>0</v>
      </c>
      <c r="BC374" s="119">
        <f>IFERROR(
IF(OR($AE374=1,$AE374=""),SUM($P374,$AA374,$AC374,$AK374)*VLOOKUP($C374,'Employee information'!$B:$Q,COLUMNS('Employee information'!$B:$H),0),
IF($AE374=0,SUM($P374,$AA374,$AK374)*VLOOKUP($C374,'Employee information'!$B:$Q,COLUMNS('Employee information'!$B:$H),0),
0)),
0)</f>
        <v>0</v>
      </c>
      <c r="BE374" s="114">
        <f t="shared" si="372"/>
        <v>0</v>
      </c>
      <c r="BF374" s="114">
        <f t="shared" si="373"/>
        <v>0</v>
      </c>
      <c r="BG374" s="114">
        <f t="shared" si="374"/>
        <v>0</v>
      </c>
      <c r="BH374" s="114">
        <f t="shared" si="375"/>
        <v>0</v>
      </c>
      <c r="BI374" s="114">
        <f t="shared" si="376"/>
        <v>0</v>
      </c>
      <c r="BJ374" s="114">
        <f t="shared" si="377"/>
        <v>0</v>
      </c>
      <c r="BK374" s="114">
        <f t="shared" si="378"/>
        <v>0</v>
      </c>
      <c r="BL374" s="114">
        <f t="shared" si="388"/>
        <v>0</v>
      </c>
      <c r="BM374" s="114">
        <f t="shared" si="379"/>
        <v>0</v>
      </c>
    </row>
    <row r="375" spans="1:65" x14ac:dyDescent="0.25">
      <c r="A375" s="228">
        <f t="shared" si="367"/>
        <v>13</v>
      </c>
      <c r="C375" s="278"/>
      <c r="E375" s="103">
        <f>IF($C375="",0,
IF(AND($E$2="Monthly",$A375&gt;12),0,
IF($E$2="Monthly",VLOOKUP($C375,'Employee information'!$B:$AM,COLUMNS('Employee information'!$B:S),0),
IF($E$2="Fortnightly",VLOOKUP($C375,'Employee information'!$B:$AM,COLUMNS('Employee information'!$B:R),0),
0))))</f>
        <v>0</v>
      </c>
      <c r="F375" s="106"/>
      <c r="G375" s="106"/>
      <c r="H375" s="106"/>
      <c r="I375" s="106"/>
      <c r="J375" s="103">
        <f t="shared" si="380"/>
        <v>0</v>
      </c>
      <c r="L375" s="113">
        <f>IF(AND($E$2="Monthly",$A375&gt;12),"",
IFERROR($J375*VLOOKUP($C375,'Employee information'!$B:$AI,COLUMNS('Employee information'!$B:$P),0),0))</f>
        <v>0</v>
      </c>
      <c r="M375" s="114">
        <f t="shared" si="381"/>
        <v>0</v>
      </c>
      <c r="O375" s="103">
        <f t="shared" si="382"/>
        <v>0</v>
      </c>
      <c r="P375" s="113">
        <f>IFERROR(
IF(AND($E$2="Monthly",$A375&gt;12),0,
$O375*VLOOKUP($C375,'Employee information'!$B:$AI,COLUMNS('Employee information'!$B:$P),0)),
0)</f>
        <v>0</v>
      </c>
      <c r="R375" s="114">
        <f t="shared" si="368"/>
        <v>0</v>
      </c>
      <c r="T375" s="103"/>
      <c r="U375" s="103"/>
      <c r="V375" s="282" t="str">
        <f>IF($C375="","",
IF(AND($E$2="Monthly",$A375&gt;12),"",
$T375*VLOOKUP($C375,'Employee information'!$B:$P,COLUMNS('Employee information'!$B:$P),0)))</f>
        <v/>
      </c>
      <c r="W375" s="282" t="str">
        <f>IF($C375="","",
IF(AND($E$2="Monthly",$A375&gt;12),"",
$U375*VLOOKUP($C375,'Employee information'!$B:$P,COLUMNS('Employee information'!$B:$P),0)))</f>
        <v/>
      </c>
      <c r="X375" s="114">
        <f t="shared" si="369"/>
        <v>0</v>
      </c>
      <c r="Y375" s="114">
        <f t="shared" si="370"/>
        <v>0</v>
      </c>
      <c r="AA375" s="118">
        <f>IFERROR(
IF(OR('Basic payroll data'!$D$12="",'Basic payroll data'!$D$12="No"),0,
$T375*VLOOKUP($C375,'Employee information'!$B:$P,COLUMNS('Employee information'!$B:$P),0)*AL_loading_perc),
0)</f>
        <v>0</v>
      </c>
      <c r="AC375" s="118"/>
      <c r="AD375" s="118"/>
      <c r="AE375" s="283" t="str">
        <f t="shared" si="383"/>
        <v/>
      </c>
      <c r="AF375" s="283" t="str">
        <f t="shared" si="384"/>
        <v/>
      </c>
      <c r="AG375" s="118"/>
      <c r="AH375" s="118"/>
      <c r="AI375" s="283" t="str">
        <f t="shared" si="385"/>
        <v/>
      </c>
      <c r="AJ375" s="118"/>
      <c r="AK375" s="118"/>
      <c r="AM375" s="118">
        <f t="shared" si="386"/>
        <v>0</v>
      </c>
      <c r="AN375" s="118">
        <f t="shared" si="371"/>
        <v>0</v>
      </c>
      <c r="AO375" s="118" t="str">
        <f>IFERROR(
IF(VLOOKUP($C375,'Employee information'!$B:$M,COLUMNS('Employee information'!$B:$M),0)=1,
IF($E$2="Fortnightly",
ROUND(
ROUND((((TRUNC($AN375/2,0)+0.99))*VLOOKUP((TRUNC($AN375/2,0)+0.99),'Tax scales - NAT 1004'!$A$12:$C$18,2,1)-VLOOKUP((TRUNC($AN375/2,0)+0.99),'Tax scales - NAT 1004'!$A$12:$C$18,3,1)),0)
*2,
0),
IF(AND($E$2="Monthly",ROUND($AN375-TRUNC($AN375),2)=0.33),
ROUND(
ROUND(((TRUNC(($AN375+0.01)*3/13,0)+0.99)*VLOOKUP((TRUNC(($AN375+0.01)*3/13,0)+0.99),'Tax scales - NAT 1004'!$A$12:$C$18,2,1)-VLOOKUP((TRUNC(($AN375+0.01)*3/13,0)+0.99),'Tax scales - NAT 1004'!$A$12:$C$18,3,1)),0)
*13/3,
0),
IF($E$2="Monthly",
ROUND(
ROUND(((TRUNC($AN375*3/13,0)+0.99)*VLOOKUP((TRUNC($AN375*3/13,0)+0.99),'Tax scales - NAT 1004'!$A$12:$C$18,2,1)-VLOOKUP((TRUNC($AN375*3/13,0)+0.99),'Tax scales - NAT 1004'!$A$12:$C$18,3,1)),0)
*13/3,
0),
""))),
""),
"")</f>
        <v/>
      </c>
      <c r="AP375" s="118" t="str">
        <f>IFERROR(
IF(VLOOKUP($C375,'Employee information'!$B:$M,COLUMNS('Employee information'!$B:$M),0)=2,
IF($E$2="Fortnightly",
ROUND(
ROUND((((TRUNC($AN375/2,0)+0.99))*VLOOKUP((TRUNC($AN375/2,0)+0.99),'Tax scales - NAT 1004'!$A$25:$C$33,2,1)-VLOOKUP((TRUNC($AN375/2,0)+0.99),'Tax scales - NAT 1004'!$A$25:$C$33,3,1)),0)
*2,
0),
IF(AND($E$2="Monthly",ROUND($AN375-TRUNC($AN375),2)=0.33),
ROUND(
ROUND(((TRUNC(($AN375+0.01)*3/13,0)+0.99)*VLOOKUP((TRUNC(($AN375+0.01)*3/13,0)+0.99),'Tax scales - NAT 1004'!$A$25:$C$33,2,1)-VLOOKUP((TRUNC(($AN375+0.01)*3/13,0)+0.99),'Tax scales - NAT 1004'!$A$25:$C$33,3,1)),0)
*13/3,
0),
IF($E$2="Monthly",
ROUND(
ROUND(((TRUNC($AN375*3/13,0)+0.99)*VLOOKUP((TRUNC($AN375*3/13,0)+0.99),'Tax scales - NAT 1004'!$A$25:$C$33,2,1)-VLOOKUP((TRUNC($AN375*3/13,0)+0.99),'Tax scales - NAT 1004'!$A$25:$C$33,3,1)),0)
*13/3,
0),
""))),
""),
"")</f>
        <v/>
      </c>
      <c r="AQ375" s="118" t="str">
        <f>IFERROR(
IF(VLOOKUP($C375,'Employee information'!$B:$M,COLUMNS('Employee information'!$B:$M),0)=3,
IF($E$2="Fortnightly",
ROUND(
ROUND((((TRUNC($AN375/2,0)+0.99))*VLOOKUP((TRUNC($AN375/2,0)+0.99),'Tax scales - NAT 1004'!$A$39:$C$41,2,1)-VLOOKUP((TRUNC($AN375/2,0)+0.99),'Tax scales - NAT 1004'!$A$39:$C$41,3,1)),0)
*2,
0),
IF(AND($E$2="Monthly",ROUND($AN375-TRUNC($AN375),2)=0.33),
ROUND(
ROUND(((TRUNC(($AN375+0.01)*3/13,0)+0.99)*VLOOKUP((TRUNC(($AN375+0.01)*3/13,0)+0.99),'Tax scales - NAT 1004'!$A$39:$C$41,2,1)-VLOOKUP((TRUNC(($AN375+0.01)*3/13,0)+0.99),'Tax scales - NAT 1004'!$A$39:$C$41,3,1)),0)
*13/3,
0),
IF($E$2="Monthly",
ROUND(
ROUND(((TRUNC($AN375*3/13,0)+0.99)*VLOOKUP((TRUNC($AN375*3/13,0)+0.99),'Tax scales - NAT 1004'!$A$39:$C$41,2,1)-VLOOKUP((TRUNC($AN375*3/13,0)+0.99),'Tax scales - NAT 1004'!$A$39:$C$41,3,1)),0)
*13/3,
0),
""))),
""),
"")</f>
        <v/>
      </c>
      <c r="AR375" s="118" t="str">
        <f>IFERROR(
IF(AND(VLOOKUP($C375,'Employee information'!$B:$M,COLUMNS('Employee information'!$B:$M),0)=4,
VLOOKUP($C375,'Employee information'!$B:$J,COLUMNS('Employee information'!$B:$J),0)="Resident"),
TRUNC(TRUNC($AN375)*'Tax scales - NAT 1004'!$B$47),
IF(AND(VLOOKUP($C375,'Employee information'!$B:$M,COLUMNS('Employee information'!$B:$M),0)=4,
VLOOKUP($C375,'Employee information'!$B:$J,COLUMNS('Employee information'!$B:$J),0)="Foreign resident"),
TRUNC(TRUNC($AN375)*'Tax scales - NAT 1004'!$B$48),
"")),
"")</f>
        <v/>
      </c>
      <c r="AS375" s="118" t="str">
        <f>IFERROR(
IF(VLOOKUP($C375,'Employee information'!$B:$M,COLUMNS('Employee information'!$B:$M),0)=5,
IF($E$2="Fortnightly",
ROUND(
ROUND((((TRUNC($AN375/2,0)+0.99))*VLOOKUP((TRUNC($AN375/2,0)+0.99),'Tax scales - NAT 1004'!$A$53:$C$59,2,1)-VLOOKUP((TRUNC($AN375/2,0)+0.99),'Tax scales - NAT 1004'!$A$53:$C$59,3,1)),0)
*2,
0),
IF(AND($E$2="Monthly",ROUND($AN375-TRUNC($AN375),2)=0.33),
ROUND(
ROUND(((TRUNC(($AN375+0.01)*3/13,0)+0.99)*VLOOKUP((TRUNC(($AN375+0.01)*3/13,0)+0.99),'Tax scales - NAT 1004'!$A$53:$C$59,2,1)-VLOOKUP((TRUNC(($AN375+0.01)*3/13,0)+0.99),'Tax scales - NAT 1004'!$A$53:$C$59,3,1)),0)
*13/3,
0),
IF($E$2="Monthly",
ROUND(
ROUND(((TRUNC($AN375*3/13,0)+0.99)*VLOOKUP((TRUNC($AN375*3/13,0)+0.99),'Tax scales - NAT 1004'!$A$53:$C$59,2,1)-VLOOKUP((TRUNC($AN375*3/13,0)+0.99),'Tax scales - NAT 1004'!$A$53:$C$59,3,1)),0)
*13/3,
0),
""))),
""),
"")</f>
        <v/>
      </c>
      <c r="AT375" s="118" t="str">
        <f>IFERROR(
IF(VLOOKUP($C375,'Employee information'!$B:$M,COLUMNS('Employee information'!$B:$M),0)=6,
IF($E$2="Fortnightly",
ROUND(
ROUND((((TRUNC($AN375/2,0)+0.99))*VLOOKUP((TRUNC($AN375/2,0)+0.99),'Tax scales - NAT 1004'!$A$65:$C$73,2,1)-VLOOKUP((TRUNC($AN375/2,0)+0.99),'Tax scales - NAT 1004'!$A$65:$C$73,3,1)),0)
*2,
0),
IF(AND($E$2="Monthly",ROUND($AN375-TRUNC($AN375),2)=0.33),
ROUND(
ROUND(((TRUNC(($AN375+0.01)*3/13,0)+0.99)*VLOOKUP((TRUNC(($AN375+0.01)*3/13,0)+0.99),'Tax scales - NAT 1004'!$A$65:$C$73,2,1)-VLOOKUP((TRUNC(($AN375+0.01)*3/13,0)+0.99),'Tax scales - NAT 1004'!$A$65:$C$73,3,1)),0)
*13/3,
0),
IF($E$2="Monthly",
ROUND(
ROUND(((TRUNC($AN375*3/13,0)+0.99)*VLOOKUP((TRUNC($AN375*3/13,0)+0.99),'Tax scales - NAT 1004'!$A$65:$C$73,2,1)-VLOOKUP((TRUNC($AN375*3/13,0)+0.99),'Tax scales - NAT 1004'!$A$65:$C$73,3,1)),0)
*13/3,
0),
""))),
""),
"")</f>
        <v/>
      </c>
      <c r="AU375" s="118" t="str">
        <f>IFERROR(
IF(VLOOKUP($C375,'Employee information'!$B:$M,COLUMNS('Employee information'!$B:$M),0)=11,
IF($E$2="Fortnightly",
ROUND(
ROUND((((TRUNC($AN375/2,0)+0.99))*VLOOKUP((TRUNC($AN375/2,0)+0.99),'Tax scales - NAT 3539'!$A$14:$C$38,2,1)-VLOOKUP((TRUNC($AN375/2,0)+0.99),'Tax scales - NAT 3539'!$A$14:$C$38,3,1)),0)
*2,
0),
IF(AND($E$2="Monthly",ROUND($AN375-TRUNC($AN375),2)=0.33),
ROUND(
ROUND(((TRUNC(($AN375+0.01)*3/13,0)+0.99)*VLOOKUP((TRUNC(($AN375+0.01)*3/13,0)+0.99),'Tax scales - NAT 3539'!$A$14:$C$38,2,1)-VLOOKUP((TRUNC(($AN375+0.01)*3/13,0)+0.99),'Tax scales - NAT 3539'!$A$14:$C$38,3,1)),0)
*13/3,
0),
IF($E$2="Monthly",
ROUND(
ROUND(((TRUNC($AN375*3/13,0)+0.99)*VLOOKUP((TRUNC($AN375*3/13,0)+0.99),'Tax scales - NAT 3539'!$A$14:$C$38,2,1)-VLOOKUP((TRUNC($AN375*3/13,0)+0.99),'Tax scales - NAT 3539'!$A$14:$C$38,3,1)),0)
*13/3,
0),
""))),
""),
"")</f>
        <v/>
      </c>
      <c r="AV375" s="118" t="str">
        <f>IFERROR(
IF(VLOOKUP($C375,'Employee information'!$B:$M,COLUMNS('Employee information'!$B:$M),0)=22,
IF($E$2="Fortnightly",
ROUND(
ROUND((((TRUNC($AN375/2,0)+0.99))*VLOOKUP((TRUNC($AN375/2,0)+0.99),'Tax scales - NAT 3539'!$A$43:$C$69,2,1)-VLOOKUP((TRUNC($AN375/2,0)+0.99),'Tax scales - NAT 3539'!$A$43:$C$69,3,1)),0)
*2,
0),
IF(AND($E$2="Monthly",ROUND($AN375-TRUNC($AN375),2)=0.33),
ROUND(
ROUND(((TRUNC(($AN375+0.01)*3/13,0)+0.99)*VLOOKUP((TRUNC(($AN375+0.01)*3/13,0)+0.99),'Tax scales - NAT 3539'!$A$43:$C$69,2,1)-VLOOKUP((TRUNC(($AN375+0.01)*3/13,0)+0.99),'Tax scales - NAT 3539'!$A$43:$C$69,3,1)),0)
*13/3,
0),
IF($E$2="Monthly",
ROUND(
ROUND(((TRUNC($AN375*3/13,0)+0.99)*VLOOKUP((TRUNC($AN375*3/13,0)+0.99),'Tax scales - NAT 3539'!$A$43:$C$69,2,1)-VLOOKUP((TRUNC($AN375*3/13,0)+0.99),'Tax scales - NAT 3539'!$A$43:$C$69,3,1)),0)
*13/3,
0),
""))),
""),
"")</f>
        <v/>
      </c>
      <c r="AW375" s="118" t="str">
        <f>IFERROR(
IF(VLOOKUP($C375,'Employee information'!$B:$M,COLUMNS('Employee information'!$B:$M),0)=33,
IF($E$2="Fortnightly",
ROUND(
ROUND((((TRUNC($AN375/2,0)+0.99))*VLOOKUP((TRUNC($AN375/2,0)+0.99),'Tax scales - NAT 3539'!$A$74:$C$94,2,1)-VLOOKUP((TRUNC($AN375/2,0)+0.99),'Tax scales - NAT 3539'!$A$74:$C$94,3,1)),0)
*2,
0),
IF(AND($E$2="Monthly",ROUND($AN375-TRUNC($AN375),2)=0.33),
ROUND(
ROUND(((TRUNC(($AN375+0.01)*3/13,0)+0.99)*VLOOKUP((TRUNC(($AN375+0.01)*3/13,0)+0.99),'Tax scales - NAT 3539'!$A$74:$C$94,2,1)-VLOOKUP((TRUNC(($AN375+0.01)*3/13,0)+0.99),'Tax scales - NAT 3539'!$A$74:$C$94,3,1)),0)
*13/3,
0),
IF($E$2="Monthly",
ROUND(
ROUND(((TRUNC($AN375*3/13,0)+0.99)*VLOOKUP((TRUNC($AN375*3/13,0)+0.99),'Tax scales - NAT 3539'!$A$74:$C$94,2,1)-VLOOKUP((TRUNC($AN375*3/13,0)+0.99),'Tax scales - NAT 3539'!$A$74:$C$94,3,1)),0)
*13/3,
0),
""))),
""),
"")</f>
        <v/>
      </c>
      <c r="AX375" s="118" t="str">
        <f>IFERROR(
IF(VLOOKUP($C375,'Employee information'!$B:$M,COLUMNS('Employee information'!$B:$M),0)=55,
IF($E$2="Fortnightly",
ROUND(
ROUND((((TRUNC($AN375/2,0)+0.99))*VLOOKUP((TRUNC($AN375/2,0)+0.99),'Tax scales - NAT 3539'!$A$99:$C$123,2,1)-VLOOKUP((TRUNC($AN375/2,0)+0.99),'Tax scales - NAT 3539'!$A$99:$C$123,3,1)),0)
*2,
0),
IF(AND($E$2="Monthly",ROUND($AN375-TRUNC($AN375),2)=0.33),
ROUND(
ROUND(((TRUNC(($AN375+0.01)*3/13,0)+0.99)*VLOOKUP((TRUNC(($AN375+0.01)*3/13,0)+0.99),'Tax scales - NAT 3539'!$A$99:$C$123,2,1)-VLOOKUP((TRUNC(($AN375+0.01)*3/13,0)+0.99),'Tax scales - NAT 3539'!$A$99:$C$123,3,1)),0)
*13/3,
0),
IF($E$2="Monthly",
ROUND(
ROUND(((TRUNC($AN375*3/13,0)+0.99)*VLOOKUP((TRUNC($AN375*3/13,0)+0.99),'Tax scales - NAT 3539'!$A$99:$C$123,2,1)-VLOOKUP((TRUNC($AN375*3/13,0)+0.99),'Tax scales - NAT 3539'!$A$99:$C$123,3,1)),0)
*13/3,
0),
""))),
""),
"")</f>
        <v/>
      </c>
      <c r="AY375" s="118" t="str">
        <f>IFERROR(
IF(VLOOKUP($C375,'Employee information'!$B:$M,COLUMNS('Employee information'!$B:$M),0)=66,
IF($E$2="Fortnightly",
ROUND(
ROUND((((TRUNC($AN375/2,0)+0.99))*VLOOKUP((TRUNC($AN375/2,0)+0.99),'Tax scales - NAT 3539'!$A$127:$C$154,2,1)-VLOOKUP((TRUNC($AN375/2,0)+0.99),'Tax scales - NAT 3539'!$A$127:$C$154,3,1)),0)
*2,
0),
IF(AND($E$2="Monthly",ROUND($AN375-TRUNC($AN375),2)=0.33),
ROUND(
ROUND(((TRUNC(($AN375+0.01)*3/13,0)+0.99)*VLOOKUP((TRUNC(($AN375+0.01)*3/13,0)+0.99),'Tax scales - NAT 3539'!$A$127:$C$154,2,1)-VLOOKUP((TRUNC(($AN375+0.01)*3/13,0)+0.99),'Tax scales - NAT 3539'!$A$127:$C$154,3,1)),0)
*13/3,
0),
IF($E$2="Monthly",
ROUND(
ROUND(((TRUNC($AN375*3/13,0)+0.99)*VLOOKUP((TRUNC($AN375*3/13,0)+0.99),'Tax scales - NAT 3539'!$A$127:$C$154,2,1)-VLOOKUP((TRUNC($AN375*3/13,0)+0.99),'Tax scales - NAT 3539'!$A$127:$C$154,3,1)),0)
*13/3,
0),
""))),
""),
"")</f>
        <v/>
      </c>
      <c r="AZ375" s="118">
        <f>IFERROR(
HLOOKUP(VLOOKUP($C375,'Employee information'!$B:$M,COLUMNS('Employee information'!$B:$M),0),'PAYG worksheet'!$AO$358:$AY$377,COUNTA($C$359:$C375)+1,0),
0)</f>
        <v>0</v>
      </c>
      <c r="BA375" s="118"/>
      <c r="BB375" s="118">
        <f t="shared" si="387"/>
        <v>0</v>
      </c>
      <c r="BC375" s="119">
        <f>IFERROR(
IF(OR($AE375=1,$AE375=""),SUM($P375,$AA375,$AC375,$AK375)*VLOOKUP($C375,'Employee information'!$B:$Q,COLUMNS('Employee information'!$B:$H),0),
IF($AE375=0,SUM($P375,$AA375,$AK375)*VLOOKUP($C375,'Employee information'!$B:$Q,COLUMNS('Employee information'!$B:$H),0),
0)),
0)</f>
        <v>0</v>
      </c>
      <c r="BE375" s="114">
        <f t="shared" si="372"/>
        <v>0</v>
      </c>
      <c r="BF375" s="114">
        <f t="shared" si="373"/>
        <v>0</v>
      </c>
      <c r="BG375" s="114">
        <f t="shared" si="374"/>
        <v>0</v>
      </c>
      <c r="BH375" s="114">
        <f t="shared" si="375"/>
        <v>0</v>
      </c>
      <c r="BI375" s="114">
        <f t="shared" si="376"/>
        <v>0</v>
      </c>
      <c r="BJ375" s="114">
        <f t="shared" si="377"/>
        <v>0</v>
      </c>
      <c r="BK375" s="114">
        <f t="shared" si="378"/>
        <v>0</v>
      </c>
      <c r="BL375" s="114">
        <f t="shared" si="388"/>
        <v>0</v>
      </c>
      <c r="BM375" s="114">
        <f t="shared" si="379"/>
        <v>0</v>
      </c>
    </row>
    <row r="376" spans="1:65" x14ac:dyDescent="0.25">
      <c r="A376" s="228">
        <f t="shared" si="367"/>
        <v>13</v>
      </c>
      <c r="C376" s="278"/>
      <c r="E376" s="103">
        <f>IF($C376="",0,
IF(AND($E$2="Monthly",$A376&gt;12),0,
IF($E$2="Monthly",VLOOKUP($C376,'Employee information'!$B:$AM,COLUMNS('Employee information'!$B:S),0),
IF($E$2="Fortnightly",VLOOKUP($C376,'Employee information'!$B:$AM,COLUMNS('Employee information'!$B:R),0),
0))))</f>
        <v>0</v>
      </c>
      <c r="F376" s="106"/>
      <c r="G376" s="106"/>
      <c r="H376" s="106"/>
      <c r="I376" s="106"/>
      <c r="J376" s="103">
        <f t="shared" si="380"/>
        <v>0</v>
      </c>
      <c r="L376" s="113">
        <f>IF(AND($E$2="Monthly",$A376&gt;12),"",
IFERROR($J376*VLOOKUP($C376,'Employee information'!$B:$AI,COLUMNS('Employee information'!$B:$P),0),0))</f>
        <v>0</v>
      </c>
      <c r="M376" s="114">
        <f t="shared" si="381"/>
        <v>0</v>
      </c>
      <c r="O376" s="103">
        <f t="shared" si="382"/>
        <v>0</v>
      </c>
      <c r="P376" s="113">
        <f>IFERROR(
IF(AND($E$2="Monthly",$A376&gt;12),0,
$O376*VLOOKUP($C376,'Employee information'!$B:$AI,COLUMNS('Employee information'!$B:$P),0)),
0)</f>
        <v>0</v>
      </c>
      <c r="R376" s="114">
        <f t="shared" si="368"/>
        <v>0</v>
      </c>
      <c r="T376" s="103"/>
      <c r="U376" s="103"/>
      <c r="V376" s="282" t="str">
        <f>IF($C376="","",
IF(AND($E$2="Monthly",$A376&gt;12),"",
$T376*VLOOKUP($C376,'Employee information'!$B:$P,COLUMNS('Employee information'!$B:$P),0)))</f>
        <v/>
      </c>
      <c r="W376" s="282" t="str">
        <f>IF($C376="","",
IF(AND($E$2="Monthly",$A376&gt;12),"",
$U376*VLOOKUP($C376,'Employee information'!$B:$P,COLUMNS('Employee information'!$B:$P),0)))</f>
        <v/>
      </c>
      <c r="X376" s="114">
        <f t="shared" si="369"/>
        <v>0</v>
      </c>
      <c r="Y376" s="114">
        <f t="shared" si="370"/>
        <v>0</v>
      </c>
      <c r="AA376" s="118">
        <f>IFERROR(
IF(OR('Basic payroll data'!$D$12="",'Basic payroll data'!$D$12="No"),0,
$T376*VLOOKUP($C376,'Employee information'!$B:$P,COLUMNS('Employee information'!$B:$P),0)*AL_loading_perc),
0)</f>
        <v>0</v>
      </c>
      <c r="AC376" s="118"/>
      <c r="AD376" s="118"/>
      <c r="AE376" s="283" t="str">
        <f t="shared" si="383"/>
        <v/>
      </c>
      <c r="AF376" s="283" t="str">
        <f t="shared" si="384"/>
        <v/>
      </c>
      <c r="AG376" s="118"/>
      <c r="AH376" s="118"/>
      <c r="AI376" s="283" t="str">
        <f t="shared" si="385"/>
        <v/>
      </c>
      <c r="AJ376" s="118"/>
      <c r="AK376" s="118"/>
      <c r="AM376" s="118">
        <f t="shared" si="386"/>
        <v>0</v>
      </c>
      <c r="AN376" s="118">
        <f t="shared" si="371"/>
        <v>0</v>
      </c>
      <c r="AO376" s="118" t="str">
        <f>IFERROR(
IF(VLOOKUP($C376,'Employee information'!$B:$M,COLUMNS('Employee information'!$B:$M),0)=1,
IF($E$2="Fortnightly",
ROUND(
ROUND((((TRUNC($AN376/2,0)+0.99))*VLOOKUP((TRUNC($AN376/2,0)+0.99),'Tax scales - NAT 1004'!$A$12:$C$18,2,1)-VLOOKUP((TRUNC($AN376/2,0)+0.99),'Tax scales - NAT 1004'!$A$12:$C$18,3,1)),0)
*2,
0),
IF(AND($E$2="Monthly",ROUND($AN376-TRUNC($AN376),2)=0.33),
ROUND(
ROUND(((TRUNC(($AN376+0.01)*3/13,0)+0.99)*VLOOKUP((TRUNC(($AN376+0.01)*3/13,0)+0.99),'Tax scales - NAT 1004'!$A$12:$C$18,2,1)-VLOOKUP((TRUNC(($AN376+0.01)*3/13,0)+0.99),'Tax scales - NAT 1004'!$A$12:$C$18,3,1)),0)
*13/3,
0),
IF($E$2="Monthly",
ROUND(
ROUND(((TRUNC($AN376*3/13,0)+0.99)*VLOOKUP((TRUNC($AN376*3/13,0)+0.99),'Tax scales - NAT 1004'!$A$12:$C$18,2,1)-VLOOKUP((TRUNC($AN376*3/13,0)+0.99),'Tax scales - NAT 1004'!$A$12:$C$18,3,1)),0)
*13/3,
0),
""))),
""),
"")</f>
        <v/>
      </c>
      <c r="AP376" s="118" t="str">
        <f>IFERROR(
IF(VLOOKUP($C376,'Employee information'!$B:$M,COLUMNS('Employee information'!$B:$M),0)=2,
IF($E$2="Fortnightly",
ROUND(
ROUND((((TRUNC($AN376/2,0)+0.99))*VLOOKUP((TRUNC($AN376/2,0)+0.99),'Tax scales - NAT 1004'!$A$25:$C$33,2,1)-VLOOKUP((TRUNC($AN376/2,0)+0.99),'Tax scales - NAT 1004'!$A$25:$C$33,3,1)),0)
*2,
0),
IF(AND($E$2="Monthly",ROUND($AN376-TRUNC($AN376),2)=0.33),
ROUND(
ROUND(((TRUNC(($AN376+0.01)*3/13,0)+0.99)*VLOOKUP((TRUNC(($AN376+0.01)*3/13,0)+0.99),'Tax scales - NAT 1004'!$A$25:$C$33,2,1)-VLOOKUP((TRUNC(($AN376+0.01)*3/13,0)+0.99),'Tax scales - NAT 1004'!$A$25:$C$33,3,1)),0)
*13/3,
0),
IF($E$2="Monthly",
ROUND(
ROUND(((TRUNC($AN376*3/13,0)+0.99)*VLOOKUP((TRUNC($AN376*3/13,0)+0.99),'Tax scales - NAT 1004'!$A$25:$C$33,2,1)-VLOOKUP((TRUNC($AN376*3/13,0)+0.99),'Tax scales - NAT 1004'!$A$25:$C$33,3,1)),0)
*13/3,
0),
""))),
""),
"")</f>
        <v/>
      </c>
      <c r="AQ376" s="118" t="str">
        <f>IFERROR(
IF(VLOOKUP($C376,'Employee information'!$B:$M,COLUMNS('Employee information'!$B:$M),0)=3,
IF($E$2="Fortnightly",
ROUND(
ROUND((((TRUNC($AN376/2,0)+0.99))*VLOOKUP((TRUNC($AN376/2,0)+0.99),'Tax scales - NAT 1004'!$A$39:$C$41,2,1)-VLOOKUP((TRUNC($AN376/2,0)+0.99),'Tax scales - NAT 1004'!$A$39:$C$41,3,1)),0)
*2,
0),
IF(AND($E$2="Monthly",ROUND($AN376-TRUNC($AN376),2)=0.33),
ROUND(
ROUND(((TRUNC(($AN376+0.01)*3/13,0)+0.99)*VLOOKUP((TRUNC(($AN376+0.01)*3/13,0)+0.99),'Tax scales - NAT 1004'!$A$39:$C$41,2,1)-VLOOKUP((TRUNC(($AN376+0.01)*3/13,0)+0.99),'Tax scales - NAT 1004'!$A$39:$C$41,3,1)),0)
*13/3,
0),
IF($E$2="Monthly",
ROUND(
ROUND(((TRUNC($AN376*3/13,0)+0.99)*VLOOKUP((TRUNC($AN376*3/13,0)+0.99),'Tax scales - NAT 1004'!$A$39:$C$41,2,1)-VLOOKUP((TRUNC($AN376*3/13,0)+0.99),'Tax scales - NAT 1004'!$A$39:$C$41,3,1)),0)
*13/3,
0),
""))),
""),
"")</f>
        <v/>
      </c>
      <c r="AR376" s="118" t="str">
        <f>IFERROR(
IF(AND(VLOOKUP($C376,'Employee information'!$B:$M,COLUMNS('Employee information'!$B:$M),0)=4,
VLOOKUP($C376,'Employee information'!$B:$J,COLUMNS('Employee information'!$B:$J),0)="Resident"),
TRUNC(TRUNC($AN376)*'Tax scales - NAT 1004'!$B$47),
IF(AND(VLOOKUP($C376,'Employee information'!$B:$M,COLUMNS('Employee information'!$B:$M),0)=4,
VLOOKUP($C376,'Employee information'!$B:$J,COLUMNS('Employee information'!$B:$J),0)="Foreign resident"),
TRUNC(TRUNC($AN376)*'Tax scales - NAT 1004'!$B$48),
"")),
"")</f>
        <v/>
      </c>
      <c r="AS376" s="118" t="str">
        <f>IFERROR(
IF(VLOOKUP($C376,'Employee information'!$B:$M,COLUMNS('Employee information'!$B:$M),0)=5,
IF($E$2="Fortnightly",
ROUND(
ROUND((((TRUNC($AN376/2,0)+0.99))*VLOOKUP((TRUNC($AN376/2,0)+0.99),'Tax scales - NAT 1004'!$A$53:$C$59,2,1)-VLOOKUP((TRUNC($AN376/2,0)+0.99),'Tax scales - NAT 1004'!$A$53:$C$59,3,1)),0)
*2,
0),
IF(AND($E$2="Monthly",ROUND($AN376-TRUNC($AN376),2)=0.33),
ROUND(
ROUND(((TRUNC(($AN376+0.01)*3/13,0)+0.99)*VLOOKUP((TRUNC(($AN376+0.01)*3/13,0)+0.99),'Tax scales - NAT 1004'!$A$53:$C$59,2,1)-VLOOKUP((TRUNC(($AN376+0.01)*3/13,0)+0.99),'Tax scales - NAT 1004'!$A$53:$C$59,3,1)),0)
*13/3,
0),
IF($E$2="Monthly",
ROUND(
ROUND(((TRUNC($AN376*3/13,0)+0.99)*VLOOKUP((TRUNC($AN376*3/13,0)+0.99),'Tax scales - NAT 1004'!$A$53:$C$59,2,1)-VLOOKUP((TRUNC($AN376*3/13,0)+0.99),'Tax scales - NAT 1004'!$A$53:$C$59,3,1)),0)
*13/3,
0),
""))),
""),
"")</f>
        <v/>
      </c>
      <c r="AT376" s="118" t="str">
        <f>IFERROR(
IF(VLOOKUP($C376,'Employee information'!$B:$M,COLUMNS('Employee information'!$B:$M),0)=6,
IF($E$2="Fortnightly",
ROUND(
ROUND((((TRUNC($AN376/2,0)+0.99))*VLOOKUP((TRUNC($AN376/2,0)+0.99),'Tax scales - NAT 1004'!$A$65:$C$73,2,1)-VLOOKUP((TRUNC($AN376/2,0)+0.99),'Tax scales - NAT 1004'!$A$65:$C$73,3,1)),0)
*2,
0),
IF(AND($E$2="Monthly",ROUND($AN376-TRUNC($AN376),2)=0.33),
ROUND(
ROUND(((TRUNC(($AN376+0.01)*3/13,0)+0.99)*VLOOKUP((TRUNC(($AN376+0.01)*3/13,0)+0.99),'Tax scales - NAT 1004'!$A$65:$C$73,2,1)-VLOOKUP((TRUNC(($AN376+0.01)*3/13,0)+0.99),'Tax scales - NAT 1004'!$A$65:$C$73,3,1)),0)
*13/3,
0),
IF($E$2="Monthly",
ROUND(
ROUND(((TRUNC($AN376*3/13,0)+0.99)*VLOOKUP((TRUNC($AN376*3/13,0)+0.99),'Tax scales - NAT 1004'!$A$65:$C$73,2,1)-VLOOKUP((TRUNC($AN376*3/13,0)+0.99),'Tax scales - NAT 1004'!$A$65:$C$73,3,1)),0)
*13/3,
0),
""))),
""),
"")</f>
        <v/>
      </c>
      <c r="AU376" s="118" t="str">
        <f>IFERROR(
IF(VLOOKUP($C376,'Employee information'!$B:$M,COLUMNS('Employee information'!$B:$M),0)=11,
IF($E$2="Fortnightly",
ROUND(
ROUND((((TRUNC($AN376/2,0)+0.99))*VLOOKUP((TRUNC($AN376/2,0)+0.99),'Tax scales - NAT 3539'!$A$14:$C$38,2,1)-VLOOKUP((TRUNC($AN376/2,0)+0.99),'Tax scales - NAT 3539'!$A$14:$C$38,3,1)),0)
*2,
0),
IF(AND($E$2="Monthly",ROUND($AN376-TRUNC($AN376),2)=0.33),
ROUND(
ROUND(((TRUNC(($AN376+0.01)*3/13,0)+0.99)*VLOOKUP((TRUNC(($AN376+0.01)*3/13,0)+0.99),'Tax scales - NAT 3539'!$A$14:$C$38,2,1)-VLOOKUP((TRUNC(($AN376+0.01)*3/13,0)+0.99),'Tax scales - NAT 3539'!$A$14:$C$38,3,1)),0)
*13/3,
0),
IF($E$2="Monthly",
ROUND(
ROUND(((TRUNC($AN376*3/13,0)+0.99)*VLOOKUP((TRUNC($AN376*3/13,0)+0.99),'Tax scales - NAT 3539'!$A$14:$C$38,2,1)-VLOOKUP((TRUNC($AN376*3/13,0)+0.99),'Tax scales - NAT 3539'!$A$14:$C$38,3,1)),0)
*13/3,
0),
""))),
""),
"")</f>
        <v/>
      </c>
      <c r="AV376" s="118" t="str">
        <f>IFERROR(
IF(VLOOKUP($C376,'Employee information'!$B:$M,COLUMNS('Employee information'!$B:$M),0)=22,
IF($E$2="Fortnightly",
ROUND(
ROUND((((TRUNC($AN376/2,0)+0.99))*VLOOKUP((TRUNC($AN376/2,0)+0.99),'Tax scales - NAT 3539'!$A$43:$C$69,2,1)-VLOOKUP((TRUNC($AN376/2,0)+0.99),'Tax scales - NAT 3539'!$A$43:$C$69,3,1)),0)
*2,
0),
IF(AND($E$2="Monthly",ROUND($AN376-TRUNC($AN376),2)=0.33),
ROUND(
ROUND(((TRUNC(($AN376+0.01)*3/13,0)+0.99)*VLOOKUP((TRUNC(($AN376+0.01)*3/13,0)+0.99),'Tax scales - NAT 3539'!$A$43:$C$69,2,1)-VLOOKUP((TRUNC(($AN376+0.01)*3/13,0)+0.99),'Tax scales - NAT 3539'!$A$43:$C$69,3,1)),0)
*13/3,
0),
IF($E$2="Monthly",
ROUND(
ROUND(((TRUNC($AN376*3/13,0)+0.99)*VLOOKUP((TRUNC($AN376*3/13,0)+0.99),'Tax scales - NAT 3539'!$A$43:$C$69,2,1)-VLOOKUP((TRUNC($AN376*3/13,0)+0.99),'Tax scales - NAT 3539'!$A$43:$C$69,3,1)),0)
*13/3,
0),
""))),
""),
"")</f>
        <v/>
      </c>
      <c r="AW376" s="118" t="str">
        <f>IFERROR(
IF(VLOOKUP($C376,'Employee information'!$B:$M,COLUMNS('Employee information'!$B:$M),0)=33,
IF($E$2="Fortnightly",
ROUND(
ROUND((((TRUNC($AN376/2,0)+0.99))*VLOOKUP((TRUNC($AN376/2,0)+0.99),'Tax scales - NAT 3539'!$A$74:$C$94,2,1)-VLOOKUP((TRUNC($AN376/2,0)+0.99),'Tax scales - NAT 3539'!$A$74:$C$94,3,1)),0)
*2,
0),
IF(AND($E$2="Monthly",ROUND($AN376-TRUNC($AN376),2)=0.33),
ROUND(
ROUND(((TRUNC(($AN376+0.01)*3/13,0)+0.99)*VLOOKUP((TRUNC(($AN376+0.01)*3/13,0)+0.99),'Tax scales - NAT 3539'!$A$74:$C$94,2,1)-VLOOKUP((TRUNC(($AN376+0.01)*3/13,0)+0.99),'Tax scales - NAT 3539'!$A$74:$C$94,3,1)),0)
*13/3,
0),
IF($E$2="Monthly",
ROUND(
ROUND(((TRUNC($AN376*3/13,0)+0.99)*VLOOKUP((TRUNC($AN376*3/13,0)+0.99),'Tax scales - NAT 3539'!$A$74:$C$94,2,1)-VLOOKUP((TRUNC($AN376*3/13,0)+0.99),'Tax scales - NAT 3539'!$A$74:$C$94,3,1)),0)
*13/3,
0),
""))),
""),
"")</f>
        <v/>
      </c>
      <c r="AX376" s="118" t="str">
        <f>IFERROR(
IF(VLOOKUP($C376,'Employee information'!$B:$M,COLUMNS('Employee information'!$B:$M),0)=55,
IF($E$2="Fortnightly",
ROUND(
ROUND((((TRUNC($AN376/2,0)+0.99))*VLOOKUP((TRUNC($AN376/2,0)+0.99),'Tax scales - NAT 3539'!$A$99:$C$123,2,1)-VLOOKUP((TRUNC($AN376/2,0)+0.99),'Tax scales - NAT 3539'!$A$99:$C$123,3,1)),0)
*2,
0),
IF(AND($E$2="Monthly",ROUND($AN376-TRUNC($AN376),2)=0.33),
ROUND(
ROUND(((TRUNC(($AN376+0.01)*3/13,0)+0.99)*VLOOKUP((TRUNC(($AN376+0.01)*3/13,0)+0.99),'Tax scales - NAT 3539'!$A$99:$C$123,2,1)-VLOOKUP((TRUNC(($AN376+0.01)*3/13,0)+0.99),'Tax scales - NAT 3539'!$A$99:$C$123,3,1)),0)
*13/3,
0),
IF($E$2="Monthly",
ROUND(
ROUND(((TRUNC($AN376*3/13,0)+0.99)*VLOOKUP((TRUNC($AN376*3/13,0)+0.99),'Tax scales - NAT 3539'!$A$99:$C$123,2,1)-VLOOKUP((TRUNC($AN376*3/13,0)+0.99),'Tax scales - NAT 3539'!$A$99:$C$123,3,1)),0)
*13/3,
0),
""))),
""),
"")</f>
        <v/>
      </c>
      <c r="AY376" s="118" t="str">
        <f>IFERROR(
IF(VLOOKUP($C376,'Employee information'!$B:$M,COLUMNS('Employee information'!$B:$M),0)=66,
IF($E$2="Fortnightly",
ROUND(
ROUND((((TRUNC($AN376/2,0)+0.99))*VLOOKUP((TRUNC($AN376/2,0)+0.99),'Tax scales - NAT 3539'!$A$127:$C$154,2,1)-VLOOKUP((TRUNC($AN376/2,0)+0.99),'Tax scales - NAT 3539'!$A$127:$C$154,3,1)),0)
*2,
0),
IF(AND($E$2="Monthly",ROUND($AN376-TRUNC($AN376),2)=0.33),
ROUND(
ROUND(((TRUNC(($AN376+0.01)*3/13,0)+0.99)*VLOOKUP((TRUNC(($AN376+0.01)*3/13,0)+0.99),'Tax scales - NAT 3539'!$A$127:$C$154,2,1)-VLOOKUP((TRUNC(($AN376+0.01)*3/13,0)+0.99),'Tax scales - NAT 3539'!$A$127:$C$154,3,1)),0)
*13/3,
0),
IF($E$2="Monthly",
ROUND(
ROUND(((TRUNC($AN376*3/13,0)+0.99)*VLOOKUP((TRUNC($AN376*3/13,0)+0.99),'Tax scales - NAT 3539'!$A$127:$C$154,2,1)-VLOOKUP((TRUNC($AN376*3/13,0)+0.99),'Tax scales - NAT 3539'!$A$127:$C$154,3,1)),0)
*13/3,
0),
""))),
""),
"")</f>
        <v/>
      </c>
      <c r="AZ376" s="118">
        <f>IFERROR(
HLOOKUP(VLOOKUP($C376,'Employee information'!$B:$M,COLUMNS('Employee information'!$B:$M),0),'PAYG worksheet'!$AO$358:$AY$377,COUNTA($C$359:$C376)+1,0),
0)</f>
        <v>0</v>
      </c>
      <c r="BA376" s="118"/>
      <c r="BB376" s="118">
        <f t="shared" si="387"/>
        <v>0</v>
      </c>
      <c r="BC376" s="119">
        <f>IFERROR(
IF(OR($AE376=1,$AE376=""),SUM($P376,$AA376,$AC376,$AK376)*VLOOKUP($C376,'Employee information'!$B:$Q,COLUMNS('Employee information'!$B:$H),0),
IF($AE376=0,SUM($P376,$AA376,$AK376)*VLOOKUP($C376,'Employee information'!$B:$Q,COLUMNS('Employee information'!$B:$H),0),
0)),
0)</f>
        <v>0</v>
      </c>
      <c r="BE376" s="114">
        <f t="shared" si="372"/>
        <v>0</v>
      </c>
      <c r="BF376" s="114">
        <f t="shared" si="373"/>
        <v>0</v>
      </c>
      <c r="BG376" s="114">
        <f t="shared" si="374"/>
        <v>0</v>
      </c>
      <c r="BH376" s="114">
        <f t="shared" si="375"/>
        <v>0</v>
      </c>
      <c r="BI376" s="114">
        <f t="shared" si="376"/>
        <v>0</v>
      </c>
      <c r="BJ376" s="114">
        <f t="shared" si="377"/>
        <v>0</v>
      </c>
      <c r="BK376" s="114">
        <f t="shared" si="378"/>
        <v>0</v>
      </c>
      <c r="BL376" s="114">
        <f t="shared" si="388"/>
        <v>0</v>
      </c>
      <c r="BM376" s="114">
        <f t="shared" si="379"/>
        <v>0</v>
      </c>
    </row>
    <row r="377" spans="1:65" x14ac:dyDescent="0.25">
      <c r="A377" s="228">
        <f t="shared" si="367"/>
        <v>13</v>
      </c>
      <c r="C377" s="278"/>
      <c r="E377" s="103">
        <f>IF($C377="",0,
IF(AND($E$2="Monthly",$A377&gt;12),0,
IF($E$2="Monthly",VLOOKUP($C377,'Employee information'!$B:$AM,COLUMNS('Employee information'!$B:S),0),
IF($E$2="Fortnightly",VLOOKUP($C377,'Employee information'!$B:$AM,COLUMNS('Employee information'!$B:R),0),
0))))</f>
        <v>0</v>
      </c>
      <c r="F377" s="106"/>
      <c r="G377" s="106"/>
      <c r="H377" s="106"/>
      <c r="I377" s="106"/>
      <c r="J377" s="103">
        <f t="shared" si="380"/>
        <v>0</v>
      </c>
      <c r="L377" s="113">
        <f>IF(AND($E$2="Monthly",$A377&gt;12),"",
IFERROR($J377*VLOOKUP($C377,'Employee information'!$B:$AI,COLUMNS('Employee information'!$B:$P),0),0))</f>
        <v>0</v>
      </c>
      <c r="M377" s="114">
        <f t="shared" si="381"/>
        <v>0</v>
      </c>
      <c r="O377" s="103">
        <f t="shared" si="382"/>
        <v>0</v>
      </c>
      <c r="P377" s="113">
        <f>IFERROR(
IF(AND($E$2="Monthly",$A377&gt;12),0,
$O377*VLOOKUP($C377,'Employee information'!$B:$AI,COLUMNS('Employee information'!$B:$P),0)),
0)</f>
        <v>0</v>
      </c>
      <c r="R377" s="114">
        <f t="shared" si="368"/>
        <v>0</v>
      </c>
      <c r="T377" s="103"/>
      <c r="U377" s="103"/>
      <c r="V377" s="282" t="str">
        <f>IF($C377="","",
IF(AND($E$2="Monthly",$A377&gt;12),"",
$T377*VLOOKUP($C377,'Employee information'!$B:$P,COLUMNS('Employee information'!$B:$P),0)))</f>
        <v/>
      </c>
      <c r="W377" s="282" t="str">
        <f>IF($C377="","",
IF(AND($E$2="Monthly",$A377&gt;12),"",
$U377*VLOOKUP($C377,'Employee information'!$B:$P,COLUMNS('Employee information'!$B:$P),0)))</f>
        <v/>
      </c>
      <c r="X377" s="114">
        <f t="shared" si="369"/>
        <v>0</v>
      </c>
      <c r="Y377" s="114">
        <f t="shared" si="370"/>
        <v>0</v>
      </c>
      <c r="AA377" s="118">
        <f>IFERROR(
IF(OR('Basic payroll data'!$D$12="",'Basic payroll data'!$D$12="No"),0,
$T377*VLOOKUP($C377,'Employee information'!$B:$P,COLUMNS('Employee information'!$B:$P),0)*AL_loading_perc),
0)</f>
        <v>0</v>
      </c>
      <c r="AC377" s="118"/>
      <c r="AD377" s="118"/>
      <c r="AE377" s="283" t="str">
        <f t="shared" si="383"/>
        <v/>
      </c>
      <c r="AF377" s="283" t="str">
        <f t="shared" si="384"/>
        <v/>
      </c>
      <c r="AG377" s="118"/>
      <c r="AH377" s="118"/>
      <c r="AI377" s="283" t="str">
        <f t="shared" si="385"/>
        <v/>
      </c>
      <c r="AJ377" s="118"/>
      <c r="AK377" s="118"/>
      <c r="AM377" s="118">
        <f t="shared" si="386"/>
        <v>0</v>
      </c>
      <c r="AN377" s="118">
        <f t="shared" si="371"/>
        <v>0</v>
      </c>
      <c r="AO377" s="118" t="str">
        <f>IFERROR(
IF(VLOOKUP($C377,'Employee information'!$B:$M,COLUMNS('Employee information'!$B:$M),0)=1,
IF($E$2="Fortnightly",
ROUND(
ROUND((((TRUNC($AN377/2,0)+0.99))*VLOOKUP((TRUNC($AN377/2,0)+0.99),'Tax scales - NAT 1004'!$A$12:$C$18,2,1)-VLOOKUP((TRUNC($AN377/2,0)+0.99),'Tax scales - NAT 1004'!$A$12:$C$18,3,1)),0)
*2,
0),
IF(AND($E$2="Monthly",ROUND($AN377-TRUNC($AN377),2)=0.33),
ROUND(
ROUND(((TRUNC(($AN377+0.01)*3/13,0)+0.99)*VLOOKUP((TRUNC(($AN377+0.01)*3/13,0)+0.99),'Tax scales - NAT 1004'!$A$12:$C$18,2,1)-VLOOKUP((TRUNC(($AN377+0.01)*3/13,0)+0.99),'Tax scales - NAT 1004'!$A$12:$C$18,3,1)),0)
*13/3,
0),
IF($E$2="Monthly",
ROUND(
ROUND(((TRUNC($AN377*3/13,0)+0.99)*VLOOKUP((TRUNC($AN377*3/13,0)+0.99),'Tax scales - NAT 1004'!$A$12:$C$18,2,1)-VLOOKUP((TRUNC($AN377*3/13,0)+0.99),'Tax scales - NAT 1004'!$A$12:$C$18,3,1)),0)
*13/3,
0),
""))),
""),
"")</f>
        <v/>
      </c>
      <c r="AP377" s="118" t="str">
        <f>IFERROR(
IF(VLOOKUP($C377,'Employee information'!$B:$M,COLUMNS('Employee information'!$B:$M),0)=2,
IF($E$2="Fortnightly",
ROUND(
ROUND((((TRUNC($AN377/2,0)+0.99))*VLOOKUP((TRUNC($AN377/2,0)+0.99),'Tax scales - NAT 1004'!$A$25:$C$33,2,1)-VLOOKUP((TRUNC($AN377/2,0)+0.99),'Tax scales - NAT 1004'!$A$25:$C$33,3,1)),0)
*2,
0),
IF(AND($E$2="Monthly",ROUND($AN377-TRUNC($AN377),2)=0.33),
ROUND(
ROUND(((TRUNC(($AN377+0.01)*3/13,0)+0.99)*VLOOKUP((TRUNC(($AN377+0.01)*3/13,0)+0.99),'Tax scales - NAT 1004'!$A$25:$C$33,2,1)-VLOOKUP((TRUNC(($AN377+0.01)*3/13,0)+0.99),'Tax scales - NAT 1004'!$A$25:$C$33,3,1)),0)
*13/3,
0),
IF($E$2="Monthly",
ROUND(
ROUND(((TRUNC($AN377*3/13,0)+0.99)*VLOOKUP((TRUNC($AN377*3/13,0)+0.99),'Tax scales - NAT 1004'!$A$25:$C$33,2,1)-VLOOKUP((TRUNC($AN377*3/13,0)+0.99),'Tax scales - NAT 1004'!$A$25:$C$33,3,1)),0)
*13/3,
0),
""))),
""),
"")</f>
        <v/>
      </c>
      <c r="AQ377" s="118" t="str">
        <f>IFERROR(
IF(VLOOKUP($C377,'Employee information'!$B:$M,COLUMNS('Employee information'!$B:$M),0)=3,
IF($E$2="Fortnightly",
ROUND(
ROUND((((TRUNC($AN377/2,0)+0.99))*VLOOKUP((TRUNC($AN377/2,0)+0.99),'Tax scales - NAT 1004'!$A$39:$C$41,2,1)-VLOOKUP((TRUNC($AN377/2,0)+0.99),'Tax scales - NAT 1004'!$A$39:$C$41,3,1)),0)
*2,
0),
IF(AND($E$2="Monthly",ROUND($AN377-TRUNC($AN377),2)=0.33),
ROUND(
ROUND(((TRUNC(($AN377+0.01)*3/13,0)+0.99)*VLOOKUP((TRUNC(($AN377+0.01)*3/13,0)+0.99),'Tax scales - NAT 1004'!$A$39:$C$41,2,1)-VLOOKUP((TRUNC(($AN377+0.01)*3/13,0)+0.99),'Tax scales - NAT 1004'!$A$39:$C$41,3,1)),0)
*13/3,
0),
IF($E$2="Monthly",
ROUND(
ROUND(((TRUNC($AN377*3/13,0)+0.99)*VLOOKUP((TRUNC($AN377*3/13,0)+0.99),'Tax scales - NAT 1004'!$A$39:$C$41,2,1)-VLOOKUP((TRUNC($AN377*3/13,0)+0.99),'Tax scales - NAT 1004'!$A$39:$C$41,3,1)),0)
*13/3,
0),
""))),
""),
"")</f>
        <v/>
      </c>
      <c r="AR377" s="118" t="str">
        <f>IFERROR(
IF(AND(VLOOKUP($C377,'Employee information'!$B:$M,COLUMNS('Employee information'!$B:$M),0)=4,
VLOOKUP($C377,'Employee information'!$B:$J,COLUMNS('Employee information'!$B:$J),0)="Resident"),
TRUNC(TRUNC($AN377)*'Tax scales - NAT 1004'!$B$47),
IF(AND(VLOOKUP($C377,'Employee information'!$B:$M,COLUMNS('Employee information'!$B:$M),0)=4,
VLOOKUP($C377,'Employee information'!$B:$J,COLUMNS('Employee information'!$B:$J),0)="Foreign resident"),
TRUNC(TRUNC($AN377)*'Tax scales - NAT 1004'!$B$48),
"")),
"")</f>
        <v/>
      </c>
      <c r="AS377" s="118" t="str">
        <f>IFERROR(
IF(VLOOKUP($C377,'Employee information'!$B:$M,COLUMNS('Employee information'!$B:$M),0)=5,
IF($E$2="Fortnightly",
ROUND(
ROUND((((TRUNC($AN377/2,0)+0.99))*VLOOKUP((TRUNC($AN377/2,0)+0.99),'Tax scales - NAT 1004'!$A$53:$C$59,2,1)-VLOOKUP((TRUNC($AN377/2,0)+0.99),'Tax scales - NAT 1004'!$A$53:$C$59,3,1)),0)
*2,
0),
IF(AND($E$2="Monthly",ROUND($AN377-TRUNC($AN377),2)=0.33),
ROUND(
ROUND(((TRUNC(($AN377+0.01)*3/13,0)+0.99)*VLOOKUP((TRUNC(($AN377+0.01)*3/13,0)+0.99),'Tax scales - NAT 1004'!$A$53:$C$59,2,1)-VLOOKUP((TRUNC(($AN377+0.01)*3/13,0)+0.99),'Tax scales - NAT 1004'!$A$53:$C$59,3,1)),0)
*13/3,
0),
IF($E$2="Monthly",
ROUND(
ROUND(((TRUNC($AN377*3/13,0)+0.99)*VLOOKUP((TRUNC($AN377*3/13,0)+0.99),'Tax scales - NAT 1004'!$A$53:$C$59,2,1)-VLOOKUP((TRUNC($AN377*3/13,0)+0.99),'Tax scales - NAT 1004'!$A$53:$C$59,3,1)),0)
*13/3,
0),
""))),
""),
"")</f>
        <v/>
      </c>
      <c r="AT377" s="118" t="str">
        <f>IFERROR(
IF(VLOOKUP($C377,'Employee information'!$B:$M,COLUMNS('Employee information'!$B:$M),0)=6,
IF($E$2="Fortnightly",
ROUND(
ROUND((((TRUNC($AN377/2,0)+0.99))*VLOOKUP((TRUNC($AN377/2,0)+0.99),'Tax scales - NAT 1004'!$A$65:$C$73,2,1)-VLOOKUP((TRUNC($AN377/2,0)+0.99),'Tax scales - NAT 1004'!$A$65:$C$73,3,1)),0)
*2,
0),
IF(AND($E$2="Monthly",ROUND($AN377-TRUNC($AN377),2)=0.33),
ROUND(
ROUND(((TRUNC(($AN377+0.01)*3/13,0)+0.99)*VLOOKUP((TRUNC(($AN377+0.01)*3/13,0)+0.99),'Tax scales - NAT 1004'!$A$65:$C$73,2,1)-VLOOKUP((TRUNC(($AN377+0.01)*3/13,0)+0.99),'Tax scales - NAT 1004'!$A$65:$C$73,3,1)),0)
*13/3,
0),
IF($E$2="Monthly",
ROUND(
ROUND(((TRUNC($AN377*3/13,0)+0.99)*VLOOKUP((TRUNC($AN377*3/13,0)+0.99),'Tax scales - NAT 1004'!$A$65:$C$73,2,1)-VLOOKUP((TRUNC($AN377*3/13,0)+0.99),'Tax scales - NAT 1004'!$A$65:$C$73,3,1)),0)
*13/3,
0),
""))),
""),
"")</f>
        <v/>
      </c>
      <c r="AU377" s="118" t="str">
        <f>IFERROR(
IF(VLOOKUP($C377,'Employee information'!$B:$M,COLUMNS('Employee information'!$B:$M),0)=11,
IF($E$2="Fortnightly",
ROUND(
ROUND((((TRUNC($AN377/2,0)+0.99))*VLOOKUP((TRUNC($AN377/2,0)+0.99),'Tax scales - NAT 3539'!$A$14:$C$38,2,1)-VLOOKUP((TRUNC($AN377/2,0)+0.99),'Tax scales - NAT 3539'!$A$14:$C$38,3,1)),0)
*2,
0),
IF(AND($E$2="Monthly",ROUND($AN377-TRUNC($AN377),2)=0.33),
ROUND(
ROUND(((TRUNC(($AN377+0.01)*3/13,0)+0.99)*VLOOKUP((TRUNC(($AN377+0.01)*3/13,0)+0.99),'Tax scales - NAT 3539'!$A$14:$C$38,2,1)-VLOOKUP((TRUNC(($AN377+0.01)*3/13,0)+0.99),'Tax scales - NAT 3539'!$A$14:$C$38,3,1)),0)
*13/3,
0),
IF($E$2="Monthly",
ROUND(
ROUND(((TRUNC($AN377*3/13,0)+0.99)*VLOOKUP((TRUNC($AN377*3/13,0)+0.99),'Tax scales - NAT 3539'!$A$14:$C$38,2,1)-VLOOKUP((TRUNC($AN377*3/13,0)+0.99),'Tax scales - NAT 3539'!$A$14:$C$38,3,1)),0)
*13/3,
0),
""))),
""),
"")</f>
        <v/>
      </c>
      <c r="AV377" s="118" t="str">
        <f>IFERROR(
IF(VLOOKUP($C377,'Employee information'!$B:$M,COLUMNS('Employee information'!$B:$M),0)=22,
IF($E$2="Fortnightly",
ROUND(
ROUND((((TRUNC($AN377/2,0)+0.99))*VLOOKUP((TRUNC($AN377/2,0)+0.99),'Tax scales - NAT 3539'!$A$43:$C$69,2,1)-VLOOKUP((TRUNC($AN377/2,0)+0.99),'Tax scales - NAT 3539'!$A$43:$C$69,3,1)),0)
*2,
0),
IF(AND($E$2="Monthly",ROUND($AN377-TRUNC($AN377),2)=0.33),
ROUND(
ROUND(((TRUNC(($AN377+0.01)*3/13,0)+0.99)*VLOOKUP((TRUNC(($AN377+0.01)*3/13,0)+0.99),'Tax scales - NAT 3539'!$A$43:$C$69,2,1)-VLOOKUP((TRUNC(($AN377+0.01)*3/13,0)+0.99),'Tax scales - NAT 3539'!$A$43:$C$69,3,1)),0)
*13/3,
0),
IF($E$2="Monthly",
ROUND(
ROUND(((TRUNC($AN377*3/13,0)+0.99)*VLOOKUP((TRUNC($AN377*3/13,0)+0.99),'Tax scales - NAT 3539'!$A$43:$C$69,2,1)-VLOOKUP((TRUNC($AN377*3/13,0)+0.99),'Tax scales - NAT 3539'!$A$43:$C$69,3,1)),0)
*13/3,
0),
""))),
""),
"")</f>
        <v/>
      </c>
      <c r="AW377" s="118" t="str">
        <f>IFERROR(
IF(VLOOKUP($C377,'Employee information'!$B:$M,COLUMNS('Employee information'!$B:$M),0)=33,
IF($E$2="Fortnightly",
ROUND(
ROUND((((TRUNC($AN377/2,0)+0.99))*VLOOKUP((TRUNC($AN377/2,0)+0.99),'Tax scales - NAT 3539'!$A$74:$C$94,2,1)-VLOOKUP((TRUNC($AN377/2,0)+0.99),'Tax scales - NAT 3539'!$A$74:$C$94,3,1)),0)
*2,
0),
IF(AND($E$2="Monthly",ROUND($AN377-TRUNC($AN377),2)=0.33),
ROUND(
ROUND(((TRUNC(($AN377+0.01)*3/13,0)+0.99)*VLOOKUP((TRUNC(($AN377+0.01)*3/13,0)+0.99),'Tax scales - NAT 3539'!$A$74:$C$94,2,1)-VLOOKUP((TRUNC(($AN377+0.01)*3/13,0)+0.99),'Tax scales - NAT 3539'!$A$74:$C$94,3,1)),0)
*13/3,
0),
IF($E$2="Monthly",
ROUND(
ROUND(((TRUNC($AN377*3/13,0)+0.99)*VLOOKUP((TRUNC($AN377*3/13,0)+0.99),'Tax scales - NAT 3539'!$A$74:$C$94,2,1)-VLOOKUP((TRUNC($AN377*3/13,0)+0.99),'Tax scales - NAT 3539'!$A$74:$C$94,3,1)),0)
*13/3,
0),
""))),
""),
"")</f>
        <v/>
      </c>
      <c r="AX377" s="118" t="str">
        <f>IFERROR(
IF(VLOOKUP($C377,'Employee information'!$B:$M,COLUMNS('Employee information'!$B:$M),0)=55,
IF($E$2="Fortnightly",
ROUND(
ROUND((((TRUNC($AN377/2,0)+0.99))*VLOOKUP((TRUNC($AN377/2,0)+0.99),'Tax scales - NAT 3539'!$A$99:$C$123,2,1)-VLOOKUP((TRUNC($AN377/2,0)+0.99),'Tax scales - NAT 3539'!$A$99:$C$123,3,1)),0)
*2,
0),
IF(AND($E$2="Monthly",ROUND($AN377-TRUNC($AN377),2)=0.33),
ROUND(
ROUND(((TRUNC(($AN377+0.01)*3/13,0)+0.99)*VLOOKUP((TRUNC(($AN377+0.01)*3/13,0)+0.99),'Tax scales - NAT 3539'!$A$99:$C$123,2,1)-VLOOKUP((TRUNC(($AN377+0.01)*3/13,0)+0.99),'Tax scales - NAT 3539'!$A$99:$C$123,3,1)),0)
*13/3,
0),
IF($E$2="Monthly",
ROUND(
ROUND(((TRUNC($AN377*3/13,0)+0.99)*VLOOKUP((TRUNC($AN377*3/13,0)+0.99),'Tax scales - NAT 3539'!$A$99:$C$123,2,1)-VLOOKUP((TRUNC($AN377*3/13,0)+0.99),'Tax scales - NAT 3539'!$A$99:$C$123,3,1)),0)
*13/3,
0),
""))),
""),
"")</f>
        <v/>
      </c>
      <c r="AY377" s="118" t="str">
        <f>IFERROR(
IF(VLOOKUP($C377,'Employee information'!$B:$M,COLUMNS('Employee information'!$B:$M),0)=66,
IF($E$2="Fortnightly",
ROUND(
ROUND((((TRUNC($AN377/2,0)+0.99))*VLOOKUP((TRUNC($AN377/2,0)+0.99),'Tax scales - NAT 3539'!$A$127:$C$154,2,1)-VLOOKUP((TRUNC($AN377/2,0)+0.99),'Tax scales - NAT 3539'!$A$127:$C$154,3,1)),0)
*2,
0),
IF(AND($E$2="Monthly",ROUND($AN377-TRUNC($AN377),2)=0.33),
ROUND(
ROUND(((TRUNC(($AN377+0.01)*3/13,0)+0.99)*VLOOKUP((TRUNC(($AN377+0.01)*3/13,0)+0.99),'Tax scales - NAT 3539'!$A$127:$C$154,2,1)-VLOOKUP((TRUNC(($AN377+0.01)*3/13,0)+0.99),'Tax scales - NAT 3539'!$A$127:$C$154,3,1)),0)
*13/3,
0),
IF($E$2="Monthly",
ROUND(
ROUND(((TRUNC($AN377*3/13,0)+0.99)*VLOOKUP((TRUNC($AN377*3/13,0)+0.99),'Tax scales - NAT 3539'!$A$127:$C$154,2,1)-VLOOKUP((TRUNC($AN377*3/13,0)+0.99),'Tax scales - NAT 3539'!$A$127:$C$154,3,1)),0)
*13/3,
0),
""))),
""),
"")</f>
        <v/>
      </c>
      <c r="AZ377" s="118">
        <f>IFERROR(
HLOOKUP(VLOOKUP($C377,'Employee information'!$B:$M,COLUMNS('Employee information'!$B:$M),0),'PAYG worksheet'!$AO$358:$AY$377,COUNTA($C$359:$C377)+1,0),
0)</f>
        <v>0</v>
      </c>
      <c r="BA377" s="118"/>
      <c r="BB377" s="118">
        <f t="shared" si="387"/>
        <v>0</v>
      </c>
      <c r="BC377" s="119">
        <f>IFERROR(
IF(OR($AE377=1,$AE377=""),SUM($P377,$AA377,$AC377,$AK377)*VLOOKUP($C377,'Employee information'!$B:$Q,COLUMNS('Employee information'!$B:$H),0),
IF($AE377=0,SUM($P377,$AA377,$AK377)*VLOOKUP($C377,'Employee information'!$B:$Q,COLUMNS('Employee information'!$B:$H),0),
0)),
0)</f>
        <v>0</v>
      </c>
      <c r="BE377" s="114">
        <f t="shared" si="372"/>
        <v>0</v>
      </c>
      <c r="BF377" s="114">
        <f t="shared" si="373"/>
        <v>0</v>
      </c>
      <c r="BG377" s="114">
        <f t="shared" si="374"/>
        <v>0</v>
      </c>
      <c r="BH377" s="114">
        <f t="shared" si="375"/>
        <v>0</v>
      </c>
      <c r="BI377" s="114">
        <f t="shared" si="376"/>
        <v>0</v>
      </c>
      <c r="BJ377" s="114">
        <f t="shared" si="377"/>
        <v>0</v>
      </c>
      <c r="BK377" s="114">
        <f t="shared" si="378"/>
        <v>0</v>
      </c>
      <c r="BL377" s="114">
        <f t="shared" si="388"/>
        <v>0</v>
      </c>
      <c r="BM377" s="114">
        <f t="shared" si="379"/>
        <v>0</v>
      </c>
    </row>
    <row r="378" spans="1:65" x14ac:dyDescent="0.25">
      <c r="C378" s="284" t="s">
        <v>39</v>
      </c>
      <c r="D378" s="223"/>
      <c r="E378" s="111">
        <f>SUM(E359:E377)</f>
        <v>345</v>
      </c>
      <c r="F378" s="112">
        <f t="shared" ref="F378:H378" si="389">SUM(F359:F377)</f>
        <v>0</v>
      </c>
      <c r="G378" s="112">
        <f t="shared" si="389"/>
        <v>0</v>
      </c>
      <c r="H378" s="112">
        <f t="shared" si="389"/>
        <v>0</v>
      </c>
      <c r="I378" s="112"/>
      <c r="J378" s="111">
        <f t="shared" ref="J378" si="390">SUM(J359:J377)</f>
        <v>345</v>
      </c>
      <c r="K378" s="223"/>
      <c r="L378" s="115">
        <f>SUM(L359:L377)</f>
        <v>19122.576396206536</v>
      </c>
      <c r="M378" s="115">
        <f>SUM(M359:M377)</f>
        <v>251108.87776606952</v>
      </c>
      <c r="N378" s="223"/>
      <c r="O378" s="116">
        <f>SUM(O359:O377)</f>
        <v>345</v>
      </c>
      <c r="P378" s="117">
        <f>SUM(P359:P377)</f>
        <v>19122.576396206536</v>
      </c>
      <c r="R378" s="117">
        <f>SUM(R359:R377)</f>
        <v>251108.87776606952</v>
      </c>
      <c r="S378" s="223"/>
      <c r="T378" s="116">
        <f>SUM(T359:T377)</f>
        <v>0</v>
      </c>
      <c r="U378" s="116">
        <f t="shared" ref="U378:Y378" si="391">SUM(U359:U377)</f>
        <v>0</v>
      </c>
      <c r="V378" s="285">
        <f t="shared" si="391"/>
        <v>0</v>
      </c>
      <c r="W378" s="285">
        <f t="shared" si="391"/>
        <v>0</v>
      </c>
      <c r="X378" s="285">
        <f t="shared" si="391"/>
        <v>1538.4615384615386</v>
      </c>
      <c r="Y378" s="285">
        <f t="shared" si="391"/>
        <v>801.28205128205127</v>
      </c>
      <c r="Z378" s="223"/>
      <c r="AA378" s="117">
        <f t="shared" ref="AA378" si="392">SUM(AA359:AA377)</f>
        <v>0</v>
      </c>
      <c r="AC378" s="117">
        <f t="shared" ref="AC378" si="393">SUM(AC359:AC377)</f>
        <v>0</v>
      </c>
      <c r="AD378" s="117"/>
      <c r="AE378" s="117"/>
      <c r="AF378" s="117"/>
      <c r="AG378" s="117">
        <f t="shared" ref="AG378" si="394">SUM(AG359:AG377)</f>
        <v>0</v>
      </c>
      <c r="AH378" s="117"/>
      <c r="AI378" s="117"/>
      <c r="AJ378" s="117">
        <f>SUM(AJ359:AJ377)</f>
        <v>0</v>
      </c>
      <c r="AK378" s="117">
        <f>SUM(AK359:AK377)</f>
        <v>0</v>
      </c>
      <c r="AM378" s="117">
        <f t="shared" ref="AM378:AN378" si="395">SUM(AM359:AM377)</f>
        <v>19122.576396206536</v>
      </c>
      <c r="AN378" s="117">
        <f t="shared" si="395"/>
        <v>19122.576396206536</v>
      </c>
      <c r="AO378" s="117"/>
      <c r="AP378" s="117"/>
      <c r="AQ378" s="117"/>
      <c r="AR378" s="117"/>
      <c r="AS378" s="117"/>
      <c r="AT378" s="117"/>
      <c r="AU378" s="117"/>
      <c r="AV378" s="117"/>
      <c r="AW378" s="117"/>
      <c r="AX378" s="117"/>
      <c r="AY378" s="117"/>
      <c r="AZ378" s="117">
        <f>SUM(AZ359:AZ377)</f>
        <v>7481</v>
      </c>
      <c r="BA378" s="117">
        <f>SUM(BA359:BA377)</f>
        <v>0</v>
      </c>
      <c r="BB378" s="117">
        <f>SUM(BB359:BB377)</f>
        <v>11641.576396206534</v>
      </c>
      <c r="BC378" s="117">
        <f t="shared" ref="BC378" si="396">SUM(BC359:BC377)</f>
        <v>1816.6447576396208</v>
      </c>
      <c r="BD378" s="136"/>
      <c r="BE378" s="117">
        <f t="shared" ref="BE378:BM378" si="397">SUM(BE359:BE377)</f>
        <v>251348.87776606952</v>
      </c>
      <c r="BF378" s="117">
        <f t="shared" si="397"/>
        <v>251208.87776606952</v>
      </c>
      <c r="BG378" s="117">
        <f t="shared" si="397"/>
        <v>0</v>
      </c>
      <c r="BH378" s="117">
        <f t="shared" si="397"/>
        <v>140</v>
      </c>
      <c r="BI378" s="117">
        <f t="shared" si="397"/>
        <v>98067</v>
      </c>
      <c r="BJ378" s="117">
        <f t="shared" si="397"/>
        <v>0</v>
      </c>
      <c r="BK378" s="117">
        <f t="shared" si="397"/>
        <v>0</v>
      </c>
      <c r="BL378" s="117">
        <f t="shared" si="397"/>
        <v>100</v>
      </c>
      <c r="BM378" s="117">
        <f t="shared" si="397"/>
        <v>23864.843387776607</v>
      </c>
    </row>
    <row r="380" spans="1:65" x14ac:dyDescent="0.25">
      <c r="B380" s="228">
        <v>14</v>
      </c>
      <c r="C380" s="230" t="s">
        <v>2</v>
      </c>
      <c r="E380" s="232">
        <v>44116</v>
      </c>
      <c r="F380" s="148" t="s">
        <v>91</v>
      </c>
      <c r="L380" s="286"/>
      <c r="T380" s="127"/>
      <c r="U380" s="127"/>
      <c r="V380" s="127"/>
      <c r="W380" s="127"/>
      <c r="X380" s="127"/>
      <c r="Y380" s="127"/>
    </row>
    <row r="381" spans="1:65" x14ac:dyDescent="0.25">
      <c r="C381" s="230" t="s">
        <v>3</v>
      </c>
      <c r="E381" s="232">
        <v>44127</v>
      </c>
      <c r="F381" s="148" t="s">
        <v>90</v>
      </c>
      <c r="G381" s="229"/>
      <c r="H381" s="229"/>
      <c r="I381" s="229"/>
      <c r="J381" s="229"/>
      <c r="L381" s="164"/>
      <c r="T381" s="127"/>
      <c r="U381" s="127"/>
      <c r="V381" s="127"/>
      <c r="W381" s="127"/>
      <c r="X381" s="127"/>
      <c r="Y381" s="127"/>
    </row>
    <row r="382" spans="1:65" x14ac:dyDescent="0.25">
      <c r="C382" s="233"/>
    </row>
    <row r="383" spans="1:65" ht="34.5" customHeight="1" x14ac:dyDescent="0.25">
      <c r="C383" s="234"/>
      <c r="D383" s="235"/>
      <c r="E383" s="441" t="s">
        <v>4</v>
      </c>
      <c r="F383" s="442"/>
      <c r="G383" s="442"/>
      <c r="H383" s="442"/>
      <c r="I383" s="442"/>
      <c r="J383" s="443"/>
      <c r="L383" s="444" t="s">
        <v>253</v>
      </c>
      <c r="M383" s="445"/>
      <c r="N383" s="235"/>
      <c r="O383" s="444" t="s">
        <v>148</v>
      </c>
      <c r="P383" s="445"/>
      <c r="R383" s="235"/>
      <c r="T383" s="446" t="s">
        <v>269</v>
      </c>
      <c r="U383" s="447"/>
      <c r="V383" s="447"/>
      <c r="W383" s="447"/>
      <c r="X383" s="447"/>
      <c r="Y383" s="447"/>
      <c r="Z383" s="447"/>
      <c r="AA383" s="447"/>
      <c r="AC383" s="438" t="s">
        <v>274</v>
      </c>
      <c r="AD383" s="438"/>
      <c r="AE383" s="438"/>
      <c r="AF383" s="438"/>
      <c r="AG383" s="438"/>
      <c r="AH383" s="438"/>
      <c r="AI383" s="438"/>
      <c r="AJ383" s="438"/>
      <c r="AK383" s="438"/>
      <c r="AM383" s="439" t="s">
        <v>270</v>
      </c>
      <c r="AN383" s="439"/>
      <c r="AO383" s="439"/>
      <c r="AP383" s="439"/>
      <c r="AQ383" s="439"/>
      <c r="AR383" s="439"/>
      <c r="AS383" s="439"/>
      <c r="AT383" s="439"/>
      <c r="AU383" s="439"/>
      <c r="AV383" s="439"/>
      <c r="AW383" s="439"/>
      <c r="AX383" s="439"/>
      <c r="AY383" s="439"/>
      <c r="AZ383" s="439"/>
      <c r="BA383" s="439"/>
      <c r="BB383" s="439"/>
      <c r="BC383" s="440"/>
      <c r="BE383" s="439" t="s">
        <v>246</v>
      </c>
      <c r="BF383" s="439"/>
      <c r="BG383" s="439"/>
      <c r="BH383" s="439"/>
      <c r="BI383" s="439"/>
      <c r="BJ383" s="439"/>
      <c r="BK383" s="439"/>
      <c r="BL383" s="439"/>
      <c r="BM383" s="439"/>
    </row>
    <row r="384" spans="1:65" x14ac:dyDescent="0.25">
      <c r="C384" s="236"/>
      <c r="E384" s="229"/>
      <c r="F384" s="229"/>
      <c r="G384" s="229"/>
      <c r="H384" s="229"/>
      <c r="I384" s="229"/>
      <c r="J384" s="229"/>
      <c r="L384" s="164"/>
      <c r="O384" s="229"/>
      <c r="P384" s="164"/>
      <c r="T384" s="127"/>
      <c r="U384" s="127"/>
      <c r="V384" s="127"/>
      <c r="W384" s="127"/>
      <c r="X384" s="127"/>
      <c r="Y384" s="127"/>
      <c r="AA384" s="229"/>
      <c r="AC384" s="229"/>
      <c r="AD384" s="229"/>
      <c r="AE384" s="229"/>
      <c r="AF384" s="229"/>
      <c r="AG384" s="229"/>
      <c r="AH384" s="229"/>
      <c r="AI384" s="229"/>
      <c r="AJ384" s="229"/>
      <c r="AK384" s="127"/>
      <c r="AM384" s="229"/>
      <c r="AN384" s="229"/>
      <c r="AO384" s="229"/>
      <c r="AP384" s="229"/>
      <c r="AQ384" s="229"/>
      <c r="AR384" s="229"/>
      <c r="AS384" s="229"/>
      <c r="AT384" s="229"/>
      <c r="AU384" s="229"/>
      <c r="AV384" s="229"/>
      <c r="AW384" s="229"/>
      <c r="AX384" s="229"/>
      <c r="AY384" s="229"/>
      <c r="AZ384" s="229"/>
      <c r="BA384" s="229"/>
      <c r="BB384" s="229"/>
      <c r="BC384" s="229"/>
    </row>
    <row r="385" spans="1:65" ht="60" x14ac:dyDescent="0.25">
      <c r="C385" s="238" t="s">
        <v>5</v>
      </c>
      <c r="D385" s="239"/>
      <c r="E385" s="240" t="s">
        <v>268</v>
      </c>
      <c r="F385" s="241" t="s">
        <v>271</v>
      </c>
      <c r="G385" s="242" t="s">
        <v>267</v>
      </c>
      <c r="H385" s="243" t="s">
        <v>266</v>
      </c>
      <c r="I385" s="242" t="s">
        <v>265</v>
      </c>
      <c r="J385" s="244" t="s">
        <v>6</v>
      </c>
      <c r="L385" s="245" t="s">
        <v>7</v>
      </c>
      <c r="M385" s="246" t="s">
        <v>254</v>
      </c>
      <c r="N385" s="247"/>
      <c r="O385" s="248" t="s">
        <v>272</v>
      </c>
      <c r="P385" s="249" t="s">
        <v>200</v>
      </c>
      <c r="R385" s="250" t="s">
        <v>151</v>
      </c>
      <c r="T385" s="251" t="s">
        <v>8</v>
      </c>
      <c r="U385" s="252" t="s">
        <v>9</v>
      </c>
      <c r="V385" s="252" t="s">
        <v>120</v>
      </c>
      <c r="W385" s="252" t="s">
        <v>121</v>
      </c>
      <c r="X385" s="253" t="s">
        <v>118</v>
      </c>
      <c r="Y385" s="254" t="s">
        <v>119</v>
      </c>
      <c r="AA385" s="255" t="s">
        <v>84</v>
      </c>
      <c r="AC385" s="256" t="s">
        <v>142</v>
      </c>
      <c r="AD385" s="256" t="s">
        <v>138</v>
      </c>
      <c r="AE385" s="257" t="s">
        <v>147</v>
      </c>
      <c r="AF385" s="257" t="s">
        <v>149</v>
      </c>
      <c r="AG385" s="256" t="s">
        <v>305</v>
      </c>
      <c r="AH385" s="256" t="s">
        <v>306</v>
      </c>
      <c r="AI385" s="257" t="s">
        <v>150</v>
      </c>
      <c r="AJ385" s="258" t="s">
        <v>250</v>
      </c>
      <c r="AK385" s="259" t="s">
        <v>373</v>
      </c>
      <c r="AM385" s="260" t="s">
        <v>256</v>
      </c>
      <c r="AN385" s="261" t="s">
        <v>372</v>
      </c>
      <c r="AO385" s="253" t="s">
        <v>170</v>
      </c>
      <c r="AP385" s="253" t="s">
        <v>171</v>
      </c>
      <c r="AQ385" s="253" t="s">
        <v>172</v>
      </c>
      <c r="AR385" s="253" t="s">
        <v>173</v>
      </c>
      <c r="AS385" s="253" t="s">
        <v>174</v>
      </c>
      <c r="AT385" s="253" t="s">
        <v>175</v>
      </c>
      <c r="AU385" s="262" t="s">
        <v>210</v>
      </c>
      <c r="AV385" s="262" t="s">
        <v>211</v>
      </c>
      <c r="AW385" s="262" t="s">
        <v>212</v>
      </c>
      <c r="AX385" s="262" t="s">
        <v>213</v>
      </c>
      <c r="AY385" s="263" t="s">
        <v>214</v>
      </c>
      <c r="AZ385" s="264" t="s">
        <v>111</v>
      </c>
      <c r="BA385" s="265" t="s">
        <v>199</v>
      </c>
      <c r="BB385" s="252" t="s">
        <v>223</v>
      </c>
      <c r="BC385" s="260" t="s">
        <v>112</v>
      </c>
      <c r="BE385" s="260" t="s">
        <v>257</v>
      </c>
      <c r="BF385" s="266" t="s">
        <v>255</v>
      </c>
      <c r="BG385" s="262" t="s">
        <v>247</v>
      </c>
      <c r="BH385" s="262" t="s">
        <v>248</v>
      </c>
      <c r="BI385" s="260" t="s">
        <v>249</v>
      </c>
      <c r="BJ385" s="253" t="s">
        <v>199</v>
      </c>
      <c r="BK385" s="262" t="s">
        <v>251</v>
      </c>
      <c r="BL385" s="259" t="s">
        <v>373</v>
      </c>
      <c r="BM385" s="260" t="s">
        <v>252</v>
      </c>
    </row>
    <row r="386" spans="1:65" x14ac:dyDescent="0.25">
      <c r="T386" s="120"/>
      <c r="U386" s="120"/>
      <c r="V386" s="120"/>
      <c r="W386" s="120"/>
      <c r="X386" s="120"/>
      <c r="Y386" s="120"/>
      <c r="AM386" s="267" t="s">
        <v>322</v>
      </c>
      <c r="AN386" s="237"/>
      <c r="AO386" s="237"/>
      <c r="AP386" s="237"/>
      <c r="AQ386" s="237"/>
      <c r="AR386" s="237"/>
      <c r="AS386" s="237"/>
      <c r="AT386" s="237"/>
      <c r="AU386" s="237"/>
      <c r="AV386" s="237"/>
      <c r="AW386" s="237"/>
      <c r="AX386" s="237"/>
      <c r="AY386" s="237"/>
      <c r="AZ386" s="436" t="s">
        <v>320</v>
      </c>
      <c r="BA386" s="437"/>
      <c r="BB386" s="237"/>
      <c r="BC386" s="267" t="s">
        <v>321</v>
      </c>
    </row>
    <row r="387" spans="1:65" x14ac:dyDescent="0.25">
      <c r="A387" s="228">
        <f t="shared" ref="A387:A406" si="398">IF($E$381="","",$B$380)</f>
        <v>14</v>
      </c>
      <c r="C387" s="268"/>
      <c r="D387" s="239"/>
      <c r="E387" s="269"/>
      <c r="F387" s="270"/>
      <c r="G387" s="271"/>
      <c r="H387" s="272"/>
      <c r="I387" s="271"/>
      <c r="J387" s="273"/>
      <c r="O387" s="274"/>
      <c r="P387" s="247"/>
      <c r="T387" s="271"/>
      <c r="U387" s="271"/>
      <c r="V387" s="275"/>
      <c r="W387" s="269"/>
      <c r="X387" s="269"/>
      <c r="Y387" s="269"/>
      <c r="AA387" s="271"/>
      <c r="AC387" s="271"/>
      <c r="AD387" s="271"/>
      <c r="AE387" s="271"/>
      <c r="AF387" s="271"/>
      <c r="AG387" s="271"/>
      <c r="AH387" s="271"/>
      <c r="AI387" s="271"/>
      <c r="AJ387" s="271"/>
      <c r="AK387" s="275"/>
      <c r="AM387" s="271"/>
      <c r="AN387" s="271"/>
      <c r="AO387" s="276">
        <v>1</v>
      </c>
      <c r="AP387" s="276">
        <v>2</v>
      </c>
      <c r="AQ387" s="276">
        <v>3</v>
      </c>
      <c r="AR387" s="277">
        <v>4</v>
      </c>
      <c r="AS387" s="276">
        <v>5</v>
      </c>
      <c r="AT387" s="276">
        <v>6</v>
      </c>
      <c r="AU387" s="276">
        <v>11</v>
      </c>
      <c r="AV387" s="276">
        <v>22</v>
      </c>
      <c r="AW387" s="276">
        <v>33</v>
      </c>
      <c r="AX387" s="276">
        <v>55</v>
      </c>
      <c r="AY387" s="276">
        <v>66</v>
      </c>
      <c r="AZ387" s="271"/>
      <c r="BA387" s="271"/>
      <c r="BB387" s="271"/>
      <c r="BC387" s="273"/>
    </row>
    <row r="388" spans="1:65" x14ac:dyDescent="0.25">
      <c r="A388" s="228">
        <f t="shared" si="398"/>
        <v>14</v>
      </c>
      <c r="C388" s="278" t="s">
        <v>12</v>
      </c>
      <c r="E388" s="103">
        <f>IF($C388="",0,
IF(AND($E$2="Monthly",$A388&gt;12),0,
IF($E$2="Monthly",VLOOKUP($C388,'Employee information'!$B:$AM,COLUMNS('Employee information'!$B:S),0),
IF($E$2="Fortnightly",VLOOKUP($C388,'Employee information'!$B:$AM,COLUMNS('Employee information'!$B:R),0),
0))))</f>
        <v>75</v>
      </c>
      <c r="F388" s="279"/>
      <c r="G388" s="106"/>
      <c r="H388" s="280"/>
      <c r="I388" s="106"/>
      <c r="J388" s="103">
        <f>IF($E$2="Monthly",
IF(AND($E$2="Monthly",$H388&lt;&gt;""),$H388,
IF(AND($E$2="Monthly",$E388=0),SUM($F388:$G388),
$E388)),
IF($E$2="Fortnightly",
IF(AND($E$2="Fortnightly",$H388&lt;&gt;""),$H388,
IF(AND($E$2="Fortnightly",$F388&lt;&gt;"",$E388&lt;&gt;0),$F388,
IF(AND($E$2="Fortnightly",$E388=0),SUM($F388:$G388),
$E388)))))</f>
        <v>75</v>
      </c>
      <c r="L388" s="113">
        <f>IF(AND($E$2="Monthly",$A388&gt;12),"",
IFERROR($J388*VLOOKUP($C388,'Employee information'!$B:$AI,COLUMNS('Employee information'!$B:$P),0),0))</f>
        <v>3697.576396206533</v>
      </c>
      <c r="M388" s="114">
        <f>IF(AND($E$2="Monthly",$A388&gt;12),"",
SUMIFS($L:$L,$C:$C,$C388,$A:$A,"&lt;="&amp;$A388)
)</f>
        <v>51766.069546891456</v>
      </c>
      <c r="O388" s="103">
        <f>IF($E$2="Monthly",
IF(AND($E$2="Monthly",$H388&lt;&gt;""),$H388,
IF(AND($E$2="Monthly",$E388=0),$F388,
$E388)),
IF($E$2="Fortnightly",
IF(AND($E$2="Fortnightly",$H388&lt;&gt;""),$H388,
IF(AND($E$2="Fortnightly",$F388&lt;&gt;"",$E388&lt;&gt;0),$F388,
IF(AND($E$2="Fortnightly",$E388=0),$F388,
$E388)))))</f>
        <v>75</v>
      </c>
      <c r="P388" s="113">
        <f>IFERROR(
IF(AND($E$2="Monthly",$A388&gt;12),0,
$O388*VLOOKUP($C388,'Employee information'!$B:$AI,COLUMNS('Employee information'!$B:$P),0)),
0)</f>
        <v>3697.576396206533</v>
      </c>
      <c r="R388" s="114">
        <f t="shared" ref="R388:R406" si="399">IF(AND($E$2="Monthly",$A388&gt;12),"",
SUMIFS($P:$P,$C:$C,$C388,$A:$A,"&lt;="&amp;$A388)
)</f>
        <v>51766.069546891456</v>
      </c>
      <c r="T388" s="281"/>
      <c r="U388" s="103"/>
      <c r="V388" s="282">
        <f>IF($C388="","",
IF(AND($E$2="Monthly",$A388&gt;12),"",
$T388*VLOOKUP($C388,'Employee information'!$B:$P,COLUMNS('Employee information'!$B:$P),0)))</f>
        <v>0</v>
      </c>
      <c r="W388" s="282">
        <f>IF($C388="","",
IF(AND($E$2="Monthly",$A388&gt;12),"",
$U388*VLOOKUP($C388,'Employee information'!$B:$P,COLUMNS('Employee information'!$B:$P),0)))</f>
        <v>0</v>
      </c>
      <c r="X388" s="114">
        <f t="shared" ref="X388:X406" si="400">IF(AND($E$2="Monthly",$A388&gt;12),"",
SUMIFS($V:$V,$C:$C,$C388,$A:$A,"&lt;="&amp;$A388)
)</f>
        <v>0</v>
      </c>
      <c r="Y388" s="114">
        <f t="shared" ref="Y388:Y406" si="401">IF(AND($E$2="Monthly",$A388&gt;12),"",
SUMIFS($W:$W,$C:$C,$C388,$A:$A,"&lt;="&amp;$A388)
)</f>
        <v>0</v>
      </c>
      <c r="AA388" s="118">
        <f>IFERROR(
IF(OR('Basic payroll data'!$D$12="",'Basic payroll data'!$D$12="No"),0,
$T388*VLOOKUP($C388,'Employee information'!$B:$P,COLUMNS('Employee information'!$B:$P),0)*AL_loading_perc),
0)</f>
        <v>0</v>
      </c>
      <c r="AC388" s="118"/>
      <c r="AD388" s="118"/>
      <c r="AE388" s="283" t="str">
        <f>IF(LEFT($AD388,6)="Is OTE",1,
IF(LEFT($AD388,10)="Is not OTE",0,
""))</f>
        <v/>
      </c>
      <c r="AF388" s="283" t="str">
        <f>IF(RIGHT($AD388,12)="tax withheld",1,
IF(RIGHT($AD388,16)="tax not withheld",0,
""))</f>
        <v/>
      </c>
      <c r="AG388" s="118"/>
      <c r="AH388" s="118"/>
      <c r="AI388" s="283" t="str">
        <f>IF($AH388="FBT",0,
IF($AH388="Not FBT",1,
""))</f>
        <v/>
      </c>
      <c r="AJ388" s="118"/>
      <c r="AK388" s="118"/>
      <c r="AM388" s="118">
        <f>SUM($L388,$AA388,$AC388,$AG388,$AK388)-$AJ388</f>
        <v>3697.576396206533</v>
      </c>
      <c r="AN388" s="118">
        <f t="shared" ref="AN388:AN406" si="402">IF(AND(OR($AF388=1,$AF388=""),OR($AI388=1,$AI388="")),SUM($L388,$AA388,$AC388,$AG388,$AK388)-$AJ388,
IF(AND(OR($AF388=1,$AF388=""),$AI388=0),SUM($L388,$AA388,$AC388,$AK388)-$AJ388,
IF(AND($AF388=0,OR($AI388=1,$AI388="")),SUM($L388,$AA388,$AG388,$AK388)-$AJ388,
IF(AND($AF388=0,$AI388=0),SUM($L388,$AA388,$AK388)-$AJ388,
""))))</f>
        <v>3697.576396206533</v>
      </c>
      <c r="AO388" s="118" t="str">
        <f>IFERROR(
IF(VLOOKUP($C388,'Employee information'!$B:$M,COLUMNS('Employee information'!$B:$M),0)=1,
IF($E$2="Fortnightly",
ROUND(
ROUND((((TRUNC($AN388/2,0)+0.99))*VLOOKUP((TRUNC($AN388/2,0)+0.99),'Tax scales - NAT 1004'!$A$12:$C$18,2,1)-VLOOKUP((TRUNC($AN388/2,0)+0.99),'Tax scales - NAT 1004'!$A$12:$C$18,3,1)),0)
*2,
0),
IF(AND($E$2="Monthly",ROUND($AN388-TRUNC($AN388),2)=0.33),
ROUND(
ROUND(((TRUNC(($AN388+0.01)*3/13,0)+0.99)*VLOOKUP((TRUNC(($AN388+0.01)*3/13,0)+0.99),'Tax scales - NAT 1004'!$A$12:$C$18,2,1)-VLOOKUP((TRUNC(($AN388+0.01)*3/13,0)+0.99),'Tax scales - NAT 1004'!$A$12:$C$18,3,1)),0)
*13/3,
0),
IF($E$2="Monthly",
ROUND(
ROUND(((TRUNC($AN388*3/13,0)+0.99)*VLOOKUP((TRUNC($AN388*3/13,0)+0.99),'Tax scales - NAT 1004'!$A$12:$C$18,2,1)-VLOOKUP((TRUNC($AN388*3/13,0)+0.99),'Tax scales - NAT 1004'!$A$12:$C$18,3,1)),0)
*13/3,
0),
""))),
""),
"")</f>
        <v/>
      </c>
      <c r="AP388" s="118" t="str">
        <f>IFERROR(
IF(VLOOKUP($C388,'Employee information'!$B:$M,COLUMNS('Employee information'!$B:$M),0)=2,
IF($E$2="Fortnightly",
ROUND(
ROUND((((TRUNC($AN388/2,0)+0.99))*VLOOKUP((TRUNC($AN388/2,0)+0.99),'Tax scales - NAT 1004'!$A$25:$C$33,2,1)-VLOOKUP((TRUNC($AN388/2,0)+0.99),'Tax scales - NAT 1004'!$A$25:$C$33,3,1)),0)
*2,
0),
IF(AND($E$2="Monthly",ROUND($AN388-TRUNC($AN388),2)=0.33),
ROUND(
ROUND(((TRUNC(($AN388+0.01)*3/13,0)+0.99)*VLOOKUP((TRUNC(($AN388+0.01)*3/13,0)+0.99),'Tax scales - NAT 1004'!$A$25:$C$33,2,1)-VLOOKUP((TRUNC(($AN388+0.01)*3/13,0)+0.99),'Tax scales - NAT 1004'!$A$25:$C$33,3,1)),0)
*13/3,
0),
IF($E$2="Monthly",
ROUND(
ROUND(((TRUNC($AN388*3/13,0)+0.99)*VLOOKUP((TRUNC($AN388*3/13,0)+0.99),'Tax scales - NAT 1004'!$A$25:$C$33,2,1)-VLOOKUP((TRUNC($AN388*3/13,0)+0.99),'Tax scales - NAT 1004'!$A$25:$C$33,3,1)),0)
*13/3,
0),
""))),
""),
"")</f>
        <v/>
      </c>
      <c r="AQ388" s="118" t="str">
        <f>IFERROR(
IF(VLOOKUP($C388,'Employee information'!$B:$M,COLUMNS('Employee information'!$B:$M),0)=3,
IF($E$2="Fortnightly",
ROUND(
ROUND((((TRUNC($AN388/2,0)+0.99))*VLOOKUP((TRUNC($AN388/2,0)+0.99),'Tax scales - NAT 1004'!$A$39:$C$41,2,1)-VLOOKUP((TRUNC($AN388/2,0)+0.99),'Tax scales - NAT 1004'!$A$39:$C$41,3,1)),0)
*2,
0),
IF(AND($E$2="Monthly",ROUND($AN388-TRUNC($AN388),2)=0.33),
ROUND(
ROUND(((TRUNC(($AN388+0.01)*3/13,0)+0.99)*VLOOKUP((TRUNC(($AN388+0.01)*3/13,0)+0.99),'Tax scales - NAT 1004'!$A$39:$C$41,2,1)-VLOOKUP((TRUNC(($AN388+0.01)*3/13,0)+0.99),'Tax scales - NAT 1004'!$A$39:$C$41,3,1)),0)
*13/3,
0),
IF($E$2="Monthly",
ROUND(
ROUND(((TRUNC($AN388*3/13,0)+0.99)*VLOOKUP((TRUNC($AN388*3/13,0)+0.99),'Tax scales - NAT 1004'!$A$39:$C$41,2,1)-VLOOKUP((TRUNC($AN388*3/13,0)+0.99),'Tax scales - NAT 1004'!$A$39:$C$41,3,1)),0)
*13/3,
0),
""))),
""),
"")</f>
        <v/>
      </c>
      <c r="AR388" s="118" t="str">
        <f>IFERROR(
IF(AND(VLOOKUP($C388,'Employee information'!$B:$M,COLUMNS('Employee information'!$B:$M),0)=4,
VLOOKUP($C388,'Employee information'!$B:$J,COLUMNS('Employee information'!$B:$J),0)="Resident"),
TRUNC(TRUNC($AN388)*'Tax scales - NAT 1004'!$B$47),
IF(AND(VLOOKUP($C388,'Employee information'!$B:$M,COLUMNS('Employee information'!$B:$M),0)=4,
VLOOKUP($C388,'Employee information'!$B:$J,COLUMNS('Employee information'!$B:$J),0)="Foreign resident"),
TRUNC(TRUNC($AN388)*'Tax scales - NAT 1004'!$B$48),
"")),
"")</f>
        <v/>
      </c>
      <c r="AS388" s="118" t="str">
        <f>IFERROR(
IF(VLOOKUP($C388,'Employee information'!$B:$M,COLUMNS('Employee information'!$B:$M),0)=5,
IF($E$2="Fortnightly",
ROUND(
ROUND((((TRUNC($AN388/2,0)+0.99))*VLOOKUP((TRUNC($AN388/2,0)+0.99),'Tax scales - NAT 1004'!$A$53:$C$59,2,1)-VLOOKUP((TRUNC($AN388/2,0)+0.99),'Tax scales - NAT 1004'!$A$53:$C$59,3,1)),0)
*2,
0),
IF(AND($E$2="Monthly",ROUND($AN388-TRUNC($AN388),2)=0.33),
ROUND(
ROUND(((TRUNC(($AN388+0.01)*3/13,0)+0.99)*VLOOKUP((TRUNC(($AN388+0.01)*3/13,0)+0.99),'Tax scales - NAT 1004'!$A$53:$C$59,2,1)-VLOOKUP((TRUNC(($AN388+0.01)*3/13,0)+0.99),'Tax scales - NAT 1004'!$A$53:$C$59,3,1)),0)
*13/3,
0),
IF($E$2="Monthly",
ROUND(
ROUND(((TRUNC($AN388*3/13,0)+0.99)*VLOOKUP((TRUNC($AN388*3/13,0)+0.99),'Tax scales - NAT 1004'!$A$53:$C$59,2,1)-VLOOKUP((TRUNC($AN388*3/13,0)+0.99),'Tax scales - NAT 1004'!$A$53:$C$59,3,1)),0)
*13/3,
0),
""))),
""),
"")</f>
        <v/>
      </c>
      <c r="AT388" s="118" t="str">
        <f>IFERROR(
IF(VLOOKUP($C388,'Employee information'!$B:$M,COLUMNS('Employee information'!$B:$M),0)=6,
IF($E$2="Fortnightly",
ROUND(
ROUND((((TRUNC($AN388/2,0)+0.99))*VLOOKUP((TRUNC($AN388/2,0)+0.99),'Tax scales - NAT 1004'!$A$65:$C$73,2,1)-VLOOKUP((TRUNC($AN388/2,0)+0.99),'Tax scales - NAT 1004'!$A$65:$C$73,3,1)),0)
*2,
0),
IF(AND($E$2="Monthly",ROUND($AN388-TRUNC($AN388),2)=0.33),
ROUND(
ROUND(((TRUNC(($AN388+0.01)*3/13,0)+0.99)*VLOOKUP((TRUNC(($AN388+0.01)*3/13,0)+0.99),'Tax scales - NAT 1004'!$A$65:$C$73,2,1)-VLOOKUP((TRUNC(($AN388+0.01)*3/13,0)+0.99),'Tax scales - NAT 1004'!$A$65:$C$73,3,1)),0)
*13/3,
0),
IF($E$2="Monthly",
ROUND(
ROUND(((TRUNC($AN388*3/13,0)+0.99)*VLOOKUP((TRUNC($AN388*3/13,0)+0.99),'Tax scales - NAT 1004'!$A$65:$C$73,2,1)-VLOOKUP((TRUNC($AN388*3/13,0)+0.99),'Tax scales - NAT 1004'!$A$65:$C$73,3,1)),0)
*13/3,
0),
""))),
""),
"")</f>
        <v/>
      </c>
      <c r="AU388" s="118">
        <f>IFERROR(
IF(VLOOKUP($C388,'Employee information'!$B:$M,COLUMNS('Employee information'!$B:$M),0)=11,
IF($E$2="Fortnightly",
ROUND(
ROUND((((TRUNC($AN388/2,0)+0.99))*VLOOKUP((TRUNC($AN388/2,0)+0.99),'Tax scales - NAT 3539'!$A$14:$C$38,2,1)-VLOOKUP((TRUNC($AN388/2,0)+0.99),'Tax scales - NAT 3539'!$A$14:$C$38,3,1)),0)
*2,
0),
IF(AND($E$2="Monthly",ROUND($AN388-TRUNC($AN388),2)=0.33),
ROUND(
ROUND(((TRUNC(($AN388+0.01)*3/13,0)+0.99)*VLOOKUP((TRUNC(($AN388+0.01)*3/13,0)+0.99),'Tax scales - NAT 3539'!$A$14:$C$38,2,1)-VLOOKUP((TRUNC(($AN388+0.01)*3/13,0)+0.99),'Tax scales - NAT 3539'!$A$14:$C$38,3,1)),0)
*13/3,
0),
IF($E$2="Monthly",
ROUND(
ROUND(((TRUNC($AN388*3/13,0)+0.99)*VLOOKUP((TRUNC($AN388*3/13,0)+0.99),'Tax scales - NAT 3539'!$A$14:$C$38,2,1)-VLOOKUP((TRUNC($AN388*3/13,0)+0.99),'Tax scales - NAT 3539'!$A$14:$C$38,3,1)),0)
*13/3,
0),
""))),
""),
"")</f>
        <v>1448</v>
      </c>
      <c r="AV388" s="118" t="str">
        <f>IFERROR(
IF(VLOOKUP($C388,'Employee information'!$B:$M,COLUMNS('Employee information'!$B:$M),0)=22,
IF($E$2="Fortnightly",
ROUND(
ROUND((((TRUNC($AN388/2,0)+0.99))*VLOOKUP((TRUNC($AN388/2,0)+0.99),'Tax scales - NAT 3539'!$A$43:$C$69,2,1)-VLOOKUP((TRUNC($AN388/2,0)+0.99),'Tax scales - NAT 3539'!$A$43:$C$69,3,1)),0)
*2,
0),
IF(AND($E$2="Monthly",ROUND($AN388-TRUNC($AN388),2)=0.33),
ROUND(
ROUND(((TRUNC(($AN388+0.01)*3/13,0)+0.99)*VLOOKUP((TRUNC(($AN388+0.01)*3/13,0)+0.99),'Tax scales - NAT 3539'!$A$43:$C$69,2,1)-VLOOKUP((TRUNC(($AN388+0.01)*3/13,0)+0.99),'Tax scales - NAT 3539'!$A$43:$C$69,3,1)),0)
*13/3,
0),
IF($E$2="Monthly",
ROUND(
ROUND(((TRUNC($AN388*3/13,0)+0.99)*VLOOKUP((TRUNC($AN388*3/13,0)+0.99),'Tax scales - NAT 3539'!$A$43:$C$69,2,1)-VLOOKUP((TRUNC($AN388*3/13,0)+0.99),'Tax scales - NAT 3539'!$A$43:$C$69,3,1)),0)
*13/3,
0),
""))),
""),
"")</f>
        <v/>
      </c>
      <c r="AW388" s="118" t="str">
        <f>IFERROR(
IF(VLOOKUP($C388,'Employee information'!$B:$M,COLUMNS('Employee information'!$B:$M),0)=33,
IF($E$2="Fortnightly",
ROUND(
ROUND((((TRUNC($AN388/2,0)+0.99))*VLOOKUP((TRUNC($AN388/2,0)+0.99),'Tax scales - NAT 3539'!$A$74:$C$94,2,1)-VLOOKUP((TRUNC($AN388/2,0)+0.99),'Tax scales - NAT 3539'!$A$74:$C$94,3,1)),0)
*2,
0),
IF(AND($E$2="Monthly",ROUND($AN388-TRUNC($AN388),2)=0.33),
ROUND(
ROUND(((TRUNC(($AN388+0.01)*3/13,0)+0.99)*VLOOKUP((TRUNC(($AN388+0.01)*3/13,0)+0.99),'Tax scales - NAT 3539'!$A$74:$C$94,2,1)-VLOOKUP((TRUNC(($AN388+0.01)*3/13,0)+0.99),'Tax scales - NAT 3539'!$A$74:$C$94,3,1)),0)
*13/3,
0),
IF($E$2="Monthly",
ROUND(
ROUND(((TRUNC($AN388*3/13,0)+0.99)*VLOOKUP((TRUNC($AN388*3/13,0)+0.99),'Tax scales - NAT 3539'!$A$74:$C$94,2,1)-VLOOKUP((TRUNC($AN388*3/13,0)+0.99),'Tax scales - NAT 3539'!$A$74:$C$94,3,1)),0)
*13/3,
0),
""))),
""),
"")</f>
        <v/>
      </c>
      <c r="AX388" s="118" t="str">
        <f>IFERROR(
IF(VLOOKUP($C388,'Employee information'!$B:$M,COLUMNS('Employee information'!$B:$M),0)=55,
IF($E$2="Fortnightly",
ROUND(
ROUND((((TRUNC($AN388/2,0)+0.99))*VLOOKUP((TRUNC($AN388/2,0)+0.99),'Tax scales - NAT 3539'!$A$99:$C$123,2,1)-VLOOKUP((TRUNC($AN388/2,0)+0.99),'Tax scales - NAT 3539'!$A$99:$C$123,3,1)),0)
*2,
0),
IF(AND($E$2="Monthly",ROUND($AN388-TRUNC($AN388),2)=0.33),
ROUND(
ROUND(((TRUNC(($AN388+0.01)*3/13,0)+0.99)*VLOOKUP((TRUNC(($AN388+0.01)*3/13,0)+0.99),'Tax scales - NAT 3539'!$A$99:$C$123,2,1)-VLOOKUP((TRUNC(($AN388+0.01)*3/13,0)+0.99),'Tax scales - NAT 3539'!$A$99:$C$123,3,1)),0)
*13/3,
0),
IF($E$2="Monthly",
ROUND(
ROUND(((TRUNC($AN388*3/13,0)+0.99)*VLOOKUP((TRUNC($AN388*3/13,0)+0.99),'Tax scales - NAT 3539'!$A$99:$C$123,2,1)-VLOOKUP((TRUNC($AN388*3/13,0)+0.99),'Tax scales - NAT 3539'!$A$99:$C$123,3,1)),0)
*13/3,
0),
""))),
""),
"")</f>
        <v/>
      </c>
      <c r="AY388" s="118" t="str">
        <f>IFERROR(
IF(VLOOKUP($C388,'Employee information'!$B:$M,COLUMNS('Employee information'!$B:$M),0)=66,
IF($E$2="Fortnightly",
ROUND(
ROUND((((TRUNC($AN388/2,0)+0.99))*VLOOKUP((TRUNC($AN388/2,0)+0.99),'Tax scales - NAT 3539'!$A$127:$C$154,2,1)-VLOOKUP((TRUNC($AN388/2,0)+0.99),'Tax scales - NAT 3539'!$A$127:$C$154,3,1)),0)
*2,
0),
IF(AND($E$2="Monthly",ROUND($AN388-TRUNC($AN388),2)=0.33),
ROUND(
ROUND(((TRUNC(($AN388+0.01)*3/13,0)+0.99)*VLOOKUP((TRUNC(($AN388+0.01)*3/13,0)+0.99),'Tax scales - NAT 3539'!$A$127:$C$154,2,1)-VLOOKUP((TRUNC(($AN388+0.01)*3/13,0)+0.99),'Tax scales - NAT 3539'!$A$127:$C$154,3,1)),0)
*13/3,
0),
IF($E$2="Monthly",
ROUND(
ROUND(((TRUNC($AN388*3/13,0)+0.99)*VLOOKUP((TRUNC($AN388*3/13,0)+0.99),'Tax scales - NAT 3539'!$A$127:$C$154,2,1)-VLOOKUP((TRUNC($AN388*3/13,0)+0.99),'Tax scales - NAT 3539'!$A$127:$C$154,3,1)),0)
*13/3,
0),
""))),
""),
"")</f>
        <v/>
      </c>
      <c r="AZ388" s="118">
        <f>IFERROR(
HLOOKUP(VLOOKUP($C388,'Employee information'!$B:$M,COLUMNS('Employee information'!$B:$M),0),'PAYG worksheet'!$AO$387:$AY$406,COUNTA($C$388:$C388)+1,0),
0)</f>
        <v>1448</v>
      </c>
      <c r="BA388" s="118"/>
      <c r="BB388" s="118">
        <f>IFERROR($AM388-$AZ388-$BA388,"")</f>
        <v>2249.576396206533</v>
      </c>
      <c r="BC388" s="119">
        <f>IFERROR(
IF(OR($AE388=1,$AE388=""),SUM($P388,$AA388,$AC388,$AK388)*VLOOKUP($C388,'Employee information'!$B:$Q,COLUMNS('Employee information'!$B:$H),0),
IF($AE388=0,SUM($P388,$AA388,$AK388)*VLOOKUP($C388,'Employee information'!$B:$Q,COLUMNS('Employee information'!$B:$H),0),
0)),
0)</f>
        <v>351.26975763962065</v>
      </c>
      <c r="BE388" s="114">
        <f t="shared" ref="BE388:BE406" si="403">IF(AND($E$2="Monthly",$A388&gt;12),"",
SUMIFS($AM:$AM,$C:$C,$C388,$A:$A,"&lt;="&amp;$A388)
)</f>
        <v>51766.069546891456</v>
      </c>
      <c r="BF388" s="114">
        <f t="shared" ref="BF388:BF406" si="404">IF(AND($E$2="Monthly",$A388&gt;12),"",
SUMIFS($AN:$AN,$C:$C,$C388,$A:$A,"&lt;="&amp;$A388)
)</f>
        <v>51766.069546891456</v>
      </c>
      <c r="BG388" s="114">
        <f t="shared" ref="BG388:BG406" si="405">IF(AND($E$2="Monthly",$A388&gt;12),"",
SUMIFS($AC:$AC,$C:$C,$C388,$A:$A,"&lt;="&amp;$A388)
)</f>
        <v>0</v>
      </c>
      <c r="BH388" s="114">
        <f t="shared" ref="BH388:BH406" si="406">IF(AND($E$2="Monthly",$A388&gt;12),"",
SUMIFS($AG:$AG,$C:$C,$C388,$A:$A,"&lt;="&amp;$A388)
)</f>
        <v>0</v>
      </c>
      <c r="BI388" s="114">
        <f t="shared" ref="BI388:BI406" si="407">IF(AND($E$2="Monthly",$A388&gt;12),"",
SUMIFS($AZ:$AZ,$C:$C,$C388,$A:$A,"&lt;="&amp;$A388)
)</f>
        <v>20272</v>
      </c>
      <c r="BJ388" s="114">
        <f t="shared" ref="BJ388:BJ406" si="408">IF(AND($E$2="Monthly",$A388&gt;12),"",
SUMIFS($BA:$BA,$C:$C,$C388,$A:$A,"&lt;="&amp;$A388)
)</f>
        <v>0</v>
      </c>
      <c r="BK388" s="114">
        <f t="shared" ref="BK388:BK406" si="409">IF(AND($E$2="Monthly",$A388&gt;12),"",
SUMIFS($AJ:$AJ,$C:$C,$C388,$A:$A,"&lt;="&amp;$A388)
)</f>
        <v>0</v>
      </c>
      <c r="BL388" s="114">
        <f>IF(AND($E$2="Monthly",$A388&gt;12),"",
SUMIFS($AK:$AK,$C:$C,$C388,$A:$A,"&lt;="&amp;$A388)
)</f>
        <v>0</v>
      </c>
      <c r="BM388" s="114">
        <f t="shared" ref="BM388:BM406" si="410">IF(AND($E$2="Monthly",$A388&gt;12),"",
SUMIFS($BC:$BC,$C:$C,$C388,$A:$A,"&lt;="&amp;$A388)
)</f>
        <v>4917.7766069546897</v>
      </c>
    </row>
    <row r="389" spans="1:65" x14ac:dyDescent="0.25">
      <c r="A389" s="228">
        <f t="shared" si="398"/>
        <v>14</v>
      </c>
      <c r="C389" s="278" t="s">
        <v>13</v>
      </c>
      <c r="E389" s="103">
        <f>IF($C389="",0,
IF(AND($E$2="Monthly",$A389&gt;12),0,
IF($E$2="Monthly",VLOOKUP($C389,'Employee information'!$B:$AM,COLUMNS('Employee information'!$B:S),0),
IF($E$2="Fortnightly",VLOOKUP($C389,'Employee information'!$B:$AM,COLUMNS('Employee information'!$B:R),0),
0))))</f>
        <v>0</v>
      </c>
      <c r="F389" s="106"/>
      <c r="G389" s="106"/>
      <c r="H389" s="106"/>
      <c r="I389" s="106"/>
      <c r="J389" s="103">
        <f t="shared" ref="J389:J406" si="411">IF($E$2="Monthly",
IF(AND($E$2="Monthly",$H389&lt;&gt;""),$H389,
IF(AND($E$2="Monthly",$E389=0),SUM($F389:$G389),
$E389)),
IF($E$2="Fortnightly",
IF(AND($E$2="Fortnightly",$H389&lt;&gt;""),$H389,
IF(AND($E$2="Fortnightly",$F389&lt;&gt;"",$E389&lt;&gt;0),$F389,
IF(AND($E$2="Fortnightly",$E389=0),SUM($F389:$G389),
$E389)))))</f>
        <v>0</v>
      </c>
      <c r="L389" s="113">
        <f>IF(AND($E$2="Monthly",$A389&gt;12),"",
IFERROR($J389*VLOOKUP($C389,'Employee information'!$B:$AI,COLUMNS('Employee information'!$B:$P),0),0))</f>
        <v>0</v>
      </c>
      <c r="M389" s="114">
        <f t="shared" ref="M389:M406" si="412">IF(AND($E$2="Monthly",$A389&gt;12),"",
SUMIFS($L:$L,$C:$C,$C389,$A:$A,"&lt;="&amp;$A389)
)</f>
        <v>1615.3846153846152</v>
      </c>
      <c r="O389" s="103">
        <f t="shared" ref="O389:O406" si="413">IF($E$2="Monthly",
IF(AND($E$2="Monthly",$H389&lt;&gt;""),$H389,
IF(AND($E$2="Monthly",$E389=0),$F389,
$E389)),
IF($E$2="Fortnightly",
IF(AND($E$2="Fortnightly",$H389&lt;&gt;""),$H389,
IF(AND($E$2="Fortnightly",$F389&lt;&gt;"",$E389&lt;&gt;0),$F389,
IF(AND($E$2="Fortnightly",$E389=0),$F389,
$E389)))))</f>
        <v>0</v>
      </c>
      <c r="P389" s="113">
        <f>IFERROR(
IF(AND($E$2="Monthly",$A389&gt;12),0,
$O389*VLOOKUP($C389,'Employee information'!$B:$AI,COLUMNS('Employee information'!$B:$P),0)),
0)</f>
        <v>0</v>
      </c>
      <c r="R389" s="114">
        <f t="shared" si="399"/>
        <v>1615.3846153846152</v>
      </c>
      <c r="T389" s="103"/>
      <c r="U389" s="103"/>
      <c r="V389" s="282">
        <f>IF($C389="","",
IF(AND($E$2="Monthly",$A389&gt;12),"",
$T389*VLOOKUP($C389,'Employee information'!$B:$P,COLUMNS('Employee information'!$B:$P),0)))</f>
        <v>0</v>
      </c>
      <c r="W389" s="282">
        <f>IF($C389="","",
IF(AND($E$2="Monthly",$A389&gt;12),"",
$U389*VLOOKUP($C389,'Employee information'!$B:$P,COLUMNS('Employee information'!$B:$P),0)))</f>
        <v>0</v>
      </c>
      <c r="X389" s="114">
        <f t="shared" si="400"/>
        <v>0</v>
      </c>
      <c r="Y389" s="114">
        <f t="shared" si="401"/>
        <v>288.46153846153845</v>
      </c>
      <c r="AA389" s="118">
        <f>IFERROR(
IF(OR('Basic payroll data'!$D$12="",'Basic payroll data'!$D$12="No"),0,
$T389*VLOOKUP($C389,'Employee information'!$B:$P,COLUMNS('Employee information'!$B:$P),0)*AL_loading_perc),
0)</f>
        <v>0</v>
      </c>
      <c r="AC389" s="118"/>
      <c r="AD389" s="118"/>
      <c r="AE389" s="283" t="str">
        <f t="shared" ref="AE389:AE406" si="414">IF(LEFT($AD389,6)="Is OTE",1,
IF(LEFT($AD389,10)="Is not OTE",0,
""))</f>
        <v/>
      </c>
      <c r="AF389" s="283" t="str">
        <f t="shared" ref="AF389:AF406" si="415">IF(RIGHT($AD389,12)="tax withheld",1,
IF(RIGHT($AD389,16)="tax not withheld",0,
""))</f>
        <v/>
      </c>
      <c r="AG389" s="118"/>
      <c r="AH389" s="118"/>
      <c r="AI389" s="283" t="str">
        <f t="shared" ref="AI389:AI406" si="416">IF($AH389="FBT",0,
IF($AH389="Not FBT",1,
""))</f>
        <v/>
      </c>
      <c r="AJ389" s="118"/>
      <c r="AK389" s="118"/>
      <c r="AM389" s="118">
        <f t="shared" ref="AM389:AM406" si="417">SUM($L389,$AA389,$AC389,$AG389,$AK389)-$AJ389</f>
        <v>0</v>
      </c>
      <c r="AN389" s="118">
        <f t="shared" si="402"/>
        <v>0</v>
      </c>
      <c r="AO389" s="118" t="str">
        <f>IFERROR(
IF(VLOOKUP($C389,'Employee information'!$B:$M,COLUMNS('Employee information'!$B:$M),0)=1,
IF($E$2="Fortnightly",
ROUND(
ROUND((((TRUNC($AN389/2,0)+0.99))*VLOOKUP((TRUNC($AN389/2,0)+0.99),'Tax scales - NAT 1004'!$A$12:$C$18,2,1)-VLOOKUP((TRUNC($AN389/2,0)+0.99),'Tax scales - NAT 1004'!$A$12:$C$18,3,1)),0)
*2,
0),
IF(AND($E$2="Monthly",ROUND($AN389-TRUNC($AN389),2)=0.33),
ROUND(
ROUND(((TRUNC(($AN389+0.01)*3/13,0)+0.99)*VLOOKUP((TRUNC(($AN389+0.01)*3/13,0)+0.99),'Tax scales - NAT 1004'!$A$12:$C$18,2,1)-VLOOKUP((TRUNC(($AN389+0.01)*3/13,0)+0.99),'Tax scales - NAT 1004'!$A$12:$C$18,3,1)),0)
*13/3,
0),
IF($E$2="Monthly",
ROUND(
ROUND(((TRUNC($AN389*3/13,0)+0.99)*VLOOKUP((TRUNC($AN389*3/13,0)+0.99),'Tax scales - NAT 1004'!$A$12:$C$18,2,1)-VLOOKUP((TRUNC($AN389*3/13,0)+0.99),'Tax scales - NAT 1004'!$A$12:$C$18,3,1)),0)
*13/3,
0),
""))),
""),
"")</f>
        <v/>
      </c>
      <c r="AP389" s="118" t="str">
        <f>IFERROR(
IF(VLOOKUP($C389,'Employee information'!$B:$M,COLUMNS('Employee information'!$B:$M),0)=2,
IF($E$2="Fortnightly",
ROUND(
ROUND((((TRUNC($AN389/2,0)+0.99))*VLOOKUP((TRUNC($AN389/2,0)+0.99),'Tax scales - NAT 1004'!$A$25:$C$33,2,1)-VLOOKUP((TRUNC($AN389/2,0)+0.99),'Tax scales - NAT 1004'!$A$25:$C$33,3,1)),0)
*2,
0),
IF(AND($E$2="Monthly",ROUND($AN389-TRUNC($AN389),2)=0.33),
ROUND(
ROUND(((TRUNC(($AN389+0.01)*3/13,0)+0.99)*VLOOKUP((TRUNC(($AN389+0.01)*3/13,0)+0.99),'Tax scales - NAT 1004'!$A$25:$C$33,2,1)-VLOOKUP((TRUNC(($AN389+0.01)*3/13,0)+0.99),'Tax scales - NAT 1004'!$A$25:$C$33,3,1)),0)
*13/3,
0),
IF($E$2="Monthly",
ROUND(
ROUND(((TRUNC($AN389*3/13,0)+0.99)*VLOOKUP((TRUNC($AN389*3/13,0)+0.99),'Tax scales - NAT 1004'!$A$25:$C$33,2,1)-VLOOKUP((TRUNC($AN389*3/13,0)+0.99),'Tax scales - NAT 1004'!$A$25:$C$33,3,1)),0)
*13/3,
0),
""))),
""),
"")</f>
        <v/>
      </c>
      <c r="AQ389" s="118" t="str">
        <f>IFERROR(
IF(VLOOKUP($C389,'Employee information'!$B:$M,COLUMNS('Employee information'!$B:$M),0)=3,
IF($E$2="Fortnightly",
ROUND(
ROUND((((TRUNC($AN389/2,0)+0.99))*VLOOKUP((TRUNC($AN389/2,0)+0.99),'Tax scales - NAT 1004'!$A$39:$C$41,2,1)-VLOOKUP((TRUNC($AN389/2,0)+0.99),'Tax scales - NAT 1004'!$A$39:$C$41,3,1)),0)
*2,
0),
IF(AND($E$2="Monthly",ROUND($AN389-TRUNC($AN389),2)=0.33),
ROUND(
ROUND(((TRUNC(($AN389+0.01)*3/13,0)+0.99)*VLOOKUP((TRUNC(($AN389+0.01)*3/13,0)+0.99),'Tax scales - NAT 1004'!$A$39:$C$41,2,1)-VLOOKUP((TRUNC(($AN389+0.01)*3/13,0)+0.99),'Tax scales - NAT 1004'!$A$39:$C$41,3,1)),0)
*13/3,
0),
IF($E$2="Monthly",
ROUND(
ROUND(((TRUNC($AN389*3/13,0)+0.99)*VLOOKUP((TRUNC($AN389*3/13,0)+0.99),'Tax scales - NAT 1004'!$A$39:$C$41,2,1)-VLOOKUP((TRUNC($AN389*3/13,0)+0.99),'Tax scales - NAT 1004'!$A$39:$C$41,3,1)),0)
*13/3,
0),
""))),
""),
"")</f>
        <v/>
      </c>
      <c r="AR389" s="118" t="str">
        <f>IFERROR(
IF(AND(VLOOKUP($C389,'Employee information'!$B:$M,COLUMNS('Employee information'!$B:$M),0)=4,
VLOOKUP($C389,'Employee information'!$B:$J,COLUMNS('Employee information'!$B:$J),0)="Resident"),
TRUNC(TRUNC($AN389)*'Tax scales - NAT 1004'!$B$47),
IF(AND(VLOOKUP($C389,'Employee information'!$B:$M,COLUMNS('Employee information'!$B:$M),0)=4,
VLOOKUP($C389,'Employee information'!$B:$J,COLUMNS('Employee information'!$B:$J),0)="Foreign resident"),
TRUNC(TRUNC($AN389)*'Tax scales - NAT 1004'!$B$48),
"")),
"")</f>
        <v/>
      </c>
      <c r="AS389" s="118" t="str">
        <f>IFERROR(
IF(VLOOKUP($C389,'Employee information'!$B:$M,COLUMNS('Employee information'!$B:$M),0)=5,
IF($E$2="Fortnightly",
ROUND(
ROUND((((TRUNC($AN389/2,0)+0.99))*VLOOKUP((TRUNC($AN389/2,0)+0.99),'Tax scales - NAT 1004'!$A$53:$C$59,2,1)-VLOOKUP((TRUNC($AN389/2,0)+0.99),'Tax scales - NAT 1004'!$A$53:$C$59,3,1)),0)
*2,
0),
IF(AND($E$2="Monthly",ROUND($AN389-TRUNC($AN389),2)=0.33),
ROUND(
ROUND(((TRUNC(($AN389+0.01)*3/13,0)+0.99)*VLOOKUP((TRUNC(($AN389+0.01)*3/13,0)+0.99),'Tax scales - NAT 1004'!$A$53:$C$59,2,1)-VLOOKUP((TRUNC(($AN389+0.01)*3/13,0)+0.99),'Tax scales - NAT 1004'!$A$53:$C$59,3,1)),0)
*13/3,
0),
IF($E$2="Monthly",
ROUND(
ROUND(((TRUNC($AN389*3/13,0)+0.99)*VLOOKUP((TRUNC($AN389*3/13,0)+0.99),'Tax scales - NAT 1004'!$A$53:$C$59,2,1)-VLOOKUP((TRUNC($AN389*3/13,0)+0.99),'Tax scales - NAT 1004'!$A$53:$C$59,3,1)),0)
*13/3,
0),
""))),
""),
"")</f>
        <v/>
      </c>
      <c r="AT389" s="118" t="str">
        <f>IFERROR(
IF(VLOOKUP($C389,'Employee information'!$B:$M,COLUMNS('Employee information'!$B:$M),0)=6,
IF($E$2="Fortnightly",
ROUND(
ROUND((((TRUNC($AN389/2,0)+0.99))*VLOOKUP((TRUNC($AN389/2,0)+0.99),'Tax scales - NAT 1004'!$A$65:$C$73,2,1)-VLOOKUP((TRUNC($AN389/2,0)+0.99),'Tax scales - NAT 1004'!$A$65:$C$73,3,1)),0)
*2,
0),
IF(AND($E$2="Monthly",ROUND($AN389-TRUNC($AN389),2)=0.33),
ROUND(
ROUND(((TRUNC(($AN389+0.01)*3/13,0)+0.99)*VLOOKUP((TRUNC(($AN389+0.01)*3/13,0)+0.99),'Tax scales - NAT 1004'!$A$65:$C$73,2,1)-VLOOKUP((TRUNC(($AN389+0.01)*3/13,0)+0.99),'Tax scales - NAT 1004'!$A$65:$C$73,3,1)),0)
*13/3,
0),
IF($E$2="Monthly",
ROUND(
ROUND(((TRUNC($AN389*3/13,0)+0.99)*VLOOKUP((TRUNC($AN389*3/13,0)+0.99),'Tax scales - NAT 1004'!$A$65:$C$73,2,1)-VLOOKUP((TRUNC($AN389*3/13,0)+0.99),'Tax scales - NAT 1004'!$A$65:$C$73,3,1)),0)
*13/3,
0),
""))),
""),
"")</f>
        <v/>
      </c>
      <c r="AU389" s="118">
        <f>IFERROR(
IF(VLOOKUP($C389,'Employee information'!$B:$M,COLUMNS('Employee information'!$B:$M),0)=11,
IF($E$2="Fortnightly",
ROUND(
ROUND((((TRUNC($AN389/2,0)+0.99))*VLOOKUP((TRUNC($AN389/2,0)+0.99),'Tax scales - NAT 3539'!$A$14:$C$38,2,1)-VLOOKUP((TRUNC($AN389/2,0)+0.99),'Tax scales - NAT 3539'!$A$14:$C$38,3,1)),0)
*2,
0),
IF(AND($E$2="Monthly",ROUND($AN389-TRUNC($AN389),2)=0.33),
ROUND(
ROUND(((TRUNC(($AN389+0.01)*3/13,0)+0.99)*VLOOKUP((TRUNC(($AN389+0.01)*3/13,0)+0.99),'Tax scales - NAT 3539'!$A$14:$C$38,2,1)-VLOOKUP((TRUNC(($AN389+0.01)*3/13,0)+0.99),'Tax scales - NAT 3539'!$A$14:$C$38,3,1)),0)
*13/3,
0),
IF($E$2="Monthly",
ROUND(
ROUND(((TRUNC($AN389*3/13,0)+0.99)*VLOOKUP((TRUNC($AN389*3/13,0)+0.99),'Tax scales - NAT 3539'!$A$14:$C$38,2,1)-VLOOKUP((TRUNC($AN389*3/13,0)+0.99),'Tax scales - NAT 3539'!$A$14:$C$38,3,1)),0)
*13/3,
0),
""))),
""),
"")</f>
        <v>0</v>
      </c>
      <c r="AV389" s="118" t="str">
        <f>IFERROR(
IF(VLOOKUP($C389,'Employee information'!$B:$M,COLUMNS('Employee information'!$B:$M),0)=22,
IF($E$2="Fortnightly",
ROUND(
ROUND((((TRUNC($AN389/2,0)+0.99))*VLOOKUP((TRUNC($AN389/2,0)+0.99),'Tax scales - NAT 3539'!$A$43:$C$69,2,1)-VLOOKUP((TRUNC($AN389/2,0)+0.99),'Tax scales - NAT 3539'!$A$43:$C$69,3,1)),0)
*2,
0),
IF(AND($E$2="Monthly",ROUND($AN389-TRUNC($AN389),2)=0.33),
ROUND(
ROUND(((TRUNC(($AN389+0.01)*3/13,0)+0.99)*VLOOKUP((TRUNC(($AN389+0.01)*3/13,0)+0.99),'Tax scales - NAT 3539'!$A$43:$C$69,2,1)-VLOOKUP((TRUNC(($AN389+0.01)*3/13,0)+0.99),'Tax scales - NAT 3539'!$A$43:$C$69,3,1)),0)
*13/3,
0),
IF($E$2="Monthly",
ROUND(
ROUND(((TRUNC($AN389*3/13,0)+0.99)*VLOOKUP((TRUNC($AN389*3/13,0)+0.99),'Tax scales - NAT 3539'!$A$43:$C$69,2,1)-VLOOKUP((TRUNC($AN389*3/13,0)+0.99),'Tax scales - NAT 3539'!$A$43:$C$69,3,1)),0)
*13/3,
0),
""))),
""),
"")</f>
        <v/>
      </c>
      <c r="AW389" s="118" t="str">
        <f>IFERROR(
IF(VLOOKUP($C389,'Employee information'!$B:$M,COLUMNS('Employee information'!$B:$M),0)=33,
IF($E$2="Fortnightly",
ROUND(
ROUND((((TRUNC($AN389/2,0)+0.99))*VLOOKUP((TRUNC($AN389/2,0)+0.99),'Tax scales - NAT 3539'!$A$74:$C$94,2,1)-VLOOKUP((TRUNC($AN389/2,0)+0.99),'Tax scales - NAT 3539'!$A$74:$C$94,3,1)),0)
*2,
0),
IF(AND($E$2="Monthly",ROUND($AN389-TRUNC($AN389),2)=0.33),
ROUND(
ROUND(((TRUNC(($AN389+0.01)*3/13,0)+0.99)*VLOOKUP((TRUNC(($AN389+0.01)*3/13,0)+0.99),'Tax scales - NAT 3539'!$A$74:$C$94,2,1)-VLOOKUP((TRUNC(($AN389+0.01)*3/13,0)+0.99),'Tax scales - NAT 3539'!$A$74:$C$94,3,1)),0)
*13/3,
0),
IF($E$2="Monthly",
ROUND(
ROUND(((TRUNC($AN389*3/13,0)+0.99)*VLOOKUP((TRUNC($AN389*3/13,0)+0.99),'Tax scales - NAT 3539'!$A$74:$C$94,2,1)-VLOOKUP((TRUNC($AN389*3/13,0)+0.99),'Tax scales - NAT 3539'!$A$74:$C$94,3,1)),0)
*13/3,
0),
""))),
""),
"")</f>
        <v/>
      </c>
      <c r="AX389" s="118" t="str">
        <f>IFERROR(
IF(VLOOKUP($C389,'Employee information'!$B:$M,COLUMNS('Employee information'!$B:$M),0)=55,
IF($E$2="Fortnightly",
ROUND(
ROUND((((TRUNC($AN389/2,0)+0.99))*VLOOKUP((TRUNC($AN389/2,0)+0.99),'Tax scales - NAT 3539'!$A$99:$C$123,2,1)-VLOOKUP((TRUNC($AN389/2,0)+0.99),'Tax scales - NAT 3539'!$A$99:$C$123,3,1)),0)
*2,
0),
IF(AND($E$2="Monthly",ROUND($AN389-TRUNC($AN389),2)=0.33),
ROUND(
ROUND(((TRUNC(($AN389+0.01)*3/13,0)+0.99)*VLOOKUP((TRUNC(($AN389+0.01)*3/13,0)+0.99),'Tax scales - NAT 3539'!$A$99:$C$123,2,1)-VLOOKUP((TRUNC(($AN389+0.01)*3/13,0)+0.99),'Tax scales - NAT 3539'!$A$99:$C$123,3,1)),0)
*13/3,
0),
IF($E$2="Monthly",
ROUND(
ROUND(((TRUNC($AN389*3/13,0)+0.99)*VLOOKUP((TRUNC($AN389*3/13,0)+0.99),'Tax scales - NAT 3539'!$A$99:$C$123,2,1)-VLOOKUP((TRUNC($AN389*3/13,0)+0.99),'Tax scales - NAT 3539'!$A$99:$C$123,3,1)),0)
*13/3,
0),
""))),
""),
"")</f>
        <v/>
      </c>
      <c r="AY389" s="118" t="str">
        <f>IFERROR(
IF(VLOOKUP($C389,'Employee information'!$B:$M,COLUMNS('Employee information'!$B:$M),0)=66,
IF($E$2="Fortnightly",
ROUND(
ROUND((((TRUNC($AN389/2,0)+0.99))*VLOOKUP((TRUNC($AN389/2,0)+0.99),'Tax scales - NAT 3539'!$A$127:$C$154,2,1)-VLOOKUP((TRUNC($AN389/2,0)+0.99),'Tax scales - NAT 3539'!$A$127:$C$154,3,1)),0)
*2,
0),
IF(AND($E$2="Monthly",ROUND($AN389-TRUNC($AN389),2)=0.33),
ROUND(
ROUND(((TRUNC(($AN389+0.01)*3/13,0)+0.99)*VLOOKUP((TRUNC(($AN389+0.01)*3/13,0)+0.99),'Tax scales - NAT 3539'!$A$127:$C$154,2,1)-VLOOKUP((TRUNC(($AN389+0.01)*3/13,0)+0.99),'Tax scales - NAT 3539'!$A$127:$C$154,3,1)),0)
*13/3,
0),
IF($E$2="Monthly",
ROUND(
ROUND(((TRUNC($AN389*3/13,0)+0.99)*VLOOKUP((TRUNC($AN389*3/13,0)+0.99),'Tax scales - NAT 3539'!$A$127:$C$154,2,1)-VLOOKUP((TRUNC($AN389*3/13,0)+0.99),'Tax scales - NAT 3539'!$A$127:$C$154,3,1)),0)
*13/3,
0),
""))),
""),
"")</f>
        <v/>
      </c>
      <c r="AZ389" s="118">
        <f>IFERROR(
HLOOKUP(VLOOKUP($C389,'Employee information'!$B:$M,COLUMNS('Employee information'!$B:$M),0),'PAYG worksheet'!$AO$387:$AY$406,COUNTA($C$388:$C389)+1,0),
0)</f>
        <v>0</v>
      </c>
      <c r="BA389" s="118"/>
      <c r="BB389" s="118">
        <f t="shared" ref="BB389:BB406" si="418">IFERROR($AM389-$AZ389-$BA389,"")</f>
        <v>0</v>
      </c>
      <c r="BC389" s="119">
        <f>IFERROR(
IF(OR($AE389=1,$AE389=""),SUM($P389,$AA389,$AC389,$AK389)*VLOOKUP($C389,'Employee information'!$B:$Q,COLUMNS('Employee information'!$B:$H),0),
IF($AE389=0,SUM($P389,$AA389,$AK389)*VLOOKUP($C389,'Employee information'!$B:$Q,COLUMNS('Employee information'!$B:$H),0),
0)),
0)</f>
        <v>0</v>
      </c>
      <c r="BE389" s="114">
        <f t="shared" si="403"/>
        <v>1615.3846153846152</v>
      </c>
      <c r="BF389" s="114">
        <f t="shared" si="404"/>
        <v>1615.3846153846152</v>
      </c>
      <c r="BG389" s="114">
        <f t="shared" si="405"/>
        <v>0</v>
      </c>
      <c r="BH389" s="114">
        <f t="shared" si="406"/>
        <v>0</v>
      </c>
      <c r="BI389" s="114">
        <f t="shared" si="407"/>
        <v>474</v>
      </c>
      <c r="BJ389" s="114">
        <f t="shared" si="408"/>
        <v>0</v>
      </c>
      <c r="BK389" s="114">
        <f t="shared" si="409"/>
        <v>0</v>
      </c>
      <c r="BL389" s="114">
        <f t="shared" ref="BL389:BL406" si="419">IF(AND($E$2="Monthly",$A389&gt;12),"",
SUMIFS($AK:$AK,$C:$C,$C389,$A:$A,"&lt;="&amp;$A389)
)</f>
        <v>0</v>
      </c>
      <c r="BM389" s="114">
        <f t="shared" si="410"/>
        <v>153.46153846153845</v>
      </c>
    </row>
    <row r="390" spans="1:65" x14ac:dyDescent="0.25">
      <c r="A390" s="228">
        <f t="shared" si="398"/>
        <v>14</v>
      </c>
      <c r="C390" s="278" t="s">
        <v>14</v>
      </c>
      <c r="E390" s="103">
        <f>IF($C390="",0,
IF(AND($E$2="Monthly",$A390&gt;12),0,
IF($E$2="Monthly",VLOOKUP($C390,'Employee information'!$B:$AM,COLUMNS('Employee information'!$B:S),0),
IF($E$2="Fortnightly",VLOOKUP($C390,'Employee information'!$B:$AM,COLUMNS('Employee information'!$B:R),0),
0))))</f>
        <v>0</v>
      </c>
      <c r="F390" s="106"/>
      <c r="G390" s="106"/>
      <c r="H390" s="106"/>
      <c r="I390" s="106"/>
      <c r="J390" s="103">
        <f t="shared" si="411"/>
        <v>0</v>
      </c>
      <c r="L390" s="113">
        <f>IF(AND($E$2="Monthly",$A390&gt;12),"",
IFERROR($J390*VLOOKUP($C390,'Employee information'!$B:$AI,COLUMNS('Employee information'!$B:$P),0),0))</f>
        <v>0</v>
      </c>
      <c r="M390" s="114">
        <f t="shared" si="412"/>
        <v>900</v>
      </c>
      <c r="O390" s="103">
        <f t="shared" si="413"/>
        <v>0</v>
      </c>
      <c r="P390" s="113">
        <f>IFERROR(
IF(AND($E$2="Monthly",$A390&gt;12),0,
$O390*VLOOKUP($C390,'Employee information'!$B:$AI,COLUMNS('Employee information'!$B:$P),0)),
0)</f>
        <v>0</v>
      </c>
      <c r="R390" s="114">
        <f t="shared" si="399"/>
        <v>900</v>
      </c>
      <c r="T390" s="103"/>
      <c r="U390" s="103"/>
      <c r="V390" s="282">
        <f>IF($C390="","",
IF(AND($E$2="Monthly",$A390&gt;12),"",
$T390*VLOOKUP($C390,'Employee information'!$B:$P,COLUMNS('Employee information'!$B:$P),0)))</f>
        <v>0</v>
      </c>
      <c r="W390" s="282">
        <f>IF($C390="","",
IF(AND($E$2="Monthly",$A390&gt;12),"",
$U390*VLOOKUP($C390,'Employee information'!$B:$P,COLUMNS('Employee information'!$B:$P),0)))</f>
        <v>0</v>
      </c>
      <c r="X390" s="114">
        <f t="shared" si="400"/>
        <v>0</v>
      </c>
      <c r="Y390" s="114">
        <f t="shared" si="401"/>
        <v>0</v>
      </c>
      <c r="AA390" s="118">
        <f>IFERROR(
IF(OR('Basic payroll data'!$D$12="",'Basic payroll data'!$D$12="No"),0,
$T390*VLOOKUP($C390,'Employee information'!$B:$P,COLUMNS('Employee information'!$B:$P),0)*AL_loading_perc),
0)</f>
        <v>0</v>
      </c>
      <c r="AC390" s="118"/>
      <c r="AD390" s="118"/>
      <c r="AE390" s="283" t="str">
        <f t="shared" si="414"/>
        <v/>
      </c>
      <c r="AF390" s="283" t="str">
        <f t="shared" si="415"/>
        <v/>
      </c>
      <c r="AG390" s="118"/>
      <c r="AH390" s="118"/>
      <c r="AI390" s="283" t="str">
        <f t="shared" si="416"/>
        <v/>
      </c>
      <c r="AJ390" s="118"/>
      <c r="AK390" s="118"/>
      <c r="AM390" s="118">
        <f t="shared" si="417"/>
        <v>0</v>
      </c>
      <c r="AN390" s="118">
        <f t="shared" si="402"/>
        <v>0</v>
      </c>
      <c r="AO390" s="118" t="str">
        <f>IFERROR(
IF(VLOOKUP($C390,'Employee information'!$B:$M,COLUMNS('Employee information'!$B:$M),0)=1,
IF($E$2="Fortnightly",
ROUND(
ROUND((((TRUNC($AN390/2,0)+0.99))*VLOOKUP((TRUNC($AN390/2,0)+0.99),'Tax scales - NAT 1004'!$A$12:$C$18,2,1)-VLOOKUP((TRUNC($AN390/2,0)+0.99),'Tax scales - NAT 1004'!$A$12:$C$18,3,1)),0)
*2,
0),
IF(AND($E$2="Monthly",ROUND($AN390-TRUNC($AN390),2)=0.33),
ROUND(
ROUND(((TRUNC(($AN390+0.01)*3/13,0)+0.99)*VLOOKUP((TRUNC(($AN390+0.01)*3/13,0)+0.99),'Tax scales - NAT 1004'!$A$12:$C$18,2,1)-VLOOKUP((TRUNC(($AN390+0.01)*3/13,0)+0.99),'Tax scales - NAT 1004'!$A$12:$C$18,3,1)),0)
*13/3,
0),
IF($E$2="Monthly",
ROUND(
ROUND(((TRUNC($AN390*3/13,0)+0.99)*VLOOKUP((TRUNC($AN390*3/13,0)+0.99),'Tax scales - NAT 1004'!$A$12:$C$18,2,1)-VLOOKUP((TRUNC($AN390*3/13,0)+0.99),'Tax scales - NAT 1004'!$A$12:$C$18,3,1)),0)
*13/3,
0),
""))),
""),
"")</f>
        <v/>
      </c>
      <c r="AP390" s="118" t="str">
        <f>IFERROR(
IF(VLOOKUP($C390,'Employee information'!$B:$M,COLUMNS('Employee information'!$B:$M),0)=2,
IF($E$2="Fortnightly",
ROUND(
ROUND((((TRUNC($AN390/2,0)+0.99))*VLOOKUP((TRUNC($AN390/2,0)+0.99),'Tax scales - NAT 1004'!$A$25:$C$33,2,1)-VLOOKUP((TRUNC($AN390/2,0)+0.99),'Tax scales - NAT 1004'!$A$25:$C$33,3,1)),0)
*2,
0),
IF(AND($E$2="Monthly",ROUND($AN390-TRUNC($AN390),2)=0.33),
ROUND(
ROUND(((TRUNC(($AN390+0.01)*3/13,0)+0.99)*VLOOKUP((TRUNC(($AN390+0.01)*3/13,0)+0.99),'Tax scales - NAT 1004'!$A$25:$C$33,2,1)-VLOOKUP((TRUNC(($AN390+0.01)*3/13,0)+0.99),'Tax scales - NAT 1004'!$A$25:$C$33,3,1)),0)
*13/3,
0),
IF($E$2="Monthly",
ROUND(
ROUND(((TRUNC($AN390*3/13,0)+0.99)*VLOOKUP((TRUNC($AN390*3/13,0)+0.99),'Tax scales - NAT 1004'!$A$25:$C$33,2,1)-VLOOKUP((TRUNC($AN390*3/13,0)+0.99),'Tax scales - NAT 1004'!$A$25:$C$33,3,1)),0)
*13/3,
0),
""))),
""),
"")</f>
        <v/>
      </c>
      <c r="AQ390" s="118" t="str">
        <f>IFERROR(
IF(VLOOKUP($C390,'Employee information'!$B:$M,COLUMNS('Employee information'!$B:$M),0)=3,
IF($E$2="Fortnightly",
ROUND(
ROUND((((TRUNC($AN390/2,0)+0.99))*VLOOKUP((TRUNC($AN390/2,0)+0.99),'Tax scales - NAT 1004'!$A$39:$C$41,2,1)-VLOOKUP((TRUNC($AN390/2,0)+0.99),'Tax scales - NAT 1004'!$A$39:$C$41,3,1)),0)
*2,
0),
IF(AND($E$2="Monthly",ROUND($AN390-TRUNC($AN390),2)=0.33),
ROUND(
ROUND(((TRUNC(($AN390+0.01)*3/13,0)+0.99)*VLOOKUP((TRUNC(($AN390+0.01)*3/13,0)+0.99),'Tax scales - NAT 1004'!$A$39:$C$41,2,1)-VLOOKUP((TRUNC(($AN390+0.01)*3/13,0)+0.99),'Tax scales - NAT 1004'!$A$39:$C$41,3,1)),0)
*13/3,
0),
IF($E$2="Monthly",
ROUND(
ROUND(((TRUNC($AN390*3/13,0)+0.99)*VLOOKUP((TRUNC($AN390*3/13,0)+0.99),'Tax scales - NAT 1004'!$A$39:$C$41,2,1)-VLOOKUP((TRUNC($AN390*3/13,0)+0.99),'Tax scales - NAT 1004'!$A$39:$C$41,3,1)),0)
*13/3,
0),
""))),
""),
"")</f>
        <v/>
      </c>
      <c r="AR390" s="118" t="str">
        <f>IFERROR(
IF(AND(VLOOKUP($C390,'Employee information'!$B:$M,COLUMNS('Employee information'!$B:$M),0)=4,
VLOOKUP($C390,'Employee information'!$B:$J,COLUMNS('Employee information'!$B:$J),0)="Resident"),
TRUNC(TRUNC($AN390)*'Tax scales - NAT 1004'!$B$47),
IF(AND(VLOOKUP($C390,'Employee information'!$B:$M,COLUMNS('Employee information'!$B:$M),0)=4,
VLOOKUP($C390,'Employee information'!$B:$J,COLUMNS('Employee information'!$B:$J),0)="Foreign resident"),
TRUNC(TRUNC($AN390)*'Tax scales - NAT 1004'!$B$48),
"")),
"")</f>
        <v/>
      </c>
      <c r="AS390" s="118" t="str">
        <f>IFERROR(
IF(VLOOKUP($C390,'Employee information'!$B:$M,COLUMNS('Employee information'!$B:$M),0)=5,
IF($E$2="Fortnightly",
ROUND(
ROUND((((TRUNC($AN390/2,0)+0.99))*VLOOKUP((TRUNC($AN390/2,0)+0.99),'Tax scales - NAT 1004'!$A$53:$C$59,2,1)-VLOOKUP((TRUNC($AN390/2,0)+0.99),'Tax scales - NAT 1004'!$A$53:$C$59,3,1)),0)
*2,
0),
IF(AND($E$2="Monthly",ROUND($AN390-TRUNC($AN390),2)=0.33),
ROUND(
ROUND(((TRUNC(($AN390+0.01)*3/13,0)+0.99)*VLOOKUP((TRUNC(($AN390+0.01)*3/13,0)+0.99),'Tax scales - NAT 1004'!$A$53:$C$59,2,1)-VLOOKUP((TRUNC(($AN390+0.01)*3/13,0)+0.99),'Tax scales - NAT 1004'!$A$53:$C$59,3,1)),0)
*13/3,
0),
IF($E$2="Monthly",
ROUND(
ROUND(((TRUNC($AN390*3/13,0)+0.99)*VLOOKUP((TRUNC($AN390*3/13,0)+0.99),'Tax scales - NAT 1004'!$A$53:$C$59,2,1)-VLOOKUP((TRUNC($AN390*3/13,0)+0.99),'Tax scales - NAT 1004'!$A$53:$C$59,3,1)),0)
*13/3,
0),
""))),
""),
"")</f>
        <v/>
      </c>
      <c r="AT390" s="118" t="str">
        <f>IFERROR(
IF(VLOOKUP($C390,'Employee information'!$B:$M,COLUMNS('Employee information'!$B:$M),0)=6,
IF($E$2="Fortnightly",
ROUND(
ROUND((((TRUNC($AN390/2,0)+0.99))*VLOOKUP((TRUNC($AN390/2,0)+0.99),'Tax scales - NAT 1004'!$A$65:$C$73,2,1)-VLOOKUP((TRUNC($AN390/2,0)+0.99),'Tax scales - NAT 1004'!$A$65:$C$73,3,1)),0)
*2,
0),
IF(AND($E$2="Monthly",ROUND($AN390-TRUNC($AN390),2)=0.33),
ROUND(
ROUND(((TRUNC(($AN390+0.01)*3/13,0)+0.99)*VLOOKUP((TRUNC(($AN390+0.01)*3/13,0)+0.99),'Tax scales - NAT 1004'!$A$65:$C$73,2,1)-VLOOKUP((TRUNC(($AN390+0.01)*3/13,0)+0.99),'Tax scales - NAT 1004'!$A$65:$C$73,3,1)),0)
*13/3,
0),
IF($E$2="Monthly",
ROUND(
ROUND(((TRUNC($AN390*3/13,0)+0.99)*VLOOKUP((TRUNC($AN390*3/13,0)+0.99),'Tax scales - NAT 1004'!$A$65:$C$73,2,1)-VLOOKUP((TRUNC($AN390*3/13,0)+0.99),'Tax scales - NAT 1004'!$A$65:$C$73,3,1)),0)
*13/3,
0),
""))),
""),
"")</f>
        <v/>
      </c>
      <c r="AU390" s="118" t="str">
        <f>IFERROR(
IF(VLOOKUP($C390,'Employee information'!$B:$M,COLUMNS('Employee information'!$B:$M),0)=11,
IF($E$2="Fortnightly",
ROUND(
ROUND((((TRUNC($AN390/2,0)+0.99))*VLOOKUP((TRUNC($AN390/2,0)+0.99),'Tax scales - NAT 3539'!$A$14:$C$38,2,1)-VLOOKUP((TRUNC($AN390/2,0)+0.99),'Tax scales - NAT 3539'!$A$14:$C$38,3,1)),0)
*2,
0),
IF(AND($E$2="Monthly",ROUND($AN390-TRUNC($AN390),2)=0.33),
ROUND(
ROUND(((TRUNC(($AN390+0.01)*3/13,0)+0.99)*VLOOKUP((TRUNC(($AN390+0.01)*3/13,0)+0.99),'Tax scales - NAT 3539'!$A$14:$C$38,2,1)-VLOOKUP((TRUNC(($AN390+0.01)*3/13,0)+0.99),'Tax scales - NAT 3539'!$A$14:$C$38,3,1)),0)
*13/3,
0),
IF($E$2="Monthly",
ROUND(
ROUND(((TRUNC($AN390*3/13,0)+0.99)*VLOOKUP((TRUNC($AN390*3/13,0)+0.99),'Tax scales - NAT 3539'!$A$14:$C$38,2,1)-VLOOKUP((TRUNC($AN390*3/13,0)+0.99),'Tax scales - NAT 3539'!$A$14:$C$38,3,1)),0)
*13/3,
0),
""))),
""),
"")</f>
        <v/>
      </c>
      <c r="AV390" s="118" t="str">
        <f>IFERROR(
IF(VLOOKUP($C390,'Employee information'!$B:$M,COLUMNS('Employee information'!$B:$M),0)=22,
IF($E$2="Fortnightly",
ROUND(
ROUND((((TRUNC($AN390/2,0)+0.99))*VLOOKUP((TRUNC($AN390/2,0)+0.99),'Tax scales - NAT 3539'!$A$43:$C$69,2,1)-VLOOKUP((TRUNC($AN390/2,0)+0.99),'Tax scales - NAT 3539'!$A$43:$C$69,3,1)),0)
*2,
0),
IF(AND($E$2="Monthly",ROUND($AN390-TRUNC($AN390),2)=0.33),
ROUND(
ROUND(((TRUNC(($AN390+0.01)*3/13,0)+0.99)*VLOOKUP((TRUNC(($AN390+0.01)*3/13,0)+0.99),'Tax scales - NAT 3539'!$A$43:$C$69,2,1)-VLOOKUP((TRUNC(($AN390+0.01)*3/13,0)+0.99),'Tax scales - NAT 3539'!$A$43:$C$69,3,1)),0)
*13/3,
0),
IF($E$2="Monthly",
ROUND(
ROUND(((TRUNC($AN390*3/13,0)+0.99)*VLOOKUP((TRUNC($AN390*3/13,0)+0.99),'Tax scales - NAT 3539'!$A$43:$C$69,2,1)-VLOOKUP((TRUNC($AN390*3/13,0)+0.99),'Tax scales - NAT 3539'!$A$43:$C$69,3,1)),0)
*13/3,
0),
""))),
""),
"")</f>
        <v/>
      </c>
      <c r="AW390" s="118">
        <f>IFERROR(
IF(VLOOKUP($C390,'Employee information'!$B:$M,COLUMNS('Employee information'!$B:$M),0)=33,
IF($E$2="Fortnightly",
ROUND(
ROUND((((TRUNC($AN390/2,0)+0.99))*VLOOKUP((TRUNC($AN390/2,0)+0.99),'Tax scales - NAT 3539'!$A$74:$C$94,2,1)-VLOOKUP((TRUNC($AN390/2,0)+0.99),'Tax scales - NAT 3539'!$A$74:$C$94,3,1)),0)
*2,
0),
IF(AND($E$2="Monthly",ROUND($AN390-TRUNC($AN390),2)=0.33),
ROUND(
ROUND(((TRUNC(($AN390+0.01)*3/13,0)+0.99)*VLOOKUP((TRUNC(($AN390+0.01)*3/13,0)+0.99),'Tax scales - NAT 3539'!$A$74:$C$94,2,1)-VLOOKUP((TRUNC(($AN390+0.01)*3/13,0)+0.99),'Tax scales - NAT 3539'!$A$74:$C$94,3,1)),0)
*13/3,
0),
IF($E$2="Monthly",
ROUND(
ROUND(((TRUNC($AN390*3/13,0)+0.99)*VLOOKUP((TRUNC($AN390*3/13,0)+0.99),'Tax scales - NAT 3539'!$A$74:$C$94,2,1)-VLOOKUP((TRUNC($AN390*3/13,0)+0.99),'Tax scales - NAT 3539'!$A$74:$C$94,3,1)),0)
*13/3,
0),
""))),
""),
"")</f>
        <v>0</v>
      </c>
      <c r="AX390" s="118" t="str">
        <f>IFERROR(
IF(VLOOKUP($C390,'Employee information'!$B:$M,COLUMNS('Employee information'!$B:$M),0)=55,
IF($E$2="Fortnightly",
ROUND(
ROUND((((TRUNC($AN390/2,0)+0.99))*VLOOKUP((TRUNC($AN390/2,0)+0.99),'Tax scales - NAT 3539'!$A$99:$C$123,2,1)-VLOOKUP((TRUNC($AN390/2,0)+0.99),'Tax scales - NAT 3539'!$A$99:$C$123,3,1)),0)
*2,
0),
IF(AND($E$2="Monthly",ROUND($AN390-TRUNC($AN390),2)=0.33),
ROUND(
ROUND(((TRUNC(($AN390+0.01)*3/13,0)+0.99)*VLOOKUP((TRUNC(($AN390+0.01)*3/13,0)+0.99),'Tax scales - NAT 3539'!$A$99:$C$123,2,1)-VLOOKUP((TRUNC(($AN390+0.01)*3/13,0)+0.99),'Tax scales - NAT 3539'!$A$99:$C$123,3,1)),0)
*13/3,
0),
IF($E$2="Monthly",
ROUND(
ROUND(((TRUNC($AN390*3/13,0)+0.99)*VLOOKUP((TRUNC($AN390*3/13,0)+0.99),'Tax scales - NAT 3539'!$A$99:$C$123,2,1)-VLOOKUP((TRUNC($AN390*3/13,0)+0.99),'Tax scales - NAT 3539'!$A$99:$C$123,3,1)),0)
*13/3,
0),
""))),
""),
"")</f>
        <v/>
      </c>
      <c r="AY390" s="118" t="str">
        <f>IFERROR(
IF(VLOOKUP($C390,'Employee information'!$B:$M,COLUMNS('Employee information'!$B:$M),0)=66,
IF($E$2="Fortnightly",
ROUND(
ROUND((((TRUNC($AN390/2,0)+0.99))*VLOOKUP((TRUNC($AN390/2,0)+0.99),'Tax scales - NAT 3539'!$A$127:$C$154,2,1)-VLOOKUP((TRUNC($AN390/2,0)+0.99),'Tax scales - NAT 3539'!$A$127:$C$154,3,1)),0)
*2,
0),
IF(AND($E$2="Monthly",ROUND($AN390-TRUNC($AN390),2)=0.33),
ROUND(
ROUND(((TRUNC(($AN390+0.01)*3/13,0)+0.99)*VLOOKUP((TRUNC(($AN390+0.01)*3/13,0)+0.99),'Tax scales - NAT 3539'!$A$127:$C$154,2,1)-VLOOKUP((TRUNC(($AN390+0.01)*3/13,0)+0.99),'Tax scales - NAT 3539'!$A$127:$C$154,3,1)),0)
*13/3,
0),
IF($E$2="Monthly",
ROUND(
ROUND(((TRUNC($AN390*3/13,0)+0.99)*VLOOKUP((TRUNC($AN390*3/13,0)+0.99),'Tax scales - NAT 3539'!$A$127:$C$154,2,1)-VLOOKUP((TRUNC($AN390*3/13,0)+0.99),'Tax scales - NAT 3539'!$A$127:$C$154,3,1)),0)
*13/3,
0),
""))),
""),
"")</f>
        <v/>
      </c>
      <c r="AZ390" s="118">
        <f>IFERROR(
HLOOKUP(VLOOKUP($C390,'Employee information'!$B:$M,COLUMNS('Employee information'!$B:$M),0),'PAYG worksheet'!$AO$387:$AY$406,COUNTA($C$388:$C390)+1,0),
0)</f>
        <v>0</v>
      </c>
      <c r="BA390" s="118"/>
      <c r="BB390" s="118">
        <f t="shared" si="418"/>
        <v>0</v>
      </c>
      <c r="BC390" s="119">
        <f>IFERROR(
IF(OR($AE390=1,$AE390=""),SUM($P390,$AA390,$AC390,$AK390)*VLOOKUP($C390,'Employee information'!$B:$Q,COLUMNS('Employee information'!$B:$H),0),
IF($AE390=0,SUM($P390,$AA390,$AK390)*VLOOKUP($C390,'Employee information'!$B:$Q,COLUMNS('Employee information'!$B:$H),0),
0)),
0)</f>
        <v>0</v>
      </c>
      <c r="BE390" s="114">
        <f t="shared" si="403"/>
        <v>900</v>
      </c>
      <c r="BF390" s="114">
        <f t="shared" si="404"/>
        <v>900</v>
      </c>
      <c r="BG390" s="114">
        <f t="shared" si="405"/>
        <v>0</v>
      </c>
      <c r="BH390" s="114">
        <f t="shared" si="406"/>
        <v>0</v>
      </c>
      <c r="BI390" s="114">
        <f t="shared" si="407"/>
        <v>292</v>
      </c>
      <c r="BJ390" s="114">
        <f t="shared" si="408"/>
        <v>0</v>
      </c>
      <c r="BK390" s="114">
        <f t="shared" si="409"/>
        <v>0</v>
      </c>
      <c r="BL390" s="114">
        <f t="shared" si="419"/>
        <v>0</v>
      </c>
      <c r="BM390" s="114">
        <f t="shared" si="410"/>
        <v>85.5</v>
      </c>
    </row>
    <row r="391" spans="1:65" x14ac:dyDescent="0.25">
      <c r="A391" s="228">
        <f t="shared" si="398"/>
        <v>14</v>
      </c>
      <c r="C391" s="278" t="s">
        <v>15</v>
      </c>
      <c r="E391" s="103">
        <f>IF($C391="",0,
IF(AND($E$2="Monthly",$A391&gt;12),0,
IF($E$2="Monthly",VLOOKUP($C391,'Employee information'!$B:$AM,COLUMNS('Employee information'!$B:S),0),
IF($E$2="Fortnightly",VLOOKUP($C391,'Employee information'!$B:$AM,COLUMNS('Employee information'!$B:R),0),
0))))</f>
        <v>75</v>
      </c>
      <c r="F391" s="106"/>
      <c r="G391" s="106"/>
      <c r="H391" s="106"/>
      <c r="I391" s="106"/>
      <c r="J391" s="103">
        <f t="shared" si="411"/>
        <v>75</v>
      </c>
      <c r="L391" s="113">
        <f>IF(AND($E$2="Monthly",$A391&gt;12),"",
IFERROR($J391*VLOOKUP($C391,'Employee information'!$B:$AI,COLUMNS('Employee information'!$B:$P),0),0))</f>
        <v>7692.3076923076924</v>
      </c>
      <c r="M391" s="114">
        <f t="shared" si="412"/>
        <v>107692.30769230767</v>
      </c>
      <c r="O391" s="103">
        <f t="shared" si="413"/>
        <v>75</v>
      </c>
      <c r="P391" s="113">
        <f>IFERROR(
IF(AND($E$2="Monthly",$A391&gt;12),0,
$O391*VLOOKUP($C391,'Employee information'!$B:$AI,COLUMNS('Employee information'!$B:$P),0)),
0)</f>
        <v>7692.3076923076924</v>
      </c>
      <c r="R391" s="114">
        <f t="shared" si="399"/>
        <v>107692.30769230767</v>
      </c>
      <c r="T391" s="103"/>
      <c r="U391" s="103"/>
      <c r="V391" s="282">
        <f>IF($C391="","",
IF(AND($E$2="Monthly",$A391&gt;12),"",
$T391*VLOOKUP($C391,'Employee information'!$B:$P,COLUMNS('Employee information'!$B:$P),0)))</f>
        <v>0</v>
      </c>
      <c r="W391" s="282">
        <f>IF($C391="","",
IF(AND($E$2="Monthly",$A391&gt;12),"",
$U391*VLOOKUP($C391,'Employee information'!$B:$P,COLUMNS('Employee information'!$B:$P),0)))</f>
        <v>0</v>
      </c>
      <c r="X391" s="114">
        <f t="shared" si="400"/>
        <v>1538.4615384615386</v>
      </c>
      <c r="Y391" s="114">
        <f t="shared" si="401"/>
        <v>512.82051282051282</v>
      </c>
      <c r="AA391" s="118">
        <f>IFERROR(
IF(OR('Basic payroll data'!$D$12="",'Basic payroll data'!$D$12="No"),0,
$T391*VLOOKUP($C391,'Employee information'!$B:$P,COLUMNS('Employee information'!$B:$P),0)*AL_loading_perc),
0)</f>
        <v>0</v>
      </c>
      <c r="AC391" s="118"/>
      <c r="AD391" s="118"/>
      <c r="AE391" s="283" t="str">
        <f t="shared" si="414"/>
        <v/>
      </c>
      <c r="AF391" s="283" t="str">
        <f t="shared" si="415"/>
        <v/>
      </c>
      <c r="AG391" s="118"/>
      <c r="AH391" s="118"/>
      <c r="AI391" s="283" t="str">
        <f t="shared" si="416"/>
        <v/>
      </c>
      <c r="AJ391" s="118"/>
      <c r="AK391" s="118"/>
      <c r="AM391" s="118">
        <f t="shared" si="417"/>
        <v>7692.3076923076924</v>
      </c>
      <c r="AN391" s="118">
        <f t="shared" si="402"/>
        <v>7692.3076923076924</v>
      </c>
      <c r="AO391" s="118" t="str">
        <f>IFERROR(
IF(VLOOKUP($C391,'Employee information'!$B:$M,COLUMNS('Employee information'!$B:$M),0)=1,
IF($E$2="Fortnightly",
ROUND(
ROUND((((TRUNC($AN391/2,0)+0.99))*VLOOKUP((TRUNC($AN391/2,0)+0.99),'Tax scales - NAT 1004'!$A$12:$C$18,2,1)-VLOOKUP((TRUNC($AN391/2,0)+0.99),'Tax scales - NAT 1004'!$A$12:$C$18,3,1)),0)
*2,
0),
IF(AND($E$2="Monthly",ROUND($AN391-TRUNC($AN391),2)=0.33),
ROUND(
ROUND(((TRUNC(($AN391+0.01)*3/13,0)+0.99)*VLOOKUP((TRUNC(($AN391+0.01)*3/13,0)+0.99),'Tax scales - NAT 1004'!$A$12:$C$18,2,1)-VLOOKUP((TRUNC(($AN391+0.01)*3/13,0)+0.99),'Tax scales - NAT 1004'!$A$12:$C$18,3,1)),0)
*13/3,
0),
IF($E$2="Monthly",
ROUND(
ROUND(((TRUNC($AN391*3/13,0)+0.99)*VLOOKUP((TRUNC($AN391*3/13,0)+0.99),'Tax scales - NAT 1004'!$A$12:$C$18,2,1)-VLOOKUP((TRUNC($AN391*3/13,0)+0.99),'Tax scales - NAT 1004'!$A$12:$C$18,3,1)),0)
*13/3,
0),
""))),
""),
"")</f>
        <v/>
      </c>
      <c r="AP391" s="118" t="str">
        <f>IFERROR(
IF(VLOOKUP($C391,'Employee information'!$B:$M,COLUMNS('Employee information'!$B:$M),0)=2,
IF($E$2="Fortnightly",
ROUND(
ROUND((((TRUNC($AN391/2,0)+0.99))*VLOOKUP((TRUNC($AN391/2,0)+0.99),'Tax scales - NAT 1004'!$A$25:$C$33,2,1)-VLOOKUP((TRUNC($AN391/2,0)+0.99),'Tax scales - NAT 1004'!$A$25:$C$33,3,1)),0)
*2,
0),
IF(AND($E$2="Monthly",ROUND($AN391-TRUNC($AN391),2)=0.33),
ROUND(
ROUND(((TRUNC(($AN391+0.01)*3/13,0)+0.99)*VLOOKUP((TRUNC(($AN391+0.01)*3/13,0)+0.99),'Tax scales - NAT 1004'!$A$25:$C$33,2,1)-VLOOKUP((TRUNC(($AN391+0.01)*3/13,0)+0.99),'Tax scales - NAT 1004'!$A$25:$C$33,3,1)),0)
*13/3,
0),
IF($E$2="Monthly",
ROUND(
ROUND(((TRUNC($AN391*3/13,0)+0.99)*VLOOKUP((TRUNC($AN391*3/13,0)+0.99),'Tax scales - NAT 1004'!$A$25:$C$33,2,1)-VLOOKUP((TRUNC($AN391*3/13,0)+0.99),'Tax scales - NAT 1004'!$A$25:$C$33,3,1)),0)
*13/3,
0),
""))),
""),
"")</f>
        <v/>
      </c>
      <c r="AQ391" s="118" t="str">
        <f>IFERROR(
IF(VLOOKUP($C391,'Employee information'!$B:$M,COLUMNS('Employee information'!$B:$M),0)=3,
IF($E$2="Fortnightly",
ROUND(
ROUND((((TRUNC($AN391/2,0)+0.99))*VLOOKUP((TRUNC($AN391/2,0)+0.99),'Tax scales - NAT 1004'!$A$39:$C$41,2,1)-VLOOKUP((TRUNC($AN391/2,0)+0.99),'Tax scales - NAT 1004'!$A$39:$C$41,3,1)),0)
*2,
0),
IF(AND($E$2="Monthly",ROUND($AN391-TRUNC($AN391),2)=0.33),
ROUND(
ROUND(((TRUNC(($AN391+0.01)*3/13,0)+0.99)*VLOOKUP((TRUNC(($AN391+0.01)*3/13,0)+0.99),'Tax scales - NAT 1004'!$A$39:$C$41,2,1)-VLOOKUP((TRUNC(($AN391+0.01)*3/13,0)+0.99),'Tax scales - NAT 1004'!$A$39:$C$41,3,1)),0)
*13/3,
0),
IF($E$2="Monthly",
ROUND(
ROUND(((TRUNC($AN391*3/13,0)+0.99)*VLOOKUP((TRUNC($AN391*3/13,0)+0.99),'Tax scales - NAT 1004'!$A$39:$C$41,2,1)-VLOOKUP((TRUNC($AN391*3/13,0)+0.99),'Tax scales - NAT 1004'!$A$39:$C$41,3,1)),0)
*13/3,
0),
""))),
""),
"")</f>
        <v/>
      </c>
      <c r="AR391" s="118" t="str">
        <f>IFERROR(
IF(AND(VLOOKUP($C391,'Employee information'!$B:$M,COLUMNS('Employee information'!$B:$M),0)=4,
VLOOKUP($C391,'Employee information'!$B:$J,COLUMNS('Employee information'!$B:$J),0)="Resident"),
TRUNC(TRUNC($AN391)*'Tax scales - NAT 1004'!$B$47),
IF(AND(VLOOKUP($C391,'Employee information'!$B:$M,COLUMNS('Employee information'!$B:$M),0)=4,
VLOOKUP($C391,'Employee information'!$B:$J,COLUMNS('Employee information'!$B:$J),0)="Foreign resident"),
TRUNC(TRUNC($AN391)*'Tax scales - NAT 1004'!$B$48),
"")),
"")</f>
        <v/>
      </c>
      <c r="AS391" s="118" t="str">
        <f>IFERROR(
IF(VLOOKUP($C391,'Employee information'!$B:$M,COLUMNS('Employee information'!$B:$M),0)=5,
IF($E$2="Fortnightly",
ROUND(
ROUND((((TRUNC($AN391/2,0)+0.99))*VLOOKUP((TRUNC($AN391/2,0)+0.99),'Tax scales - NAT 1004'!$A$53:$C$59,2,1)-VLOOKUP((TRUNC($AN391/2,0)+0.99),'Tax scales - NAT 1004'!$A$53:$C$59,3,1)),0)
*2,
0),
IF(AND($E$2="Monthly",ROUND($AN391-TRUNC($AN391),2)=0.33),
ROUND(
ROUND(((TRUNC(($AN391+0.01)*3/13,0)+0.99)*VLOOKUP((TRUNC(($AN391+0.01)*3/13,0)+0.99),'Tax scales - NAT 1004'!$A$53:$C$59,2,1)-VLOOKUP((TRUNC(($AN391+0.01)*3/13,0)+0.99),'Tax scales - NAT 1004'!$A$53:$C$59,3,1)),0)
*13/3,
0),
IF($E$2="Monthly",
ROUND(
ROUND(((TRUNC($AN391*3/13,0)+0.99)*VLOOKUP((TRUNC($AN391*3/13,0)+0.99),'Tax scales - NAT 1004'!$A$53:$C$59,2,1)-VLOOKUP((TRUNC($AN391*3/13,0)+0.99),'Tax scales - NAT 1004'!$A$53:$C$59,3,1)),0)
*13/3,
0),
""))),
""),
"")</f>
        <v/>
      </c>
      <c r="AT391" s="118" t="str">
        <f>IFERROR(
IF(VLOOKUP($C391,'Employee information'!$B:$M,COLUMNS('Employee information'!$B:$M),0)=6,
IF($E$2="Fortnightly",
ROUND(
ROUND((((TRUNC($AN391/2,0)+0.99))*VLOOKUP((TRUNC($AN391/2,0)+0.99),'Tax scales - NAT 1004'!$A$65:$C$73,2,1)-VLOOKUP((TRUNC($AN391/2,0)+0.99),'Tax scales - NAT 1004'!$A$65:$C$73,3,1)),0)
*2,
0),
IF(AND($E$2="Monthly",ROUND($AN391-TRUNC($AN391),2)=0.33),
ROUND(
ROUND(((TRUNC(($AN391+0.01)*3/13,0)+0.99)*VLOOKUP((TRUNC(($AN391+0.01)*3/13,0)+0.99),'Tax scales - NAT 1004'!$A$65:$C$73,2,1)-VLOOKUP((TRUNC(($AN391+0.01)*3/13,0)+0.99),'Tax scales - NAT 1004'!$A$65:$C$73,3,1)),0)
*13/3,
0),
IF($E$2="Monthly",
ROUND(
ROUND(((TRUNC($AN391*3/13,0)+0.99)*VLOOKUP((TRUNC($AN391*3/13,0)+0.99),'Tax scales - NAT 1004'!$A$65:$C$73,2,1)-VLOOKUP((TRUNC($AN391*3/13,0)+0.99),'Tax scales - NAT 1004'!$A$65:$C$73,3,1)),0)
*13/3,
0),
""))),
""),
"")</f>
        <v/>
      </c>
      <c r="AU391" s="118" t="str">
        <f>IFERROR(
IF(VLOOKUP($C391,'Employee information'!$B:$M,COLUMNS('Employee information'!$B:$M),0)=11,
IF($E$2="Fortnightly",
ROUND(
ROUND((((TRUNC($AN391/2,0)+0.99))*VLOOKUP((TRUNC($AN391/2,0)+0.99),'Tax scales - NAT 3539'!$A$14:$C$38,2,1)-VLOOKUP((TRUNC($AN391/2,0)+0.99),'Tax scales - NAT 3539'!$A$14:$C$38,3,1)),0)
*2,
0),
IF(AND($E$2="Monthly",ROUND($AN391-TRUNC($AN391),2)=0.33),
ROUND(
ROUND(((TRUNC(($AN391+0.01)*3/13,0)+0.99)*VLOOKUP((TRUNC(($AN391+0.01)*3/13,0)+0.99),'Tax scales - NAT 3539'!$A$14:$C$38,2,1)-VLOOKUP((TRUNC(($AN391+0.01)*3/13,0)+0.99),'Tax scales - NAT 3539'!$A$14:$C$38,3,1)),0)
*13/3,
0),
IF($E$2="Monthly",
ROUND(
ROUND(((TRUNC($AN391*3/13,0)+0.99)*VLOOKUP((TRUNC($AN391*3/13,0)+0.99),'Tax scales - NAT 3539'!$A$14:$C$38,2,1)-VLOOKUP((TRUNC($AN391*3/13,0)+0.99),'Tax scales - NAT 3539'!$A$14:$C$38,3,1)),0)
*13/3,
0),
""))),
""),
"")</f>
        <v/>
      </c>
      <c r="AV391" s="118" t="str">
        <f>IFERROR(
IF(VLOOKUP($C391,'Employee information'!$B:$M,COLUMNS('Employee information'!$B:$M),0)=22,
IF($E$2="Fortnightly",
ROUND(
ROUND((((TRUNC($AN391/2,0)+0.99))*VLOOKUP((TRUNC($AN391/2,0)+0.99),'Tax scales - NAT 3539'!$A$43:$C$69,2,1)-VLOOKUP((TRUNC($AN391/2,0)+0.99),'Tax scales - NAT 3539'!$A$43:$C$69,3,1)),0)
*2,
0),
IF(AND($E$2="Monthly",ROUND($AN391-TRUNC($AN391),2)=0.33),
ROUND(
ROUND(((TRUNC(($AN391+0.01)*3/13,0)+0.99)*VLOOKUP((TRUNC(($AN391+0.01)*3/13,0)+0.99),'Tax scales - NAT 3539'!$A$43:$C$69,2,1)-VLOOKUP((TRUNC(($AN391+0.01)*3/13,0)+0.99),'Tax scales - NAT 3539'!$A$43:$C$69,3,1)),0)
*13/3,
0),
IF($E$2="Monthly",
ROUND(
ROUND(((TRUNC($AN391*3/13,0)+0.99)*VLOOKUP((TRUNC($AN391*3/13,0)+0.99),'Tax scales - NAT 3539'!$A$43:$C$69,2,1)-VLOOKUP((TRUNC($AN391*3/13,0)+0.99),'Tax scales - NAT 3539'!$A$43:$C$69,3,1)),0)
*13/3,
0),
""))),
""),
"")</f>
        <v/>
      </c>
      <c r="AW391" s="118" t="str">
        <f>IFERROR(
IF(VLOOKUP($C391,'Employee information'!$B:$M,COLUMNS('Employee information'!$B:$M),0)=33,
IF($E$2="Fortnightly",
ROUND(
ROUND((((TRUNC($AN391/2,0)+0.99))*VLOOKUP((TRUNC($AN391/2,0)+0.99),'Tax scales - NAT 3539'!$A$74:$C$94,2,1)-VLOOKUP((TRUNC($AN391/2,0)+0.99),'Tax scales - NAT 3539'!$A$74:$C$94,3,1)),0)
*2,
0),
IF(AND($E$2="Monthly",ROUND($AN391-TRUNC($AN391),2)=0.33),
ROUND(
ROUND(((TRUNC(($AN391+0.01)*3/13,0)+0.99)*VLOOKUP((TRUNC(($AN391+0.01)*3/13,0)+0.99),'Tax scales - NAT 3539'!$A$74:$C$94,2,1)-VLOOKUP((TRUNC(($AN391+0.01)*3/13,0)+0.99),'Tax scales - NAT 3539'!$A$74:$C$94,3,1)),0)
*13/3,
0),
IF($E$2="Monthly",
ROUND(
ROUND(((TRUNC($AN391*3/13,0)+0.99)*VLOOKUP((TRUNC($AN391*3/13,0)+0.99),'Tax scales - NAT 3539'!$A$74:$C$94,2,1)-VLOOKUP((TRUNC($AN391*3/13,0)+0.99),'Tax scales - NAT 3539'!$A$74:$C$94,3,1)),0)
*13/3,
0),
""))),
""),
"")</f>
        <v/>
      </c>
      <c r="AX391" s="118">
        <f>IFERROR(
IF(VLOOKUP($C391,'Employee information'!$B:$M,COLUMNS('Employee information'!$B:$M),0)=55,
IF($E$2="Fortnightly",
ROUND(
ROUND((((TRUNC($AN391/2,0)+0.99))*VLOOKUP((TRUNC($AN391/2,0)+0.99),'Tax scales - NAT 3539'!$A$99:$C$123,2,1)-VLOOKUP((TRUNC($AN391/2,0)+0.99),'Tax scales - NAT 3539'!$A$99:$C$123,3,1)),0)
*2,
0),
IF(AND($E$2="Monthly",ROUND($AN391-TRUNC($AN391),2)=0.33),
ROUND(
ROUND(((TRUNC(($AN391+0.01)*3/13,0)+0.99)*VLOOKUP((TRUNC(($AN391+0.01)*3/13,0)+0.99),'Tax scales - NAT 3539'!$A$99:$C$123,2,1)-VLOOKUP((TRUNC(($AN391+0.01)*3/13,0)+0.99),'Tax scales - NAT 3539'!$A$99:$C$123,3,1)),0)
*13/3,
0),
IF($E$2="Monthly",
ROUND(
ROUND(((TRUNC($AN391*3/13,0)+0.99)*VLOOKUP((TRUNC($AN391*3/13,0)+0.99),'Tax scales - NAT 3539'!$A$99:$C$123,2,1)-VLOOKUP((TRUNC($AN391*3/13,0)+0.99),'Tax scales - NAT 3539'!$A$99:$C$123,3,1)),0)
*13/3,
0),
""))),
""),
"")</f>
        <v>3104</v>
      </c>
      <c r="AY391" s="118" t="str">
        <f>IFERROR(
IF(VLOOKUP($C391,'Employee information'!$B:$M,COLUMNS('Employee information'!$B:$M),0)=66,
IF($E$2="Fortnightly",
ROUND(
ROUND((((TRUNC($AN391/2,0)+0.99))*VLOOKUP((TRUNC($AN391/2,0)+0.99),'Tax scales - NAT 3539'!$A$127:$C$154,2,1)-VLOOKUP((TRUNC($AN391/2,0)+0.99),'Tax scales - NAT 3539'!$A$127:$C$154,3,1)),0)
*2,
0),
IF(AND($E$2="Monthly",ROUND($AN391-TRUNC($AN391),2)=0.33),
ROUND(
ROUND(((TRUNC(($AN391+0.01)*3/13,0)+0.99)*VLOOKUP((TRUNC(($AN391+0.01)*3/13,0)+0.99),'Tax scales - NAT 3539'!$A$127:$C$154,2,1)-VLOOKUP((TRUNC(($AN391+0.01)*3/13,0)+0.99),'Tax scales - NAT 3539'!$A$127:$C$154,3,1)),0)
*13/3,
0),
IF($E$2="Monthly",
ROUND(
ROUND(((TRUNC($AN391*3/13,0)+0.99)*VLOOKUP((TRUNC($AN391*3/13,0)+0.99),'Tax scales - NAT 3539'!$A$127:$C$154,2,1)-VLOOKUP((TRUNC($AN391*3/13,0)+0.99),'Tax scales - NAT 3539'!$A$127:$C$154,3,1)),0)
*13/3,
0),
""))),
""),
"")</f>
        <v/>
      </c>
      <c r="AZ391" s="118">
        <f>IFERROR(
HLOOKUP(VLOOKUP($C391,'Employee information'!$B:$M,COLUMNS('Employee information'!$B:$M),0),'PAYG worksheet'!$AO$387:$AY$406,COUNTA($C$388:$C391)+1,0),
0)</f>
        <v>3104</v>
      </c>
      <c r="BA391" s="118"/>
      <c r="BB391" s="118">
        <f t="shared" si="418"/>
        <v>4588.3076923076924</v>
      </c>
      <c r="BC391" s="119">
        <f>IFERROR(
IF(OR($AE391=1,$AE391=""),SUM($P391,$AA391,$AC391,$AK391)*VLOOKUP($C391,'Employee information'!$B:$Q,COLUMNS('Employee information'!$B:$H),0),
IF($AE391=0,SUM($P391,$AA391,$AK391)*VLOOKUP($C391,'Employee information'!$B:$Q,COLUMNS('Employee information'!$B:$H),0),
0)),
0)</f>
        <v>730.76923076923083</v>
      </c>
      <c r="BE391" s="114">
        <f t="shared" si="403"/>
        <v>107832.30769230767</v>
      </c>
      <c r="BF391" s="114">
        <f t="shared" si="404"/>
        <v>107692.30769230767</v>
      </c>
      <c r="BG391" s="114">
        <f t="shared" si="405"/>
        <v>0</v>
      </c>
      <c r="BH391" s="114">
        <f t="shared" si="406"/>
        <v>140</v>
      </c>
      <c r="BI391" s="114">
        <f t="shared" si="407"/>
        <v>43456</v>
      </c>
      <c r="BJ391" s="114">
        <f t="shared" si="408"/>
        <v>0</v>
      </c>
      <c r="BK391" s="114">
        <f t="shared" si="409"/>
        <v>0</v>
      </c>
      <c r="BL391" s="114">
        <f t="shared" si="419"/>
        <v>0</v>
      </c>
      <c r="BM391" s="114">
        <f t="shared" si="410"/>
        <v>10230.769230769229</v>
      </c>
    </row>
    <row r="392" spans="1:65" x14ac:dyDescent="0.25">
      <c r="A392" s="228">
        <f t="shared" si="398"/>
        <v>14</v>
      </c>
      <c r="C392" s="278" t="s">
        <v>16</v>
      </c>
      <c r="E392" s="103">
        <f>IF($C392="",0,
IF(AND($E$2="Monthly",$A392&gt;12),0,
IF($E$2="Monthly",VLOOKUP($C392,'Employee information'!$B:$AM,COLUMNS('Employee information'!$B:S),0),
IF($E$2="Fortnightly",VLOOKUP($C392,'Employee information'!$B:$AM,COLUMNS('Employee information'!$B:R),0),
0))))</f>
        <v>75</v>
      </c>
      <c r="F392" s="106"/>
      <c r="G392" s="106"/>
      <c r="H392" s="106"/>
      <c r="I392" s="106"/>
      <c r="J392" s="103">
        <f t="shared" si="411"/>
        <v>75</v>
      </c>
      <c r="L392" s="113">
        <f>IF(AND($E$2="Monthly",$A392&gt;12),"",
IFERROR($J392*VLOOKUP($C392,'Employee information'!$B:$AI,COLUMNS('Employee information'!$B:$P),0),0))</f>
        <v>4125</v>
      </c>
      <c r="M392" s="114">
        <f t="shared" si="412"/>
        <v>57750</v>
      </c>
      <c r="O392" s="103">
        <f t="shared" si="413"/>
        <v>75</v>
      </c>
      <c r="P392" s="113">
        <f>IFERROR(
IF(AND($E$2="Monthly",$A392&gt;12),0,
$O392*VLOOKUP($C392,'Employee information'!$B:$AI,COLUMNS('Employee information'!$B:$P),0)),
0)</f>
        <v>4125</v>
      </c>
      <c r="R392" s="114">
        <f t="shared" si="399"/>
        <v>57750</v>
      </c>
      <c r="T392" s="103"/>
      <c r="U392" s="103"/>
      <c r="V392" s="282">
        <f>IF($C392="","",
IF(AND($E$2="Monthly",$A392&gt;12),"",
$T392*VLOOKUP($C392,'Employee information'!$B:$P,COLUMNS('Employee information'!$B:$P),0)))</f>
        <v>0</v>
      </c>
      <c r="W392" s="282">
        <f>IF($C392="","",
IF(AND($E$2="Monthly",$A392&gt;12),"",
$U392*VLOOKUP($C392,'Employee information'!$B:$P,COLUMNS('Employee information'!$B:$P),0)))</f>
        <v>0</v>
      </c>
      <c r="X392" s="114">
        <f t="shared" si="400"/>
        <v>0</v>
      </c>
      <c r="Y392" s="114">
        <f t="shared" si="401"/>
        <v>0</v>
      </c>
      <c r="AA392" s="118">
        <f>IFERROR(
IF(OR('Basic payroll data'!$D$12="",'Basic payroll data'!$D$12="No"),0,
$T392*VLOOKUP($C392,'Employee information'!$B:$P,COLUMNS('Employee information'!$B:$P),0)*AL_loading_perc),
0)</f>
        <v>0</v>
      </c>
      <c r="AC392" s="118"/>
      <c r="AD392" s="118"/>
      <c r="AE392" s="283" t="str">
        <f t="shared" si="414"/>
        <v/>
      </c>
      <c r="AF392" s="283" t="str">
        <f t="shared" si="415"/>
        <v/>
      </c>
      <c r="AG392" s="118"/>
      <c r="AH392" s="118"/>
      <c r="AI392" s="283" t="str">
        <f t="shared" si="416"/>
        <v/>
      </c>
      <c r="AJ392" s="118"/>
      <c r="AK392" s="118"/>
      <c r="AM392" s="118">
        <f t="shared" si="417"/>
        <v>4125</v>
      </c>
      <c r="AN392" s="118">
        <f t="shared" si="402"/>
        <v>4125</v>
      </c>
      <c r="AO392" s="118" t="str">
        <f>IFERROR(
IF(VLOOKUP($C392,'Employee information'!$B:$M,COLUMNS('Employee information'!$B:$M),0)=1,
IF($E$2="Fortnightly",
ROUND(
ROUND((((TRUNC($AN392/2,0)+0.99))*VLOOKUP((TRUNC($AN392/2,0)+0.99),'Tax scales - NAT 1004'!$A$12:$C$18,2,1)-VLOOKUP((TRUNC($AN392/2,0)+0.99),'Tax scales - NAT 1004'!$A$12:$C$18,3,1)),0)
*2,
0),
IF(AND($E$2="Monthly",ROUND($AN392-TRUNC($AN392),2)=0.33),
ROUND(
ROUND(((TRUNC(($AN392+0.01)*3/13,0)+0.99)*VLOOKUP((TRUNC(($AN392+0.01)*3/13,0)+0.99),'Tax scales - NAT 1004'!$A$12:$C$18,2,1)-VLOOKUP((TRUNC(($AN392+0.01)*3/13,0)+0.99),'Tax scales - NAT 1004'!$A$12:$C$18,3,1)),0)
*13/3,
0),
IF($E$2="Monthly",
ROUND(
ROUND(((TRUNC($AN392*3/13,0)+0.99)*VLOOKUP((TRUNC($AN392*3/13,0)+0.99),'Tax scales - NAT 1004'!$A$12:$C$18,2,1)-VLOOKUP((TRUNC($AN392*3/13,0)+0.99),'Tax scales - NAT 1004'!$A$12:$C$18,3,1)),0)
*13/3,
0),
""))),
""),
"")</f>
        <v/>
      </c>
      <c r="AP392" s="118" t="str">
        <f>IFERROR(
IF(VLOOKUP($C392,'Employee information'!$B:$M,COLUMNS('Employee information'!$B:$M),0)=2,
IF($E$2="Fortnightly",
ROUND(
ROUND((((TRUNC($AN392/2,0)+0.99))*VLOOKUP((TRUNC($AN392/2,0)+0.99),'Tax scales - NAT 1004'!$A$25:$C$33,2,1)-VLOOKUP((TRUNC($AN392/2,0)+0.99),'Tax scales - NAT 1004'!$A$25:$C$33,3,1)),0)
*2,
0),
IF(AND($E$2="Monthly",ROUND($AN392-TRUNC($AN392),2)=0.33),
ROUND(
ROUND(((TRUNC(($AN392+0.01)*3/13,0)+0.99)*VLOOKUP((TRUNC(($AN392+0.01)*3/13,0)+0.99),'Tax scales - NAT 1004'!$A$25:$C$33,2,1)-VLOOKUP((TRUNC(($AN392+0.01)*3/13,0)+0.99),'Tax scales - NAT 1004'!$A$25:$C$33,3,1)),0)
*13/3,
0),
IF($E$2="Monthly",
ROUND(
ROUND(((TRUNC($AN392*3/13,0)+0.99)*VLOOKUP((TRUNC($AN392*3/13,0)+0.99),'Tax scales - NAT 1004'!$A$25:$C$33,2,1)-VLOOKUP((TRUNC($AN392*3/13,0)+0.99),'Tax scales - NAT 1004'!$A$25:$C$33,3,1)),0)
*13/3,
0),
""))),
""),
"")</f>
        <v/>
      </c>
      <c r="AQ392" s="118" t="str">
        <f>IFERROR(
IF(VLOOKUP($C392,'Employee information'!$B:$M,COLUMNS('Employee information'!$B:$M),0)=3,
IF($E$2="Fortnightly",
ROUND(
ROUND((((TRUNC($AN392/2,0)+0.99))*VLOOKUP((TRUNC($AN392/2,0)+0.99),'Tax scales - NAT 1004'!$A$39:$C$41,2,1)-VLOOKUP((TRUNC($AN392/2,0)+0.99),'Tax scales - NAT 1004'!$A$39:$C$41,3,1)),0)
*2,
0),
IF(AND($E$2="Monthly",ROUND($AN392-TRUNC($AN392),2)=0.33),
ROUND(
ROUND(((TRUNC(($AN392+0.01)*3/13,0)+0.99)*VLOOKUP((TRUNC(($AN392+0.01)*3/13,0)+0.99),'Tax scales - NAT 1004'!$A$39:$C$41,2,1)-VLOOKUP((TRUNC(($AN392+0.01)*3/13,0)+0.99),'Tax scales - NAT 1004'!$A$39:$C$41,3,1)),0)
*13/3,
0),
IF($E$2="Monthly",
ROUND(
ROUND(((TRUNC($AN392*3/13,0)+0.99)*VLOOKUP((TRUNC($AN392*3/13,0)+0.99),'Tax scales - NAT 1004'!$A$39:$C$41,2,1)-VLOOKUP((TRUNC($AN392*3/13,0)+0.99),'Tax scales - NAT 1004'!$A$39:$C$41,3,1)),0)
*13/3,
0),
""))),
""),
"")</f>
        <v/>
      </c>
      <c r="AR392" s="118" t="str">
        <f>IFERROR(
IF(AND(VLOOKUP($C392,'Employee information'!$B:$M,COLUMNS('Employee information'!$B:$M),0)=4,
VLOOKUP($C392,'Employee information'!$B:$J,COLUMNS('Employee information'!$B:$J),0)="Resident"),
TRUNC(TRUNC($AN392)*'Tax scales - NAT 1004'!$B$47),
IF(AND(VLOOKUP($C392,'Employee information'!$B:$M,COLUMNS('Employee information'!$B:$M),0)=4,
VLOOKUP($C392,'Employee information'!$B:$J,COLUMNS('Employee information'!$B:$J),0)="Foreign resident"),
TRUNC(TRUNC($AN392)*'Tax scales - NAT 1004'!$B$48),
"")),
"")</f>
        <v/>
      </c>
      <c r="AS392" s="118" t="str">
        <f>IFERROR(
IF(VLOOKUP($C392,'Employee information'!$B:$M,COLUMNS('Employee information'!$B:$M),0)=5,
IF($E$2="Fortnightly",
ROUND(
ROUND((((TRUNC($AN392/2,0)+0.99))*VLOOKUP((TRUNC($AN392/2,0)+0.99),'Tax scales - NAT 1004'!$A$53:$C$59,2,1)-VLOOKUP((TRUNC($AN392/2,0)+0.99),'Tax scales - NAT 1004'!$A$53:$C$59,3,1)),0)
*2,
0),
IF(AND($E$2="Monthly",ROUND($AN392-TRUNC($AN392),2)=0.33),
ROUND(
ROUND(((TRUNC(($AN392+0.01)*3/13,0)+0.99)*VLOOKUP((TRUNC(($AN392+0.01)*3/13,0)+0.99),'Tax scales - NAT 1004'!$A$53:$C$59,2,1)-VLOOKUP((TRUNC(($AN392+0.01)*3/13,0)+0.99),'Tax scales - NAT 1004'!$A$53:$C$59,3,1)),0)
*13/3,
0),
IF($E$2="Monthly",
ROUND(
ROUND(((TRUNC($AN392*3/13,0)+0.99)*VLOOKUP((TRUNC($AN392*3/13,0)+0.99),'Tax scales - NAT 1004'!$A$53:$C$59,2,1)-VLOOKUP((TRUNC($AN392*3/13,0)+0.99),'Tax scales - NAT 1004'!$A$53:$C$59,3,1)),0)
*13/3,
0),
""))),
""),
"")</f>
        <v/>
      </c>
      <c r="AT392" s="118" t="str">
        <f>IFERROR(
IF(VLOOKUP($C392,'Employee information'!$B:$M,COLUMNS('Employee information'!$B:$M),0)=6,
IF($E$2="Fortnightly",
ROUND(
ROUND((((TRUNC($AN392/2,0)+0.99))*VLOOKUP((TRUNC($AN392/2,0)+0.99),'Tax scales - NAT 1004'!$A$65:$C$73,2,1)-VLOOKUP((TRUNC($AN392/2,0)+0.99),'Tax scales - NAT 1004'!$A$65:$C$73,3,1)),0)
*2,
0),
IF(AND($E$2="Monthly",ROUND($AN392-TRUNC($AN392),2)=0.33),
ROUND(
ROUND(((TRUNC(($AN392+0.01)*3/13,0)+0.99)*VLOOKUP((TRUNC(($AN392+0.01)*3/13,0)+0.99),'Tax scales - NAT 1004'!$A$65:$C$73,2,1)-VLOOKUP((TRUNC(($AN392+0.01)*3/13,0)+0.99),'Tax scales - NAT 1004'!$A$65:$C$73,3,1)),0)
*13/3,
0),
IF($E$2="Monthly",
ROUND(
ROUND(((TRUNC($AN392*3/13,0)+0.99)*VLOOKUP((TRUNC($AN392*3/13,0)+0.99),'Tax scales - NAT 1004'!$A$65:$C$73,2,1)-VLOOKUP((TRUNC($AN392*3/13,0)+0.99),'Tax scales - NAT 1004'!$A$65:$C$73,3,1)),0)
*13/3,
0),
""))),
""),
"")</f>
        <v/>
      </c>
      <c r="AU392" s="118">
        <f>IFERROR(
IF(VLOOKUP($C392,'Employee information'!$B:$M,COLUMNS('Employee information'!$B:$M),0)=11,
IF($E$2="Fortnightly",
ROUND(
ROUND((((TRUNC($AN392/2,0)+0.99))*VLOOKUP((TRUNC($AN392/2,0)+0.99),'Tax scales - NAT 3539'!$A$14:$C$38,2,1)-VLOOKUP((TRUNC($AN392/2,0)+0.99),'Tax scales - NAT 3539'!$A$14:$C$38,3,1)),0)
*2,
0),
IF(AND($E$2="Monthly",ROUND($AN392-TRUNC($AN392),2)=0.33),
ROUND(
ROUND(((TRUNC(($AN392+0.01)*3/13,0)+0.99)*VLOOKUP((TRUNC(($AN392+0.01)*3/13,0)+0.99),'Tax scales - NAT 3539'!$A$14:$C$38,2,1)-VLOOKUP((TRUNC(($AN392+0.01)*3/13,0)+0.99),'Tax scales - NAT 3539'!$A$14:$C$38,3,1)),0)
*13/3,
0),
IF($E$2="Monthly",
ROUND(
ROUND(((TRUNC($AN392*3/13,0)+0.99)*VLOOKUP((TRUNC($AN392*3/13,0)+0.99),'Tax scales - NAT 3539'!$A$14:$C$38,2,1)-VLOOKUP((TRUNC($AN392*3/13,0)+0.99),'Tax scales - NAT 3539'!$A$14:$C$38,3,1)),0)
*13/3,
0),
""))),
""),
"")</f>
        <v>1680</v>
      </c>
      <c r="AV392" s="118" t="str">
        <f>IFERROR(
IF(VLOOKUP($C392,'Employee information'!$B:$M,COLUMNS('Employee information'!$B:$M),0)=22,
IF($E$2="Fortnightly",
ROUND(
ROUND((((TRUNC($AN392/2,0)+0.99))*VLOOKUP((TRUNC($AN392/2,0)+0.99),'Tax scales - NAT 3539'!$A$43:$C$69,2,1)-VLOOKUP((TRUNC($AN392/2,0)+0.99),'Tax scales - NAT 3539'!$A$43:$C$69,3,1)),0)
*2,
0),
IF(AND($E$2="Monthly",ROUND($AN392-TRUNC($AN392),2)=0.33),
ROUND(
ROUND(((TRUNC(($AN392+0.01)*3/13,0)+0.99)*VLOOKUP((TRUNC(($AN392+0.01)*3/13,0)+0.99),'Tax scales - NAT 3539'!$A$43:$C$69,2,1)-VLOOKUP((TRUNC(($AN392+0.01)*3/13,0)+0.99),'Tax scales - NAT 3539'!$A$43:$C$69,3,1)),0)
*13/3,
0),
IF($E$2="Monthly",
ROUND(
ROUND(((TRUNC($AN392*3/13,0)+0.99)*VLOOKUP((TRUNC($AN392*3/13,0)+0.99),'Tax scales - NAT 3539'!$A$43:$C$69,2,1)-VLOOKUP((TRUNC($AN392*3/13,0)+0.99),'Tax scales - NAT 3539'!$A$43:$C$69,3,1)),0)
*13/3,
0),
""))),
""),
"")</f>
        <v/>
      </c>
      <c r="AW392" s="118" t="str">
        <f>IFERROR(
IF(VLOOKUP($C392,'Employee information'!$B:$M,COLUMNS('Employee information'!$B:$M),0)=33,
IF($E$2="Fortnightly",
ROUND(
ROUND((((TRUNC($AN392/2,0)+0.99))*VLOOKUP((TRUNC($AN392/2,0)+0.99),'Tax scales - NAT 3539'!$A$74:$C$94,2,1)-VLOOKUP((TRUNC($AN392/2,0)+0.99),'Tax scales - NAT 3539'!$A$74:$C$94,3,1)),0)
*2,
0),
IF(AND($E$2="Monthly",ROUND($AN392-TRUNC($AN392),2)=0.33),
ROUND(
ROUND(((TRUNC(($AN392+0.01)*3/13,0)+0.99)*VLOOKUP((TRUNC(($AN392+0.01)*3/13,0)+0.99),'Tax scales - NAT 3539'!$A$74:$C$94,2,1)-VLOOKUP((TRUNC(($AN392+0.01)*3/13,0)+0.99),'Tax scales - NAT 3539'!$A$74:$C$94,3,1)),0)
*13/3,
0),
IF($E$2="Monthly",
ROUND(
ROUND(((TRUNC($AN392*3/13,0)+0.99)*VLOOKUP((TRUNC($AN392*3/13,0)+0.99),'Tax scales - NAT 3539'!$A$74:$C$94,2,1)-VLOOKUP((TRUNC($AN392*3/13,0)+0.99),'Tax scales - NAT 3539'!$A$74:$C$94,3,1)),0)
*13/3,
0),
""))),
""),
"")</f>
        <v/>
      </c>
      <c r="AX392" s="118" t="str">
        <f>IFERROR(
IF(VLOOKUP($C392,'Employee information'!$B:$M,COLUMNS('Employee information'!$B:$M),0)=55,
IF($E$2="Fortnightly",
ROUND(
ROUND((((TRUNC($AN392/2,0)+0.99))*VLOOKUP((TRUNC($AN392/2,0)+0.99),'Tax scales - NAT 3539'!$A$99:$C$123,2,1)-VLOOKUP((TRUNC($AN392/2,0)+0.99),'Tax scales - NAT 3539'!$A$99:$C$123,3,1)),0)
*2,
0),
IF(AND($E$2="Monthly",ROUND($AN392-TRUNC($AN392),2)=0.33),
ROUND(
ROUND(((TRUNC(($AN392+0.01)*3/13,0)+0.99)*VLOOKUP((TRUNC(($AN392+0.01)*3/13,0)+0.99),'Tax scales - NAT 3539'!$A$99:$C$123,2,1)-VLOOKUP((TRUNC(($AN392+0.01)*3/13,0)+0.99),'Tax scales - NAT 3539'!$A$99:$C$123,3,1)),0)
*13/3,
0),
IF($E$2="Monthly",
ROUND(
ROUND(((TRUNC($AN392*3/13,0)+0.99)*VLOOKUP((TRUNC($AN392*3/13,0)+0.99),'Tax scales - NAT 3539'!$A$99:$C$123,2,1)-VLOOKUP((TRUNC($AN392*3/13,0)+0.99),'Tax scales - NAT 3539'!$A$99:$C$123,3,1)),0)
*13/3,
0),
""))),
""),
"")</f>
        <v/>
      </c>
      <c r="AY392" s="118" t="str">
        <f>IFERROR(
IF(VLOOKUP($C392,'Employee information'!$B:$M,COLUMNS('Employee information'!$B:$M),0)=66,
IF($E$2="Fortnightly",
ROUND(
ROUND((((TRUNC($AN392/2,0)+0.99))*VLOOKUP((TRUNC($AN392/2,0)+0.99),'Tax scales - NAT 3539'!$A$127:$C$154,2,1)-VLOOKUP((TRUNC($AN392/2,0)+0.99),'Tax scales - NAT 3539'!$A$127:$C$154,3,1)),0)
*2,
0),
IF(AND($E$2="Monthly",ROUND($AN392-TRUNC($AN392),2)=0.33),
ROUND(
ROUND(((TRUNC(($AN392+0.01)*3/13,0)+0.99)*VLOOKUP((TRUNC(($AN392+0.01)*3/13,0)+0.99),'Tax scales - NAT 3539'!$A$127:$C$154,2,1)-VLOOKUP((TRUNC(($AN392+0.01)*3/13,0)+0.99),'Tax scales - NAT 3539'!$A$127:$C$154,3,1)),0)
*13/3,
0),
IF($E$2="Monthly",
ROUND(
ROUND(((TRUNC($AN392*3/13,0)+0.99)*VLOOKUP((TRUNC($AN392*3/13,0)+0.99),'Tax scales - NAT 3539'!$A$127:$C$154,2,1)-VLOOKUP((TRUNC($AN392*3/13,0)+0.99),'Tax scales - NAT 3539'!$A$127:$C$154,3,1)),0)
*13/3,
0),
""))),
""),
"")</f>
        <v/>
      </c>
      <c r="AZ392" s="118">
        <f>IFERROR(
HLOOKUP(VLOOKUP($C392,'Employee information'!$B:$M,COLUMNS('Employee information'!$B:$M),0),'PAYG worksheet'!$AO$387:$AY$406,COUNTA($C$388:$C392)+1,0),
0)</f>
        <v>1680</v>
      </c>
      <c r="BA392" s="118"/>
      <c r="BB392" s="118">
        <f t="shared" si="418"/>
        <v>2445</v>
      </c>
      <c r="BC392" s="119">
        <f>IFERROR(
IF(OR($AE392=1,$AE392=""),SUM($P392,$AA392,$AC392,$AK392)*VLOOKUP($C392,'Employee information'!$B:$Q,COLUMNS('Employee information'!$B:$H),0),
IF($AE392=0,SUM($P392,$AA392,$AK392)*VLOOKUP($C392,'Employee information'!$B:$Q,COLUMNS('Employee information'!$B:$H),0),
0)),
0)</f>
        <v>391.875</v>
      </c>
      <c r="BE392" s="114">
        <f t="shared" si="403"/>
        <v>57850</v>
      </c>
      <c r="BF392" s="114">
        <f t="shared" si="404"/>
        <v>57850</v>
      </c>
      <c r="BG392" s="114">
        <f t="shared" si="405"/>
        <v>0</v>
      </c>
      <c r="BH392" s="114">
        <f t="shared" si="406"/>
        <v>0</v>
      </c>
      <c r="BI392" s="114">
        <f t="shared" si="407"/>
        <v>23568</v>
      </c>
      <c r="BJ392" s="114">
        <f t="shared" si="408"/>
        <v>0</v>
      </c>
      <c r="BK392" s="114">
        <f t="shared" si="409"/>
        <v>0</v>
      </c>
      <c r="BL392" s="114">
        <f t="shared" si="419"/>
        <v>100</v>
      </c>
      <c r="BM392" s="114">
        <f t="shared" si="410"/>
        <v>5495.75</v>
      </c>
    </row>
    <row r="393" spans="1:65" x14ac:dyDescent="0.25">
      <c r="A393" s="228">
        <f t="shared" si="398"/>
        <v>14</v>
      </c>
      <c r="C393" s="278" t="s">
        <v>17</v>
      </c>
      <c r="E393" s="103">
        <f>IF($C393="",0,
IF(AND($E$2="Monthly",$A393&gt;12),0,
IF($E$2="Monthly",VLOOKUP($C393,'Employee information'!$B:$AM,COLUMNS('Employee information'!$B:S),0),
IF($E$2="Fortnightly",VLOOKUP($C393,'Employee information'!$B:$AM,COLUMNS('Employee information'!$B:R),0),
0))))</f>
        <v>75</v>
      </c>
      <c r="F393" s="106"/>
      <c r="G393" s="106"/>
      <c r="H393" s="106"/>
      <c r="I393" s="106"/>
      <c r="J393" s="103">
        <f t="shared" si="411"/>
        <v>75</v>
      </c>
      <c r="L393" s="113">
        <f>IF(AND($E$2="Monthly",$A393&gt;12),"",
IFERROR($J393*VLOOKUP($C393,'Employee information'!$B:$AI,COLUMNS('Employee information'!$B:$P),0),0))</f>
        <v>2500</v>
      </c>
      <c r="M393" s="114">
        <f t="shared" si="412"/>
        <v>35000</v>
      </c>
      <c r="O393" s="103">
        <f t="shared" si="413"/>
        <v>75</v>
      </c>
      <c r="P393" s="113">
        <f>IFERROR(
IF(AND($E$2="Monthly",$A393&gt;12),0,
$O393*VLOOKUP($C393,'Employee information'!$B:$AI,COLUMNS('Employee information'!$B:$P),0)),
0)</f>
        <v>2500</v>
      </c>
      <c r="R393" s="114">
        <f t="shared" si="399"/>
        <v>35000</v>
      </c>
      <c r="T393" s="103"/>
      <c r="U393" s="103"/>
      <c r="V393" s="282">
        <f>IF($C393="","",
IF(AND($E$2="Monthly",$A393&gt;12),"",
$T393*VLOOKUP($C393,'Employee information'!$B:$P,COLUMNS('Employee information'!$B:$P),0)))</f>
        <v>0</v>
      </c>
      <c r="W393" s="282">
        <f>IF($C393="","",
IF(AND($E$2="Monthly",$A393&gt;12),"",
$U393*VLOOKUP($C393,'Employee information'!$B:$P,COLUMNS('Employee information'!$B:$P),0)))</f>
        <v>0</v>
      </c>
      <c r="X393" s="114">
        <f t="shared" si="400"/>
        <v>0</v>
      </c>
      <c r="Y393" s="114">
        <f t="shared" si="401"/>
        <v>0</v>
      </c>
      <c r="AA393" s="118">
        <f>IFERROR(
IF(OR('Basic payroll data'!$D$12="",'Basic payroll data'!$D$12="No"),0,
$T393*VLOOKUP($C393,'Employee information'!$B:$P,COLUMNS('Employee information'!$B:$P),0)*AL_loading_perc),
0)</f>
        <v>0</v>
      </c>
      <c r="AC393" s="118"/>
      <c r="AD393" s="118"/>
      <c r="AE393" s="283" t="str">
        <f t="shared" si="414"/>
        <v/>
      </c>
      <c r="AF393" s="283" t="str">
        <f t="shared" si="415"/>
        <v/>
      </c>
      <c r="AG393" s="118"/>
      <c r="AH393" s="118"/>
      <c r="AI393" s="283" t="str">
        <f t="shared" si="416"/>
        <v/>
      </c>
      <c r="AJ393" s="118"/>
      <c r="AK393" s="118"/>
      <c r="AM393" s="118">
        <f t="shared" si="417"/>
        <v>2500</v>
      </c>
      <c r="AN393" s="118">
        <f t="shared" si="402"/>
        <v>2500</v>
      </c>
      <c r="AO393" s="118" t="str">
        <f>IFERROR(
IF(VLOOKUP($C393,'Employee information'!$B:$M,COLUMNS('Employee information'!$B:$M),0)=1,
IF($E$2="Fortnightly",
ROUND(
ROUND((((TRUNC($AN393/2,0)+0.99))*VLOOKUP((TRUNC($AN393/2,0)+0.99),'Tax scales - NAT 1004'!$A$12:$C$18,2,1)-VLOOKUP((TRUNC($AN393/2,0)+0.99),'Tax scales - NAT 1004'!$A$12:$C$18,3,1)),0)
*2,
0),
IF(AND($E$2="Monthly",ROUND($AN393-TRUNC($AN393),2)=0.33),
ROUND(
ROUND(((TRUNC(($AN393+0.01)*3/13,0)+0.99)*VLOOKUP((TRUNC(($AN393+0.01)*3/13,0)+0.99),'Tax scales - NAT 1004'!$A$12:$C$18,2,1)-VLOOKUP((TRUNC(($AN393+0.01)*3/13,0)+0.99),'Tax scales - NAT 1004'!$A$12:$C$18,3,1)),0)
*13/3,
0),
IF($E$2="Monthly",
ROUND(
ROUND(((TRUNC($AN393*3/13,0)+0.99)*VLOOKUP((TRUNC($AN393*3/13,0)+0.99),'Tax scales - NAT 1004'!$A$12:$C$18,2,1)-VLOOKUP((TRUNC($AN393*3/13,0)+0.99),'Tax scales - NAT 1004'!$A$12:$C$18,3,1)),0)
*13/3,
0),
""))),
""),
"")</f>
        <v/>
      </c>
      <c r="AP393" s="118" t="str">
        <f>IFERROR(
IF(VLOOKUP($C393,'Employee information'!$B:$M,COLUMNS('Employee information'!$B:$M),0)=2,
IF($E$2="Fortnightly",
ROUND(
ROUND((((TRUNC($AN393/2,0)+0.99))*VLOOKUP((TRUNC($AN393/2,0)+0.99),'Tax scales - NAT 1004'!$A$25:$C$33,2,1)-VLOOKUP((TRUNC($AN393/2,0)+0.99),'Tax scales - NAT 1004'!$A$25:$C$33,3,1)),0)
*2,
0),
IF(AND($E$2="Monthly",ROUND($AN393-TRUNC($AN393),2)=0.33),
ROUND(
ROUND(((TRUNC(($AN393+0.01)*3/13,0)+0.99)*VLOOKUP((TRUNC(($AN393+0.01)*3/13,0)+0.99),'Tax scales - NAT 1004'!$A$25:$C$33,2,1)-VLOOKUP((TRUNC(($AN393+0.01)*3/13,0)+0.99),'Tax scales - NAT 1004'!$A$25:$C$33,3,1)),0)
*13/3,
0),
IF($E$2="Monthly",
ROUND(
ROUND(((TRUNC($AN393*3/13,0)+0.99)*VLOOKUP((TRUNC($AN393*3/13,0)+0.99),'Tax scales - NAT 1004'!$A$25:$C$33,2,1)-VLOOKUP((TRUNC($AN393*3/13,0)+0.99),'Tax scales - NAT 1004'!$A$25:$C$33,3,1)),0)
*13/3,
0),
""))),
""),
"")</f>
        <v/>
      </c>
      <c r="AQ393" s="118" t="str">
        <f>IFERROR(
IF(VLOOKUP($C393,'Employee information'!$B:$M,COLUMNS('Employee information'!$B:$M),0)=3,
IF($E$2="Fortnightly",
ROUND(
ROUND((((TRUNC($AN393/2,0)+0.99))*VLOOKUP((TRUNC($AN393/2,0)+0.99),'Tax scales - NAT 1004'!$A$39:$C$41,2,1)-VLOOKUP((TRUNC($AN393/2,0)+0.99),'Tax scales - NAT 1004'!$A$39:$C$41,3,1)),0)
*2,
0),
IF(AND($E$2="Monthly",ROUND($AN393-TRUNC($AN393),2)=0.33),
ROUND(
ROUND(((TRUNC(($AN393+0.01)*3/13,0)+0.99)*VLOOKUP((TRUNC(($AN393+0.01)*3/13,0)+0.99),'Tax scales - NAT 1004'!$A$39:$C$41,2,1)-VLOOKUP((TRUNC(($AN393+0.01)*3/13,0)+0.99),'Tax scales - NAT 1004'!$A$39:$C$41,3,1)),0)
*13/3,
0),
IF($E$2="Monthly",
ROUND(
ROUND(((TRUNC($AN393*3/13,0)+0.99)*VLOOKUP((TRUNC($AN393*3/13,0)+0.99),'Tax scales - NAT 1004'!$A$39:$C$41,2,1)-VLOOKUP((TRUNC($AN393*3/13,0)+0.99),'Tax scales - NAT 1004'!$A$39:$C$41,3,1)),0)
*13/3,
0),
""))),
""),
"")</f>
        <v/>
      </c>
      <c r="AR393" s="118">
        <f>IFERROR(
IF(AND(VLOOKUP($C393,'Employee information'!$B:$M,COLUMNS('Employee information'!$B:$M),0)=4,
VLOOKUP($C393,'Employee information'!$B:$J,COLUMNS('Employee information'!$B:$J),0)="Resident"),
TRUNC(TRUNC($AN393)*'Tax scales - NAT 1004'!$B$47),
IF(AND(VLOOKUP($C393,'Employee information'!$B:$M,COLUMNS('Employee information'!$B:$M),0)=4,
VLOOKUP($C393,'Employee information'!$B:$J,COLUMNS('Employee information'!$B:$J),0)="Foreign resident"),
TRUNC(TRUNC($AN393)*'Tax scales - NAT 1004'!$B$48),
"")),
"")</f>
        <v>1175</v>
      </c>
      <c r="AS393" s="118" t="str">
        <f>IFERROR(
IF(VLOOKUP($C393,'Employee information'!$B:$M,COLUMNS('Employee information'!$B:$M),0)=5,
IF($E$2="Fortnightly",
ROUND(
ROUND((((TRUNC($AN393/2,0)+0.99))*VLOOKUP((TRUNC($AN393/2,0)+0.99),'Tax scales - NAT 1004'!$A$53:$C$59,2,1)-VLOOKUP((TRUNC($AN393/2,0)+0.99),'Tax scales - NAT 1004'!$A$53:$C$59,3,1)),0)
*2,
0),
IF(AND($E$2="Monthly",ROUND($AN393-TRUNC($AN393),2)=0.33),
ROUND(
ROUND(((TRUNC(($AN393+0.01)*3/13,0)+0.99)*VLOOKUP((TRUNC(($AN393+0.01)*3/13,0)+0.99),'Tax scales - NAT 1004'!$A$53:$C$59,2,1)-VLOOKUP((TRUNC(($AN393+0.01)*3/13,0)+0.99),'Tax scales - NAT 1004'!$A$53:$C$59,3,1)),0)
*13/3,
0),
IF($E$2="Monthly",
ROUND(
ROUND(((TRUNC($AN393*3/13,0)+0.99)*VLOOKUP((TRUNC($AN393*3/13,0)+0.99),'Tax scales - NAT 1004'!$A$53:$C$59,2,1)-VLOOKUP((TRUNC($AN393*3/13,0)+0.99),'Tax scales - NAT 1004'!$A$53:$C$59,3,1)),0)
*13/3,
0),
""))),
""),
"")</f>
        <v/>
      </c>
      <c r="AT393" s="118" t="str">
        <f>IFERROR(
IF(VLOOKUP($C393,'Employee information'!$B:$M,COLUMNS('Employee information'!$B:$M),0)=6,
IF($E$2="Fortnightly",
ROUND(
ROUND((((TRUNC($AN393/2,0)+0.99))*VLOOKUP((TRUNC($AN393/2,0)+0.99),'Tax scales - NAT 1004'!$A$65:$C$73,2,1)-VLOOKUP((TRUNC($AN393/2,0)+0.99),'Tax scales - NAT 1004'!$A$65:$C$73,3,1)),0)
*2,
0),
IF(AND($E$2="Monthly",ROUND($AN393-TRUNC($AN393),2)=0.33),
ROUND(
ROUND(((TRUNC(($AN393+0.01)*3/13,0)+0.99)*VLOOKUP((TRUNC(($AN393+0.01)*3/13,0)+0.99),'Tax scales - NAT 1004'!$A$65:$C$73,2,1)-VLOOKUP((TRUNC(($AN393+0.01)*3/13,0)+0.99),'Tax scales - NAT 1004'!$A$65:$C$73,3,1)),0)
*13/3,
0),
IF($E$2="Monthly",
ROUND(
ROUND(((TRUNC($AN393*3/13,0)+0.99)*VLOOKUP((TRUNC($AN393*3/13,0)+0.99),'Tax scales - NAT 1004'!$A$65:$C$73,2,1)-VLOOKUP((TRUNC($AN393*3/13,0)+0.99),'Tax scales - NAT 1004'!$A$65:$C$73,3,1)),0)
*13/3,
0),
""))),
""),
"")</f>
        <v/>
      </c>
      <c r="AU393" s="118" t="str">
        <f>IFERROR(
IF(VLOOKUP($C393,'Employee information'!$B:$M,COLUMNS('Employee information'!$B:$M),0)=11,
IF($E$2="Fortnightly",
ROUND(
ROUND((((TRUNC($AN393/2,0)+0.99))*VLOOKUP((TRUNC($AN393/2,0)+0.99),'Tax scales - NAT 3539'!$A$14:$C$38,2,1)-VLOOKUP((TRUNC($AN393/2,0)+0.99),'Tax scales - NAT 3539'!$A$14:$C$38,3,1)),0)
*2,
0),
IF(AND($E$2="Monthly",ROUND($AN393-TRUNC($AN393),2)=0.33),
ROUND(
ROUND(((TRUNC(($AN393+0.01)*3/13,0)+0.99)*VLOOKUP((TRUNC(($AN393+0.01)*3/13,0)+0.99),'Tax scales - NAT 3539'!$A$14:$C$38,2,1)-VLOOKUP((TRUNC(($AN393+0.01)*3/13,0)+0.99),'Tax scales - NAT 3539'!$A$14:$C$38,3,1)),0)
*13/3,
0),
IF($E$2="Monthly",
ROUND(
ROUND(((TRUNC($AN393*3/13,0)+0.99)*VLOOKUP((TRUNC($AN393*3/13,0)+0.99),'Tax scales - NAT 3539'!$A$14:$C$38,2,1)-VLOOKUP((TRUNC($AN393*3/13,0)+0.99),'Tax scales - NAT 3539'!$A$14:$C$38,3,1)),0)
*13/3,
0),
""))),
""),
"")</f>
        <v/>
      </c>
      <c r="AV393" s="118" t="str">
        <f>IFERROR(
IF(VLOOKUP($C393,'Employee information'!$B:$M,COLUMNS('Employee information'!$B:$M),0)=22,
IF($E$2="Fortnightly",
ROUND(
ROUND((((TRUNC($AN393/2,0)+0.99))*VLOOKUP((TRUNC($AN393/2,0)+0.99),'Tax scales - NAT 3539'!$A$43:$C$69,2,1)-VLOOKUP((TRUNC($AN393/2,0)+0.99),'Tax scales - NAT 3539'!$A$43:$C$69,3,1)),0)
*2,
0),
IF(AND($E$2="Monthly",ROUND($AN393-TRUNC($AN393),2)=0.33),
ROUND(
ROUND(((TRUNC(($AN393+0.01)*3/13,0)+0.99)*VLOOKUP((TRUNC(($AN393+0.01)*3/13,0)+0.99),'Tax scales - NAT 3539'!$A$43:$C$69,2,1)-VLOOKUP((TRUNC(($AN393+0.01)*3/13,0)+0.99),'Tax scales - NAT 3539'!$A$43:$C$69,3,1)),0)
*13/3,
0),
IF($E$2="Monthly",
ROUND(
ROUND(((TRUNC($AN393*3/13,0)+0.99)*VLOOKUP((TRUNC($AN393*3/13,0)+0.99),'Tax scales - NAT 3539'!$A$43:$C$69,2,1)-VLOOKUP((TRUNC($AN393*3/13,0)+0.99),'Tax scales - NAT 3539'!$A$43:$C$69,3,1)),0)
*13/3,
0),
""))),
""),
"")</f>
        <v/>
      </c>
      <c r="AW393" s="118" t="str">
        <f>IFERROR(
IF(VLOOKUP($C393,'Employee information'!$B:$M,COLUMNS('Employee information'!$B:$M),0)=33,
IF($E$2="Fortnightly",
ROUND(
ROUND((((TRUNC($AN393/2,0)+0.99))*VLOOKUP((TRUNC($AN393/2,0)+0.99),'Tax scales - NAT 3539'!$A$74:$C$94,2,1)-VLOOKUP((TRUNC($AN393/2,0)+0.99),'Tax scales - NAT 3539'!$A$74:$C$94,3,1)),0)
*2,
0),
IF(AND($E$2="Monthly",ROUND($AN393-TRUNC($AN393),2)=0.33),
ROUND(
ROUND(((TRUNC(($AN393+0.01)*3/13,0)+0.99)*VLOOKUP((TRUNC(($AN393+0.01)*3/13,0)+0.99),'Tax scales - NAT 3539'!$A$74:$C$94,2,1)-VLOOKUP((TRUNC(($AN393+0.01)*3/13,0)+0.99),'Tax scales - NAT 3539'!$A$74:$C$94,3,1)),0)
*13/3,
0),
IF($E$2="Monthly",
ROUND(
ROUND(((TRUNC($AN393*3/13,0)+0.99)*VLOOKUP((TRUNC($AN393*3/13,0)+0.99),'Tax scales - NAT 3539'!$A$74:$C$94,2,1)-VLOOKUP((TRUNC($AN393*3/13,0)+0.99),'Tax scales - NAT 3539'!$A$74:$C$94,3,1)),0)
*13/3,
0),
""))),
""),
"")</f>
        <v/>
      </c>
      <c r="AX393" s="118" t="str">
        <f>IFERROR(
IF(VLOOKUP($C393,'Employee information'!$B:$M,COLUMNS('Employee information'!$B:$M),0)=55,
IF($E$2="Fortnightly",
ROUND(
ROUND((((TRUNC($AN393/2,0)+0.99))*VLOOKUP((TRUNC($AN393/2,0)+0.99),'Tax scales - NAT 3539'!$A$99:$C$123,2,1)-VLOOKUP((TRUNC($AN393/2,0)+0.99),'Tax scales - NAT 3539'!$A$99:$C$123,3,1)),0)
*2,
0),
IF(AND($E$2="Monthly",ROUND($AN393-TRUNC($AN393),2)=0.33),
ROUND(
ROUND(((TRUNC(($AN393+0.01)*3/13,0)+0.99)*VLOOKUP((TRUNC(($AN393+0.01)*3/13,0)+0.99),'Tax scales - NAT 3539'!$A$99:$C$123,2,1)-VLOOKUP((TRUNC(($AN393+0.01)*3/13,0)+0.99),'Tax scales - NAT 3539'!$A$99:$C$123,3,1)),0)
*13/3,
0),
IF($E$2="Monthly",
ROUND(
ROUND(((TRUNC($AN393*3/13,0)+0.99)*VLOOKUP((TRUNC($AN393*3/13,0)+0.99),'Tax scales - NAT 3539'!$A$99:$C$123,2,1)-VLOOKUP((TRUNC($AN393*3/13,0)+0.99),'Tax scales - NAT 3539'!$A$99:$C$123,3,1)),0)
*13/3,
0),
""))),
""),
"")</f>
        <v/>
      </c>
      <c r="AY393" s="118" t="str">
        <f>IFERROR(
IF(VLOOKUP($C393,'Employee information'!$B:$M,COLUMNS('Employee information'!$B:$M),0)=66,
IF($E$2="Fortnightly",
ROUND(
ROUND((((TRUNC($AN393/2,0)+0.99))*VLOOKUP((TRUNC($AN393/2,0)+0.99),'Tax scales - NAT 3539'!$A$127:$C$154,2,1)-VLOOKUP((TRUNC($AN393/2,0)+0.99),'Tax scales - NAT 3539'!$A$127:$C$154,3,1)),0)
*2,
0),
IF(AND($E$2="Monthly",ROUND($AN393-TRUNC($AN393),2)=0.33),
ROUND(
ROUND(((TRUNC(($AN393+0.01)*3/13,0)+0.99)*VLOOKUP((TRUNC(($AN393+0.01)*3/13,0)+0.99),'Tax scales - NAT 3539'!$A$127:$C$154,2,1)-VLOOKUP((TRUNC(($AN393+0.01)*3/13,0)+0.99),'Tax scales - NAT 3539'!$A$127:$C$154,3,1)),0)
*13/3,
0),
IF($E$2="Monthly",
ROUND(
ROUND(((TRUNC($AN393*3/13,0)+0.99)*VLOOKUP((TRUNC($AN393*3/13,0)+0.99),'Tax scales - NAT 3539'!$A$127:$C$154,2,1)-VLOOKUP((TRUNC($AN393*3/13,0)+0.99),'Tax scales - NAT 3539'!$A$127:$C$154,3,1)),0)
*13/3,
0),
""))),
""),
"")</f>
        <v/>
      </c>
      <c r="AZ393" s="118">
        <f>IFERROR(
HLOOKUP(VLOOKUP($C393,'Employee information'!$B:$M,COLUMNS('Employee information'!$B:$M),0),'PAYG worksheet'!$AO$387:$AY$406,COUNTA($C$388:$C393)+1,0),
0)</f>
        <v>1175</v>
      </c>
      <c r="BA393" s="118"/>
      <c r="BB393" s="118">
        <f t="shared" si="418"/>
        <v>1325</v>
      </c>
      <c r="BC393" s="119">
        <f>IFERROR(
IF(OR($AE393=1,$AE393=""),SUM($P393,$AA393,$AC393,$AK393)*VLOOKUP($C393,'Employee information'!$B:$Q,COLUMNS('Employee information'!$B:$H),0),
IF($AE393=0,SUM($P393,$AA393,$AK393)*VLOOKUP($C393,'Employee information'!$B:$Q,COLUMNS('Employee information'!$B:$H),0),
0)),
0)</f>
        <v>237.5</v>
      </c>
      <c r="BE393" s="114">
        <f t="shared" si="403"/>
        <v>35000</v>
      </c>
      <c r="BF393" s="114">
        <f t="shared" si="404"/>
        <v>35000</v>
      </c>
      <c r="BG393" s="114">
        <f t="shared" si="405"/>
        <v>0</v>
      </c>
      <c r="BH393" s="114">
        <f t="shared" si="406"/>
        <v>0</v>
      </c>
      <c r="BI393" s="114">
        <f t="shared" si="407"/>
        <v>16450</v>
      </c>
      <c r="BJ393" s="114">
        <f t="shared" si="408"/>
        <v>0</v>
      </c>
      <c r="BK393" s="114">
        <f t="shared" si="409"/>
        <v>0</v>
      </c>
      <c r="BL393" s="114">
        <f t="shared" si="419"/>
        <v>0</v>
      </c>
      <c r="BM393" s="114">
        <f t="shared" si="410"/>
        <v>3325</v>
      </c>
    </row>
    <row r="394" spans="1:65" x14ac:dyDescent="0.25">
      <c r="A394" s="228">
        <f t="shared" si="398"/>
        <v>14</v>
      </c>
      <c r="C394" s="278" t="s">
        <v>95</v>
      </c>
      <c r="E394" s="103">
        <f>IF($C394="",0,
IF(AND($E$2="Monthly",$A394&gt;12),0,
IF($E$2="Monthly",VLOOKUP($C394,'Employee information'!$B:$AM,COLUMNS('Employee information'!$B:S),0),
IF($E$2="Fortnightly",VLOOKUP($C394,'Employee information'!$B:$AM,COLUMNS('Employee information'!$B:R),0),
0))))</f>
        <v>45</v>
      </c>
      <c r="F394" s="106"/>
      <c r="G394" s="106"/>
      <c r="H394" s="106"/>
      <c r="I394" s="106"/>
      <c r="J394" s="103">
        <f t="shared" si="411"/>
        <v>45</v>
      </c>
      <c r="L394" s="113">
        <f>IF(AND($E$2="Monthly",$A394&gt;12),"",
IFERROR($J394*VLOOKUP($C394,'Employee information'!$B:$AI,COLUMNS('Employee information'!$B:$P),0),0))</f>
        <v>1107.6923076923078</v>
      </c>
      <c r="M394" s="114">
        <f t="shared" si="412"/>
        <v>15507.692307692314</v>
      </c>
      <c r="O394" s="103">
        <f t="shared" si="413"/>
        <v>45</v>
      </c>
      <c r="P394" s="113">
        <f>IFERROR(
IF(AND($E$2="Monthly",$A394&gt;12),0,
$O394*VLOOKUP($C394,'Employee information'!$B:$AI,COLUMNS('Employee information'!$B:$P),0)),
0)</f>
        <v>1107.6923076923078</v>
      </c>
      <c r="R394" s="114">
        <f t="shared" si="399"/>
        <v>15507.692307692314</v>
      </c>
      <c r="T394" s="103"/>
      <c r="U394" s="103"/>
      <c r="V394" s="282">
        <f>IF($C394="","",
IF(AND($E$2="Monthly",$A394&gt;12),"",
$T394*VLOOKUP($C394,'Employee information'!$B:$P,COLUMNS('Employee information'!$B:$P),0)))</f>
        <v>0</v>
      </c>
      <c r="W394" s="282">
        <f>IF($C394="","",
IF(AND($E$2="Monthly",$A394&gt;12),"",
$U394*VLOOKUP($C394,'Employee information'!$B:$P,COLUMNS('Employee information'!$B:$P),0)))</f>
        <v>0</v>
      </c>
      <c r="X394" s="114">
        <f t="shared" si="400"/>
        <v>0</v>
      </c>
      <c r="Y394" s="114">
        <f t="shared" si="401"/>
        <v>0</v>
      </c>
      <c r="AA394" s="118">
        <f>IFERROR(
IF(OR('Basic payroll data'!$D$12="",'Basic payroll data'!$D$12="No"),0,
$T394*VLOOKUP($C394,'Employee information'!$B:$P,COLUMNS('Employee information'!$B:$P),0)*AL_loading_perc),
0)</f>
        <v>0</v>
      </c>
      <c r="AC394" s="118"/>
      <c r="AD394" s="118"/>
      <c r="AE394" s="283" t="str">
        <f t="shared" si="414"/>
        <v/>
      </c>
      <c r="AF394" s="283" t="str">
        <f t="shared" si="415"/>
        <v/>
      </c>
      <c r="AG394" s="118"/>
      <c r="AH394" s="118"/>
      <c r="AI394" s="283" t="str">
        <f t="shared" si="416"/>
        <v/>
      </c>
      <c r="AJ394" s="118"/>
      <c r="AK394" s="118"/>
      <c r="AM394" s="118">
        <f t="shared" si="417"/>
        <v>1107.6923076923078</v>
      </c>
      <c r="AN394" s="118">
        <f t="shared" si="402"/>
        <v>1107.6923076923078</v>
      </c>
      <c r="AO394" s="118" t="str">
        <f>IFERROR(
IF(VLOOKUP($C394,'Employee information'!$B:$M,COLUMNS('Employee information'!$B:$M),0)=1,
IF($E$2="Fortnightly",
ROUND(
ROUND((((TRUNC($AN394/2,0)+0.99))*VLOOKUP((TRUNC($AN394/2,0)+0.99),'Tax scales - NAT 1004'!$A$12:$C$18,2,1)-VLOOKUP((TRUNC($AN394/2,0)+0.99),'Tax scales - NAT 1004'!$A$12:$C$18,3,1)),0)
*2,
0),
IF(AND($E$2="Monthly",ROUND($AN394-TRUNC($AN394),2)=0.33),
ROUND(
ROUND(((TRUNC(($AN394+0.01)*3/13,0)+0.99)*VLOOKUP((TRUNC(($AN394+0.01)*3/13,0)+0.99),'Tax scales - NAT 1004'!$A$12:$C$18,2,1)-VLOOKUP((TRUNC(($AN394+0.01)*3/13,0)+0.99),'Tax scales - NAT 1004'!$A$12:$C$18,3,1)),0)
*13/3,
0),
IF($E$2="Monthly",
ROUND(
ROUND(((TRUNC($AN394*3/13,0)+0.99)*VLOOKUP((TRUNC($AN394*3/13,0)+0.99),'Tax scales - NAT 1004'!$A$12:$C$18,2,1)-VLOOKUP((TRUNC($AN394*3/13,0)+0.99),'Tax scales - NAT 1004'!$A$12:$C$18,3,1)),0)
*13/3,
0),
""))),
""),
"")</f>
        <v/>
      </c>
      <c r="AP394" s="118" t="str">
        <f>IFERROR(
IF(VLOOKUP($C394,'Employee information'!$B:$M,COLUMNS('Employee information'!$B:$M),0)=2,
IF($E$2="Fortnightly",
ROUND(
ROUND((((TRUNC($AN394/2,0)+0.99))*VLOOKUP((TRUNC($AN394/2,0)+0.99),'Tax scales - NAT 1004'!$A$25:$C$33,2,1)-VLOOKUP((TRUNC($AN394/2,0)+0.99),'Tax scales - NAT 1004'!$A$25:$C$33,3,1)),0)
*2,
0),
IF(AND($E$2="Monthly",ROUND($AN394-TRUNC($AN394),2)=0.33),
ROUND(
ROUND(((TRUNC(($AN394+0.01)*3/13,0)+0.99)*VLOOKUP((TRUNC(($AN394+0.01)*3/13,0)+0.99),'Tax scales - NAT 1004'!$A$25:$C$33,2,1)-VLOOKUP((TRUNC(($AN394+0.01)*3/13,0)+0.99),'Tax scales - NAT 1004'!$A$25:$C$33,3,1)),0)
*13/3,
0),
IF($E$2="Monthly",
ROUND(
ROUND(((TRUNC($AN394*3/13,0)+0.99)*VLOOKUP((TRUNC($AN394*3/13,0)+0.99),'Tax scales - NAT 1004'!$A$25:$C$33,2,1)-VLOOKUP((TRUNC($AN394*3/13,0)+0.99),'Tax scales - NAT 1004'!$A$25:$C$33,3,1)),0)
*13/3,
0),
""))),
""),
"")</f>
        <v/>
      </c>
      <c r="AQ394" s="118" t="str">
        <f>IFERROR(
IF(VLOOKUP($C394,'Employee information'!$B:$M,COLUMNS('Employee information'!$B:$M),0)=3,
IF($E$2="Fortnightly",
ROUND(
ROUND((((TRUNC($AN394/2,0)+0.99))*VLOOKUP((TRUNC($AN394/2,0)+0.99),'Tax scales - NAT 1004'!$A$39:$C$41,2,1)-VLOOKUP((TRUNC($AN394/2,0)+0.99),'Tax scales - NAT 1004'!$A$39:$C$41,3,1)),0)
*2,
0),
IF(AND($E$2="Monthly",ROUND($AN394-TRUNC($AN394),2)=0.33),
ROUND(
ROUND(((TRUNC(($AN394+0.01)*3/13,0)+0.99)*VLOOKUP((TRUNC(($AN394+0.01)*3/13,0)+0.99),'Tax scales - NAT 1004'!$A$39:$C$41,2,1)-VLOOKUP((TRUNC(($AN394+0.01)*3/13,0)+0.99),'Tax scales - NAT 1004'!$A$39:$C$41,3,1)),0)
*13/3,
0),
IF($E$2="Monthly",
ROUND(
ROUND(((TRUNC($AN394*3/13,0)+0.99)*VLOOKUP((TRUNC($AN394*3/13,0)+0.99),'Tax scales - NAT 1004'!$A$39:$C$41,2,1)-VLOOKUP((TRUNC($AN394*3/13,0)+0.99),'Tax scales - NAT 1004'!$A$39:$C$41,3,1)),0)
*13/3,
0),
""))),
""),
"")</f>
        <v/>
      </c>
      <c r="AR394" s="118" t="str">
        <f>IFERROR(
IF(AND(VLOOKUP($C394,'Employee information'!$B:$M,COLUMNS('Employee information'!$B:$M),0)=4,
VLOOKUP($C394,'Employee information'!$B:$J,COLUMNS('Employee information'!$B:$J),0)="Resident"),
TRUNC(TRUNC($AN394)*'Tax scales - NAT 1004'!$B$47),
IF(AND(VLOOKUP($C394,'Employee information'!$B:$M,COLUMNS('Employee information'!$B:$M),0)=4,
VLOOKUP($C394,'Employee information'!$B:$J,COLUMNS('Employee information'!$B:$J),0)="Foreign resident"),
TRUNC(TRUNC($AN394)*'Tax scales - NAT 1004'!$B$48),
"")),
"")</f>
        <v/>
      </c>
      <c r="AS394" s="118" t="str">
        <f>IFERROR(
IF(VLOOKUP($C394,'Employee information'!$B:$M,COLUMNS('Employee information'!$B:$M),0)=5,
IF($E$2="Fortnightly",
ROUND(
ROUND((((TRUNC($AN394/2,0)+0.99))*VLOOKUP((TRUNC($AN394/2,0)+0.99),'Tax scales - NAT 1004'!$A$53:$C$59,2,1)-VLOOKUP((TRUNC($AN394/2,0)+0.99),'Tax scales - NAT 1004'!$A$53:$C$59,3,1)),0)
*2,
0),
IF(AND($E$2="Monthly",ROUND($AN394-TRUNC($AN394),2)=0.33),
ROUND(
ROUND(((TRUNC(($AN394+0.01)*3/13,0)+0.99)*VLOOKUP((TRUNC(($AN394+0.01)*3/13,0)+0.99),'Tax scales - NAT 1004'!$A$53:$C$59,2,1)-VLOOKUP((TRUNC(($AN394+0.01)*3/13,0)+0.99),'Tax scales - NAT 1004'!$A$53:$C$59,3,1)),0)
*13/3,
0),
IF($E$2="Monthly",
ROUND(
ROUND(((TRUNC($AN394*3/13,0)+0.99)*VLOOKUP((TRUNC($AN394*3/13,0)+0.99),'Tax scales - NAT 1004'!$A$53:$C$59,2,1)-VLOOKUP((TRUNC($AN394*3/13,0)+0.99),'Tax scales - NAT 1004'!$A$53:$C$59,3,1)),0)
*13/3,
0),
""))),
""),
"")</f>
        <v/>
      </c>
      <c r="AT394" s="118" t="str">
        <f>IFERROR(
IF(VLOOKUP($C394,'Employee information'!$B:$M,COLUMNS('Employee information'!$B:$M),0)=6,
IF($E$2="Fortnightly",
ROUND(
ROUND((((TRUNC($AN394/2,0)+0.99))*VLOOKUP((TRUNC($AN394/2,0)+0.99),'Tax scales - NAT 1004'!$A$65:$C$73,2,1)-VLOOKUP((TRUNC($AN394/2,0)+0.99),'Tax scales - NAT 1004'!$A$65:$C$73,3,1)),0)
*2,
0),
IF(AND($E$2="Monthly",ROUND($AN394-TRUNC($AN394),2)=0.33),
ROUND(
ROUND(((TRUNC(($AN394+0.01)*3/13,0)+0.99)*VLOOKUP((TRUNC(($AN394+0.01)*3/13,0)+0.99),'Tax scales - NAT 1004'!$A$65:$C$73,2,1)-VLOOKUP((TRUNC(($AN394+0.01)*3/13,0)+0.99),'Tax scales - NAT 1004'!$A$65:$C$73,3,1)),0)
*13/3,
0),
IF($E$2="Monthly",
ROUND(
ROUND(((TRUNC($AN394*3/13,0)+0.99)*VLOOKUP((TRUNC($AN394*3/13,0)+0.99),'Tax scales - NAT 1004'!$A$65:$C$73,2,1)-VLOOKUP((TRUNC($AN394*3/13,0)+0.99),'Tax scales - NAT 1004'!$A$65:$C$73,3,1)),0)
*13/3,
0),
""))),
""),
"")</f>
        <v/>
      </c>
      <c r="AU394" s="118" t="str">
        <f>IFERROR(
IF(VLOOKUP($C394,'Employee information'!$B:$M,COLUMNS('Employee information'!$B:$M),0)=11,
IF($E$2="Fortnightly",
ROUND(
ROUND((((TRUNC($AN394/2,0)+0.99))*VLOOKUP((TRUNC($AN394/2,0)+0.99),'Tax scales - NAT 3539'!$A$14:$C$38,2,1)-VLOOKUP((TRUNC($AN394/2,0)+0.99),'Tax scales - NAT 3539'!$A$14:$C$38,3,1)),0)
*2,
0),
IF(AND($E$2="Monthly",ROUND($AN394-TRUNC($AN394),2)=0.33),
ROUND(
ROUND(((TRUNC(($AN394+0.01)*3/13,0)+0.99)*VLOOKUP((TRUNC(($AN394+0.01)*3/13,0)+0.99),'Tax scales - NAT 3539'!$A$14:$C$38,2,1)-VLOOKUP((TRUNC(($AN394+0.01)*3/13,0)+0.99),'Tax scales - NAT 3539'!$A$14:$C$38,3,1)),0)
*13/3,
0),
IF($E$2="Monthly",
ROUND(
ROUND(((TRUNC($AN394*3/13,0)+0.99)*VLOOKUP((TRUNC($AN394*3/13,0)+0.99),'Tax scales - NAT 3539'!$A$14:$C$38,2,1)-VLOOKUP((TRUNC($AN394*3/13,0)+0.99),'Tax scales - NAT 3539'!$A$14:$C$38,3,1)),0)
*13/3,
0),
""))),
""),
"")</f>
        <v/>
      </c>
      <c r="AV394" s="118" t="str">
        <f>IFERROR(
IF(VLOOKUP($C394,'Employee information'!$B:$M,COLUMNS('Employee information'!$B:$M),0)=22,
IF($E$2="Fortnightly",
ROUND(
ROUND((((TRUNC($AN394/2,0)+0.99))*VLOOKUP((TRUNC($AN394/2,0)+0.99),'Tax scales - NAT 3539'!$A$43:$C$69,2,1)-VLOOKUP((TRUNC($AN394/2,0)+0.99),'Tax scales - NAT 3539'!$A$43:$C$69,3,1)),0)
*2,
0),
IF(AND($E$2="Monthly",ROUND($AN394-TRUNC($AN394),2)=0.33),
ROUND(
ROUND(((TRUNC(($AN394+0.01)*3/13,0)+0.99)*VLOOKUP((TRUNC(($AN394+0.01)*3/13,0)+0.99),'Tax scales - NAT 3539'!$A$43:$C$69,2,1)-VLOOKUP((TRUNC(($AN394+0.01)*3/13,0)+0.99),'Tax scales - NAT 3539'!$A$43:$C$69,3,1)),0)
*13/3,
0),
IF($E$2="Monthly",
ROUND(
ROUND(((TRUNC($AN394*3/13,0)+0.99)*VLOOKUP((TRUNC($AN394*3/13,0)+0.99),'Tax scales - NAT 3539'!$A$43:$C$69,2,1)-VLOOKUP((TRUNC($AN394*3/13,0)+0.99),'Tax scales - NAT 3539'!$A$43:$C$69,3,1)),0)
*13/3,
0),
""))),
""),
"")</f>
        <v/>
      </c>
      <c r="AW394" s="118" t="str">
        <f>IFERROR(
IF(VLOOKUP($C394,'Employee information'!$B:$M,COLUMNS('Employee information'!$B:$M),0)=33,
IF($E$2="Fortnightly",
ROUND(
ROUND((((TRUNC($AN394/2,0)+0.99))*VLOOKUP((TRUNC($AN394/2,0)+0.99),'Tax scales - NAT 3539'!$A$74:$C$94,2,1)-VLOOKUP((TRUNC($AN394/2,0)+0.99),'Tax scales - NAT 3539'!$A$74:$C$94,3,1)),0)
*2,
0),
IF(AND($E$2="Monthly",ROUND($AN394-TRUNC($AN394),2)=0.33),
ROUND(
ROUND(((TRUNC(($AN394+0.01)*3/13,0)+0.99)*VLOOKUP((TRUNC(($AN394+0.01)*3/13,0)+0.99),'Tax scales - NAT 3539'!$A$74:$C$94,2,1)-VLOOKUP((TRUNC(($AN394+0.01)*3/13,0)+0.99),'Tax scales - NAT 3539'!$A$74:$C$94,3,1)),0)
*13/3,
0),
IF($E$2="Monthly",
ROUND(
ROUND(((TRUNC($AN394*3/13,0)+0.99)*VLOOKUP((TRUNC($AN394*3/13,0)+0.99),'Tax scales - NAT 3539'!$A$74:$C$94,2,1)-VLOOKUP((TRUNC($AN394*3/13,0)+0.99),'Tax scales - NAT 3539'!$A$74:$C$94,3,1)),0)
*13/3,
0),
""))),
""),
"")</f>
        <v/>
      </c>
      <c r="AX394" s="118" t="str">
        <f>IFERROR(
IF(VLOOKUP($C394,'Employee information'!$B:$M,COLUMNS('Employee information'!$B:$M),0)=55,
IF($E$2="Fortnightly",
ROUND(
ROUND((((TRUNC($AN394/2,0)+0.99))*VLOOKUP((TRUNC($AN394/2,0)+0.99),'Tax scales - NAT 3539'!$A$99:$C$123,2,1)-VLOOKUP((TRUNC($AN394/2,0)+0.99),'Tax scales - NAT 3539'!$A$99:$C$123,3,1)),0)
*2,
0),
IF(AND($E$2="Monthly",ROUND($AN394-TRUNC($AN394),2)=0.33),
ROUND(
ROUND(((TRUNC(($AN394+0.01)*3/13,0)+0.99)*VLOOKUP((TRUNC(($AN394+0.01)*3/13,0)+0.99),'Tax scales - NAT 3539'!$A$99:$C$123,2,1)-VLOOKUP((TRUNC(($AN394+0.01)*3/13,0)+0.99),'Tax scales - NAT 3539'!$A$99:$C$123,3,1)),0)
*13/3,
0),
IF($E$2="Monthly",
ROUND(
ROUND(((TRUNC($AN394*3/13,0)+0.99)*VLOOKUP((TRUNC($AN394*3/13,0)+0.99),'Tax scales - NAT 3539'!$A$99:$C$123,2,1)-VLOOKUP((TRUNC($AN394*3/13,0)+0.99),'Tax scales - NAT 3539'!$A$99:$C$123,3,1)),0)
*13/3,
0),
""))),
""),
"")</f>
        <v/>
      </c>
      <c r="AY394" s="118">
        <f>IFERROR(
IF(VLOOKUP($C394,'Employee information'!$B:$M,COLUMNS('Employee information'!$B:$M),0)=66,
IF($E$2="Fortnightly",
ROUND(
ROUND((((TRUNC($AN394/2,0)+0.99))*VLOOKUP((TRUNC($AN394/2,0)+0.99),'Tax scales - NAT 3539'!$A$127:$C$154,2,1)-VLOOKUP((TRUNC($AN394/2,0)+0.99),'Tax scales - NAT 3539'!$A$127:$C$154,3,1)),0)
*2,
0),
IF(AND($E$2="Monthly",ROUND($AN394-TRUNC($AN394),2)=0.33),
ROUND(
ROUND(((TRUNC(($AN394+0.01)*3/13,0)+0.99)*VLOOKUP((TRUNC(($AN394+0.01)*3/13,0)+0.99),'Tax scales - NAT 3539'!$A$127:$C$154,2,1)-VLOOKUP((TRUNC(($AN394+0.01)*3/13,0)+0.99),'Tax scales - NAT 3539'!$A$127:$C$154,3,1)),0)
*13/3,
0),
IF($E$2="Monthly",
ROUND(
ROUND(((TRUNC($AN394*3/13,0)+0.99)*VLOOKUP((TRUNC($AN394*3/13,0)+0.99),'Tax scales - NAT 3539'!$A$127:$C$154,2,1)-VLOOKUP((TRUNC($AN394*3/13,0)+0.99),'Tax scales - NAT 3539'!$A$127:$C$154,3,1)),0)
*13/3,
0),
""))),
""),
"")</f>
        <v>74</v>
      </c>
      <c r="AZ394" s="118">
        <f>IFERROR(
HLOOKUP(VLOOKUP($C394,'Employee information'!$B:$M,COLUMNS('Employee information'!$B:$M),0),'PAYG worksheet'!$AO$387:$AY$406,COUNTA($C$388:$C394)+1,0),
0)</f>
        <v>74</v>
      </c>
      <c r="BA394" s="118"/>
      <c r="BB394" s="118">
        <f t="shared" si="418"/>
        <v>1033.6923076923078</v>
      </c>
      <c r="BC394" s="119">
        <f>IFERROR(
IF(OR($AE394=1,$AE394=""),SUM($P394,$AA394,$AC394,$AK394)*VLOOKUP($C394,'Employee information'!$B:$Q,COLUMNS('Employee information'!$B:$H),0),
IF($AE394=0,SUM($P394,$AA394,$AK394)*VLOOKUP($C394,'Employee information'!$B:$Q,COLUMNS('Employee information'!$B:$H),0),
0)),
0)</f>
        <v>105.23076923076924</v>
      </c>
      <c r="BE394" s="114">
        <f t="shared" si="403"/>
        <v>15507.692307692314</v>
      </c>
      <c r="BF394" s="114">
        <f t="shared" si="404"/>
        <v>15507.692307692314</v>
      </c>
      <c r="BG394" s="114">
        <f t="shared" si="405"/>
        <v>0</v>
      </c>
      <c r="BH394" s="114">
        <f t="shared" si="406"/>
        <v>0</v>
      </c>
      <c r="BI394" s="114">
        <f t="shared" si="407"/>
        <v>1036</v>
      </c>
      <c r="BJ394" s="114">
        <f t="shared" si="408"/>
        <v>0</v>
      </c>
      <c r="BK394" s="114">
        <f t="shared" si="409"/>
        <v>0</v>
      </c>
      <c r="BL394" s="114">
        <f t="shared" si="419"/>
        <v>0</v>
      </c>
      <c r="BM394" s="114">
        <f t="shared" si="410"/>
        <v>1473.2307692307697</v>
      </c>
    </row>
    <row r="395" spans="1:65" x14ac:dyDescent="0.25">
      <c r="A395" s="228">
        <f t="shared" si="398"/>
        <v>14</v>
      </c>
      <c r="C395" s="278"/>
      <c r="E395" s="103">
        <f>IF($C395="",0,
IF(AND($E$2="Monthly",$A395&gt;12),0,
IF($E$2="Monthly",VLOOKUP($C395,'Employee information'!$B:$AM,COLUMNS('Employee information'!$B:S),0),
IF($E$2="Fortnightly",VLOOKUP($C395,'Employee information'!$B:$AM,COLUMNS('Employee information'!$B:R),0),
0))))</f>
        <v>0</v>
      </c>
      <c r="F395" s="106"/>
      <c r="G395" s="106"/>
      <c r="H395" s="106"/>
      <c r="I395" s="106"/>
      <c r="J395" s="103">
        <f>IF($E$2="Monthly",
IF(AND($E$2="Monthly",$H395&lt;&gt;""),$H395,
IF(AND($E$2="Monthly",$E395=0),SUM($F395:$G395),
$E395)),
IF($E$2="Fortnightly",
IF(AND($E$2="Fortnightly",$H395&lt;&gt;""),$H395,
IF(AND($E$2="Fortnightly",$F395&lt;&gt;"",$E395&lt;&gt;0),$F395,
IF(AND($E$2="Fortnightly",$E395=0),SUM($F395:$G395),
$E395)))))</f>
        <v>0</v>
      </c>
      <c r="L395" s="113">
        <f>IF(AND($E$2="Monthly",$A395&gt;12),"",
IFERROR($J395*VLOOKUP($C395,'Employee information'!$B:$AI,COLUMNS('Employee information'!$B:$P),0),0))</f>
        <v>0</v>
      </c>
      <c r="M395" s="114">
        <f t="shared" si="412"/>
        <v>0</v>
      </c>
      <c r="O395" s="103">
        <f t="shared" si="413"/>
        <v>0</v>
      </c>
      <c r="P395" s="113">
        <f>IFERROR(
IF(AND($E$2="Monthly",$A395&gt;12),0,
$O395*VLOOKUP($C395,'Employee information'!$B:$AI,COLUMNS('Employee information'!$B:$P),0)),
0)</f>
        <v>0</v>
      </c>
      <c r="R395" s="114">
        <f t="shared" si="399"/>
        <v>0</v>
      </c>
      <c r="T395" s="103"/>
      <c r="U395" s="103"/>
      <c r="V395" s="282" t="str">
        <f>IF($C395="","",
IF(AND($E$2="Monthly",$A395&gt;12),"",
$T395*VLOOKUP($C395,'Employee information'!$B:$P,COLUMNS('Employee information'!$B:$P),0)))</f>
        <v/>
      </c>
      <c r="W395" s="282" t="str">
        <f>IF($C395="","",
IF(AND($E$2="Monthly",$A395&gt;12),"",
$U395*VLOOKUP($C395,'Employee information'!$B:$P,COLUMNS('Employee information'!$B:$P),0)))</f>
        <v/>
      </c>
      <c r="X395" s="114">
        <f t="shared" si="400"/>
        <v>0</v>
      </c>
      <c r="Y395" s="114">
        <f t="shared" si="401"/>
        <v>0</v>
      </c>
      <c r="AA395" s="118">
        <f>IFERROR(
IF(OR('Basic payroll data'!$D$12="",'Basic payroll data'!$D$12="No"),0,
$T395*VLOOKUP($C395,'Employee information'!$B:$P,COLUMNS('Employee information'!$B:$P),0)*AL_loading_perc),
0)</f>
        <v>0</v>
      </c>
      <c r="AC395" s="118"/>
      <c r="AD395" s="118"/>
      <c r="AE395" s="283" t="str">
        <f t="shared" si="414"/>
        <v/>
      </c>
      <c r="AF395" s="283" t="str">
        <f t="shared" si="415"/>
        <v/>
      </c>
      <c r="AG395" s="118"/>
      <c r="AH395" s="118"/>
      <c r="AI395" s="283" t="str">
        <f t="shared" si="416"/>
        <v/>
      </c>
      <c r="AJ395" s="118"/>
      <c r="AK395" s="118"/>
      <c r="AM395" s="118">
        <f t="shared" si="417"/>
        <v>0</v>
      </c>
      <c r="AN395" s="118">
        <f t="shared" si="402"/>
        <v>0</v>
      </c>
      <c r="AO395" s="118" t="str">
        <f>IFERROR(
IF(VLOOKUP($C395,'Employee information'!$B:$M,COLUMNS('Employee information'!$B:$M),0)=1,
IF($E$2="Fortnightly",
ROUND(
ROUND((((TRUNC($AN395/2,0)+0.99))*VLOOKUP((TRUNC($AN395/2,0)+0.99),'Tax scales - NAT 1004'!$A$12:$C$18,2,1)-VLOOKUP((TRUNC($AN395/2,0)+0.99),'Tax scales - NAT 1004'!$A$12:$C$18,3,1)),0)
*2,
0),
IF(AND($E$2="Monthly",ROUND($AN395-TRUNC($AN395),2)=0.33),
ROUND(
ROUND(((TRUNC(($AN395+0.01)*3/13,0)+0.99)*VLOOKUP((TRUNC(($AN395+0.01)*3/13,0)+0.99),'Tax scales - NAT 1004'!$A$12:$C$18,2,1)-VLOOKUP((TRUNC(($AN395+0.01)*3/13,0)+0.99),'Tax scales - NAT 1004'!$A$12:$C$18,3,1)),0)
*13/3,
0),
IF($E$2="Monthly",
ROUND(
ROUND(((TRUNC($AN395*3/13,0)+0.99)*VLOOKUP((TRUNC($AN395*3/13,0)+0.99),'Tax scales - NAT 1004'!$A$12:$C$18,2,1)-VLOOKUP((TRUNC($AN395*3/13,0)+0.99),'Tax scales - NAT 1004'!$A$12:$C$18,3,1)),0)
*13/3,
0),
""))),
""),
"")</f>
        <v/>
      </c>
      <c r="AP395" s="118" t="str">
        <f>IFERROR(
IF(VLOOKUP($C395,'Employee information'!$B:$M,COLUMNS('Employee information'!$B:$M),0)=2,
IF($E$2="Fortnightly",
ROUND(
ROUND((((TRUNC($AN395/2,0)+0.99))*VLOOKUP((TRUNC($AN395/2,0)+0.99),'Tax scales - NAT 1004'!$A$25:$C$33,2,1)-VLOOKUP((TRUNC($AN395/2,0)+0.99),'Tax scales - NAT 1004'!$A$25:$C$33,3,1)),0)
*2,
0),
IF(AND($E$2="Monthly",ROUND($AN395-TRUNC($AN395),2)=0.33),
ROUND(
ROUND(((TRUNC(($AN395+0.01)*3/13,0)+0.99)*VLOOKUP((TRUNC(($AN395+0.01)*3/13,0)+0.99),'Tax scales - NAT 1004'!$A$25:$C$33,2,1)-VLOOKUP((TRUNC(($AN395+0.01)*3/13,0)+0.99),'Tax scales - NAT 1004'!$A$25:$C$33,3,1)),0)
*13/3,
0),
IF($E$2="Monthly",
ROUND(
ROUND(((TRUNC($AN395*3/13,0)+0.99)*VLOOKUP((TRUNC($AN395*3/13,0)+0.99),'Tax scales - NAT 1004'!$A$25:$C$33,2,1)-VLOOKUP((TRUNC($AN395*3/13,0)+0.99),'Tax scales - NAT 1004'!$A$25:$C$33,3,1)),0)
*13/3,
0),
""))),
""),
"")</f>
        <v/>
      </c>
      <c r="AQ395" s="118" t="str">
        <f>IFERROR(
IF(VLOOKUP($C395,'Employee information'!$B:$M,COLUMNS('Employee information'!$B:$M),0)=3,
IF($E$2="Fortnightly",
ROUND(
ROUND((((TRUNC($AN395/2,0)+0.99))*VLOOKUP((TRUNC($AN395/2,0)+0.99),'Tax scales - NAT 1004'!$A$39:$C$41,2,1)-VLOOKUP((TRUNC($AN395/2,0)+0.99),'Tax scales - NAT 1004'!$A$39:$C$41,3,1)),0)
*2,
0),
IF(AND($E$2="Monthly",ROUND($AN395-TRUNC($AN395),2)=0.33),
ROUND(
ROUND(((TRUNC(($AN395+0.01)*3/13,0)+0.99)*VLOOKUP((TRUNC(($AN395+0.01)*3/13,0)+0.99),'Tax scales - NAT 1004'!$A$39:$C$41,2,1)-VLOOKUP((TRUNC(($AN395+0.01)*3/13,0)+0.99),'Tax scales - NAT 1004'!$A$39:$C$41,3,1)),0)
*13/3,
0),
IF($E$2="Monthly",
ROUND(
ROUND(((TRUNC($AN395*3/13,0)+0.99)*VLOOKUP((TRUNC($AN395*3/13,0)+0.99),'Tax scales - NAT 1004'!$A$39:$C$41,2,1)-VLOOKUP((TRUNC($AN395*3/13,0)+0.99),'Tax scales - NAT 1004'!$A$39:$C$41,3,1)),0)
*13/3,
0),
""))),
""),
"")</f>
        <v/>
      </c>
      <c r="AR395" s="118" t="str">
        <f>IFERROR(
IF(AND(VLOOKUP($C395,'Employee information'!$B:$M,COLUMNS('Employee information'!$B:$M),0)=4,
VLOOKUP($C395,'Employee information'!$B:$J,COLUMNS('Employee information'!$B:$J),0)="Resident"),
TRUNC(TRUNC($AN395)*'Tax scales - NAT 1004'!$B$47),
IF(AND(VLOOKUP($C395,'Employee information'!$B:$M,COLUMNS('Employee information'!$B:$M),0)=4,
VLOOKUP($C395,'Employee information'!$B:$J,COLUMNS('Employee information'!$B:$J),0)="Foreign resident"),
TRUNC(TRUNC($AN395)*'Tax scales - NAT 1004'!$B$48),
"")),
"")</f>
        <v/>
      </c>
      <c r="AS395" s="118" t="str">
        <f>IFERROR(
IF(VLOOKUP($C395,'Employee information'!$B:$M,COLUMNS('Employee information'!$B:$M),0)=5,
IF($E$2="Fortnightly",
ROUND(
ROUND((((TRUNC($AN395/2,0)+0.99))*VLOOKUP((TRUNC($AN395/2,0)+0.99),'Tax scales - NAT 1004'!$A$53:$C$59,2,1)-VLOOKUP((TRUNC($AN395/2,0)+0.99),'Tax scales - NAT 1004'!$A$53:$C$59,3,1)),0)
*2,
0),
IF(AND($E$2="Monthly",ROUND($AN395-TRUNC($AN395),2)=0.33),
ROUND(
ROUND(((TRUNC(($AN395+0.01)*3/13,0)+0.99)*VLOOKUP((TRUNC(($AN395+0.01)*3/13,0)+0.99),'Tax scales - NAT 1004'!$A$53:$C$59,2,1)-VLOOKUP((TRUNC(($AN395+0.01)*3/13,0)+0.99),'Tax scales - NAT 1004'!$A$53:$C$59,3,1)),0)
*13/3,
0),
IF($E$2="Monthly",
ROUND(
ROUND(((TRUNC($AN395*3/13,0)+0.99)*VLOOKUP((TRUNC($AN395*3/13,0)+0.99),'Tax scales - NAT 1004'!$A$53:$C$59,2,1)-VLOOKUP((TRUNC($AN395*3/13,0)+0.99),'Tax scales - NAT 1004'!$A$53:$C$59,3,1)),0)
*13/3,
0),
""))),
""),
"")</f>
        <v/>
      </c>
      <c r="AT395" s="118" t="str">
        <f>IFERROR(
IF(VLOOKUP($C395,'Employee information'!$B:$M,COLUMNS('Employee information'!$B:$M),0)=6,
IF($E$2="Fortnightly",
ROUND(
ROUND((((TRUNC($AN395/2,0)+0.99))*VLOOKUP((TRUNC($AN395/2,0)+0.99),'Tax scales - NAT 1004'!$A$65:$C$73,2,1)-VLOOKUP((TRUNC($AN395/2,0)+0.99),'Tax scales - NAT 1004'!$A$65:$C$73,3,1)),0)
*2,
0),
IF(AND($E$2="Monthly",ROUND($AN395-TRUNC($AN395),2)=0.33),
ROUND(
ROUND(((TRUNC(($AN395+0.01)*3/13,0)+0.99)*VLOOKUP((TRUNC(($AN395+0.01)*3/13,0)+0.99),'Tax scales - NAT 1004'!$A$65:$C$73,2,1)-VLOOKUP((TRUNC(($AN395+0.01)*3/13,0)+0.99),'Tax scales - NAT 1004'!$A$65:$C$73,3,1)),0)
*13/3,
0),
IF($E$2="Monthly",
ROUND(
ROUND(((TRUNC($AN395*3/13,0)+0.99)*VLOOKUP((TRUNC($AN395*3/13,0)+0.99),'Tax scales - NAT 1004'!$A$65:$C$73,2,1)-VLOOKUP((TRUNC($AN395*3/13,0)+0.99),'Tax scales - NAT 1004'!$A$65:$C$73,3,1)),0)
*13/3,
0),
""))),
""),
"")</f>
        <v/>
      </c>
      <c r="AU395" s="118" t="str">
        <f>IFERROR(
IF(VLOOKUP($C395,'Employee information'!$B:$M,COLUMNS('Employee information'!$B:$M),0)=11,
IF($E$2="Fortnightly",
ROUND(
ROUND((((TRUNC($AN395/2,0)+0.99))*VLOOKUP((TRUNC($AN395/2,0)+0.99),'Tax scales - NAT 3539'!$A$14:$C$38,2,1)-VLOOKUP((TRUNC($AN395/2,0)+0.99),'Tax scales - NAT 3539'!$A$14:$C$38,3,1)),0)
*2,
0),
IF(AND($E$2="Monthly",ROUND($AN395-TRUNC($AN395),2)=0.33),
ROUND(
ROUND(((TRUNC(($AN395+0.01)*3/13,0)+0.99)*VLOOKUP((TRUNC(($AN395+0.01)*3/13,0)+0.99),'Tax scales - NAT 3539'!$A$14:$C$38,2,1)-VLOOKUP((TRUNC(($AN395+0.01)*3/13,0)+0.99),'Tax scales - NAT 3539'!$A$14:$C$38,3,1)),0)
*13/3,
0),
IF($E$2="Monthly",
ROUND(
ROUND(((TRUNC($AN395*3/13,0)+0.99)*VLOOKUP((TRUNC($AN395*3/13,0)+0.99),'Tax scales - NAT 3539'!$A$14:$C$38,2,1)-VLOOKUP((TRUNC($AN395*3/13,0)+0.99),'Tax scales - NAT 3539'!$A$14:$C$38,3,1)),0)
*13/3,
0),
""))),
""),
"")</f>
        <v/>
      </c>
      <c r="AV395" s="118" t="str">
        <f>IFERROR(
IF(VLOOKUP($C395,'Employee information'!$B:$M,COLUMNS('Employee information'!$B:$M),0)=22,
IF($E$2="Fortnightly",
ROUND(
ROUND((((TRUNC($AN395/2,0)+0.99))*VLOOKUP((TRUNC($AN395/2,0)+0.99),'Tax scales - NAT 3539'!$A$43:$C$69,2,1)-VLOOKUP((TRUNC($AN395/2,0)+0.99),'Tax scales - NAT 3539'!$A$43:$C$69,3,1)),0)
*2,
0),
IF(AND($E$2="Monthly",ROUND($AN395-TRUNC($AN395),2)=0.33),
ROUND(
ROUND(((TRUNC(($AN395+0.01)*3/13,0)+0.99)*VLOOKUP((TRUNC(($AN395+0.01)*3/13,0)+0.99),'Tax scales - NAT 3539'!$A$43:$C$69,2,1)-VLOOKUP((TRUNC(($AN395+0.01)*3/13,0)+0.99),'Tax scales - NAT 3539'!$A$43:$C$69,3,1)),0)
*13/3,
0),
IF($E$2="Monthly",
ROUND(
ROUND(((TRUNC($AN395*3/13,0)+0.99)*VLOOKUP((TRUNC($AN395*3/13,0)+0.99),'Tax scales - NAT 3539'!$A$43:$C$69,2,1)-VLOOKUP((TRUNC($AN395*3/13,0)+0.99),'Tax scales - NAT 3539'!$A$43:$C$69,3,1)),0)
*13/3,
0),
""))),
""),
"")</f>
        <v/>
      </c>
      <c r="AW395" s="118" t="str">
        <f>IFERROR(
IF(VLOOKUP($C395,'Employee information'!$B:$M,COLUMNS('Employee information'!$B:$M),0)=33,
IF($E$2="Fortnightly",
ROUND(
ROUND((((TRUNC($AN395/2,0)+0.99))*VLOOKUP((TRUNC($AN395/2,0)+0.99),'Tax scales - NAT 3539'!$A$74:$C$94,2,1)-VLOOKUP((TRUNC($AN395/2,0)+0.99),'Tax scales - NAT 3539'!$A$74:$C$94,3,1)),0)
*2,
0),
IF(AND($E$2="Monthly",ROUND($AN395-TRUNC($AN395),2)=0.33),
ROUND(
ROUND(((TRUNC(($AN395+0.01)*3/13,0)+0.99)*VLOOKUP((TRUNC(($AN395+0.01)*3/13,0)+0.99),'Tax scales - NAT 3539'!$A$74:$C$94,2,1)-VLOOKUP((TRUNC(($AN395+0.01)*3/13,0)+0.99),'Tax scales - NAT 3539'!$A$74:$C$94,3,1)),0)
*13/3,
0),
IF($E$2="Monthly",
ROUND(
ROUND(((TRUNC($AN395*3/13,0)+0.99)*VLOOKUP((TRUNC($AN395*3/13,0)+0.99),'Tax scales - NAT 3539'!$A$74:$C$94,2,1)-VLOOKUP((TRUNC($AN395*3/13,0)+0.99),'Tax scales - NAT 3539'!$A$74:$C$94,3,1)),0)
*13/3,
0),
""))),
""),
"")</f>
        <v/>
      </c>
      <c r="AX395" s="118" t="str">
        <f>IFERROR(
IF(VLOOKUP($C395,'Employee information'!$B:$M,COLUMNS('Employee information'!$B:$M),0)=55,
IF($E$2="Fortnightly",
ROUND(
ROUND((((TRUNC($AN395/2,0)+0.99))*VLOOKUP((TRUNC($AN395/2,0)+0.99),'Tax scales - NAT 3539'!$A$99:$C$123,2,1)-VLOOKUP((TRUNC($AN395/2,0)+0.99),'Tax scales - NAT 3539'!$A$99:$C$123,3,1)),0)
*2,
0),
IF(AND($E$2="Monthly",ROUND($AN395-TRUNC($AN395),2)=0.33),
ROUND(
ROUND(((TRUNC(($AN395+0.01)*3/13,0)+0.99)*VLOOKUP((TRUNC(($AN395+0.01)*3/13,0)+0.99),'Tax scales - NAT 3539'!$A$99:$C$123,2,1)-VLOOKUP((TRUNC(($AN395+0.01)*3/13,0)+0.99),'Tax scales - NAT 3539'!$A$99:$C$123,3,1)),0)
*13/3,
0),
IF($E$2="Monthly",
ROUND(
ROUND(((TRUNC($AN395*3/13,0)+0.99)*VLOOKUP((TRUNC($AN395*3/13,0)+0.99),'Tax scales - NAT 3539'!$A$99:$C$123,2,1)-VLOOKUP((TRUNC($AN395*3/13,0)+0.99),'Tax scales - NAT 3539'!$A$99:$C$123,3,1)),0)
*13/3,
0),
""))),
""),
"")</f>
        <v/>
      </c>
      <c r="AY395" s="118" t="str">
        <f>IFERROR(
IF(VLOOKUP($C395,'Employee information'!$B:$M,COLUMNS('Employee information'!$B:$M),0)=66,
IF($E$2="Fortnightly",
ROUND(
ROUND((((TRUNC($AN395/2,0)+0.99))*VLOOKUP((TRUNC($AN395/2,0)+0.99),'Tax scales - NAT 3539'!$A$127:$C$154,2,1)-VLOOKUP((TRUNC($AN395/2,0)+0.99),'Tax scales - NAT 3539'!$A$127:$C$154,3,1)),0)
*2,
0),
IF(AND($E$2="Monthly",ROUND($AN395-TRUNC($AN395),2)=0.33),
ROUND(
ROUND(((TRUNC(($AN395+0.01)*3/13,0)+0.99)*VLOOKUP((TRUNC(($AN395+0.01)*3/13,0)+0.99),'Tax scales - NAT 3539'!$A$127:$C$154,2,1)-VLOOKUP((TRUNC(($AN395+0.01)*3/13,0)+0.99),'Tax scales - NAT 3539'!$A$127:$C$154,3,1)),0)
*13/3,
0),
IF($E$2="Monthly",
ROUND(
ROUND(((TRUNC($AN395*3/13,0)+0.99)*VLOOKUP((TRUNC($AN395*3/13,0)+0.99),'Tax scales - NAT 3539'!$A$127:$C$154,2,1)-VLOOKUP((TRUNC($AN395*3/13,0)+0.99),'Tax scales - NAT 3539'!$A$127:$C$154,3,1)),0)
*13/3,
0),
""))),
""),
"")</f>
        <v/>
      </c>
      <c r="AZ395" s="118">
        <f>IFERROR(
HLOOKUP(VLOOKUP($C395,'Employee information'!$B:$M,COLUMNS('Employee information'!$B:$M),0),'PAYG worksheet'!$AO$387:$AY$406,COUNTA($C$388:$C395)+1,0),
0)</f>
        <v>0</v>
      </c>
      <c r="BA395" s="118"/>
      <c r="BB395" s="118">
        <f t="shared" si="418"/>
        <v>0</v>
      </c>
      <c r="BC395" s="119">
        <f>IFERROR(
IF(OR($AE395=1,$AE395=""),SUM($P395,$AA395,$AC395,$AK395)*VLOOKUP($C395,'Employee information'!$B:$Q,COLUMNS('Employee information'!$B:$H),0),
IF($AE395=0,SUM($P395,$AA395,$AK395)*VLOOKUP($C395,'Employee information'!$B:$Q,COLUMNS('Employee information'!$B:$H),0),
0)),
0)</f>
        <v>0</v>
      </c>
      <c r="BE395" s="114">
        <f t="shared" si="403"/>
        <v>0</v>
      </c>
      <c r="BF395" s="114">
        <f t="shared" si="404"/>
        <v>0</v>
      </c>
      <c r="BG395" s="114">
        <f t="shared" si="405"/>
        <v>0</v>
      </c>
      <c r="BH395" s="114">
        <f t="shared" si="406"/>
        <v>0</v>
      </c>
      <c r="BI395" s="114">
        <f t="shared" si="407"/>
        <v>0</v>
      </c>
      <c r="BJ395" s="114">
        <f t="shared" si="408"/>
        <v>0</v>
      </c>
      <c r="BK395" s="114">
        <f t="shared" si="409"/>
        <v>0</v>
      </c>
      <c r="BL395" s="114">
        <f t="shared" si="419"/>
        <v>0</v>
      </c>
      <c r="BM395" s="114">
        <f t="shared" si="410"/>
        <v>0</v>
      </c>
    </row>
    <row r="396" spans="1:65" x14ac:dyDescent="0.25">
      <c r="A396" s="228">
        <f t="shared" si="398"/>
        <v>14</v>
      </c>
      <c r="C396" s="278"/>
      <c r="E396" s="103">
        <f>IF($C396="",0,
IF(AND($E$2="Monthly",$A396&gt;12),0,
IF($E$2="Monthly",VLOOKUP($C396,'Employee information'!$B:$AM,COLUMNS('Employee information'!$B:S),0),
IF($E$2="Fortnightly",VLOOKUP($C396,'Employee information'!$B:$AM,COLUMNS('Employee information'!$B:R),0),
0))))</f>
        <v>0</v>
      </c>
      <c r="F396" s="106"/>
      <c r="G396" s="106"/>
      <c r="H396" s="106"/>
      <c r="I396" s="106"/>
      <c r="J396" s="103">
        <f t="shared" si="411"/>
        <v>0</v>
      </c>
      <c r="L396" s="113">
        <f>IF(AND($E$2="Monthly",$A396&gt;12),"",
IFERROR($J396*VLOOKUP($C396,'Employee information'!$B:$AI,COLUMNS('Employee information'!$B:$P),0),0))</f>
        <v>0</v>
      </c>
      <c r="M396" s="114">
        <f t="shared" si="412"/>
        <v>0</v>
      </c>
      <c r="O396" s="103">
        <f t="shared" si="413"/>
        <v>0</v>
      </c>
      <c r="P396" s="113">
        <f>IFERROR(
IF(AND($E$2="Monthly",$A396&gt;12),0,
$O396*VLOOKUP($C396,'Employee information'!$B:$AI,COLUMNS('Employee information'!$B:$P),0)),
0)</f>
        <v>0</v>
      </c>
      <c r="R396" s="114">
        <f t="shared" si="399"/>
        <v>0</v>
      </c>
      <c r="T396" s="103"/>
      <c r="U396" s="103"/>
      <c r="V396" s="282" t="str">
        <f>IF($C396="","",
IF(AND($E$2="Monthly",$A396&gt;12),"",
$T396*VLOOKUP($C396,'Employee information'!$B:$P,COLUMNS('Employee information'!$B:$P),0)))</f>
        <v/>
      </c>
      <c r="W396" s="282" t="str">
        <f>IF($C396="","",
IF(AND($E$2="Monthly",$A396&gt;12),"",
$U396*VLOOKUP($C396,'Employee information'!$B:$P,COLUMNS('Employee information'!$B:$P),0)))</f>
        <v/>
      </c>
      <c r="X396" s="114">
        <f t="shared" si="400"/>
        <v>0</v>
      </c>
      <c r="Y396" s="114">
        <f t="shared" si="401"/>
        <v>0</v>
      </c>
      <c r="AA396" s="118">
        <f>IFERROR(
IF(OR('Basic payroll data'!$D$12="",'Basic payroll data'!$D$12="No"),0,
$T396*VLOOKUP($C396,'Employee information'!$B:$P,COLUMNS('Employee information'!$B:$P),0)*AL_loading_perc),
0)</f>
        <v>0</v>
      </c>
      <c r="AC396" s="118"/>
      <c r="AD396" s="118"/>
      <c r="AE396" s="283" t="str">
        <f t="shared" si="414"/>
        <v/>
      </c>
      <c r="AF396" s="283" t="str">
        <f t="shared" si="415"/>
        <v/>
      </c>
      <c r="AG396" s="118"/>
      <c r="AH396" s="118"/>
      <c r="AI396" s="283" t="str">
        <f t="shared" si="416"/>
        <v/>
      </c>
      <c r="AJ396" s="118"/>
      <c r="AK396" s="118"/>
      <c r="AM396" s="118">
        <f t="shared" si="417"/>
        <v>0</v>
      </c>
      <c r="AN396" s="118">
        <f t="shared" si="402"/>
        <v>0</v>
      </c>
      <c r="AO396" s="118" t="str">
        <f>IFERROR(
IF(VLOOKUP($C396,'Employee information'!$B:$M,COLUMNS('Employee information'!$B:$M),0)=1,
IF($E$2="Fortnightly",
ROUND(
ROUND((((TRUNC($AN396/2,0)+0.99))*VLOOKUP((TRUNC($AN396/2,0)+0.99),'Tax scales - NAT 1004'!$A$12:$C$18,2,1)-VLOOKUP((TRUNC($AN396/2,0)+0.99),'Tax scales - NAT 1004'!$A$12:$C$18,3,1)),0)
*2,
0),
IF(AND($E$2="Monthly",ROUND($AN396-TRUNC($AN396),2)=0.33),
ROUND(
ROUND(((TRUNC(($AN396+0.01)*3/13,0)+0.99)*VLOOKUP((TRUNC(($AN396+0.01)*3/13,0)+0.99),'Tax scales - NAT 1004'!$A$12:$C$18,2,1)-VLOOKUP((TRUNC(($AN396+0.01)*3/13,0)+0.99),'Tax scales - NAT 1004'!$A$12:$C$18,3,1)),0)
*13/3,
0),
IF($E$2="Monthly",
ROUND(
ROUND(((TRUNC($AN396*3/13,0)+0.99)*VLOOKUP((TRUNC($AN396*3/13,0)+0.99),'Tax scales - NAT 1004'!$A$12:$C$18,2,1)-VLOOKUP((TRUNC($AN396*3/13,0)+0.99),'Tax scales - NAT 1004'!$A$12:$C$18,3,1)),0)
*13/3,
0),
""))),
""),
"")</f>
        <v/>
      </c>
      <c r="AP396" s="118" t="str">
        <f>IFERROR(
IF(VLOOKUP($C396,'Employee information'!$B:$M,COLUMNS('Employee information'!$B:$M),0)=2,
IF($E$2="Fortnightly",
ROUND(
ROUND((((TRUNC($AN396/2,0)+0.99))*VLOOKUP((TRUNC($AN396/2,0)+0.99),'Tax scales - NAT 1004'!$A$25:$C$33,2,1)-VLOOKUP((TRUNC($AN396/2,0)+0.99),'Tax scales - NAT 1004'!$A$25:$C$33,3,1)),0)
*2,
0),
IF(AND($E$2="Monthly",ROUND($AN396-TRUNC($AN396),2)=0.33),
ROUND(
ROUND(((TRUNC(($AN396+0.01)*3/13,0)+0.99)*VLOOKUP((TRUNC(($AN396+0.01)*3/13,0)+0.99),'Tax scales - NAT 1004'!$A$25:$C$33,2,1)-VLOOKUP((TRUNC(($AN396+0.01)*3/13,0)+0.99),'Tax scales - NAT 1004'!$A$25:$C$33,3,1)),0)
*13/3,
0),
IF($E$2="Monthly",
ROUND(
ROUND(((TRUNC($AN396*3/13,0)+0.99)*VLOOKUP((TRUNC($AN396*3/13,0)+0.99),'Tax scales - NAT 1004'!$A$25:$C$33,2,1)-VLOOKUP((TRUNC($AN396*3/13,0)+0.99),'Tax scales - NAT 1004'!$A$25:$C$33,3,1)),0)
*13/3,
0),
""))),
""),
"")</f>
        <v/>
      </c>
      <c r="AQ396" s="118" t="str">
        <f>IFERROR(
IF(VLOOKUP($C396,'Employee information'!$B:$M,COLUMNS('Employee information'!$B:$M),0)=3,
IF($E$2="Fortnightly",
ROUND(
ROUND((((TRUNC($AN396/2,0)+0.99))*VLOOKUP((TRUNC($AN396/2,0)+0.99),'Tax scales - NAT 1004'!$A$39:$C$41,2,1)-VLOOKUP((TRUNC($AN396/2,0)+0.99),'Tax scales - NAT 1004'!$A$39:$C$41,3,1)),0)
*2,
0),
IF(AND($E$2="Monthly",ROUND($AN396-TRUNC($AN396),2)=0.33),
ROUND(
ROUND(((TRUNC(($AN396+0.01)*3/13,0)+0.99)*VLOOKUP((TRUNC(($AN396+0.01)*3/13,0)+0.99),'Tax scales - NAT 1004'!$A$39:$C$41,2,1)-VLOOKUP((TRUNC(($AN396+0.01)*3/13,0)+0.99),'Tax scales - NAT 1004'!$A$39:$C$41,3,1)),0)
*13/3,
0),
IF($E$2="Monthly",
ROUND(
ROUND(((TRUNC($AN396*3/13,0)+0.99)*VLOOKUP((TRUNC($AN396*3/13,0)+0.99),'Tax scales - NAT 1004'!$A$39:$C$41,2,1)-VLOOKUP((TRUNC($AN396*3/13,0)+0.99),'Tax scales - NAT 1004'!$A$39:$C$41,3,1)),0)
*13/3,
0),
""))),
""),
"")</f>
        <v/>
      </c>
      <c r="AR396" s="118" t="str">
        <f>IFERROR(
IF(AND(VLOOKUP($C396,'Employee information'!$B:$M,COLUMNS('Employee information'!$B:$M),0)=4,
VLOOKUP($C396,'Employee information'!$B:$J,COLUMNS('Employee information'!$B:$J),0)="Resident"),
TRUNC(TRUNC($AN396)*'Tax scales - NAT 1004'!$B$47),
IF(AND(VLOOKUP($C396,'Employee information'!$B:$M,COLUMNS('Employee information'!$B:$M),0)=4,
VLOOKUP($C396,'Employee information'!$B:$J,COLUMNS('Employee information'!$B:$J),0)="Foreign resident"),
TRUNC(TRUNC($AN396)*'Tax scales - NAT 1004'!$B$48),
"")),
"")</f>
        <v/>
      </c>
      <c r="AS396" s="118" t="str">
        <f>IFERROR(
IF(VLOOKUP($C396,'Employee information'!$B:$M,COLUMNS('Employee information'!$B:$M),0)=5,
IF($E$2="Fortnightly",
ROUND(
ROUND((((TRUNC($AN396/2,0)+0.99))*VLOOKUP((TRUNC($AN396/2,0)+0.99),'Tax scales - NAT 1004'!$A$53:$C$59,2,1)-VLOOKUP((TRUNC($AN396/2,0)+0.99),'Tax scales - NAT 1004'!$A$53:$C$59,3,1)),0)
*2,
0),
IF(AND($E$2="Monthly",ROUND($AN396-TRUNC($AN396),2)=0.33),
ROUND(
ROUND(((TRUNC(($AN396+0.01)*3/13,0)+0.99)*VLOOKUP((TRUNC(($AN396+0.01)*3/13,0)+0.99),'Tax scales - NAT 1004'!$A$53:$C$59,2,1)-VLOOKUP((TRUNC(($AN396+0.01)*3/13,0)+0.99),'Tax scales - NAT 1004'!$A$53:$C$59,3,1)),0)
*13/3,
0),
IF($E$2="Monthly",
ROUND(
ROUND(((TRUNC($AN396*3/13,0)+0.99)*VLOOKUP((TRUNC($AN396*3/13,0)+0.99),'Tax scales - NAT 1004'!$A$53:$C$59,2,1)-VLOOKUP((TRUNC($AN396*3/13,0)+0.99),'Tax scales - NAT 1004'!$A$53:$C$59,3,1)),0)
*13/3,
0),
""))),
""),
"")</f>
        <v/>
      </c>
      <c r="AT396" s="118" t="str">
        <f>IFERROR(
IF(VLOOKUP($C396,'Employee information'!$B:$M,COLUMNS('Employee information'!$B:$M),0)=6,
IF($E$2="Fortnightly",
ROUND(
ROUND((((TRUNC($AN396/2,0)+0.99))*VLOOKUP((TRUNC($AN396/2,0)+0.99),'Tax scales - NAT 1004'!$A$65:$C$73,2,1)-VLOOKUP((TRUNC($AN396/2,0)+0.99),'Tax scales - NAT 1004'!$A$65:$C$73,3,1)),0)
*2,
0),
IF(AND($E$2="Monthly",ROUND($AN396-TRUNC($AN396),2)=0.33),
ROUND(
ROUND(((TRUNC(($AN396+0.01)*3/13,0)+0.99)*VLOOKUP((TRUNC(($AN396+0.01)*3/13,0)+0.99),'Tax scales - NAT 1004'!$A$65:$C$73,2,1)-VLOOKUP((TRUNC(($AN396+0.01)*3/13,0)+0.99),'Tax scales - NAT 1004'!$A$65:$C$73,3,1)),0)
*13/3,
0),
IF($E$2="Monthly",
ROUND(
ROUND(((TRUNC($AN396*3/13,0)+0.99)*VLOOKUP((TRUNC($AN396*3/13,0)+0.99),'Tax scales - NAT 1004'!$A$65:$C$73,2,1)-VLOOKUP((TRUNC($AN396*3/13,0)+0.99),'Tax scales - NAT 1004'!$A$65:$C$73,3,1)),0)
*13/3,
0),
""))),
""),
"")</f>
        <v/>
      </c>
      <c r="AU396" s="118" t="str">
        <f>IFERROR(
IF(VLOOKUP($C396,'Employee information'!$B:$M,COLUMNS('Employee information'!$B:$M),0)=11,
IF($E$2="Fortnightly",
ROUND(
ROUND((((TRUNC($AN396/2,0)+0.99))*VLOOKUP((TRUNC($AN396/2,0)+0.99),'Tax scales - NAT 3539'!$A$14:$C$38,2,1)-VLOOKUP((TRUNC($AN396/2,0)+0.99),'Tax scales - NAT 3539'!$A$14:$C$38,3,1)),0)
*2,
0),
IF(AND($E$2="Monthly",ROUND($AN396-TRUNC($AN396),2)=0.33),
ROUND(
ROUND(((TRUNC(($AN396+0.01)*3/13,0)+0.99)*VLOOKUP((TRUNC(($AN396+0.01)*3/13,0)+0.99),'Tax scales - NAT 3539'!$A$14:$C$38,2,1)-VLOOKUP((TRUNC(($AN396+0.01)*3/13,0)+0.99),'Tax scales - NAT 3539'!$A$14:$C$38,3,1)),0)
*13/3,
0),
IF($E$2="Monthly",
ROUND(
ROUND(((TRUNC($AN396*3/13,0)+0.99)*VLOOKUP((TRUNC($AN396*3/13,0)+0.99),'Tax scales - NAT 3539'!$A$14:$C$38,2,1)-VLOOKUP((TRUNC($AN396*3/13,0)+0.99),'Tax scales - NAT 3539'!$A$14:$C$38,3,1)),0)
*13/3,
0),
""))),
""),
"")</f>
        <v/>
      </c>
      <c r="AV396" s="118" t="str">
        <f>IFERROR(
IF(VLOOKUP($C396,'Employee information'!$B:$M,COLUMNS('Employee information'!$B:$M),0)=22,
IF($E$2="Fortnightly",
ROUND(
ROUND((((TRUNC($AN396/2,0)+0.99))*VLOOKUP((TRUNC($AN396/2,0)+0.99),'Tax scales - NAT 3539'!$A$43:$C$69,2,1)-VLOOKUP((TRUNC($AN396/2,0)+0.99),'Tax scales - NAT 3539'!$A$43:$C$69,3,1)),0)
*2,
0),
IF(AND($E$2="Monthly",ROUND($AN396-TRUNC($AN396),2)=0.33),
ROUND(
ROUND(((TRUNC(($AN396+0.01)*3/13,0)+0.99)*VLOOKUP((TRUNC(($AN396+0.01)*3/13,0)+0.99),'Tax scales - NAT 3539'!$A$43:$C$69,2,1)-VLOOKUP((TRUNC(($AN396+0.01)*3/13,0)+0.99),'Tax scales - NAT 3539'!$A$43:$C$69,3,1)),0)
*13/3,
0),
IF($E$2="Monthly",
ROUND(
ROUND(((TRUNC($AN396*3/13,0)+0.99)*VLOOKUP((TRUNC($AN396*3/13,0)+0.99),'Tax scales - NAT 3539'!$A$43:$C$69,2,1)-VLOOKUP((TRUNC($AN396*3/13,0)+0.99),'Tax scales - NAT 3539'!$A$43:$C$69,3,1)),0)
*13/3,
0),
""))),
""),
"")</f>
        <v/>
      </c>
      <c r="AW396" s="118" t="str">
        <f>IFERROR(
IF(VLOOKUP($C396,'Employee information'!$B:$M,COLUMNS('Employee information'!$B:$M),0)=33,
IF($E$2="Fortnightly",
ROUND(
ROUND((((TRUNC($AN396/2,0)+0.99))*VLOOKUP((TRUNC($AN396/2,0)+0.99),'Tax scales - NAT 3539'!$A$74:$C$94,2,1)-VLOOKUP((TRUNC($AN396/2,0)+0.99),'Tax scales - NAT 3539'!$A$74:$C$94,3,1)),0)
*2,
0),
IF(AND($E$2="Monthly",ROUND($AN396-TRUNC($AN396),2)=0.33),
ROUND(
ROUND(((TRUNC(($AN396+0.01)*3/13,0)+0.99)*VLOOKUP((TRUNC(($AN396+0.01)*3/13,0)+0.99),'Tax scales - NAT 3539'!$A$74:$C$94,2,1)-VLOOKUP((TRUNC(($AN396+0.01)*3/13,0)+0.99),'Tax scales - NAT 3539'!$A$74:$C$94,3,1)),0)
*13/3,
0),
IF($E$2="Monthly",
ROUND(
ROUND(((TRUNC($AN396*3/13,0)+0.99)*VLOOKUP((TRUNC($AN396*3/13,0)+0.99),'Tax scales - NAT 3539'!$A$74:$C$94,2,1)-VLOOKUP((TRUNC($AN396*3/13,0)+0.99),'Tax scales - NAT 3539'!$A$74:$C$94,3,1)),0)
*13/3,
0),
""))),
""),
"")</f>
        <v/>
      </c>
      <c r="AX396" s="118" t="str">
        <f>IFERROR(
IF(VLOOKUP($C396,'Employee information'!$B:$M,COLUMNS('Employee information'!$B:$M),0)=55,
IF($E$2="Fortnightly",
ROUND(
ROUND((((TRUNC($AN396/2,0)+0.99))*VLOOKUP((TRUNC($AN396/2,0)+0.99),'Tax scales - NAT 3539'!$A$99:$C$123,2,1)-VLOOKUP((TRUNC($AN396/2,0)+0.99),'Tax scales - NAT 3539'!$A$99:$C$123,3,1)),0)
*2,
0),
IF(AND($E$2="Monthly",ROUND($AN396-TRUNC($AN396),2)=0.33),
ROUND(
ROUND(((TRUNC(($AN396+0.01)*3/13,0)+0.99)*VLOOKUP((TRUNC(($AN396+0.01)*3/13,0)+0.99),'Tax scales - NAT 3539'!$A$99:$C$123,2,1)-VLOOKUP((TRUNC(($AN396+0.01)*3/13,0)+0.99),'Tax scales - NAT 3539'!$A$99:$C$123,3,1)),0)
*13/3,
0),
IF($E$2="Monthly",
ROUND(
ROUND(((TRUNC($AN396*3/13,0)+0.99)*VLOOKUP((TRUNC($AN396*3/13,0)+0.99),'Tax scales - NAT 3539'!$A$99:$C$123,2,1)-VLOOKUP((TRUNC($AN396*3/13,0)+0.99),'Tax scales - NAT 3539'!$A$99:$C$123,3,1)),0)
*13/3,
0),
""))),
""),
"")</f>
        <v/>
      </c>
      <c r="AY396" s="118" t="str">
        <f>IFERROR(
IF(VLOOKUP($C396,'Employee information'!$B:$M,COLUMNS('Employee information'!$B:$M),0)=66,
IF($E$2="Fortnightly",
ROUND(
ROUND((((TRUNC($AN396/2,0)+0.99))*VLOOKUP((TRUNC($AN396/2,0)+0.99),'Tax scales - NAT 3539'!$A$127:$C$154,2,1)-VLOOKUP((TRUNC($AN396/2,0)+0.99),'Tax scales - NAT 3539'!$A$127:$C$154,3,1)),0)
*2,
0),
IF(AND($E$2="Monthly",ROUND($AN396-TRUNC($AN396),2)=0.33),
ROUND(
ROUND(((TRUNC(($AN396+0.01)*3/13,0)+0.99)*VLOOKUP((TRUNC(($AN396+0.01)*3/13,0)+0.99),'Tax scales - NAT 3539'!$A$127:$C$154,2,1)-VLOOKUP((TRUNC(($AN396+0.01)*3/13,0)+0.99),'Tax scales - NAT 3539'!$A$127:$C$154,3,1)),0)
*13/3,
0),
IF($E$2="Monthly",
ROUND(
ROUND(((TRUNC($AN396*3/13,0)+0.99)*VLOOKUP((TRUNC($AN396*3/13,0)+0.99),'Tax scales - NAT 3539'!$A$127:$C$154,2,1)-VLOOKUP((TRUNC($AN396*3/13,0)+0.99),'Tax scales - NAT 3539'!$A$127:$C$154,3,1)),0)
*13/3,
0),
""))),
""),
"")</f>
        <v/>
      </c>
      <c r="AZ396" s="118">
        <f>IFERROR(
HLOOKUP(VLOOKUP($C396,'Employee information'!$B:$M,COLUMNS('Employee information'!$B:$M),0),'PAYG worksheet'!$AO$387:$AY$406,COUNTA($C$388:$C396)+1,0),
0)</f>
        <v>0</v>
      </c>
      <c r="BA396" s="118"/>
      <c r="BB396" s="118">
        <f t="shared" si="418"/>
        <v>0</v>
      </c>
      <c r="BC396" s="119">
        <f>IFERROR(
IF(OR($AE396=1,$AE396=""),SUM($P396,$AA396,$AC396,$AK396)*VLOOKUP($C396,'Employee information'!$B:$Q,COLUMNS('Employee information'!$B:$H),0),
IF($AE396=0,SUM($P396,$AA396,$AK396)*VLOOKUP($C396,'Employee information'!$B:$Q,COLUMNS('Employee information'!$B:$H),0),
0)),
0)</f>
        <v>0</v>
      </c>
      <c r="BE396" s="114">
        <f t="shared" si="403"/>
        <v>0</v>
      </c>
      <c r="BF396" s="114">
        <f t="shared" si="404"/>
        <v>0</v>
      </c>
      <c r="BG396" s="114">
        <f t="shared" si="405"/>
        <v>0</v>
      </c>
      <c r="BH396" s="114">
        <f t="shared" si="406"/>
        <v>0</v>
      </c>
      <c r="BI396" s="114">
        <f t="shared" si="407"/>
        <v>0</v>
      </c>
      <c r="BJ396" s="114">
        <f t="shared" si="408"/>
        <v>0</v>
      </c>
      <c r="BK396" s="114">
        <f t="shared" si="409"/>
        <v>0</v>
      </c>
      <c r="BL396" s="114">
        <f t="shared" si="419"/>
        <v>0</v>
      </c>
      <c r="BM396" s="114">
        <f t="shared" si="410"/>
        <v>0</v>
      </c>
    </row>
    <row r="397" spans="1:65" x14ac:dyDescent="0.25">
      <c r="A397" s="228">
        <f t="shared" si="398"/>
        <v>14</v>
      </c>
      <c r="C397" s="278"/>
      <c r="E397" s="103">
        <f>IF($C397="",0,
IF(AND($E$2="Monthly",$A397&gt;12),0,
IF($E$2="Monthly",VLOOKUP($C397,'Employee information'!$B:$AM,COLUMNS('Employee information'!$B:S),0),
IF($E$2="Fortnightly",VLOOKUP($C397,'Employee information'!$B:$AM,COLUMNS('Employee information'!$B:R),0),
0))))</f>
        <v>0</v>
      </c>
      <c r="F397" s="106"/>
      <c r="G397" s="106"/>
      <c r="H397" s="106"/>
      <c r="I397" s="106"/>
      <c r="J397" s="103">
        <f t="shared" si="411"/>
        <v>0</v>
      </c>
      <c r="L397" s="113">
        <f>IF(AND($E$2="Monthly",$A397&gt;12),"",
IFERROR($J397*VLOOKUP($C397,'Employee information'!$B:$AI,COLUMNS('Employee information'!$B:$P),0),0))</f>
        <v>0</v>
      </c>
      <c r="M397" s="114">
        <f t="shared" si="412"/>
        <v>0</v>
      </c>
      <c r="O397" s="103">
        <f>IF($E$2="Monthly",
IF(AND($E$2="Monthly",$H397&lt;&gt;""),$H397,
IF(AND($E$2="Monthly",$E397=0),$F397,
$E397)),
IF($E$2="Fortnightly",
IF(AND($E$2="Fortnightly",$H397&lt;&gt;""),$H397,
IF(AND($E$2="Fortnightly",$F397&lt;&gt;"",$E397&lt;&gt;0),$F397,
IF(AND($E$2="Fortnightly",$E397=0),$F397,
$E397)))))</f>
        <v>0</v>
      </c>
      <c r="P397" s="113">
        <f>IFERROR(
IF(AND($E$2="Monthly",$A397&gt;12),0,
$O397*VLOOKUP($C397,'Employee information'!$B:$AI,COLUMNS('Employee information'!$B:$P),0)),
0)</f>
        <v>0</v>
      </c>
      <c r="R397" s="114">
        <f t="shared" si="399"/>
        <v>0</v>
      </c>
      <c r="T397" s="103"/>
      <c r="U397" s="103"/>
      <c r="V397" s="282" t="str">
        <f>IF($C397="","",
IF(AND($E$2="Monthly",$A397&gt;12),"",
$T397*VLOOKUP($C397,'Employee information'!$B:$P,COLUMNS('Employee information'!$B:$P),0)))</f>
        <v/>
      </c>
      <c r="W397" s="282" t="str">
        <f>IF($C397="","",
IF(AND($E$2="Monthly",$A397&gt;12),"",
$U397*VLOOKUP($C397,'Employee information'!$B:$P,COLUMNS('Employee information'!$B:$P),0)))</f>
        <v/>
      </c>
      <c r="X397" s="114">
        <f t="shared" si="400"/>
        <v>0</v>
      </c>
      <c r="Y397" s="114">
        <f t="shared" si="401"/>
        <v>0</v>
      </c>
      <c r="AA397" s="118">
        <f>IFERROR(
IF(OR('Basic payroll data'!$D$12="",'Basic payroll data'!$D$12="No"),0,
$T397*VLOOKUP($C397,'Employee information'!$B:$P,COLUMNS('Employee information'!$B:$P),0)*AL_loading_perc),
0)</f>
        <v>0</v>
      </c>
      <c r="AC397" s="118"/>
      <c r="AD397" s="118"/>
      <c r="AE397" s="283" t="str">
        <f t="shared" si="414"/>
        <v/>
      </c>
      <c r="AF397" s="283" t="str">
        <f t="shared" si="415"/>
        <v/>
      </c>
      <c r="AG397" s="118"/>
      <c r="AH397" s="118"/>
      <c r="AI397" s="283" t="str">
        <f t="shared" si="416"/>
        <v/>
      </c>
      <c r="AJ397" s="118"/>
      <c r="AK397" s="118"/>
      <c r="AM397" s="118">
        <f t="shared" si="417"/>
        <v>0</v>
      </c>
      <c r="AN397" s="118">
        <f t="shared" si="402"/>
        <v>0</v>
      </c>
      <c r="AO397" s="118" t="str">
        <f>IFERROR(
IF(VLOOKUP($C397,'Employee information'!$B:$M,COLUMNS('Employee information'!$B:$M),0)=1,
IF($E$2="Fortnightly",
ROUND(
ROUND((((TRUNC($AN397/2,0)+0.99))*VLOOKUP((TRUNC($AN397/2,0)+0.99),'Tax scales - NAT 1004'!$A$12:$C$18,2,1)-VLOOKUP((TRUNC($AN397/2,0)+0.99),'Tax scales - NAT 1004'!$A$12:$C$18,3,1)),0)
*2,
0),
IF(AND($E$2="Monthly",ROUND($AN397-TRUNC($AN397),2)=0.33),
ROUND(
ROUND(((TRUNC(($AN397+0.01)*3/13,0)+0.99)*VLOOKUP((TRUNC(($AN397+0.01)*3/13,0)+0.99),'Tax scales - NAT 1004'!$A$12:$C$18,2,1)-VLOOKUP((TRUNC(($AN397+0.01)*3/13,0)+0.99),'Tax scales - NAT 1004'!$A$12:$C$18,3,1)),0)
*13/3,
0),
IF($E$2="Monthly",
ROUND(
ROUND(((TRUNC($AN397*3/13,0)+0.99)*VLOOKUP((TRUNC($AN397*3/13,0)+0.99),'Tax scales - NAT 1004'!$A$12:$C$18,2,1)-VLOOKUP((TRUNC($AN397*3/13,0)+0.99),'Tax scales - NAT 1004'!$A$12:$C$18,3,1)),0)
*13/3,
0),
""))),
""),
"")</f>
        <v/>
      </c>
      <c r="AP397" s="118" t="str">
        <f>IFERROR(
IF(VLOOKUP($C397,'Employee information'!$B:$M,COLUMNS('Employee information'!$B:$M),0)=2,
IF($E$2="Fortnightly",
ROUND(
ROUND((((TRUNC($AN397/2,0)+0.99))*VLOOKUP((TRUNC($AN397/2,0)+0.99),'Tax scales - NAT 1004'!$A$25:$C$33,2,1)-VLOOKUP((TRUNC($AN397/2,0)+0.99),'Tax scales - NAT 1004'!$A$25:$C$33,3,1)),0)
*2,
0),
IF(AND($E$2="Monthly",ROUND($AN397-TRUNC($AN397),2)=0.33),
ROUND(
ROUND(((TRUNC(($AN397+0.01)*3/13,0)+0.99)*VLOOKUP((TRUNC(($AN397+0.01)*3/13,0)+0.99),'Tax scales - NAT 1004'!$A$25:$C$33,2,1)-VLOOKUP((TRUNC(($AN397+0.01)*3/13,0)+0.99),'Tax scales - NAT 1004'!$A$25:$C$33,3,1)),0)
*13/3,
0),
IF($E$2="Monthly",
ROUND(
ROUND(((TRUNC($AN397*3/13,0)+0.99)*VLOOKUP((TRUNC($AN397*3/13,0)+0.99),'Tax scales - NAT 1004'!$A$25:$C$33,2,1)-VLOOKUP((TRUNC($AN397*3/13,0)+0.99),'Tax scales - NAT 1004'!$A$25:$C$33,3,1)),0)
*13/3,
0),
""))),
""),
"")</f>
        <v/>
      </c>
      <c r="AQ397" s="118" t="str">
        <f>IFERROR(
IF(VLOOKUP($C397,'Employee information'!$B:$M,COLUMNS('Employee information'!$B:$M),0)=3,
IF($E$2="Fortnightly",
ROUND(
ROUND((((TRUNC($AN397/2,0)+0.99))*VLOOKUP((TRUNC($AN397/2,0)+0.99),'Tax scales - NAT 1004'!$A$39:$C$41,2,1)-VLOOKUP((TRUNC($AN397/2,0)+0.99),'Tax scales - NAT 1004'!$A$39:$C$41,3,1)),0)
*2,
0),
IF(AND($E$2="Monthly",ROUND($AN397-TRUNC($AN397),2)=0.33),
ROUND(
ROUND(((TRUNC(($AN397+0.01)*3/13,0)+0.99)*VLOOKUP((TRUNC(($AN397+0.01)*3/13,0)+0.99),'Tax scales - NAT 1004'!$A$39:$C$41,2,1)-VLOOKUP((TRUNC(($AN397+0.01)*3/13,0)+0.99),'Tax scales - NAT 1004'!$A$39:$C$41,3,1)),0)
*13/3,
0),
IF($E$2="Monthly",
ROUND(
ROUND(((TRUNC($AN397*3/13,0)+0.99)*VLOOKUP((TRUNC($AN397*3/13,0)+0.99),'Tax scales - NAT 1004'!$A$39:$C$41,2,1)-VLOOKUP((TRUNC($AN397*3/13,0)+0.99),'Tax scales - NAT 1004'!$A$39:$C$41,3,1)),0)
*13/3,
0),
""))),
""),
"")</f>
        <v/>
      </c>
      <c r="AR397" s="118" t="str">
        <f>IFERROR(
IF(AND(VLOOKUP($C397,'Employee information'!$B:$M,COLUMNS('Employee information'!$B:$M),0)=4,
VLOOKUP($C397,'Employee information'!$B:$J,COLUMNS('Employee information'!$B:$J),0)="Resident"),
TRUNC(TRUNC($AN397)*'Tax scales - NAT 1004'!$B$47),
IF(AND(VLOOKUP($C397,'Employee information'!$B:$M,COLUMNS('Employee information'!$B:$M),0)=4,
VLOOKUP($C397,'Employee information'!$B:$J,COLUMNS('Employee information'!$B:$J),0)="Foreign resident"),
TRUNC(TRUNC($AN397)*'Tax scales - NAT 1004'!$B$48),
"")),
"")</f>
        <v/>
      </c>
      <c r="AS397" s="118" t="str">
        <f>IFERROR(
IF(VLOOKUP($C397,'Employee information'!$B:$M,COLUMNS('Employee information'!$B:$M),0)=5,
IF($E$2="Fortnightly",
ROUND(
ROUND((((TRUNC($AN397/2,0)+0.99))*VLOOKUP((TRUNC($AN397/2,0)+0.99),'Tax scales - NAT 1004'!$A$53:$C$59,2,1)-VLOOKUP((TRUNC($AN397/2,0)+0.99),'Tax scales - NAT 1004'!$A$53:$C$59,3,1)),0)
*2,
0),
IF(AND($E$2="Monthly",ROUND($AN397-TRUNC($AN397),2)=0.33),
ROUND(
ROUND(((TRUNC(($AN397+0.01)*3/13,0)+0.99)*VLOOKUP((TRUNC(($AN397+0.01)*3/13,0)+0.99),'Tax scales - NAT 1004'!$A$53:$C$59,2,1)-VLOOKUP((TRUNC(($AN397+0.01)*3/13,0)+0.99),'Tax scales - NAT 1004'!$A$53:$C$59,3,1)),0)
*13/3,
0),
IF($E$2="Monthly",
ROUND(
ROUND(((TRUNC($AN397*3/13,0)+0.99)*VLOOKUP((TRUNC($AN397*3/13,0)+0.99),'Tax scales - NAT 1004'!$A$53:$C$59,2,1)-VLOOKUP((TRUNC($AN397*3/13,0)+0.99),'Tax scales - NAT 1004'!$A$53:$C$59,3,1)),0)
*13/3,
0),
""))),
""),
"")</f>
        <v/>
      </c>
      <c r="AT397" s="118" t="str">
        <f>IFERROR(
IF(VLOOKUP($C397,'Employee information'!$B:$M,COLUMNS('Employee information'!$B:$M),0)=6,
IF($E$2="Fortnightly",
ROUND(
ROUND((((TRUNC($AN397/2,0)+0.99))*VLOOKUP((TRUNC($AN397/2,0)+0.99),'Tax scales - NAT 1004'!$A$65:$C$73,2,1)-VLOOKUP((TRUNC($AN397/2,0)+0.99),'Tax scales - NAT 1004'!$A$65:$C$73,3,1)),0)
*2,
0),
IF(AND($E$2="Monthly",ROUND($AN397-TRUNC($AN397),2)=0.33),
ROUND(
ROUND(((TRUNC(($AN397+0.01)*3/13,0)+0.99)*VLOOKUP((TRUNC(($AN397+0.01)*3/13,0)+0.99),'Tax scales - NAT 1004'!$A$65:$C$73,2,1)-VLOOKUP((TRUNC(($AN397+0.01)*3/13,0)+0.99),'Tax scales - NAT 1004'!$A$65:$C$73,3,1)),0)
*13/3,
0),
IF($E$2="Monthly",
ROUND(
ROUND(((TRUNC($AN397*3/13,0)+0.99)*VLOOKUP((TRUNC($AN397*3/13,0)+0.99),'Tax scales - NAT 1004'!$A$65:$C$73,2,1)-VLOOKUP((TRUNC($AN397*3/13,0)+0.99),'Tax scales - NAT 1004'!$A$65:$C$73,3,1)),0)
*13/3,
0),
""))),
""),
"")</f>
        <v/>
      </c>
      <c r="AU397" s="118" t="str">
        <f>IFERROR(
IF(VLOOKUP($C397,'Employee information'!$B:$M,COLUMNS('Employee information'!$B:$M),0)=11,
IF($E$2="Fortnightly",
ROUND(
ROUND((((TRUNC($AN397/2,0)+0.99))*VLOOKUP((TRUNC($AN397/2,0)+0.99),'Tax scales - NAT 3539'!$A$14:$C$38,2,1)-VLOOKUP((TRUNC($AN397/2,0)+0.99),'Tax scales - NAT 3539'!$A$14:$C$38,3,1)),0)
*2,
0),
IF(AND($E$2="Monthly",ROUND($AN397-TRUNC($AN397),2)=0.33),
ROUND(
ROUND(((TRUNC(($AN397+0.01)*3/13,0)+0.99)*VLOOKUP((TRUNC(($AN397+0.01)*3/13,0)+0.99),'Tax scales - NAT 3539'!$A$14:$C$38,2,1)-VLOOKUP((TRUNC(($AN397+0.01)*3/13,0)+0.99),'Tax scales - NAT 3539'!$A$14:$C$38,3,1)),0)
*13/3,
0),
IF($E$2="Monthly",
ROUND(
ROUND(((TRUNC($AN397*3/13,0)+0.99)*VLOOKUP((TRUNC($AN397*3/13,0)+0.99),'Tax scales - NAT 3539'!$A$14:$C$38,2,1)-VLOOKUP((TRUNC($AN397*3/13,0)+0.99),'Tax scales - NAT 3539'!$A$14:$C$38,3,1)),0)
*13/3,
0),
""))),
""),
"")</f>
        <v/>
      </c>
      <c r="AV397" s="118" t="str">
        <f>IFERROR(
IF(VLOOKUP($C397,'Employee information'!$B:$M,COLUMNS('Employee information'!$B:$M),0)=22,
IF($E$2="Fortnightly",
ROUND(
ROUND((((TRUNC($AN397/2,0)+0.99))*VLOOKUP((TRUNC($AN397/2,0)+0.99),'Tax scales - NAT 3539'!$A$43:$C$69,2,1)-VLOOKUP((TRUNC($AN397/2,0)+0.99),'Tax scales - NAT 3539'!$A$43:$C$69,3,1)),0)
*2,
0),
IF(AND($E$2="Monthly",ROUND($AN397-TRUNC($AN397),2)=0.33),
ROUND(
ROUND(((TRUNC(($AN397+0.01)*3/13,0)+0.99)*VLOOKUP((TRUNC(($AN397+0.01)*3/13,0)+0.99),'Tax scales - NAT 3539'!$A$43:$C$69,2,1)-VLOOKUP((TRUNC(($AN397+0.01)*3/13,0)+0.99),'Tax scales - NAT 3539'!$A$43:$C$69,3,1)),0)
*13/3,
0),
IF($E$2="Monthly",
ROUND(
ROUND(((TRUNC($AN397*3/13,0)+0.99)*VLOOKUP((TRUNC($AN397*3/13,0)+0.99),'Tax scales - NAT 3539'!$A$43:$C$69,2,1)-VLOOKUP((TRUNC($AN397*3/13,0)+0.99),'Tax scales - NAT 3539'!$A$43:$C$69,3,1)),0)
*13/3,
0),
""))),
""),
"")</f>
        <v/>
      </c>
      <c r="AW397" s="118" t="str">
        <f>IFERROR(
IF(VLOOKUP($C397,'Employee information'!$B:$M,COLUMNS('Employee information'!$B:$M),0)=33,
IF($E$2="Fortnightly",
ROUND(
ROUND((((TRUNC($AN397/2,0)+0.99))*VLOOKUP((TRUNC($AN397/2,0)+0.99),'Tax scales - NAT 3539'!$A$74:$C$94,2,1)-VLOOKUP((TRUNC($AN397/2,0)+0.99),'Tax scales - NAT 3539'!$A$74:$C$94,3,1)),0)
*2,
0),
IF(AND($E$2="Monthly",ROUND($AN397-TRUNC($AN397),2)=0.33),
ROUND(
ROUND(((TRUNC(($AN397+0.01)*3/13,0)+0.99)*VLOOKUP((TRUNC(($AN397+0.01)*3/13,0)+0.99),'Tax scales - NAT 3539'!$A$74:$C$94,2,1)-VLOOKUP((TRUNC(($AN397+0.01)*3/13,0)+0.99),'Tax scales - NAT 3539'!$A$74:$C$94,3,1)),0)
*13/3,
0),
IF($E$2="Monthly",
ROUND(
ROUND(((TRUNC($AN397*3/13,0)+0.99)*VLOOKUP((TRUNC($AN397*3/13,0)+0.99),'Tax scales - NAT 3539'!$A$74:$C$94,2,1)-VLOOKUP((TRUNC($AN397*3/13,0)+0.99),'Tax scales - NAT 3539'!$A$74:$C$94,3,1)),0)
*13/3,
0),
""))),
""),
"")</f>
        <v/>
      </c>
      <c r="AX397" s="118" t="str">
        <f>IFERROR(
IF(VLOOKUP($C397,'Employee information'!$B:$M,COLUMNS('Employee information'!$B:$M),0)=55,
IF($E$2="Fortnightly",
ROUND(
ROUND((((TRUNC($AN397/2,0)+0.99))*VLOOKUP((TRUNC($AN397/2,0)+0.99),'Tax scales - NAT 3539'!$A$99:$C$123,2,1)-VLOOKUP((TRUNC($AN397/2,0)+0.99),'Tax scales - NAT 3539'!$A$99:$C$123,3,1)),0)
*2,
0),
IF(AND($E$2="Monthly",ROUND($AN397-TRUNC($AN397),2)=0.33),
ROUND(
ROUND(((TRUNC(($AN397+0.01)*3/13,0)+0.99)*VLOOKUP((TRUNC(($AN397+0.01)*3/13,0)+0.99),'Tax scales - NAT 3539'!$A$99:$C$123,2,1)-VLOOKUP((TRUNC(($AN397+0.01)*3/13,0)+0.99),'Tax scales - NAT 3539'!$A$99:$C$123,3,1)),0)
*13/3,
0),
IF($E$2="Monthly",
ROUND(
ROUND(((TRUNC($AN397*3/13,0)+0.99)*VLOOKUP((TRUNC($AN397*3/13,0)+0.99),'Tax scales - NAT 3539'!$A$99:$C$123,2,1)-VLOOKUP((TRUNC($AN397*3/13,0)+0.99),'Tax scales - NAT 3539'!$A$99:$C$123,3,1)),0)
*13/3,
0),
""))),
""),
"")</f>
        <v/>
      </c>
      <c r="AY397" s="118" t="str">
        <f>IFERROR(
IF(VLOOKUP($C397,'Employee information'!$B:$M,COLUMNS('Employee information'!$B:$M),0)=66,
IF($E$2="Fortnightly",
ROUND(
ROUND((((TRUNC($AN397/2,0)+0.99))*VLOOKUP((TRUNC($AN397/2,0)+0.99),'Tax scales - NAT 3539'!$A$127:$C$154,2,1)-VLOOKUP((TRUNC($AN397/2,0)+0.99),'Tax scales - NAT 3539'!$A$127:$C$154,3,1)),0)
*2,
0),
IF(AND($E$2="Monthly",ROUND($AN397-TRUNC($AN397),2)=0.33),
ROUND(
ROUND(((TRUNC(($AN397+0.01)*3/13,0)+0.99)*VLOOKUP((TRUNC(($AN397+0.01)*3/13,0)+0.99),'Tax scales - NAT 3539'!$A$127:$C$154,2,1)-VLOOKUP((TRUNC(($AN397+0.01)*3/13,0)+0.99),'Tax scales - NAT 3539'!$A$127:$C$154,3,1)),0)
*13/3,
0),
IF($E$2="Monthly",
ROUND(
ROUND(((TRUNC($AN397*3/13,0)+0.99)*VLOOKUP((TRUNC($AN397*3/13,0)+0.99),'Tax scales - NAT 3539'!$A$127:$C$154,2,1)-VLOOKUP((TRUNC($AN397*3/13,0)+0.99),'Tax scales - NAT 3539'!$A$127:$C$154,3,1)),0)
*13/3,
0),
""))),
""),
"")</f>
        <v/>
      </c>
      <c r="AZ397" s="118">
        <f>IFERROR(
HLOOKUP(VLOOKUP($C397,'Employee information'!$B:$M,COLUMNS('Employee information'!$B:$M),0),'PAYG worksheet'!$AO$387:$AY$406,COUNTA($C$388:$C397)+1,0),
0)</f>
        <v>0</v>
      </c>
      <c r="BA397" s="118"/>
      <c r="BB397" s="118">
        <f t="shared" si="418"/>
        <v>0</v>
      </c>
      <c r="BC397" s="119">
        <f>IFERROR(
IF(OR($AE397=1,$AE397=""),SUM($P397,$AA397,$AC397,$AK397)*VLOOKUP($C397,'Employee information'!$B:$Q,COLUMNS('Employee information'!$B:$H),0),
IF($AE397=0,SUM($P397,$AA397,$AK397)*VLOOKUP($C397,'Employee information'!$B:$Q,COLUMNS('Employee information'!$B:$H),0),
0)),
0)</f>
        <v>0</v>
      </c>
      <c r="BE397" s="114">
        <f t="shared" si="403"/>
        <v>0</v>
      </c>
      <c r="BF397" s="114">
        <f t="shared" si="404"/>
        <v>0</v>
      </c>
      <c r="BG397" s="114">
        <f t="shared" si="405"/>
        <v>0</v>
      </c>
      <c r="BH397" s="114">
        <f t="shared" si="406"/>
        <v>0</v>
      </c>
      <c r="BI397" s="114">
        <f t="shared" si="407"/>
        <v>0</v>
      </c>
      <c r="BJ397" s="114">
        <f t="shared" si="408"/>
        <v>0</v>
      </c>
      <c r="BK397" s="114">
        <f t="shared" si="409"/>
        <v>0</v>
      </c>
      <c r="BL397" s="114">
        <f t="shared" si="419"/>
        <v>0</v>
      </c>
      <c r="BM397" s="114">
        <f t="shared" si="410"/>
        <v>0</v>
      </c>
    </row>
    <row r="398" spans="1:65" x14ac:dyDescent="0.25">
      <c r="A398" s="228">
        <f t="shared" si="398"/>
        <v>14</v>
      </c>
      <c r="C398" s="278"/>
      <c r="E398" s="103">
        <f>IF($C398="",0,
IF(AND($E$2="Monthly",$A398&gt;12),0,
IF($E$2="Monthly",VLOOKUP($C398,'Employee information'!$B:$AM,COLUMNS('Employee information'!$B:S),0),
IF($E$2="Fortnightly",VLOOKUP($C398,'Employee information'!$B:$AM,COLUMNS('Employee information'!$B:R),0),
0))))</f>
        <v>0</v>
      </c>
      <c r="F398" s="106"/>
      <c r="G398" s="106"/>
      <c r="H398" s="106"/>
      <c r="I398" s="106"/>
      <c r="J398" s="103">
        <f t="shared" si="411"/>
        <v>0</v>
      </c>
      <c r="L398" s="113">
        <f>IF(AND($E$2="Monthly",$A398&gt;12),"",
IFERROR($J398*VLOOKUP($C398,'Employee information'!$B:$AI,COLUMNS('Employee information'!$B:$P),0),0))</f>
        <v>0</v>
      </c>
      <c r="M398" s="114">
        <f t="shared" si="412"/>
        <v>0</v>
      </c>
      <c r="O398" s="103">
        <f t="shared" si="413"/>
        <v>0</v>
      </c>
      <c r="P398" s="113">
        <f>IFERROR(
IF(AND($E$2="Monthly",$A398&gt;12),0,
$O398*VLOOKUP($C398,'Employee information'!$B:$AI,COLUMNS('Employee information'!$B:$P),0)),
0)</f>
        <v>0</v>
      </c>
      <c r="R398" s="114">
        <f t="shared" si="399"/>
        <v>0</v>
      </c>
      <c r="T398" s="103"/>
      <c r="U398" s="103"/>
      <c r="V398" s="282" t="str">
        <f>IF($C398="","",
IF(AND($E$2="Monthly",$A398&gt;12),"",
$T398*VLOOKUP($C398,'Employee information'!$B:$P,COLUMNS('Employee information'!$B:$P),0)))</f>
        <v/>
      </c>
      <c r="W398" s="282" t="str">
        <f>IF($C398="","",
IF(AND($E$2="Monthly",$A398&gt;12),"",
$U398*VLOOKUP($C398,'Employee information'!$B:$P,COLUMNS('Employee information'!$B:$P),0)))</f>
        <v/>
      </c>
      <c r="X398" s="114">
        <f t="shared" si="400"/>
        <v>0</v>
      </c>
      <c r="Y398" s="114">
        <f t="shared" si="401"/>
        <v>0</v>
      </c>
      <c r="AA398" s="118">
        <f>IFERROR(
IF(OR('Basic payroll data'!$D$12="",'Basic payroll data'!$D$12="No"),0,
$T398*VLOOKUP($C398,'Employee information'!$B:$P,COLUMNS('Employee information'!$B:$P),0)*AL_loading_perc),
0)</f>
        <v>0</v>
      </c>
      <c r="AC398" s="118"/>
      <c r="AD398" s="118"/>
      <c r="AE398" s="283" t="str">
        <f t="shared" si="414"/>
        <v/>
      </c>
      <c r="AF398" s="283" t="str">
        <f t="shared" si="415"/>
        <v/>
      </c>
      <c r="AG398" s="118"/>
      <c r="AH398" s="118"/>
      <c r="AI398" s="283" t="str">
        <f t="shared" si="416"/>
        <v/>
      </c>
      <c r="AJ398" s="118"/>
      <c r="AK398" s="118"/>
      <c r="AM398" s="118">
        <f t="shared" si="417"/>
        <v>0</v>
      </c>
      <c r="AN398" s="118">
        <f t="shared" si="402"/>
        <v>0</v>
      </c>
      <c r="AO398" s="118" t="str">
        <f>IFERROR(
IF(VLOOKUP($C398,'Employee information'!$B:$M,COLUMNS('Employee information'!$B:$M),0)=1,
IF($E$2="Fortnightly",
ROUND(
ROUND((((TRUNC($AN398/2,0)+0.99))*VLOOKUP((TRUNC($AN398/2,0)+0.99),'Tax scales - NAT 1004'!$A$12:$C$18,2,1)-VLOOKUP((TRUNC($AN398/2,0)+0.99),'Tax scales - NAT 1004'!$A$12:$C$18,3,1)),0)
*2,
0),
IF(AND($E$2="Monthly",ROUND($AN398-TRUNC($AN398),2)=0.33),
ROUND(
ROUND(((TRUNC(($AN398+0.01)*3/13,0)+0.99)*VLOOKUP((TRUNC(($AN398+0.01)*3/13,0)+0.99),'Tax scales - NAT 1004'!$A$12:$C$18,2,1)-VLOOKUP((TRUNC(($AN398+0.01)*3/13,0)+0.99),'Tax scales - NAT 1004'!$A$12:$C$18,3,1)),0)
*13/3,
0),
IF($E$2="Monthly",
ROUND(
ROUND(((TRUNC($AN398*3/13,0)+0.99)*VLOOKUP((TRUNC($AN398*3/13,0)+0.99),'Tax scales - NAT 1004'!$A$12:$C$18,2,1)-VLOOKUP((TRUNC($AN398*3/13,0)+0.99),'Tax scales - NAT 1004'!$A$12:$C$18,3,1)),0)
*13/3,
0),
""))),
""),
"")</f>
        <v/>
      </c>
      <c r="AP398" s="118" t="str">
        <f>IFERROR(
IF(VLOOKUP($C398,'Employee information'!$B:$M,COLUMNS('Employee information'!$B:$M),0)=2,
IF($E$2="Fortnightly",
ROUND(
ROUND((((TRUNC($AN398/2,0)+0.99))*VLOOKUP((TRUNC($AN398/2,0)+0.99),'Tax scales - NAT 1004'!$A$25:$C$33,2,1)-VLOOKUP((TRUNC($AN398/2,0)+0.99),'Tax scales - NAT 1004'!$A$25:$C$33,3,1)),0)
*2,
0),
IF(AND($E$2="Monthly",ROUND($AN398-TRUNC($AN398),2)=0.33),
ROUND(
ROUND(((TRUNC(($AN398+0.01)*3/13,0)+0.99)*VLOOKUP((TRUNC(($AN398+0.01)*3/13,0)+0.99),'Tax scales - NAT 1004'!$A$25:$C$33,2,1)-VLOOKUP((TRUNC(($AN398+0.01)*3/13,0)+0.99),'Tax scales - NAT 1004'!$A$25:$C$33,3,1)),0)
*13/3,
0),
IF($E$2="Monthly",
ROUND(
ROUND(((TRUNC($AN398*3/13,0)+0.99)*VLOOKUP((TRUNC($AN398*3/13,0)+0.99),'Tax scales - NAT 1004'!$A$25:$C$33,2,1)-VLOOKUP((TRUNC($AN398*3/13,0)+0.99),'Tax scales - NAT 1004'!$A$25:$C$33,3,1)),0)
*13/3,
0),
""))),
""),
"")</f>
        <v/>
      </c>
      <c r="AQ398" s="118" t="str">
        <f>IFERROR(
IF(VLOOKUP($C398,'Employee information'!$B:$M,COLUMNS('Employee information'!$B:$M),0)=3,
IF($E$2="Fortnightly",
ROUND(
ROUND((((TRUNC($AN398/2,0)+0.99))*VLOOKUP((TRUNC($AN398/2,0)+0.99),'Tax scales - NAT 1004'!$A$39:$C$41,2,1)-VLOOKUP((TRUNC($AN398/2,0)+0.99),'Tax scales - NAT 1004'!$A$39:$C$41,3,1)),0)
*2,
0),
IF(AND($E$2="Monthly",ROUND($AN398-TRUNC($AN398),2)=0.33),
ROUND(
ROUND(((TRUNC(($AN398+0.01)*3/13,0)+0.99)*VLOOKUP((TRUNC(($AN398+0.01)*3/13,0)+0.99),'Tax scales - NAT 1004'!$A$39:$C$41,2,1)-VLOOKUP((TRUNC(($AN398+0.01)*3/13,0)+0.99),'Tax scales - NAT 1004'!$A$39:$C$41,3,1)),0)
*13/3,
0),
IF($E$2="Monthly",
ROUND(
ROUND(((TRUNC($AN398*3/13,0)+0.99)*VLOOKUP((TRUNC($AN398*3/13,0)+0.99),'Tax scales - NAT 1004'!$A$39:$C$41,2,1)-VLOOKUP((TRUNC($AN398*3/13,0)+0.99),'Tax scales - NAT 1004'!$A$39:$C$41,3,1)),0)
*13/3,
0),
""))),
""),
"")</f>
        <v/>
      </c>
      <c r="AR398" s="118" t="str">
        <f>IFERROR(
IF(AND(VLOOKUP($C398,'Employee information'!$B:$M,COLUMNS('Employee information'!$B:$M),0)=4,
VLOOKUP($C398,'Employee information'!$B:$J,COLUMNS('Employee information'!$B:$J),0)="Resident"),
TRUNC(TRUNC($AN398)*'Tax scales - NAT 1004'!$B$47),
IF(AND(VLOOKUP($C398,'Employee information'!$B:$M,COLUMNS('Employee information'!$B:$M),0)=4,
VLOOKUP($C398,'Employee information'!$B:$J,COLUMNS('Employee information'!$B:$J),0)="Foreign resident"),
TRUNC(TRUNC($AN398)*'Tax scales - NAT 1004'!$B$48),
"")),
"")</f>
        <v/>
      </c>
      <c r="AS398" s="118" t="str">
        <f>IFERROR(
IF(VLOOKUP($C398,'Employee information'!$B:$M,COLUMNS('Employee information'!$B:$M),0)=5,
IF($E$2="Fortnightly",
ROUND(
ROUND((((TRUNC($AN398/2,0)+0.99))*VLOOKUP((TRUNC($AN398/2,0)+0.99),'Tax scales - NAT 1004'!$A$53:$C$59,2,1)-VLOOKUP((TRUNC($AN398/2,0)+0.99),'Tax scales - NAT 1004'!$A$53:$C$59,3,1)),0)
*2,
0),
IF(AND($E$2="Monthly",ROUND($AN398-TRUNC($AN398),2)=0.33),
ROUND(
ROUND(((TRUNC(($AN398+0.01)*3/13,0)+0.99)*VLOOKUP((TRUNC(($AN398+0.01)*3/13,0)+0.99),'Tax scales - NAT 1004'!$A$53:$C$59,2,1)-VLOOKUP((TRUNC(($AN398+0.01)*3/13,0)+0.99),'Tax scales - NAT 1004'!$A$53:$C$59,3,1)),0)
*13/3,
0),
IF($E$2="Monthly",
ROUND(
ROUND(((TRUNC($AN398*3/13,0)+0.99)*VLOOKUP((TRUNC($AN398*3/13,0)+0.99),'Tax scales - NAT 1004'!$A$53:$C$59,2,1)-VLOOKUP((TRUNC($AN398*3/13,0)+0.99),'Tax scales - NAT 1004'!$A$53:$C$59,3,1)),0)
*13/3,
0),
""))),
""),
"")</f>
        <v/>
      </c>
      <c r="AT398" s="118" t="str">
        <f>IFERROR(
IF(VLOOKUP($C398,'Employee information'!$B:$M,COLUMNS('Employee information'!$B:$M),0)=6,
IF($E$2="Fortnightly",
ROUND(
ROUND((((TRUNC($AN398/2,0)+0.99))*VLOOKUP((TRUNC($AN398/2,0)+0.99),'Tax scales - NAT 1004'!$A$65:$C$73,2,1)-VLOOKUP((TRUNC($AN398/2,0)+0.99),'Tax scales - NAT 1004'!$A$65:$C$73,3,1)),0)
*2,
0),
IF(AND($E$2="Monthly",ROUND($AN398-TRUNC($AN398),2)=0.33),
ROUND(
ROUND(((TRUNC(($AN398+0.01)*3/13,0)+0.99)*VLOOKUP((TRUNC(($AN398+0.01)*3/13,0)+0.99),'Tax scales - NAT 1004'!$A$65:$C$73,2,1)-VLOOKUP((TRUNC(($AN398+0.01)*3/13,0)+0.99),'Tax scales - NAT 1004'!$A$65:$C$73,3,1)),0)
*13/3,
0),
IF($E$2="Monthly",
ROUND(
ROUND(((TRUNC($AN398*3/13,0)+0.99)*VLOOKUP((TRUNC($AN398*3/13,0)+0.99),'Tax scales - NAT 1004'!$A$65:$C$73,2,1)-VLOOKUP((TRUNC($AN398*3/13,0)+0.99),'Tax scales - NAT 1004'!$A$65:$C$73,3,1)),0)
*13/3,
0),
""))),
""),
"")</f>
        <v/>
      </c>
      <c r="AU398" s="118" t="str">
        <f>IFERROR(
IF(VLOOKUP($C398,'Employee information'!$B:$M,COLUMNS('Employee information'!$B:$M),0)=11,
IF($E$2="Fortnightly",
ROUND(
ROUND((((TRUNC($AN398/2,0)+0.99))*VLOOKUP((TRUNC($AN398/2,0)+0.99),'Tax scales - NAT 3539'!$A$14:$C$38,2,1)-VLOOKUP((TRUNC($AN398/2,0)+0.99),'Tax scales - NAT 3539'!$A$14:$C$38,3,1)),0)
*2,
0),
IF(AND($E$2="Monthly",ROUND($AN398-TRUNC($AN398),2)=0.33),
ROUND(
ROUND(((TRUNC(($AN398+0.01)*3/13,0)+0.99)*VLOOKUP((TRUNC(($AN398+0.01)*3/13,0)+0.99),'Tax scales - NAT 3539'!$A$14:$C$38,2,1)-VLOOKUP((TRUNC(($AN398+0.01)*3/13,0)+0.99),'Tax scales - NAT 3539'!$A$14:$C$38,3,1)),0)
*13/3,
0),
IF($E$2="Monthly",
ROUND(
ROUND(((TRUNC($AN398*3/13,0)+0.99)*VLOOKUP((TRUNC($AN398*3/13,0)+0.99),'Tax scales - NAT 3539'!$A$14:$C$38,2,1)-VLOOKUP((TRUNC($AN398*3/13,0)+0.99),'Tax scales - NAT 3539'!$A$14:$C$38,3,1)),0)
*13/3,
0),
""))),
""),
"")</f>
        <v/>
      </c>
      <c r="AV398" s="118" t="str">
        <f>IFERROR(
IF(VLOOKUP($C398,'Employee information'!$B:$M,COLUMNS('Employee information'!$B:$M),0)=22,
IF($E$2="Fortnightly",
ROUND(
ROUND((((TRUNC($AN398/2,0)+0.99))*VLOOKUP((TRUNC($AN398/2,0)+0.99),'Tax scales - NAT 3539'!$A$43:$C$69,2,1)-VLOOKUP((TRUNC($AN398/2,0)+0.99),'Tax scales - NAT 3539'!$A$43:$C$69,3,1)),0)
*2,
0),
IF(AND($E$2="Monthly",ROUND($AN398-TRUNC($AN398),2)=0.33),
ROUND(
ROUND(((TRUNC(($AN398+0.01)*3/13,0)+0.99)*VLOOKUP((TRUNC(($AN398+0.01)*3/13,0)+0.99),'Tax scales - NAT 3539'!$A$43:$C$69,2,1)-VLOOKUP((TRUNC(($AN398+0.01)*3/13,0)+0.99),'Tax scales - NAT 3539'!$A$43:$C$69,3,1)),0)
*13/3,
0),
IF($E$2="Monthly",
ROUND(
ROUND(((TRUNC($AN398*3/13,0)+0.99)*VLOOKUP((TRUNC($AN398*3/13,0)+0.99),'Tax scales - NAT 3539'!$A$43:$C$69,2,1)-VLOOKUP((TRUNC($AN398*3/13,0)+0.99),'Tax scales - NAT 3539'!$A$43:$C$69,3,1)),0)
*13/3,
0),
""))),
""),
"")</f>
        <v/>
      </c>
      <c r="AW398" s="118" t="str">
        <f>IFERROR(
IF(VLOOKUP($C398,'Employee information'!$B:$M,COLUMNS('Employee information'!$B:$M),0)=33,
IF($E$2="Fortnightly",
ROUND(
ROUND((((TRUNC($AN398/2,0)+0.99))*VLOOKUP((TRUNC($AN398/2,0)+0.99),'Tax scales - NAT 3539'!$A$74:$C$94,2,1)-VLOOKUP((TRUNC($AN398/2,0)+0.99),'Tax scales - NAT 3539'!$A$74:$C$94,3,1)),0)
*2,
0),
IF(AND($E$2="Monthly",ROUND($AN398-TRUNC($AN398),2)=0.33),
ROUND(
ROUND(((TRUNC(($AN398+0.01)*3/13,0)+0.99)*VLOOKUP((TRUNC(($AN398+0.01)*3/13,0)+0.99),'Tax scales - NAT 3539'!$A$74:$C$94,2,1)-VLOOKUP((TRUNC(($AN398+0.01)*3/13,0)+0.99),'Tax scales - NAT 3539'!$A$74:$C$94,3,1)),0)
*13/3,
0),
IF($E$2="Monthly",
ROUND(
ROUND(((TRUNC($AN398*3/13,0)+0.99)*VLOOKUP((TRUNC($AN398*3/13,0)+0.99),'Tax scales - NAT 3539'!$A$74:$C$94,2,1)-VLOOKUP((TRUNC($AN398*3/13,0)+0.99),'Tax scales - NAT 3539'!$A$74:$C$94,3,1)),0)
*13/3,
0),
""))),
""),
"")</f>
        <v/>
      </c>
      <c r="AX398" s="118" t="str">
        <f>IFERROR(
IF(VLOOKUP($C398,'Employee information'!$B:$M,COLUMNS('Employee information'!$B:$M),0)=55,
IF($E$2="Fortnightly",
ROUND(
ROUND((((TRUNC($AN398/2,0)+0.99))*VLOOKUP((TRUNC($AN398/2,0)+0.99),'Tax scales - NAT 3539'!$A$99:$C$123,2,1)-VLOOKUP((TRUNC($AN398/2,0)+0.99),'Tax scales - NAT 3539'!$A$99:$C$123,3,1)),0)
*2,
0),
IF(AND($E$2="Monthly",ROUND($AN398-TRUNC($AN398),2)=0.33),
ROUND(
ROUND(((TRUNC(($AN398+0.01)*3/13,0)+0.99)*VLOOKUP((TRUNC(($AN398+0.01)*3/13,0)+0.99),'Tax scales - NAT 3539'!$A$99:$C$123,2,1)-VLOOKUP((TRUNC(($AN398+0.01)*3/13,0)+0.99),'Tax scales - NAT 3539'!$A$99:$C$123,3,1)),0)
*13/3,
0),
IF($E$2="Monthly",
ROUND(
ROUND(((TRUNC($AN398*3/13,0)+0.99)*VLOOKUP((TRUNC($AN398*3/13,0)+0.99),'Tax scales - NAT 3539'!$A$99:$C$123,2,1)-VLOOKUP((TRUNC($AN398*3/13,0)+0.99),'Tax scales - NAT 3539'!$A$99:$C$123,3,1)),0)
*13/3,
0),
""))),
""),
"")</f>
        <v/>
      </c>
      <c r="AY398" s="118" t="str">
        <f>IFERROR(
IF(VLOOKUP($C398,'Employee information'!$B:$M,COLUMNS('Employee information'!$B:$M),0)=66,
IF($E$2="Fortnightly",
ROUND(
ROUND((((TRUNC($AN398/2,0)+0.99))*VLOOKUP((TRUNC($AN398/2,0)+0.99),'Tax scales - NAT 3539'!$A$127:$C$154,2,1)-VLOOKUP((TRUNC($AN398/2,0)+0.99),'Tax scales - NAT 3539'!$A$127:$C$154,3,1)),0)
*2,
0),
IF(AND($E$2="Monthly",ROUND($AN398-TRUNC($AN398),2)=0.33),
ROUND(
ROUND(((TRUNC(($AN398+0.01)*3/13,0)+0.99)*VLOOKUP((TRUNC(($AN398+0.01)*3/13,0)+0.99),'Tax scales - NAT 3539'!$A$127:$C$154,2,1)-VLOOKUP((TRUNC(($AN398+0.01)*3/13,0)+0.99),'Tax scales - NAT 3539'!$A$127:$C$154,3,1)),0)
*13/3,
0),
IF($E$2="Monthly",
ROUND(
ROUND(((TRUNC($AN398*3/13,0)+0.99)*VLOOKUP((TRUNC($AN398*3/13,0)+0.99),'Tax scales - NAT 3539'!$A$127:$C$154,2,1)-VLOOKUP((TRUNC($AN398*3/13,0)+0.99),'Tax scales - NAT 3539'!$A$127:$C$154,3,1)),0)
*13/3,
0),
""))),
""),
"")</f>
        <v/>
      </c>
      <c r="AZ398" s="118">
        <f>IFERROR(
HLOOKUP(VLOOKUP($C398,'Employee information'!$B:$M,COLUMNS('Employee information'!$B:$M),0),'PAYG worksheet'!$AO$387:$AY$406,COUNTA($C$388:$C398)+1,0),
0)</f>
        <v>0</v>
      </c>
      <c r="BA398" s="118"/>
      <c r="BB398" s="118">
        <f t="shared" si="418"/>
        <v>0</v>
      </c>
      <c r="BC398" s="119">
        <f>IFERROR(
IF(OR($AE398=1,$AE398=""),SUM($P398,$AA398,$AC398,$AK398)*VLOOKUP($C398,'Employee information'!$B:$Q,COLUMNS('Employee information'!$B:$H),0),
IF($AE398=0,SUM($P398,$AA398,$AK398)*VLOOKUP($C398,'Employee information'!$B:$Q,COLUMNS('Employee information'!$B:$H),0),
0)),
0)</f>
        <v>0</v>
      </c>
      <c r="BE398" s="114">
        <f t="shared" si="403"/>
        <v>0</v>
      </c>
      <c r="BF398" s="114">
        <f t="shared" si="404"/>
        <v>0</v>
      </c>
      <c r="BG398" s="114">
        <f t="shared" si="405"/>
        <v>0</v>
      </c>
      <c r="BH398" s="114">
        <f t="shared" si="406"/>
        <v>0</v>
      </c>
      <c r="BI398" s="114">
        <f t="shared" si="407"/>
        <v>0</v>
      </c>
      <c r="BJ398" s="114">
        <f t="shared" si="408"/>
        <v>0</v>
      </c>
      <c r="BK398" s="114">
        <f t="shared" si="409"/>
        <v>0</v>
      </c>
      <c r="BL398" s="114">
        <f t="shared" si="419"/>
        <v>0</v>
      </c>
      <c r="BM398" s="114">
        <f t="shared" si="410"/>
        <v>0</v>
      </c>
    </row>
    <row r="399" spans="1:65" x14ac:dyDescent="0.25">
      <c r="A399" s="228">
        <f t="shared" si="398"/>
        <v>14</v>
      </c>
      <c r="C399" s="278"/>
      <c r="E399" s="103">
        <f>IF($C399="",0,
IF(AND($E$2="Monthly",$A399&gt;12),0,
IF($E$2="Monthly",VLOOKUP($C399,'Employee information'!$B:$AM,COLUMNS('Employee information'!$B:S),0),
IF($E$2="Fortnightly",VLOOKUP($C399,'Employee information'!$B:$AM,COLUMNS('Employee information'!$B:R),0),
0))))</f>
        <v>0</v>
      </c>
      <c r="F399" s="106"/>
      <c r="G399" s="106"/>
      <c r="H399" s="106"/>
      <c r="I399" s="106"/>
      <c r="J399" s="103">
        <f t="shared" si="411"/>
        <v>0</v>
      </c>
      <c r="L399" s="113">
        <f>IF(AND($E$2="Monthly",$A399&gt;12),"",
IFERROR($J399*VLOOKUP($C399,'Employee information'!$B:$AI,COLUMNS('Employee information'!$B:$P),0),0))</f>
        <v>0</v>
      </c>
      <c r="M399" s="114">
        <f t="shared" si="412"/>
        <v>0</v>
      </c>
      <c r="O399" s="103">
        <f t="shared" si="413"/>
        <v>0</v>
      </c>
      <c r="P399" s="113">
        <f>IFERROR(
IF(AND($E$2="Monthly",$A399&gt;12),0,
$O399*VLOOKUP($C399,'Employee information'!$B:$AI,COLUMNS('Employee information'!$B:$P),0)),
0)</f>
        <v>0</v>
      </c>
      <c r="R399" s="114">
        <f t="shared" si="399"/>
        <v>0</v>
      </c>
      <c r="T399" s="103"/>
      <c r="U399" s="103"/>
      <c r="V399" s="282" t="str">
        <f>IF($C399="","",
IF(AND($E$2="Monthly",$A399&gt;12),"",
$T399*VLOOKUP($C399,'Employee information'!$B:$P,COLUMNS('Employee information'!$B:$P),0)))</f>
        <v/>
      </c>
      <c r="W399" s="282" t="str">
        <f>IF($C399="","",
IF(AND($E$2="Monthly",$A399&gt;12),"",
$U399*VLOOKUP($C399,'Employee information'!$B:$P,COLUMNS('Employee information'!$B:$P),0)))</f>
        <v/>
      </c>
      <c r="X399" s="114">
        <f t="shared" si="400"/>
        <v>0</v>
      </c>
      <c r="Y399" s="114">
        <f t="shared" si="401"/>
        <v>0</v>
      </c>
      <c r="AA399" s="118">
        <f>IFERROR(
IF(OR('Basic payroll data'!$D$12="",'Basic payroll data'!$D$12="No"),0,
$T399*VLOOKUP($C399,'Employee information'!$B:$P,COLUMNS('Employee information'!$B:$P),0)*AL_loading_perc),
0)</f>
        <v>0</v>
      </c>
      <c r="AC399" s="118"/>
      <c r="AD399" s="118"/>
      <c r="AE399" s="283" t="str">
        <f t="shared" si="414"/>
        <v/>
      </c>
      <c r="AF399" s="283" t="str">
        <f t="shared" si="415"/>
        <v/>
      </c>
      <c r="AG399" s="118"/>
      <c r="AH399" s="118"/>
      <c r="AI399" s="283" t="str">
        <f t="shared" si="416"/>
        <v/>
      </c>
      <c r="AJ399" s="118"/>
      <c r="AK399" s="118"/>
      <c r="AM399" s="118">
        <f t="shared" si="417"/>
        <v>0</v>
      </c>
      <c r="AN399" s="118">
        <f t="shared" si="402"/>
        <v>0</v>
      </c>
      <c r="AO399" s="118" t="str">
        <f>IFERROR(
IF(VLOOKUP($C399,'Employee information'!$B:$M,COLUMNS('Employee information'!$B:$M),0)=1,
IF($E$2="Fortnightly",
ROUND(
ROUND((((TRUNC($AN399/2,0)+0.99))*VLOOKUP((TRUNC($AN399/2,0)+0.99),'Tax scales - NAT 1004'!$A$12:$C$18,2,1)-VLOOKUP((TRUNC($AN399/2,0)+0.99),'Tax scales - NAT 1004'!$A$12:$C$18,3,1)),0)
*2,
0),
IF(AND($E$2="Monthly",ROUND($AN399-TRUNC($AN399),2)=0.33),
ROUND(
ROUND(((TRUNC(($AN399+0.01)*3/13,0)+0.99)*VLOOKUP((TRUNC(($AN399+0.01)*3/13,0)+0.99),'Tax scales - NAT 1004'!$A$12:$C$18,2,1)-VLOOKUP((TRUNC(($AN399+0.01)*3/13,0)+0.99),'Tax scales - NAT 1004'!$A$12:$C$18,3,1)),0)
*13/3,
0),
IF($E$2="Monthly",
ROUND(
ROUND(((TRUNC($AN399*3/13,0)+0.99)*VLOOKUP((TRUNC($AN399*3/13,0)+0.99),'Tax scales - NAT 1004'!$A$12:$C$18,2,1)-VLOOKUP((TRUNC($AN399*3/13,0)+0.99),'Tax scales - NAT 1004'!$A$12:$C$18,3,1)),0)
*13/3,
0),
""))),
""),
"")</f>
        <v/>
      </c>
      <c r="AP399" s="118" t="str">
        <f>IFERROR(
IF(VLOOKUP($C399,'Employee information'!$B:$M,COLUMNS('Employee information'!$B:$M),0)=2,
IF($E$2="Fortnightly",
ROUND(
ROUND((((TRUNC($AN399/2,0)+0.99))*VLOOKUP((TRUNC($AN399/2,0)+0.99),'Tax scales - NAT 1004'!$A$25:$C$33,2,1)-VLOOKUP((TRUNC($AN399/2,0)+0.99),'Tax scales - NAT 1004'!$A$25:$C$33,3,1)),0)
*2,
0),
IF(AND($E$2="Monthly",ROUND($AN399-TRUNC($AN399),2)=0.33),
ROUND(
ROUND(((TRUNC(($AN399+0.01)*3/13,0)+0.99)*VLOOKUP((TRUNC(($AN399+0.01)*3/13,0)+0.99),'Tax scales - NAT 1004'!$A$25:$C$33,2,1)-VLOOKUP((TRUNC(($AN399+0.01)*3/13,0)+0.99),'Tax scales - NAT 1004'!$A$25:$C$33,3,1)),0)
*13/3,
0),
IF($E$2="Monthly",
ROUND(
ROUND(((TRUNC($AN399*3/13,0)+0.99)*VLOOKUP((TRUNC($AN399*3/13,0)+0.99),'Tax scales - NAT 1004'!$A$25:$C$33,2,1)-VLOOKUP((TRUNC($AN399*3/13,0)+0.99),'Tax scales - NAT 1004'!$A$25:$C$33,3,1)),0)
*13/3,
0),
""))),
""),
"")</f>
        <v/>
      </c>
      <c r="AQ399" s="118" t="str">
        <f>IFERROR(
IF(VLOOKUP($C399,'Employee information'!$B:$M,COLUMNS('Employee information'!$B:$M),0)=3,
IF($E$2="Fortnightly",
ROUND(
ROUND((((TRUNC($AN399/2,0)+0.99))*VLOOKUP((TRUNC($AN399/2,0)+0.99),'Tax scales - NAT 1004'!$A$39:$C$41,2,1)-VLOOKUP((TRUNC($AN399/2,0)+0.99),'Tax scales - NAT 1004'!$A$39:$C$41,3,1)),0)
*2,
0),
IF(AND($E$2="Monthly",ROUND($AN399-TRUNC($AN399),2)=0.33),
ROUND(
ROUND(((TRUNC(($AN399+0.01)*3/13,0)+0.99)*VLOOKUP((TRUNC(($AN399+0.01)*3/13,0)+0.99),'Tax scales - NAT 1004'!$A$39:$C$41,2,1)-VLOOKUP((TRUNC(($AN399+0.01)*3/13,0)+0.99),'Tax scales - NAT 1004'!$A$39:$C$41,3,1)),0)
*13/3,
0),
IF($E$2="Monthly",
ROUND(
ROUND(((TRUNC($AN399*3/13,0)+0.99)*VLOOKUP((TRUNC($AN399*3/13,0)+0.99),'Tax scales - NAT 1004'!$A$39:$C$41,2,1)-VLOOKUP((TRUNC($AN399*3/13,0)+0.99),'Tax scales - NAT 1004'!$A$39:$C$41,3,1)),0)
*13/3,
0),
""))),
""),
"")</f>
        <v/>
      </c>
      <c r="AR399" s="118" t="str">
        <f>IFERROR(
IF(AND(VLOOKUP($C399,'Employee information'!$B:$M,COLUMNS('Employee information'!$B:$M),0)=4,
VLOOKUP($C399,'Employee information'!$B:$J,COLUMNS('Employee information'!$B:$J),0)="Resident"),
TRUNC(TRUNC($AN399)*'Tax scales - NAT 1004'!$B$47),
IF(AND(VLOOKUP($C399,'Employee information'!$B:$M,COLUMNS('Employee information'!$B:$M),0)=4,
VLOOKUP($C399,'Employee information'!$B:$J,COLUMNS('Employee information'!$B:$J),0)="Foreign resident"),
TRUNC(TRUNC($AN399)*'Tax scales - NAT 1004'!$B$48),
"")),
"")</f>
        <v/>
      </c>
      <c r="AS399" s="118" t="str">
        <f>IFERROR(
IF(VLOOKUP($C399,'Employee information'!$B:$M,COLUMNS('Employee information'!$B:$M),0)=5,
IF($E$2="Fortnightly",
ROUND(
ROUND((((TRUNC($AN399/2,0)+0.99))*VLOOKUP((TRUNC($AN399/2,0)+0.99),'Tax scales - NAT 1004'!$A$53:$C$59,2,1)-VLOOKUP((TRUNC($AN399/2,0)+0.99),'Tax scales - NAT 1004'!$A$53:$C$59,3,1)),0)
*2,
0),
IF(AND($E$2="Monthly",ROUND($AN399-TRUNC($AN399),2)=0.33),
ROUND(
ROUND(((TRUNC(($AN399+0.01)*3/13,0)+0.99)*VLOOKUP((TRUNC(($AN399+0.01)*3/13,0)+0.99),'Tax scales - NAT 1004'!$A$53:$C$59,2,1)-VLOOKUP((TRUNC(($AN399+0.01)*3/13,0)+0.99),'Tax scales - NAT 1004'!$A$53:$C$59,3,1)),0)
*13/3,
0),
IF($E$2="Monthly",
ROUND(
ROUND(((TRUNC($AN399*3/13,0)+0.99)*VLOOKUP((TRUNC($AN399*3/13,0)+0.99),'Tax scales - NAT 1004'!$A$53:$C$59,2,1)-VLOOKUP((TRUNC($AN399*3/13,0)+0.99),'Tax scales - NAT 1004'!$A$53:$C$59,3,1)),0)
*13/3,
0),
""))),
""),
"")</f>
        <v/>
      </c>
      <c r="AT399" s="118" t="str">
        <f>IFERROR(
IF(VLOOKUP($C399,'Employee information'!$B:$M,COLUMNS('Employee information'!$B:$M),0)=6,
IF($E$2="Fortnightly",
ROUND(
ROUND((((TRUNC($AN399/2,0)+0.99))*VLOOKUP((TRUNC($AN399/2,0)+0.99),'Tax scales - NAT 1004'!$A$65:$C$73,2,1)-VLOOKUP((TRUNC($AN399/2,0)+0.99),'Tax scales - NAT 1004'!$A$65:$C$73,3,1)),0)
*2,
0),
IF(AND($E$2="Monthly",ROUND($AN399-TRUNC($AN399),2)=0.33),
ROUND(
ROUND(((TRUNC(($AN399+0.01)*3/13,0)+0.99)*VLOOKUP((TRUNC(($AN399+0.01)*3/13,0)+0.99),'Tax scales - NAT 1004'!$A$65:$C$73,2,1)-VLOOKUP((TRUNC(($AN399+0.01)*3/13,0)+0.99),'Tax scales - NAT 1004'!$A$65:$C$73,3,1)),0)
*13/3,
0),
IF($E$2="Monthly",
ROUND(
ROUND(((TRUNC($AN399*3/13,0)+0.99)*VLOOKUP((TRUNC($AN399*3/13,0)+0.99),'Tax scales - NAT 1004'!$A$65:$C$73,2,1)-VLOOKUP((TRUNC($AN399*3/13,0)+0.99),'Tax scales - NAT 1004'!$A$65:$C$73,3,1)),0)
*13/3,
0),
""))),
""),
"")</f>
        <v/>
      </c>
      <c r="AU399" s="118" t="str">
        <f>IFERROR(
IF(VLOOKUP($C399,'Employee information'!$B:$M,COLUMNS('Employee information'!$B:$M),0)=11,
IF($E$2="Fortnightly",
ROUND(
ROUND((((TRUNC($AN399/2,0)+0.99))*VLOOKUP((TRUNC($AN399/2,0)+0.99),'Tax scales - NAT 3539'!$A$14:$C$38,2,1)-VLOOKUP((TRUNC($AN399/2,0)+0.99),'Tax scales - NAT 3539'!$A$14:$C$38,3,1)),0)
*2,
0),
IF(AND($E$2="Monthly",ROUND($AN399-TRUNC($AN399),2)=0.33),
ROUND(
ROUND(((TRUNC(($AN399+0.01)*3/13,0)+0.99)*VLOOKUP((TRUNC(($AN399+0.01)*3/13,0)+0.99),'Tax scales - NAT 3539'!$A$14:$C$38,2,1)-VLOOKUP((TRUNC(($AN399+0.01)*3/13,0)+0.99),'Tax scales - NAT 3539'!$A$14:$C$38,3,1)),0)
*13/3,
0),
IF($E$2="Monthly",
ROUND(
ROUND(((TRUNC($AN399*3/13,0)+0.99)*VLOOKUP((TRUNC($AN399*3/13,0)+0.99),'Tax scales - NAT 3539'!$A$14:$C$38,2,1)-VLOOKUP((TRUNC($AN399*3/13,0)+0.99),'Tax scales - NAT 3539'!$A$14:$C$38,3,1)),0)
*13/3,
0),
""))),
""),
"")</f>
        <v/>
      </c>
      <c r="AV399" s="118" t="str">
        <f>IFERROR(
IF(VLOOKUP($C399,'Employee information'!$B:$M,COLUMNS('Employee information'!$B:$M),0)=22,
IF($E$2="Fortnightly",
ROUND(
ROUND((((TRUNC($AN399/2,0)+0.99))*VLOOKUP((TRUNC($AN399/2,0)+0.99),'Tax scales - NAT 3539'!$A$43:$C$69,2,1)-VLOOKUP((TRUNC($AN399/2,0)+0.99),'Tax scales - NAT 3539'!$A$43:$C$69,3,1)),0)
*2,
0),
IF(AND($E$2="Monthly",ROUND($AN399-TRUNC($AN399),2)=0.33),
ROUND(
ROUND(((TRUNC(($AN399+0.01)*3/13,0)+0.99)*VLOOKUP((TRUNC(($AN399+0.01)*3/13,0)+0.99),'Tax scales - NAT 3539'!$A$43:$C$69,2,1)-VLOOKUP((TRUNC(($AN399+0.01)*3/13,0)+0.99),'Tax scales - NAT 3539'!$A$43:$C$69,3,1)),0)
*13/3,
0),
IF($E$2="Monthly",
ROUND(
ROUND(((TRUNC($AN399*3/13,0)+0.99)*VLOOKUP((TRUNC($AN399*3/13,0)+0.99),'Tax scales - NAT 3539'!$A$43:$C$69,2,1)-VLOOKUP((TRUNC($AN399*3/13,0)+0.99),'Tax scales - NAT 3539'!$A$43:$C$69,3,1)),0)
*13/3,
0),
""))),
""),
"")</f>
        <v/>
      </c>
      <c r="AW399" s="118" t="str">
        <f>IFERROR(
IF(VLOOKUP($C399,'Employee information'!$B:$M,COLUMNS('Employee information'!$B:$M),0)=33,
IF($E$2="Fortnightly",
ROUND(
ROUND((((TRUNC($AN399/2,0)+0.99))*VLOOKUP((TRUNC($AN399/2,0)+0.99),'Tax scales - NAT 3539'!$A$74:$C$94,2,1)-VLOOKUP((TRUNC($AN399/2,0)+0.99),'Tax scales - NAT 3539'!$A$74:$C$94,3,1)),0)
*2,
0),
IF(AND($E$2="Monthly",ROUND($AN399-TRUNC($AN399),2)=0.33),
ROUND(
ROUND(((TRUNC(($AN399+0.01)*3/13,0)+0.99)*VLOOKUP((TRUNC(($AN399+0.01)*3/13,0)+0.99),'Tax scales - NAT 3539'!$A$74:$C$94,2,1)-VLOOKUP((TRUNC(($AN399+0.01)*3/13,0)+0.99),'Tax scales - NAT 3539'!$A$74:$C$94,3,1)),0)
*13/3,
0),
IF($E$2="Monthly",
ROUND(
ROUND(((TRUNC($AN399*3/13,0)+0.99)*VLOOKUP((TRUNC($AN399*3/13,0)+0.99),'Tax scales - NAT 3539'!$A$74:$C$94,2,1)-VLOOKUP((TRUNC($AN399*3/13,0)+0.99),'Tax scales - NAT 3539'!$A$74:$C$94,3,1)),0)
*13/3,
0),
""))),
""),
"")</f>
        <v/>
      </c>
      <c r="AX399" s="118" t="str">
        <f>IFERROR(
IF(VLOOKUP($C399,'Employee information'!$B:$M,COLUMNS('Employee information'!$B:$M),0)=55,
IF($E$2="Fortnightly",
ROUND(
ROUND((((TRUNC($AN399/2,0)+0.99))*VLOOKUP((TRUNC($AN399/2,0)+0.99),'Tax scales - NAT 3539'!$A$99:$C$123,2,1)-VLOOKUP((TRUNC($AN399/2,0)+0.99),'Tax scales - NAT 3539'!$A$99:$C$123,3,1)),0)
*2,
0),
IF(AND($E$2="Monthly",ROUND($AN399-TRUNC($AN399),2)=0.33),
ROUND(
ROUND(((TRUNC(($AN399+0.01)*3/13,0)+0.99)*VLOOKUP((TRUNC(($AN399+0.01)*3/13,0)+0.99),'Tax scales - NAT 3539'!$A$99:$C$123,2,1)-VLOOKUP((TRUNC(($AN399+0.01)*3/13,0)+0.99),'Tax scales - NAT 3539'!$A$99:$C$123,3,1)),0)
*13/3,
0),
IF($E$2="Monthly",
ROUND(
ROUND(((TRUNC($AN399*3/13,0)+0.99)*VLOOKUP((TRUNC($AN399*3/13,0)+0.99),'Tax scales - NAT 3539'!$A$99:$C$123,2,1)-VLOOKUP((TRUNC($AN399*3/13,0)+0.99),'Tax scales - NAT 3539'!$A$99:$C$123,3,1)),0)
*13/3,
0),
""))),
""),
"")</f>
        <v/>
      </c>
      <c r="AY399" s="118" t="str">
        <f>IFERROR(
IF(VLOOKUP($C399,'Employee information'!$B:$M,COLUMNS('Employee information'!$B:$M),0)=66,
IF($E$2="Fortnightly",
ROUND(
ROUND((((TRUNC($AN399/2,0)+0.99))*VLOOKUP((TRUNC($AN399/2,0)+0.99),'Tax scales - NAT 3539'!$A$127:$C$154,2,1)-VLOOKUP((TRUNC($AN399/2,0)+0.99),'Tax scales - NAT 3539'!$A$127:$C$154,3,1)),0)
*2,
0),
IF(AND($E$2="Monthly",ROUND($AN399-TRUNC($AN399),2)=0.33),
ROUND(
ROUND(((TRUNC(($AN399+0.01)*3/13,0)+0.99)*VLOOKUP((TRUNC(($AN399+0.01)*3/13,0)+0.99),'Tax scales - NAT 3539'!$A$127:$C$154,2,1)-VLOOKUP((TRUNC(($AN399+0.01)*3/13,0)+0.99),'Tax scales - NAT 3539'!$A$127:$C$154,3,1)),0)
*13/3,
0),
IF($E$2="Monthly",
ROUND(
ROUND(((TRUNC($AN399*3/13,0)+0.99)*VLOOKUP((TRUNC($AN399*3/13,0)+0.99),'Tax scales - NAT 3539'!$A$127:$C$154,2,1)-VLOOKUP((TRUNC($AN399*3/13,0)+0.99),'Tax scales - NAT 3539'!$A$127:$C$154,3,1)),0)
*13/3,
0),
""))),
""),
"")</f>
        <v/>
      </c>
      <c r="AZ399" s="118">
        <f>IFERROR(
HLOOKUP(VLOOKUP($C399,'Employee information'!$B:$M,COLUMNS('Employee information'!$B:$M),0),'PAYG worksheet'!$AO$387:$AY$406,COUNTA($C$388:$C399)+1,0),
0)</f>
        <v>0</v>
      </c>
      <c r="BA399" s="118"/>
      <c r="BB399" s="118">
        <f t="shared" si="418"/>
        <v>0</v>
      </c>
      <c r="BC399" s="119">
        <f>IFERROR(
IF(OR($AE399=1,$AE399=""),SUM($P399,$AA399,$AC399,$AK399)*VLOOKUP($C399,'Employee information'!$B:$Q,COLUMNS('Employee information'!$B:$H),0),
IF($AE399=0,SUM($P399,$AA399,$AK399)*VLOOKUP($C399,'Employee information'!$B:$Q,COLUMNS('Employee information'!$B:$H),0),
0)),
0)</f>
        <v>0</v>
      </c>
      <c r="BE399" s="114">
        <f t="shared" si="403"/>
        <v>0</v>
      </c>
      <c r="BF399" s="114">
        <f t="shared" si="404"/>
        <v>0</v>
      </c>
      <c r="BG399" s="114">
        <f t="shared" si="405"/>
        <v>0</v>
      </c>
      <c r="BH399" s="114">
        <f t="shared" si="406"/>
        <v>0</v>
      </c>
      <c r="BI399" s="114">
        <f t="shared" si="407"/>
        <v>0</v>
      </c>
      <c r="BJ399" s="114">
        <f t="shared" si="408"/>
        <v>0</v>
      </c>
      <c r="BK399" s="114">
        <f t="shared" si="409"/>
        <v>0</v>
      </c>
      <c r="BL399" s="114">
        <f t="shared" si="419"/>
        <v>0</v>
      </c>
      <c r="BM399" s="114">
        <f t="shared" si="410"/>
        <v>0</v>
      </c>
    </row>
    <row r="400" spans="1:65" x14ac:dyDescent="0.25">
      <c r="A400" s="228">
        <f t="shared" si="398"/>
        <v>14</v>
      </c>
      <c r="C400" s="278"/>
      <c r="E400" s="103">
        <f>IF($C400="",0,
IF(AND($E$2="Monthly",$A400&gt;12),0,
IF($E$2="Monthly",VLOOKUP($C400,'Employee information'!$B:$AM,COLUMNS('Employee information'!$B:S),0),
IF($E$2="Fortnightly",VLOOKUP($C400,'Employee information'!$B:$AM,COLUMNS('Employee information'!$B:R),0),
0))))</f>
        <v>0</v>
      </c>
      <c r="F400" s="106"/>
      <c r="G400" s="106"/>
      <c r="H400" s="106"/>
      <c r="I400" s="106"/>
      <c r="J400" s="103">
        <f t="shared" si="411"/>
        <v>0</v>
      </c>
      <c r="L400" s="113">
        <f>IF(AND($E$2="Monthly",$A400&gt;12),"",
IFERROR($J400*VLOOKUP($C400,'Employee information'!$B:$AI,COLUMNS('Employee information'!$B:$P),0),0))</f>
        <v>0</v>
      </c>
      <c r="M400" s="114">
        <f t="shared" si="412"/>
        <v>0</v>
      </c>
      <c r="O400" s="103">
        <f t="shared" si="413"/>
        <v>0</v>
      </c>
      <c r="P400" s="113">
        <f>IFERROR(
IF(AND($E$2="Monthly",$A400&gt;12),0,
$O400*VLOOKUP($C400,'Employee information'!$B:$AI,COLUMNS('Employee information'!$B:$P),0)),
0)</f>
        <v>0</v>
      </c>
      <c r="R400" s="114">
        <f t="shared" si="399"/>
        <v>0</v>
      </c>
      <c r="T400" s="103"/>
      <c r="U400" s="103"/>
      <c r="V400" s="282" t="str">
        <f>IF($C400="","",
IF(AND($E$2="Monthly",$A400&gt;12),"",
$T400*VLOOKUP($C400,'Employee information'!$B:$P,COLUMNS('Employee information'!$B:$P),0)))</f>
        <v/>
      </c>
      <c r="W400" s="282" t="str">
        <f>IF($C400="","",
IF(AND($E$2="Monthly",$A400&gt;12),"",
$U400*VLOOKUP($C400,'Employee information'!$B:$P,COLUMNS('Employee information'!$B:$P),0)))</f>
        <v/>
      </c>
      <c r="X400" s="114">
        <f t="shared" si="400"/>
        <v>0</v>
      </c>
      <c r="Y400" s="114">
        <f t="shared" si="401"/>
        <v>0</v>
      </c>
      <c r="AA400" s="118">
        <f>IFERROR(
IF(OR('Basic payroll data'!$D$12="",'Basic payroll data'!$D$12="No"),0,
$T400*VLOOKUP($C400,'Employee information'!$B:$P,COLUMNS('Employee information'!$B:$P),0)*AL_loading_perc),
0)</f>
        <v>0</v>
      </c>
      <c r="AC400" s="118"/>
      <c r="AD400" s="118"/>
      <c r="AE400" s="283" t="str">
        <f t="shared" si="414"/>
        <v/>
      </c>
      <c r="AF400" s="283" t="str">
        <f t="shared" si="415"/>
        <v/>
      </c>
      <c r="AG400" s="118"/>
      <c r="AH400" s="118"/>
      <c r="AI400" s="283" t="str">
        <f t="shared" si="416"/>
        <v/>
      </c>
      <c r="AJ400" s="118"/>
      <c r="AK400" s="118"/>
      <c r="AM400" s="118">
        <f t="shared" si="417"/>
        <v>0</v>
      </c>
      <c r="AN400" s="118">
        <f t="shared" si="402"/>
        <v>0</v>
      </c>
      <c r="AO400" s="118" t="str">
        <f>IFERROR(
IF(VLOOKUP($C400,'Employee information'!$B:$M,COLUMNS('Employee information'!$B:$M),0)=1,
IF($E$2="Fortnightly",
ROUND(
ROUND((((TRUNC($AN400/2,0)+0.99))*VLOOKUP((TRUNC($AN400/2,0)+0.99),'Tax scales - NAT 1004'!$A$12:$C$18,2,1)-VLOOKUP((TRUNC($AN400/2,0)+0.99),'Tax scales - NAT 1004'!$A$12:$C$18,3,1)),0)
*2,
0),
IF(AND($E$2="Monthly",ROUND($AN400-TRUNC($AN400),2)=0.33),
ROUND(
ROUND(((TRUNC(($AN400+0.01)*3/13,0)+0.99)*VLOOKUP((TRUNC(($AN400+0.01)*3/13,0)+0.99),'Tax scales - NAT 1004'!$A$12:$C$18,2,1)-VLOOKUP((TRUNC(($AN400+0.01)*3/13,0)+0.99),'Tax scales - NAT 1004'!$A$12:$C$18,3,1)),0)
*13/3,
0),
IF($E$2="Monthly",
ROUND(
ROUND(((TRUNC($AN400*3/13,0)+0.99)*VLOOKUP((TRUNC($AN400*3/13,0)+0.99),'Tax scales - NAT 1004'!$A$12:$C$18,2,1)-VLOOKUP((TRUNC($AN400*3/13,0)+0.99),'Tax scales - NAT 1004'!$A$12:$C$18,3,1)),0)
*13/3,
0),
""))),
""),
"")</f>
        <v/>
      </c>
      <c r="AP400" s="118" t="str">
        <f>IFERROR(
IF(VLOOKUP($C400,'Employee information'!$B:$M,COLUMNS('Employee information'!$B:$M),0)=2,
IF($E$2="Fortnightly",
ROUND(
ROUND((((TRUNC($AN400/2,0)+0.99))*VLOOKUP((TRUNC($AN400/2,0)+0.99),'Tax scales - NAT 1004'!$A$25:$C$33,2,1)-VLOOKUP((TRUNC($AN400/2,0)+0.99),'Tax scales - NAT 1004'!$A$25:$C$33,3,1)),0)
*2,
0),
IF(AND($E$2="Monthly",ROUND($AN400-TRUNC($AN400),2)=0.33),
ROUND(
ROUND(((TRUNC(($AN400+0.01)*3/13,0)+0.99)*VLOOKUP((TRUNC(($AN400+0.01)*3/13,0)+0.99),'Tax scales - NAT 1004'!$A$25:$C$33,2,1)-VLOOKUP((TRUNC(($AN400+0.01)*3/13,0)+0.99),'Tax scales - NAT 1004'!$A$25:$C$33,3,1)),0)
*13/3,
0),
IF($E$2="Monthly",
ROUND(
ROUND(((TRUNC($AN400*3/13,0)+0.99)*VLOOKUP((TRUNC($AN400*3/13,0)+0.99),'Tax scales - NAT 1004'!$A$25:$C$33,2,1)-VLOOKUP((TRUNC($AN400*3/13,0)+0.99),'Tax scales - NAT 1004'!$A$25:$C$33,3,1)),0)
*13/3,
0),
""))),
""),
"")</f>
        <v/>
      </c>
      <c r="AQ400" s="118" t="str">
        <f>IFERROR(
IF(VLOOKUP($C400,'Employee information'!$B:$M,COLUMNS('Employee information'!$B:$M),0)=3,
IF($E$2="Fortnightly",
ROUND(
ROUND((((TRUNC($AN400/2,0)+0.99))*VLOOKUP((TRUNC($AN400/2,0)+0.99),'Tax scales - NAT 1004'!$A$39:$C$41,2,1)-VLOOKUP((TRUNC($AN400/2,0)+0.99),'Tax scales - NAT 1004'!$A$39:$C$41,3,1)),0)
*2,
0),
IF(AND($E$2="Monthly",ROUND($AN400-TRUNC($AN400),2)=0.33),
ROUND(
ROUND(((TRUNC(($AN400+0.01)*3/13,0)+0.99)*VLOOKUP((TRUNC(($AN400+0.01)*3/13,0)+0.99),'Tax scales - NAT 1004'!$A$39:$C$41,2,1)-VLOOKUP((TRUNC(($AN400+0.01)*3/13,0)+0.99),'Tax scales - NAT 1004'!$A$39:$C$41,3,1)),0)
*13/3,
0),
IF($E$2="Monthly",
ROUND(
ROUND(((TRUNC($AN400*3/13,0)+0.99)*VLOOKUP((TRUNC($AN400*3/13,0)+0.99),'Tax scales - NAT 1004'!$A$39:$C$41,2,1)-VLOOKUP((TRUNC($AN400*3/13,0)+0.99),'Tax scales - NAT 1004'!$A$39:$C$41,3,1)),0)
*13/3,
0),
""))),
""),
"")</f>
        <v/>
      </c>
      <c r="AR400" s="118" t="str">
        <f>IFERROR(
IF(AND(VLOOKUP($C400,'Employee information'!$B:$M,COLUMNS('Employee information'!$B:$M),0)=4,
VLOOKUP($C400,'Employee information'!$B:$J,COLUMNS('Employee information'!$B:$J),0)="Resident"),
TRUNC(TRUNC($AN400)*'Tax scales - NAT 1004'!$B$47),
IF(AND(VLOOKUP($C400,'Employee information'!$B:$M,COLUMNS('Employee information'!$B:$M),0)=4,
VLOOKUP($C400,'Employee information'!$B:$J,COLUMNS('Employee information'!$B:$J),0)="Foreign resident"),
TRUNC(TRUNC($AN400)*'Tax scales - NAT 1004'!$B$48),
"")),
"")</f>
        <v/>
      </c>
      <c r="AS400" s="118" t="str">
        <f>IFERROR(
IF(VLOOKUP($C400,'Employee information'!$B:$M,COLUMNS('Employee information'!$B:$M),0)=5,
IF($E$2="Fortnightly",
ROUND(
ROUND((((TRUNC($AN400/2,0)+0.99))*VLOOKUP((TRUNC($AN400/2,0)+0.99),'Tax scales - NAT 1004'!$A$53:$C$59,2,1)-VLOOKUP((TRUNC($AN400/2,0)+0.99),'Tax scales - NAT 1004'!$A$53:$C$59,3,1)),0)
*2,
0),
IF(AND($E$2="Monthly",ROUND($AN400-TRUNC($AN400),2)=0.33),
ROUND(
ROUND(((TRUNC(($AN400+0.01)*3/13,0)+0.99)*VLOOKUP((TRUNC(($AN400+0.01)*3/13,0)+0.99),'Tax scales - NAT 1004'!$A$53:$C$59,2,1)-VLOOKUP((TRUNC(($AN400+0.01)*3/13,0)+0.99),'Tax scales - NAT 1004'!$A$53:$C$59,3,1)),0)
*13/3,
0),
IF($E$2="Monthly",
ROUND(
ROUND(((TRUNC($AN400*3/13,0)+0.99)*VLOOKUP((TRUNC($AN400*3/13,0)+0.99),'Tax scales - NAT 1004'!$A$53:$C$59,2,1)-VLOOKUP((TRUNC($AN400*3/13,0)+0.99),'Tax scales - NAT 1004'!$A$53:$C$59,3,1)),0)
*13/3,
0),
""))),
""),
"")</f>
        <v/>
      </c>
      <c r="AT400" s="118" t="str">
        <f>IFERROR(
IF(VLOOKUP($C400,'Employee information'!$B:$M,COLUMNS('Employee information'!$B:$M),0)=6,
IF($E$2="Fortnightly",
ROUND(
ROUND((((TRUNC($AN400/2,0)+0.99))*VLOOKUP((TRUNC($AN400/2,0)+0.99),'Tax scales - NAT 1004'!$A$65:$C$73,2,1)-VLOOKUP((TRUNC($AN400/2,0)+0.99),'Tax scales - NAT 1004'!$A$65:$C$73,3,1)),0)
*2,
0),
IF(AND($E$2="Monthly",ROUND($AN400-TRUNC($AN400),2)=0.33),
ROUND(
ROUND(((TRUNC(($AN400+0.01)*3/13,0)+0.99)*VLOOKUP((TRUNC(($AN400+0.01)*3/13,0)+0.99),'Tax scales - NAT 1004'!$A$65:$C$73,2,1)-VLOOKUP((TRUNC(($AN400+0.01)*3/13,0)+0.99),'Tax scales - NAT 1004'!$A$65:$C$73,3,1)),0)
*13/3,
0),
IF($E$2="Monthly",
ROUND(
ROUND(((TRUNC($AN400*3/13,0)+0.99)*VLOOKUP((TRUNC($AN400*3/13,0)+0.99),'Tax scales - NAT 1004'!$A$65:$C$73,2,1)-VLOOKUP((TRUNC($AN400*3/13,0)+0.99),'Tax scales - NAT 1004'!$A$65:$C$73,3,1)),0)
*13/3,
0),
""))),
""),
"")</f>
        <v/>
      </c>
      <c r="AU400" s="118" t="str">
        <f>IFERROR(
IF(VLOOKUP($C400,'Employee information'!$B:$M,COLUMNS('Employee information'!$B:$M),0)=11,
IF($E$2="Fortnightly",
ROUND(
ROUND((((TRUNC($AN400/2,0)+0.99))*VLOOKUP((TRUNC($AN400/2,0)+0.99),'Tax scales - NAT 3539'!$A$14:$C$38,2,1)-VLOOKUP((TRUNC($AN400/2,0)+0.99),'Tax scales - NAT 3539'!$A$14:$C$38,3,1)),0)
*2,
0),
IF(AND($E$2="Monthly",ROUND($AN400-TRUNC($AN400),2)=0.33),
ROUND(
ROUND(((TRUNC(($AN400+0.01)*3/13,0)+0.99)*VLOOKUP((TRUNC(($AN400+0.01)*3/13,0)+0.99),'Tax scales - NAT 3539'!$A$14:$C$38,2,1)-VLOOKUP((TRUNC(($AN400+0.01)*3/13,0)+0.99),'Tax scales - NAT 3539'!$A$14:$C$38,3,1)),0)
*13/3,
0),
IF($E$2="Monthly",
ROUND(
ROUND(((TRUNC($AN400*3/13,0)+0.99)*VLOOKUP((TRUNC($AN400*3/13,0)+0.99),'Tax scales - NAT 3539'!$A$14:$C$38,2,1)-VLOOKUP((TRUNC($AN400*3/13,0)+0.99),'Tax scales - NAT 3539'!$A$14:$C$38,3,1)),0)
*13/3,
0),
""))),
""),
"")</f>
        <v/>
      </c>
      <c r="AV400" s="118" t="str">
        <f>IFERROR(
IF(VLOOKUP($C400,'Employee information'!$B:$M,COLUMNS('Employee information'!$B:$M),0)=22,
IF($E$2="Fortnightly",
ROUND(
ROUND((((TRUNC($AN400/2,0)+0.99))*VLOOKUP((TRUNC($AN400/2,0)+0.99),'Tax scales - NAT 3539'!$A$43:$C$69,2,1)-VLOOKUP((TRUNC($AN400/2,0)+0.99),'Tax scales - NAT 3539'!$A$43:$C$69,3,1)),0)
*2,
0),
IF(AND($E$2="Monthly",ROUND($AN400-TRUNC($AN400),2)=0.33),
ROUND(
ROUND(((TRUNC(($AN400+0.01)*3/13,0)+0.99)*VLOOKUP((TRUNC(($AN400+0.01)*3/13,0)+0.99),'Tax scales - NAT 3539'!$A$43:$C$69,2,1)-VLOOKUP((TRUNC(($AN400+0.01)*3/13,0)+0.99),'Tax scales - NAT 3539'!$A$43:$C$69,3,1)),0)
*13/3,
0),
IF($E$2="Monthly",
ROUND(
ROUND(((TRUNC($AN400*3/13,0)+0.99)*VLOOKUP((TRUNC($AN400*3/13,0)+0.99),'Tax scales - NAT 3539'!$A$43:$C$69,2,1)-VLOOKUP((TRUNC($AN400*3/13,0)+0.99),'Tax scales - NAT 3539'!$A$43:$C$69,3,1)),0)
*13/3,
0),
""))),
""),
"")</f>
        <v/>
      </c>
      <c r="AW400" s="118" t="str">
        <f>IFERROR(
IF(VLOOKUP($C400,'Employee information'!$B:$M,COLUMNS('Employee information'!$B:$M),0)=33,
IF($E$2="Fortnightly",
ROUND(
ROUND((((TRUNC($AN400/2,0)+0.99))*VLOOKUP((TRUNC($AN400/2,0)+0.99),'Tax scales - NAT 3539'!$A$74:$C$94,2,1)-VLOOKUP((TRUNC($AN400/2,0)+0.99),'Tax scales - NAT 3539'!$A$74:$C$94,3,1)),0)
*2,
0),
IF(AND($E$2="Monthly",ROUND($AN400-TRUNC($AN400),2)=0.33),
ROUND(
ROUND(((TRUNC(($AN400+0.01)*3/13,0)+0.99)*VLOOKUP((TRUNC(($AN400+0.01)*3/13,0)+0.99),'Tax scales - NAT 3539'!$A$74:$C$94,2,1)-VLOOKUP((TRUNC(($AN400+0.01)*3/13,0)+0.99),'Tax scales - NAT 3539'!$A$74:$C$94,3,1)),0)
*13/3,
0),
IF($E$2="Monthly",
ROUND(
ROUND(((TRUNC($AN400*3/13,0)+0.99)*VLOOKUP((TRUNC($AN400*3/13,0)+0.99),'Tax scales - NAT 3539'!$A$74:$C$94,2,1)-VLOOKUP((TRUNC($AN400*3/13,0)+0.99),'Tax scales - NAT 3539'!$A$74:$C$94,3,1)),0)
*13/3,
0),
""))),
""),
"")</f>
        <v/>
      </c>
      <c r="AX400" s="118" t="str">
        <f>IFERROR(
IF(VLOOKUP($C400,'Employee information'!$B:$M,COLUMNS('Employee information'!$B:$M),0)=55,
IF($E$2="Fortnightly",
ROUND(
ROUND((((TRUNC($AN400/2,0)+0.99))*VLOOKUP((TRUNC($AN400/2,0)+0.99),'Tax scales - NAT 3539'!$A$99:$C$123,2,1)-VLOOKUP((TRUNC($AN400/2,0)+0.99),'Tax scales - NAT 3539'!$A$99:$C$123,3,1)),0)
*2,
0),
IF(AND($E$2="Monthly",ROUND($AN400-TRUNC($AN400),2)=0.33),
ROUND(
ROUND(((TRUNC(($AN400+0.01)*3/13,0)+0.99)*VLOOKUP((TRUNC(($AN400+0.01)*3/13,0)+0.99),'Tax scales - NAT 3539'!$A$99:$C$123,2,1)-VLOOKUP((TRUNC(($AN400+0.01)*3/13,0)+0.99),'Tax scales - NAT 3539'!$A$99:$C$123,3,1)),0)
*13/3,
0),
IF($E$2="Monthly",
ROUND(
ROUND(((TRUNC($AN400*3/13,0)+0.99)*VLOOKUP((TRUNC($AN400*3/13,0)+0.99),'Tax scales - NAT 3539'!$A$99:$C$123,2,1)-VLOOKUP((TRUNC($AN400*3/13,0)+0.99),'Tax scales - NAT 3539'!$A$99:$C$123,3,1)),0)
*13/3,
0),
""))),
""),
"")</f>
        <v/>
      </c>
      <c r="AY400" s="118" t="str">
        <f>IFERROR(
IF(VLOOKUP($C400,'Employee information'!$B:$M,COLUMNS('Employee information'!$B:$M),0)=66,
IF($E$2="Fortnightly",
ROUND(
ROUND((((TRUNC($AN400/2,0)+0.99))*VLOOKUP((TRUNC($AN400/2,0)+0.99),'Tax scales - NAT 3539'!$A$127:$C$154,2,1)-VLOOKUP((TRUNC($AN400/2,0)+0.99),'Tax scales - NAT 3539'!$A$127:$C$154,3,1)),0)
*2,
0),
IF(AND($E$2="Monthly",ROUND($AN400-TRUNC($AN400),2)=0.33),
ROUND(
ROUND(((TRUNC(($AN400+0.01)*3/13,0)+0.99)*VLOOKUP((TRUNC(($AN400+0.01)*3/13,0)+0.99),'Tax scales - NAT 3539'!$A$127:$C$154,2,1)-VLOOKUP((TRUNC(($AN400+0.01)*3/13,0)+0.99),'Tax scales - NAT 3539'!$A$127:$C$154,3,1)),0)
*13/3,
0),
IF($E$2="Monthly",
ROUND(
ROUND(((TRUNC($AN400*3/13,0)+0.99)*VLOOKUP((TRUNC($AN400*3/13,0)+0.99),'Tax scales - NAT 3539'!$A$127:$C$154,2,1)-VLOOKUP((TRUNC($AN400*3/13,0)+0.99),'Tax scales - NAT 3539'!$A$127:$C$154,3,1)),0)
*13/3,
0),
""))),
""),
"")</f>
        <v/>
      </c>
      <c r="AZ400" s="118">
        <f>IFERROR(
HLOOKUP(VLOOKUP($C400,'Employee information'!$B:$M,COLUMNS('Employee information'!$B:$M),0),'PAYG worksheet'!$AO$387:$AY$406,COUNTA($C$388:$C400)+1,0),
0)</f>
        <v>0</v>
      </c>
      <c r="BA400" s="118"/>
      <c r="BB400" s="118">
        <f t="shared" si="418"/>
        <v>0</v>
      </c>
      <c r="BC400" s="119">
        <f>IFERROR(
IF(OR($AE400=1,$AE400=""),SUM($P400,$AA400,$AC400,$AK400)*VLOOKUP($C400,'Employee information'!$B:$Q,COLUMNS('Employee information'!$B:$H),0),
IF($AE400=0,SUM($P400,$AA400,$AK400)*VLOOKUP($C400,'Employee information'!$B:$Q,COLUMNS('Employee information'!$B:$H),0),
0)),
0)</f>
        <v>0</v>
      </c>
      <c r="BE400" s="114">
        <f t="shared" si="403"/>
        <v>0</v>
      </c>
      <c r="BF400" s="114">
        <f t="shared" si="404"/>
        <v>0</v>
      </c>
      <c r="BG400" s="114">
        <f t="shared" si="405"/>
        <v>0</v>
      </c>
      <c r="BH400" s="114">
        <f t="shared" si="406"/>
        <v>0</v>
      </c>
      <c r="BI400" s="114">
        <f t="shared" si="407"/>
        <v>0</v>
      </c>
      <c r="BJ400" s="114">
        <f t="shared" si="408"/>
        <v>0</v>
      </c>
      <c r="BK400" s="114">
        <f t="shared" si="409"/>
        <v>0</v>
      </c>
      <c r="BL400" s="114">
        <f t="shared" si="419"/>
        <v>0</v>
      </c>
      <c r="BM400" s="114">
        <f t="shared" si="410"/>
        <v>0</v>
      </c>
    </row>
    <row r="401" spans="1:65" x14ac:dyDescent="0.25">
      <c r="A401" s="228">
        <f t="shared" si="398"/>
        <v>14</v>
      </c>
      <c r="C401" s="278"/>
      <c r="E401" s="103">
        <f>IF($C401="",0,
IF(AND($E$2="Monthly",$A401&gt;12),0,
IF($E$2="Monthly",VLOOKUP($C401,'Employee information'!$B:$AM,COLUMNS('Employee information'!$B:S),0),
IF($E$2="Fortnightly",VLOOKUP($C401,'Employee information'!$B:$AM,COLUMNS('Employee information'!$B:R),0),
0))))</f>
        <v>0</v>
      </c>
      <c r="F401" s="106"/>
      <c r="G401" s="106"/>
      <c r="H401" s="106"/>
      <c r="I401" s="106"/>
      <c r="J401" s="103">
        <f t="shared" si="411"/>
        <v>0</v>
      </c>
      <c r="L401" s="113">
        <f>IF(AND($E$2="Monthly",$A401&gt;12),"",
IFERROR($J401*VLOOKUP($C401,'Employee information'!$B:$AI,COLUMNS('Employee information'!$B:$P),0),0))</f>
        <v>0</v>
      </c>
      <c r="M401" s="114">
        <f t="shared" si="412"/>
        <v>0</v>
      </c>
      <c r="O401" s="103">
        <f t="shared" si="413"/>
        <v>0</v>
      </c>
      <c r="P401" s="113">
        <f>IFERROR(
IF(AND($E$2="Monthly",$A401&gt;12),0,
$O401*VLOOKUP($C401,'Employee information'!$B:$AI,COLUMNS('Employee information'!$B:$P),0)),
0)</f>
        <v>0</v>
      </c>
      <c r="R401" s="114">
        <f t="shared" si="399"/>
        <v>0</v>
      </c>
      <c r="T401" s="103"/>
      <c r="U401" s="103"/>
      <c r="V401" s="282" t="str">
        <f>IF($C401="","",
IF(AND($E$2="Monthly",$A401&gt;12),"",
$T401*VLOOKUP($C401,'Employee information'!$B:$P,COLUMNS('Employee information'!$B:$P),0)))</f>
        <v/>
      </c>
      <c r="W401" s="282" t="str">
        <f>IF($C401="","",
IF(AND($E$2="Monthly",$A401&gt;12),"",
$U401*VLOOKUP($C401,'Employee information'!$B:$P,COLUMNS('Employee information'!$B:$P),0)))</f>
        <v/>
      </c>
      <c r="X401" s="114">
        <f t="shared" si="400"/>
        <v>0</v>
      </c>
      <c r="Y401" s="114">
        <f t="shared" si="401"/>
        <v>0</v>
      </c>
      <c r="AA401" s="118">
        <f>IFERROR(
IF(OR('Basic payroll data'!$D$12="",'Basic payroll data'!$D$12="No"),0,
$T401*VLOOKUP($C401,'Employee information'!$B:$P,COLUMNS('Employee information'!$B:$P),0)*AL_loading_perc),
0)</f>
        <v>0</v>
      </c>
      <c r="AC401" s="118"/>
      <c r="AD401" s="118"/>
      <c r="AE401" s="283" t="str">
        <f t="shared" si="414"/>
        <v/>
      </c>
      <c r="AF401" s="283" t="str">
        <f t="shared" si="415"/>
        <v/>
      </c>
      <c r="AG401" s="118"/>
      <c r="AH401" s="118"/>
      <c r="AI401" s="283" t="str">
        <f t="shared" si="416"/>
        <v/>
      </c>
      <c r="AJ401" s="118"/>
      <c r="AK401" s="118"/>
      <c r="AM401" s="118">
        <f t="shared" si="417"/>
        <v>0</v>
      </c>
      <c r="AN401" s="118">
        <f t="shared" si="402"/>
        <v>0</v>
      </c>
      <c r="AO401" s="118" t="str">
        <f>IFERROR(
IF(VLOOKUP($C401,'Employee information'!$B:$M,COLUMNS('Employee information'!$B:$M),0)=1,
IF($E$2="Fortnightly",
ROUND(
ROUND((((TRUNC($AN401/2,0)+0.99))*VLOOKUP((TRUNC($AN401/2,0)+0.99),'Tax scales - NAT 1004'!$A$12:$C$18,2,1)-VLOOKUP((TRUNC($AN401/2,0)+0.99),'Tax scales - NAT 1004'!$A$12:$C$18,3,1)),0)
*2,
0),
IF(AND($E$2="Monthly",ROUND($AN401-TRUNC($AN401),2)=0.33),
ROUND(
ROUND(((TRUNC(($AN401+0.01)*3/13,0)+0.99)*VLOOKUP((TRUNC(($AN401+0.01)*3/13,0)+0.99),'Tax scales - NAT 1004'!$A$12:$C$18,2,1)-VLOOKUP((TRUNC(($AN401+0.01)*3/13,0)+0.99),'Tax scales - NAT 1004'!$A$12:$C$18,3,1)),0)
*13/3,
0),
IF($E$2="Monthly",
ROUND(
ROUND(((TRUNC($AN401*3/13,0)+0.99)*VLOOKUP((TRUNC($AN401*3/13,0)+0.99),'Tax scales - NAT 1004'!$A$12:$C$18,2,1)-VLOOKUP((TRUNC($AN401*3/13,0)+0.99),'Tax scales - NAT 1004'!$A$12:$C$18,3,1)),0)
*13/3,
0),
""))),
""),
"")</f>
        <v/>
      </c>
      <c r="AP401" s="118" t="str">
        <f>IFERROR(
IF(VLOOKUP($C401,'Employee information'!$B:$M,COLUMNS('Employee information'!$B:$M),0)=2,
IF($E$2="Fortnightly",
ROUND(
ROUND((((TRUNC($AN401/2,0)+0.99))*VLOOKUP((TRUNC($AN401/2,0)+0.99),'Tax scales - NAT 1004'!$A$25:$C$33,2,1)-VLOOKUP((TRUNC($AN401/2,0)+0.99),'Tax scales - NAT 1004'!$A$25:$C$33,3,1)),0)
*2,
0),
IF(AND($E$2="Monthly",ROUND($AN401-TRUNC($AN401),2)=0.33),
ROUND(
ROUND(((TRUNC(($AN401+0.01)*3/13,0)+0.99)*VLOOKUP((TRUNC(($AN401+0.01)*3/13,0)+0.99),'Tax scales - NAT 1004'!$A$25:$C$33,2,1)-VLOOKUP((TRUNC(($AN401+0.01)*3/13,0)+0.99),'Tax scales - NAT 1004'!$A$25:$C$33,3,1)),0)
*13/3,
0),
IF($E$2="Monthly",
ROUND(
ROUND(((TRUNC($AN401*3/13,0)+0.99)*VLOOKUP((TRUNC($AN401*3/13,0)+0.99),'Tax scales - NAT 1004'!$A$25:$C$33,2,1)-VLOOKUP((TRUNC($AN401*3/13,0)+0.99),'Tax scales - NAT 1004'!$A$25:$C$33,3,1)),0)
*13/3,
0),
""))),
""),
"")</f>
        <v/>
      </c>
      <c r="AQ401" s="118" t="str">
        <f>IFERROR(
IF(VLOOKUP($C401,'Employee information'!$B:$M,COLUMNS('Employee information'!$B:$M),0)=3,
IF($E$2="Fortnightly",
ROUND(
ROUND((((TRUNC($AN401/2,0)+0.99))*VLOOKUP((TRUNC($AN401/2,0)+0.99),'Tax scales - NAT 1004'!$A$39:$C$41,2,1)-VLOOKUP((TRUNC($AN401/2,0)+0.99),'Tax scales - NAT 1004'!$A$39:$C$41,3,1)),0)
*2,
0),
IF(AND($E$2="Monthly",ROUND($AN401-TRUNC($AN401),2)=0.33),
ROUND(
ROUND(((TRUNC(($AN401+0.01)*3/13,0)+0.99)*VLOOKUP((TRUNC(($AN401+0.01)*3/13,0)+0.99),'Tax scales - NAT 1004'!$A$39:$C$41,2,1)-VLOOKUP((TRUNC(($AN401+0.01)*3/13,0)+0.99),'Tax scales - NAT 1004'!$A$39:$C$41,3,1)),0)
*13/3,
0),
IF($E$2="Monthly",
ROUND(
ROUND(((TRUNC($AN401*3/13,0)+0.99)*VLOOKUP((TRUNC($AN401*3/13,0)+0.99),'Tax scales - NAT 1004'!$A$39:$C$41,2,1)-VLOOKUP((TRUNC($AN401*3/13,0)+0.99),'Tax scales - NAT 1004'!$A$39:$C$41,3,1)),0)
*13/3,
0),
""))),
""),
"")</f>
        <v/>
      </c>
      <c r="AR401" s="118" t="str">
        <f>IFERROR(
IF(AND(VLOOKUP($C401,'Employee information'!$B:$M,COLUMNS('Employee information'!$B:$M),0)=4,
VLOOKUP($C401,'Employee information'!$B:$J,COLUMNS('Employee information'!$B:$J),0)="Resident"),
TRUNC(TRUNC($AN401)*'Tax scales - NAT 1004'!$B$47),
IF(AND(VLOOKUP($C401,'Employee information'!$B:$M,COLUMNS('Employee information'!$B:$M),0)=4,
VLOOKUP($C401,'Employee information'!$B:$J,COLUMNS('Employee information'!$B:$J),0)="Foreign resident"),
TRUNC(TRUNC($AN401)*'Tax scales - NAT 1004'!$B$48),
"")),
"")</f>
        <v/>
      </c>
      <c r="AS401" s="118" t="str">
        <f>IFERROR(
IF(VLOOKUP($C401,'Employee information'!$B:$M,COLUMNS('Employee information'!$B:$M),0)=5,
IF($E$2="Fortnightly",
ROUND(
ROUND((((TRUNC($AN401/2,0)+0.99))*VLOOKUP((TRUNC($AN401/2,0)+0.99),'Tax scales - NAT 1004'!$A$53:$C$59,2,1)-VLOOKUP((TRUNC($AN401/2,0)+0.99),'Tax scales - NAT 1004'!$A$53:$C$59,3,1)),0)
*2,
0),
IF(AND($E$2="Monthly",ROUND($AN401-TRUNC($AN401),2)=0.33),
ROUND(
ROUND(((TRUNC(($AN401+0.01)*3/13,0)+0.99)*VLOOKUP((TRUNC(($AN401+0.01)*3/13,0)+0.99),'Tax scales - NAT 1004'!$A$53:$C$59,2,1)-VLOOKUP((TRUNC(($AN401+0.01)*3/13,0)+0.99),'Tax scales - NAT 1004'!$A$53:$C$59,3,1)),0)
*13/3,
0),
IF($E$2="Monthly",
ROUND(
ROUND(((TRUNC($AN401*3/13,0)+0.99)*VLOOKUP((TRUNC($AN401*3/13,0)+0.99),'Tax scales - NAT 1004'!$A$53:$C$59,2,1)-VLOOKUP((TRUNC($AN401*3/13,0)+0.99),'Tax scales - NAT 1004'!$A$53:$C$59,3,1)),0)
*13/3,
0),
""))),
""),
"")</f>
        <v/>
      </c>
      <c r="AT401" s="118" t="str">
        <f>IFERROR(
IF(VLOOKUP($C401,'Employee information'!$B:$M,COLUMNS('Employee information'!$B:$M),0)=6,
IF($E$2="Fortnightly",
ROUND(
ROUND((((TRUNC($AN401/2,0)+0.99))*VLOOKUP((TRUNC($AN401/2,0)+0.99),'Tax scales - NAT 1004'!$A$65:$C$73,2,1)-VLOOKUP((TRUNC($AN401/2,0)+0.99),'Tax scales - NAT 1004'!$A$65:$C$73,3,1)),0)
*2,
0),
IF(AND($E$2="Monthly",ROUND($AN401-TRUNC($AN401),2)=0.33),
ROUND(
ROUND(((TRUNC(($AN401+0.01)*3/13,0)+0.99)*VLOOKUP((TRUNC(($AN401+0.01)*3/13,0)+0.99),'Tax scales - NAT 1004'!$A$65:$C$73,2,1)-VLOOKUP((TRUNC(($AN401+0.01)*3/13,0)+0.99),'Tax scales - NAT 1004'!$A$65:$C$73,3,1)),0)
*13/3,
0),
IF($E$2="Monthly",
ROUND(
ROUND(((TRUNC($AN401*3/13,0)+0.99)*VLOOKUP((TRUNC($AN401*3/13,0)+0.99),'Tax scales - NAT 1004'!$A$65:$C$73,2,1)-VLOOKUP((TRUNC($AN401*3/13,0)+0.99),'Tax scales - NAT 1004'!$A$65:$C$73,3,1)),0)
*13/3,
0),
""))),
""),
"")</f>
        <v/>
      </c>
      <c r="AU401" s="118" t="str">
        <f>IFERROR(
IF(VLOOKUP($C401,'Employee information'!$B:$M,COLUMNS('Employee information'!$B:$M),0)=11,
IF($E$2="Fortnightly",
ROUND(
ROUND((((TRUNC($AN401/2,0)+0.99))*VLOOKUP((TRUNC($AN401/2,0)+0.99),'Tax scales - NAT 3539'!$A$14:$C$38,2,1)-VLOOKUP((TRUNC($AN401/2,0)+0.99),'Tax scales - NAT 3539'!$A$14:$C$38,3,1)),0)
*2,
0),
IF(AND($E$2="Monthly",ROUND($AN401-TRUNC($AN401),2)=0.33),
ROUND(
ROUND(((TRUNC(($AN401+0.01)*3/13,0)+0.99)*VLOOKUP((TRUNC(($AN401+0.01)*3/13,0)+0.99),'Tax scales - NAT 3539'!$A$14:$C$38,2,1)-VLOOKUP((TRUNC(($AN401+0.01)*3/13,0)+0.99),'Tax scales - NAT 3539'!$A$14:$C$38,3,1)),0)
*13/3,
0),
IF($E$2="Monthly",
ROUND(
ROUND(((TRUNC($AN401*3/13,0)+0.99)*VLOOKUP((TRUNC($AN401*3/13,0)+0.99),'Tax scales - NAT 3539'!$A$14:$C$38,2,1)-VLOOKUP((TRUNC($AN401*3/13,0)+0.99),'Tax scales - NAT 3539'!$A$14:$C$38,3,1)),0)
*13/3,
0),
""))),
""),
"")</f>
        <v/>
      </c>
      <c r="AV401" s="118" t="str">
        <f>IFERROR(
IF(VLOOKUP($C401,'Employee information'!$B:$M,COLUMNS('Employee information'!$B:$M),0)=22,
IF($E$2="Fortnightly",
ROUND(
ROUND((((TRUNC($AN401/2,0)+0.99))*VLOOKUP((TRUNC($AN401/2,0)+0.99),'Tax scales - NAT 3539'!$A$43:$C$69,2,1)-VLOOKUP((TRUNC($AN401/2,0)+0.99),'Tax scales - NAT 3539'!$A$43:$C$69,3,1)),0)
*2,
0),
IF(AND($E$2="Monthly",ROUND($AN401-TRUNC($AN401),2)=0.33),
ROUND(
ROUND(((TRUNC(($AN401+0.01)*3/13,0)+0.99)*VLOOKUP((TRUNC(($AN401+0.01)*3/13,0)+0.99),'Tax scales - NAT 3539'!$A$43:$C$69,2,1)-VLOOKUP((TRUNC(($AN401+0.01)*3/13,0)+0.99),'Tax scales - NAT 3539'!$A$43:$C$69,3,1)),0)
*13/3,
0),
IF($E$2="Monthly",
ROUND(
ROUND(((TRUNC($AN401*3/13,0)+0.99)*VLOOKUP((TRUNC($AN401*3/13,0)+0.99),'Tax scales - NAT 3539'!$A$43:$C$69,2,1)-VLOOKUP((TRUNC($AN401*3/13,0)+0.99),'Tax scales - NAT 3539'!$A$43:$C$69,3,1)),0)
*13/3,
0),
""))),
""),
"")</f>
        <v/>
      </c>
      <c r="AW401" s="118" t="str">
        <f>IFERROR(
IF(VLOOKUP($C401,'Employee information'!$B:$M,COLUMNS('Employee information'!$B:$M),0)=33,
IF($E$2="Fortnightly",
ROUND(
ROUND((((TRUNC($AN401/2,0)+0.99))*VLOOKUP((TRUNC($AN401/2,0)+0.99),'Tax scales - NAT 3539'!$A$74:$C$94,2,1)-VLOOKUP((TRUNC($AN401/2,0)+0.99),'Tax scales - NAT 3539'!$A$74:$C$94,3,1)),0)
*2,
0),
IF(AND($E$2="Monthly",ROUND($AN401-TRUNC($AN401),2)=0.33),
ROUND(
ROUND(((TRUNC(($AN401+0.01)*3/13,0)+0.99)*VLOOKUP((TRUNC(($AN401+0.01)*3/13,0)+0.99),'Tax scales - NAT 3539'!$A$74:$C$94,2,1)-VLOOKUP((TRUNC(($AN401+0.01)*3/13,0)+0.99),'Tax scales - NAT 3539'!$A$74:$C$94,3,1)),0)
*13/3,
0),
IF($E$2="Monthly",
ROUND(
ROUND(((TRUNC($AN401*3/13,0)+0.99)*VLOOKUP((TRUNC($AN401*3/13,0)+0.99),'Tax scales - NAT 3539'!$A$74:$C$94,2,1)-VLOOKUP((TRUNC($AN401*3/13,0)+0.99),'Tax scales - NAT 3539'!$A$74:$C$94,3,1)),0)
*13/3,
0),
""))),
""),
"")</f>
        <v/>
      </c>
      <c r="AX401" s="118" t="str">
        <f>IFERROR(
IF(VLOOKUP($C401,'Employee information'!$B:$M,COLUMNS('Employee information'!$B:$M),0)=55,
IF($E$2="Fortnightly",
ROUND(
ROUND((((TRUNC($AN401/2,0)+0.99))*VLOOKUP((TRUNC($AN401/2,0)+0.99),'Tax scales - NAT 3539'!$A$99:$C$123,2,1)-VLOOKUP((TRUNC($AN401/2,0)+0.99),'Tax scales - NAT 3539'!$A$99:$C$123,3,1)),0)
*2,
0),
IF(AND($E$2="Monthly",ROUND($AN401-TRUNC($AN401),2)=0.33),
ROUND(
ROUND(((TRUNC(($AN401+0.01)*3/13,0)+0.99)*VLOOKUP((TRUNC(($AN401+0.01)*3/13,0)+0.99),'Tax scales - NAT 3539'!$A$99:$C$123,2,1)-VLOOKUP((TRUNC(($AN401+0.01)*3/13,0)+0.99),'Tax scales - NAT 3539'!$A$99:$C$123,3,1)),0)
*13/3,
0),
IF($E$2="Monthly",
ROUND(
ROUND(((TRUNC($AN401*3/13,0)+0.99)*VLOOKUP((TRUNC($AN401*3/13,0)+0.99),'Tax scales - NAT 3539'!$A$99:$C$123,2,1)-VLOOKUP((TRUNC($AN401*3/13,0)+0.99),'Tax scales - NAT 3539'!$A$99:$C$123,3,1)),0)
*13/3,
0),
""))),
""),
"")</f>
        <v/>
      </c>
      <c r="AY401" s="118" t="str">
        <f>IFERROR(
IF(VLOOKUP($C401,'Employee information'!$B:$M,COLUMNS('Employee information'!$B:$M),0)=66,
IF($E$2="Fortnightly",
ROUND(
ROUND((((TRUNC($AN401/2,0)+0.99))*VLOOKUP((TRUNC($AN401/2,0)+0.99),'Tax scales - NAT 3539'!$A$127:$C$154,2,1)-VLOOKUP((TRUNC($AN401/2,0)+0.99),'Tax scales - NAT 3539'!$A$127:$C$154,3,1)),0)
*2,
0),
IF(AND($E$2="Monthly",ROUND($AN401-TRUNC($AN401),2)=0.33),
ROUND(
ROUND(((TRUNC(($AN401+0.01)*3/13,0)+0.99)*VLOOKUP((TRUNC(($AN401+0.01)*3/13,0)+0.99),'Tax scales - NAT 3539'!$A$127:$C$154,2,1)-VLOOKUP((TRUNC(($AN401+0.01)*3/13,0)+0.99),'Tax scales - NAT 3539'!$A$127:$C$154,3,1)),0)
*13/3,
0),
IF($E$2="Monthly",
ROUND(
ROUND(((TRUNC($AN401*3/13,0)+0.99)*VLOOKUP((TRUNC($AN401*3/13,0)+0.99),'Tax scales - NAT 3539'!$A$127:$C$154,2,1)-VLOOKUP((TRUNC($AN401*3/13,0)+0.99),'Tax scales - NAT 3539'!$A$127:$C$154,3,1)),0)
*13/3,
0),
""))),
""),
"")</f>
        <v/>
      </c>
      <c r="AZ401" s="118">
        <f>IFERROR(
HLOOKUP(VLOOKUP($C401,'Employee information'!$B:$M,COLUMNS('Employee information'!$B:$M),0),'PAYG worksheet'!$AO$387:$AY$406,COUNTA($C$388:$C401)+1,0),
0)</f>
        <v>0</v>
      </c>
      <c r="BA401" s="118"/>
      <c r="BB401" s="118">
        <f t="shared" si="418"/>
        <v>0</v>
      </c>
      <c r="BC401" s="119">
        <f>IFERROR(
IF(OR($AE401=1,$AE401=""),SUM($P401,$AA401,$AC401,$AK401)*VLOOKUP($C401,'Employee information'!$B:$Q,COLUMNS('Employee information'!$B:$H),0),
IF($AE401=0,SUM($P401,$AA401,$AK401)*VLOOKUP($C401,'Employee information'!$B:$Q,COLUMNS('Employee information'!$B:$H),0),
0)),
0)</f>
        <v>0</v>
      </c>
      <c r="BE401" s="114">
        <f t="shared" si="403"/>
        <v>0</v>
      </c>
      <c r="BF401" s="114">
        <f t="shared" si="404"/>
        <v>0</v>
      </c>
      <c r="BG401" s="114">
        <f t="shared" si="405"/>
        <v>0</v>
      </c>
      <c r="BH401" s="114">
        <f t="shared" si="406"/>
        <v>0</v>
      </c>
      <c r="BI401" s="114">
        <f t="shared" si="407"/>
        <v>0</v>
      </c>
      <c r="BJ401" s="114">
        <f t="shared" si="408"/>
        <v>0</v>
      </c>
      <c r="BK401" s="114">
        <f t="shared" si="409"/>
        <v>0</v>
      </c>
      <c r="BL401" s="114">
        <f t="shared" si="419"/>
        <v>0</v>
      </c>
      <c r="BM401" s="114">
        <f t="shared" si="410"/>
        <v>0</v>
      </c>
    </row>
    <row r="402" spans="1:65" x14ac:dyDescent="0.25">
      <c r="A402" s="228">
        <f t="shared" si="398"/>
        <v>14</v>
      </c>
      <c r="C402" s="278"/>
      <c r="E402" s="103">
        <f>IF($C402="",0,
IF(AND($E$2="Monthly",$A402&gt;12),0,
IF($E$2="Monthly",VLOOKUP($C402,'Employee information'!$B:$AM,COLUMNS('Employee information'!$B:S),0),
IF($E$2="Fortnightly",VLOOKUP($C402,'Employee information'!$B:$AM,COLUMNS('Employee information'!$B:R),0),
0))))</f>
        <v>0</v>
      </c>
      <c r="F402" s="106"/>
      <c r="G402" s="106"/>
      <c r="H402" s="106"/>
      <c r="I402" s="106"/>
      <c r="J402" s="103">
        <f t="shared" si="411"/>
        <v>0</v>
      </c>
      <c r="L402" s="113">
        <f>IF(AND($E$2="Monthly",$A402&gt;12),"",
IFERROR($J402*VLOOKUP($C402,'Employee information'!$B:$AI,COLUMNS('Employee information'!$B:$P),0),0))</f>
        <v>0</v>
      </c>
      <c r="M402" s="114">
        <f t="shared" si="412"/>
        <v>0</v>
      </c>
      <c r="O402" s="103">
        <f t="shared" si="413"/>
        <v>0</v>
      </c>
      <c r="P402" s="113">
        <f>IFERROR(
IF(AND($E$2="Monthly",$A402&gt;12),0,
$O402*VLOOKUP($C402,'Employee information'!$B:$AI,COLUMNS('Employee information'!$B:$P),0)),
0)</f>
        <v>0</v>
      </c>
      <c r="R402" s="114">
        <f t="shared" si="399"/>
        <v>0</v>
      </c>
      <c r="T402" s="103"/>
      <c r="U402" s="103"/>
      <c r="V402" s="282" t="str">
        <f>IF($C402="","",
IF(AND($E$2="Monthly",$A402&gt;12),"",
$T402*VLOOKUP($C402,'Employee information'!$B:$P,COLUMNS('Employee information'!$B:$P),0)))</f>
        <v/>
      </c>
      <c r="W402" s="282" t="str">
        <f>IF($C402="","",
IF(AND($E$2="Monthly",$A402&gt;12),"",
$U402*VLOOKUP($C402,'Employee information'!$B:$P,COLUMNS('Employee information'!$B:$P),0)))</f>
        <v/>
      </c>
      <c r="X402" s="114">
        <f t="shared" si="400"/>
        <v>0</v>
      </c>
      <c r="Y402" s="114">
        <f t="shared" si="401"/>
        <v>0</v>
      </c>
      <c r="AA402" s="118">
        <f>IFERROR(
IF(OR('Basic payroll data'!$D$12="",'Basic payroll data'!$D$12="No"),0,
$T402*VLOOKUP($C402,'Employee information'!$B:$P,COLUMNS('Employee information'!$B:$P),0)*AL_loading_perc),
0)</f>
        <v>0</v>
      </c>
      <c r="AC402" s="118"/>
      <c r="AD402" s="118"/>
      <c r="AE402" s="283" t="str">
        <f t="shared" si="414"/>
        <v/>
      </c>
      <c r="AF402" s="283" t="str">
        <f t="shared" si="415"/>
        <v/>
      </c>
      <c r="AG402" s="118"/>
      <c r="AH402" s="118"/>
      <c r="AI402" s="283" t="str">
        <f t="shared" si="416"/>
        <v/>
      </c>
      <c r="AJ402" s="118"/>
      <c r="AK402" s="118"/>
      <c r="AM402" s="118">
        <f t="shared" si="417"/>
        <v>0</v>
      </c>
      <c r="AN402" s="118">
        <f t="shared" si="402"/>
        <v>0</v>
      </c>
      <c r="AO402" s="118" t="str">
        <f>IFERROR(
IF(VLOOKUP($C402,'Employee information'!$B:$M,COLUMNS('Employee information'!$B:$M),0)=1,
IF($E$2="Fortnightly",
ROUND(
ROUND((((TRUNC($AN402/2,0)+0.99))*VLOOKUP((TRUNC($AN402/2,0)+0.99),'Tax scales - NAT 1004'!$A$12:$C$18,2,1)-VLOOKUP((TRUNC($AN402/2,0)+0.99),'Tax scales - NAT 1004'!$A$12:$C$18,3,1)),0)
*2,
0),
IF(AND($E$2="Monthly",ROUND($AN402-TRUNC($AN402),2)=0.33),
ROUND(
ROUND(((TRUNC(($AN402+0.01)*3/13,0)+0.99)*VLOOKUP((TRUNC(($AN402+0.01)*3/13,0)+0.99),'Tax scales - NAT 1004'!$A$12:$C$18,2,1)-VLOOKUP((TRUNC(($AN402+0.01)*3/13,0)+0.99),'Tax scales - NAT 1004'!$A$12:$C$18,3,1)),0)
*13/3,
0),
IF($E$2="Monthly",
ROUND(
ROUND(((TRUNC($AN402*3/13,0)+0.99)*VLOOKUP((TRUNC($AN402*3/13,0)+0.99),'Tax scales - NAT 1004'!$A$12:$C$18,2,1)-VLOOKUP((TRUNC($AN402*3/13,0)+0.99),'Tax scales - NAT 1004'!$A$12:$C$18,3,1)),0)
*13/3,
0),
""))),
""),
"")</f>
        <v/>
      </c>
      <c r="AP402" s="118" t="str">
        <f>IFERROR(
IF(VLOOKUP($C402,'Employee information'!$B:$M,COLUMNS('Employee information'!$B:$M),0)=2,
IF($E$2="Fortnightly",
ROUND(
ROUND((((TRUNC($AN402/2,0)+0.99))*VLOOKUP((TRUNC($AN402/2,0)+0.99),'Tax scales - NAT 1004'!$A$25:$C$33,2,1)-VLOOKUP((TRUNC($AN402/2,0)+0.99),'Tax scales - NAT 1004'!$A$25:$C$33,3,1)),0)
*2,
0),
IF(AND($E$2="Monthly",ROUND($AN402-TRUNC($AN402),2)=0.33),
ROUND(
ROUND(((TRUNC(($AN402+0.01)*3/13,0)+0.99)*VLOOKUP((TRUNC(($AN402+0.01)*3/13,0)+0.99),'Tax scales - NAT 1004'!$A$25:$C$33,2,1)-VLOOKUP((TRUNC(($AN402+0.01)*3/13,0)+0.99),'Tax scales - NAT 1004'!$A$25:$C$33,3,1)),0)
*13/3,
0),
IF($E$2="Monthly",
ROUND(
ROUND(((TRUNC($AN402*3/13,0)+0.99)*VLOOKUP((TRUNC($AN402*3/13,0)+0.99),'Tax scales - NAT 1004'!$A$25:$C$33,2,1)-VLOOKUP((TRUNC($AN402*3/13,0)+0.99),'Tax scales - NAT 1004'!$A$25:$C$33,3,1)),0)
*13/3,
0),
""))),
""),
"")</f>
        <v/>
      </c>
      <c r="AQ402" s="118" t="str">
        <f>IFERROR(
IF(VLOOKUP($C402,'Employee information'!$B:$M,COLUMNS('Employee information'!$B:$M),0)=3,
IF($E$2="Fortnightly",
ROUND(
ROUND((((TRUNC($AN402/2,0)+0.99))*VLOOKUP((TRUNC($AN402/2,0)+0.99),'Tax scales - NAT 1004'!$A$39:$C$41,2,1)-VLOOKUP((TRUNC($AN402/2,0)+0.99),'Tax scales - NAT 1004'!$A$39:$C$41,3,1)),0)
*2,
0),
IF(AND($E$2="Monthly",ROUND($AN402-TRUNC($AN402),2)=0.33),
ROUND(
ROUND(((TRUNC(($AN402+0.01)*3/13,0)+0.99)*VLOOKUP((TRUNC(($AN402+0.01)*3/13,0)+0.99),'Tax scales - NAT 1004'!$A$39:$C$41,2,1)-VLOOKUP((TRUNC(($AN402+0.01)*3/13,0)+0.99),'Tax scales - NAT 1004'!$A$39:$C$41,3,1)),0)
*13/3,
0),
IF($E$2="Monthly",
ROUND(
ROUND(((TRUNC($AN402*3/13,0)+0.99)*VLOOKUP((TRUNC($AN402*3/13,0)+0.99),'Tax scales - NAT 1004'!$A$39:$C$41,2,1)-VLOOKUP((TRUNC($AN402*3/13,0)+0.99),'Tax scales - NAT 1004'!$A$39:$C$41,3,1)),0)
*13/3,
0),
""))),
""),
"")</f>
        <v/>
      </c>
      <c r="AR402" s="118" t="str">
        <f>IFERROR(
IF(AND(VLOOKUP($C402,'Employee information'!$B:$M,COLUMNS('Employee information'!$B:$M),0)=4,
VLOOKUP($C402,'Employee information'!$B:$J,COLUMNS('Employee information'!$B:$J),0)="Resident"),
TRUNC(TRUNC($AN402)*'Tax scales - NAT 1004'!$B$47),
IF(AND(VLOOKUP($C402,'Employee information'!$B:$M,COLUMNS('Employee information'!$B:$M),0)=4,
VLOOKUP($C402,'Employee information'!$B:$J,COLUMNS('Employee information'!$B:$J),0)="Foreign resident"),
TRUNC(TRUNC($AN402)*'Tax scales - NAT 1004'!$B$48),
"")),
"")</f>
        <v/>
      </c>
      <c r="AS402" s="118" t="str">
        <f>IFERROR(
IF(VLOOKUP($C402,'Employee information'!$B:$M,COLUMNS('Employee information'!$B:$M),0)=5,
IF($E$2="Fortnightly",
ROUND(
ROUND((((TRUNC($AN402/2,0)+0.99))*VLOOKUP((TRUNC($AN402/2,0)+0.99),'Tax scales - NAT 1004'!$A$53:$C$59,2,1)-VLOOKUP((TRUNC($AN402/2,0)+0.99),'Tax scales - NAT 1004'!$A$53:$C$59,3,1)),0)
*2,
0),
IF(AND($E$2="Monthly",ROUND($AN402-TRUNC($AN402),2)=0.33),
ROUND(
ROUND(((TRUNC(($AN402+0.01)*3/13,0)+0.99)*VLOOKUP((TRUNC(($AN402+0.01)*3/13,0)+0.99),'Tax scales - NAT 1004'!$A$53:$C$59,2,1)-VLOOKUP((TRUNC(($AN402+0.01)*3/13,0)+0.99),'Tax scales - NAT 1004'!$A$53:$C$59,3,1)),0)
*13/3,
0),
IF($E$2="Monthly",
ROUND(
ROUND(((TRUNC($AN402*3/13,0)+0.99)*VLOOKUP((TRUNC($AN402*3/13,0)+0.99),'Tax scales - NAT 1004'!$A$53:$C$59,2,1)-VLOOKUP((TRUNC($AN402*3/13,0)+0.99),'Tax scales - NAT 1004'!$A$53:$C$59,3,1)),0)
*13/3,
0),
""))),
""),
"")</f>
        <v/>
      </c>
      <c r="AT402" s="118" t="str">
        <f>IFERROR(
IF(VLOOKUP($C402,'Employee information'!$B:$M,COLUMNS('Employee information'!$B:$M),0)=6,
IF($E$2="Fortnightly",
ROUND(
ROUND((((TRUNC($AN402/2,0)+0.99))*VLOOKUP((TRUNC($AN402/2,0)+0.99),'Tax scales - NAT 1004'!$A$65:$C$73,2,1)-VLOOKUP((TRUNC($AN402/2,0)+0.99),'Tax scales - NAT 1004'!$A$65:$C$73,3,1)),0)
*2,
0),
IF(AND($E$2="Monthly",ROUND($AN402-TRUNC($AN402),2)=0.33),
ROUND(
ROUND(((TRUNC(($AN402+0.01)*3/13,0)+0.99)*VLOOKUP((TRUNC(($AN402+0.01)*3/13,0)+0.99),'Tax scales - NAT 1004'!$A$65:$C$73,2,1)-VLOOKUP((TRUNC(($AN402+0.01)*3/13,0)+0.99),'Tax scales - NAT 1004'!$A$65:$C$73,3,1)),0)
*13/3,
0),
IF($E$2="Monthly",
ROUND(
ROUND(((TRUNC($AN402*3/13,0)+0.99)*VLOOKUP((TRUNC($AN402*3/13,0)+0.99),'Tax scales - NAT 1004'!$A$65:$C$73,2,1)-VLOOKUP((TRUNC($AN402*3/13,0)+0.99),'Tax scales - NAT 1004'!$A$65:$C$73,3,1)),0)
*13/3,
0),
""))),
""),
"")</f>
        <v/>
      </c>
      <c r="AU402" s="118" t="str">
        <f>IFERROR(
IF(VLOOKUP($C402,'Employee information'!$B:$M,COLUMNS('Employee information'!$B:$M),0)=11,
IF($E$2="Fortnightly",
ROUND(
ROUND((((TRUNC($AN402/2,0)+0.99))*VLOOKUP((TRUNC($AN402/2,0)+0.99),'Tax scales - NAT 3539'!$A$14:$C$38,2,1)-VLOOKUP((TRUNC($AN402/2,0)+0.99),'Tax scales - NAT 3539'!$A$14:$C$38,3,1)),0)
*2,
0),
IF(AND($E$2="Monthly",ROUND($AN402-TRUNC($AN402),2)=0.33),
ROUND(
ROUND(((TRUNC(($AN402+0.01)*3/13,0)+0.99)*VLOOKUP((TRUNC(($AN402+0.01)*3/13,0)+0.99),'Tax scales - NAT 3539'!$A$14:$C$38,2,1)-VLOOKUP((TRUNC(($AN402+0.01)*3/13,0)+0.99),'Tax scales - NAT 3539'!$A$14:$C$38,3,1)),0)
*13/3,
0),
IF($E$2="Monthly",
ROUND(
ROUND(((TRUNC($AN402*3/13,0)+0.99)*VLOOKUP((TRUNC($AN402*3/13,0)+0.99),'Tax scales - NAT 3539'!$A$14:$C$38,2,1)-VLOOKUP((TRUNC($AN402*3/13,0)+0.99),'Tax scales - NAT 3539'!$A$14:$C$38,3,1)),0)
*13/3,
0),
""))),
""),
"")</f>
        <v/>
      </c>
      <c r="AV402" s="118" t="str">
        <f>IFERROR(
IF(VLOOKUP($C402,'Employee information'!$B:$M,COLUMNS('Employee information'!$B:$M),0)=22,
IF($E$2="Fortnightly",
ROUND(
ROUND((((TRUNC($AN402/2,0)+0.99))*VLOOKUP((TRUNC($AN402/2,0)+0.99),'Tax scales - NAT 3539'!$A$43:$C$69,2,1)-VLOOKUP((TRUNC($AN402/2,0)+0.99),'Tax scales - NAT 3539'!$A$43:$C$69,3,1)),0)
*2,
0),
IF(AND($E$2="Monthly",ROUND($AN402-TRUNC($AN402),2)=0.33),
ROUND(
ROUND(((TRUNC(($AN402+0.01)*3/13,0)+0.99)*VLOOKUP((TRUNC(($AN402+0.01)*3/13,0)+0.99),'Tax scales - NAT 3539'!$A$43:$C$69,2,1)-VLOOKUP((TRUNC(($AN402+0.01)*3/13,0)+0.99),'Tax scales - NAT 3539'!$A$43:$C$69,3,1)),0)
*13/3,
0),
IF($E$2="Monthly",
ROUND(
ROUND(((TRUNC($AN402*3/13,0)+0.99)*VLOOKUP((TRUNC($AN402*3/13,0)+0.99),'Tax scales - NAT 3539'!$A$43:$C$69,2,1)-VLOOKUP((TRUNC($AN402*3/13,0)+0.99),'Tax scales - NAT 3539'!$A$43:$C$69,3,1)),0)
*13/3,
0),
""))),
""),
"")</f>
        <v/>
      </c>
      <c r="AW402" s="118" t="str">
        <f>IFERROR(
IF(VLOOKUP($C402,'Employee information'!$B:$M,COLUMNS('Employee information'!$B:$M),0)=33,
IF($E$2="Fortnightly",
ROUND(
ROUND((((TRUNC($AN402/2,0)+0.99))*VLOOKUP((TRUNC($AN402/2,0)+0.99),'Tax scales - NAT 3539'!$A$74:$C$94,2,1)-VLOOKUP((TRUNC($AN402/2,0)+0.99),'Tax scales - NAT 3539'!$A$74:$C$94,3,1)),0)
*2,
0),
IF(AND($E$2="Monthly",ROUND($AN402-TRUNC($AN402),2)=0.33),
ROUND(
ROUND(((TRUNC(($AN402+0.01)*3/13,0)+0.99)*VLOOKUP((TRUNC(($AN402+0.01)*3/13,0)+0.99),'Tax scales - NAT 3539'!$A$74:$C$94,2,1)-VLOOKUP((TRUNC(($AN402+0.01)*3/13,0)+0.99),'Tax scales - NAT 3539'!$A$74:$C$94,3,1)),0)
*13/3,
0),
IF($E$2="Monthly",
ROUND(
ROUND(((TRUNC($AN402*3/13,0)+0.99)*VLOOKUP((TRUNC($AN402*3/13,0)+0.99),'Tax scales - NAT 3539'!$A$74:$C$94,2,1)-VLOOKUP((TRUNC($AN402*3/13,0)+0.99),'Tax scales - NAT 3539'!$A$74:$C$94,3,1)),0)
*13/3,
0),
""))),
""),
"")</f>
        <v/>
      </c>
      <c r="AX402" s="118" t="str">
        <f>IFERROR(
IF(VLOOKUP($C402,'Employee information'!$B:$M,COLUMNS('Employee information'!$B:$M),0)=55,
IF($E$2="Fortnightly",
ROUND(
ROUND((((TRUNC($AN402/2,0)+0.99))*VLOOKUP((TRUNC($AN402/2,0)+0.99),'Tax scales - NAT 3539'!$A$99:$C$123,2,1)-VLOOKUP((TRUNC($AN402/2,0)+0.99),'Tax scales - NAT 3539'!$A$99:$C$123,3,1)),0)
*2,
0),
IF(AND($E$2="Monthly",ROUND($AN402-TRUNC($AN402),2)=0.33),
ROUND(
ROUND(((TRUNC(($AN402+0.01)*3/13,0)+0.99)*VLOOKUP((TRUNC(($AN402+0.01)*3/13,0)+0.99),'Tax scales - NAT 3539'!$A$99:$C$123,2,1)-VLOOKUP((TRUNC(($AN402+0.01)*3/13,0)+0.99),'Tax scales - NAT 3539'!$A$99:$C$123,3,1)),0)
*13/3,
0),
IF($E$2="Monthly",
ROUND(
ROUND(((TRUNC($AN402*3/13,0)+0.99)*VLOOKUP((TRUNC($AN402*3/13,0)+0.99),'Tax scales - NAT 3539'!$A$99:$C$123,2,1)-VLOOKUP((TRUNC($AN402*3/13,0)+0.99),'Tax scales - NAT 3539'!$A$99:$C$123,3,1)),0)
*13/3,
0),
""))),
""),
"")</f>
        <v/>
      </c>
      <c r="AY402" s="118" t="str">
        <f>IFERROR(
IF(VLOOKUP($C402,'Employee information'!$B:$M,COLUMNS('Employee information'!$B:$M),0)=66,
IF($E$2="Fortnightly",
ROUND(
ROUND((((TRUNC($AN402/2,0)+0.99))*VLOOKUP((TRUNC($AN402/2,0)+0.99),'Tax scales - NAT 3539'!$A$127:$C$154,2,1)-VLOOKUP((TRUNC($AN402/2,0)+0.99),'Tax scales - NAT 3539'!$A$127:$C$154,3,1)),0)
*2,
0),
IF(AND($E$2="Monthly",ROUND($AN402-TRUNC($AN402),2)=0.33),
ROUND(
ROUND(((TRUNC(($AN402+0.01)*3/13,0)+0.99)*VLOOKUP((TRUNC(($AN402+0.01)*3/13,0)+0.99),'Tax scales - NAT 3539'!$A$127:$C$154,2,1)-VLOOKUP((TRUNC(($AN402+0.01)*3/13,0)+0.99),'Tax scales - NAT 3539'!$A$127:$C$154,3,1)),0)
*13/3,
0),
IF($E$2="Monthly",
ROUND(
ROUND(((TRUNC($AN402*3/13,0)+0.99)*VLOOKUP((TRUNC($AN402*3/13,0)+0.99),'Tax scales - NAT 3539'!$A$127:$C$154,2,1)-VLOOKUP((TRUNC($AN402*3/13,0)+0.99),'Tax scales - NAT 3539'!$A$127:$C$154,3,1)),0)
*13/3,
0),
""))),
""),
"")</f>
        <v/>
      </c>
      <c r="AZ402" s="118">
        <f>IFERROR(
HLOOKUP(VLOOKUP($C402,'Employee information'!$B:$M,COLUMNS('Employee information'!$B:$M),0),'PAYG worksheet'!$AO$387:$AY$406,COUNTA($C$388:$C402)+1,0),
0)</f>
        <v>0</v>
      </c>
      <c r="BA402" s="118"/>
      <c r="BB402" s="118">
        <f t="shared" si="418"/>
        <v>0</v>
      </c>
      <c r="BC402" s="119">
        <f>IFERROR(
IF(OR($AE402=1,$AE402=""),SUM($P402,$AA402,$AC402,$AK402)*VLOOKUP($C402,'Employee information'!$B:$Q,COLUMNS('Employee information'!$B:$H),0),
IF($AE402=0,SUM($P402,$AA402,$AK402)*VLOOKUP($C402,'Employee information'!$B:$Q,COLUMNS('Employee information'!$B:$H),0),
0)),
0)</f>
        <v>0</v>
      </c>
      <c r="BE402" s="114">
        <f t="shared" si="403"/>
        <v>0</v>
      </c>
      <c r="BF402" s="114">
        <f t="shared" si="404"/>
        <v>0</v>
      </c>
      <c r="BG402" s="114">
        <f t="shared" si="405"/>
        <v>0</v>
      </c>
      <c r="BH402" s="114">
        <f t="shared" si="406"/>
        <v>0</v>
      </c>
      <c r="BI402" s="114">
        <f t="shared" si="407"/>
        <v>0</v>
      </c>
      <c r="BJ402" s="114">
        <f t="shared" si="408"/>
        <v>0</v>
      </c>
      <c r="BK402" s="114">
        <f t="shared" si="409"/>
        <v>0</v>
      </c>
      <c r="BL402" s="114">
        <f t="shared" si="419"/>
        <v>0</v>
      </c>
      <c r="BM402" s="114">
        <f t="shared" si="410"/>
        <v>0</v>
      </c>
    </row>
    <row r="403" spans="1:65" x14ac:dyDescent="0.25">
      <c r="A403" s="228">
        <f t="shared" si="398"/>
        <v>14</v>
      </c>
      <c r="C403" s="278"/>
      <c r="E403" s="103">
        <f>IF($C403="",0,
IF(AND($E$2="Monthly",$A403&gt;12),0,
IF($E$2="Monthly",VLOOKUP($C403,'Employee information'!$B:$AM,COLUMNS('Employee information'!$B:S),0),
IF($E$2="Fortnightly",VLOOKUP($C403,'Employee information'!$B:$AM,COLUMNS('Employee information'!$B:R),0),
0))))</f>
        <v>0</v>
      </c>
      <c r="F403" s="106"/>
      <c r="G403" s="106"/>
      <c r="H403" s="106"/>
      <c r="I403" s="106"/>
      <c r="J403" s="103">
        <f t="shared" si="411"/>
        <v>0</v>
      </c>
      <c r="L403" s="113">
        <f>IF(AND($E$2="Monthly",$A403&gt;12),"",
IFERROR($J403*VLOOKUP($C403,'Employee information'!$B:$AI,COLUMNS('Employee information'!$B:$P),0),0))</f>
        <v>0</v>
      </c>
      <c r="M403" s="114">
        <f t="shared" si="412"/>
        <v>0</v>
      </c>
      <c r="O403" s="103">
        <f t="shared" si="413"/>
        <v>0</v>
      </c>
      <c r="P403" s="113">
        <f>IFERROR(
IF(AND($E$2="Monthly",$A403&gt;12),0,
$O403*VLOOKUP($C403,'Employee information'!$B:$AI,COLUMNS('Employee information'!$B:$P),0)),
0)</f>
        <v>0</v>
      </c>
      <c r="R403" s="114">
        <f t="shared" si="399"/>
        <v>0</v>
      </c>
      <c r="T403" s="103"/>
      <c r="U403" s="103"/>
      <c r="V403" s="282" t="str">
        <f>IF($C403="","",
IF(AND($E$2="Monthly",$A403&gt;12),"",
$T403*VLOOKUP($C403,'Employee information'!$B:$P,COLUMNS('Employee information'!$B:$P),0)))</f>
        <v/>
      </c>
      <c r="W403" s="282" t="str">
        <f>IF($C403="","",
IF(AND($E$2="Monthly",$A403&gt;12),"",
$U403*VLOOKUP($C403,'Employee information'!$B:$P,COLUMNS('Employee information'!$B:$P),0)))</f>
        <v/>
      </c>
      <c r="X403" s="114">
        <f t="shared" si="400"/>
        <v>0</v>
      </c>
      <c r="Y403" s="114">
        <f t="shared" si="401"/>
        <v>0</v>
      </c>
      <c r="AA403" s="118">
        <f>IFERROR(
IF(OR('Basic payroll data'!$D$12="",'Basic payroll data'!$D$12="No"),0,
$T403*VLOOKUP($C403,'Employee information'!$B:$P,COLUMNS('Employee information'!$B:$P),0)*AL_loading_perc),
0)</f>
        <v>0</v>
      </c>
      <c r="AC403" s="118"/>
      <c r="AD403" s="118"/>
      <c r="AE403" s="283" t="str">
        <f t="shared" si="414"/>
        <v/>
      </c>
      <c r="AF403" s="283" t="str">
        <f t="shared" si="415"/>
        <v/>
      </c>
      <c r="AG403" s="118"/>
      <c r="AH403" s="118"/>
      <c r="AI403" s="283" t="str">
        <f t="shared" si="416"/>
        <v/>
      </c>
      <c r="AJ403" s="118"/>
      <c r="AK403" s="118"/>
      <c r="AM403" s="118">
        <f t="shared" si="417"/>
        <v>0</v>
      </c>
      <c r="AN403" s="118">
        <f t="shared" si="402"/>
        <v>0</v>
      </c>
      <c r="AO403" s="118" t="str">
        <f>IFERROR(
IF(VLOOKUP($C403,'Employee information'!$B:$M,COLUMNS('Employee information'!$B:$M),0)=1,
IF($E$2="Fortnightly",
ROUND(
ROUND((((TRUNC($AN403/2,0)+0.99))*VLOOKUP((TRUNC($AN403/2,0)+0.99),'Tax scales - NAT 1004'!$A$12:$C$18,2,1)-VLOOKUP((TRUNC($AN403/2,0)+0.99),'Tax scales - NAT 1004'!$A$12:$C$18,3,1)),0)
*2,
0),
IF(AND($E$2="Monthly",ROUND($AN403-TRUNC($AN403),2)=0.33),
ROUND(
ROUND(((TRUNC(($AN403+0.01)*3/13,0)+0.99)*VLOOKUP((TRUNC(($AN403+0.01)*3/13,0)+0.99),'Tax scales - NAT 1004'!$A$12:$C$18,2,1)-VLOOKUP((TRUNC(($AN403+0.01)*3/13,0)+0.99),'Tax scales - NAT 1004'!$A$12:$C$18,3,1)),0)
*13/3,
0),
IF($E$2="Monthly",
ROUND(
ROUND(((TRUNC($AN403*3/13,0)+0.99)*VLOOKUP((TRUNC($AN403*3/13,0)+0.99),'Tax scales - NAT 1004'!$A$12:$C$18,2,1)-VLOOKUP((TRUNC($AN403*3/13,0)+0.99),'Tax scales - NAT 1004'!$A$12:$C$18,3,1)),0)
*13/3,
0),
""))),
""),
"")</f>
        <v/>
      </c>
      <c r="AP403" s="118" t="str">
        <f>IFERROR(
IF(VLOOKUP($C403,'Employee information'!$B:$M,COLUMNS('Employee information'!$B:$M),0)=2,
IF($E$2="Fortnightly",
ROUND(
ROUND((((TRUNC($AN403/2,0)+0.99))*VLOOKUP((TRUNC($AN403/2,0)+0.99),'Tax scales - NAT 1004'!$A$25:$C$33,2,1)-VLOOKUP((TRUNC($AN403/2,0)+0.99),'Tax scales - NAT 1004'!$A$25:$C$33,3,1)),0)
*2,
0),
IF(AND($E$2="Monthly",ROUND($AN403-TRUNC($AN403),2)=0.33),
ROUND(
ROUND(((TRUNC(($AN403+0.01)*3/13,0)+0.99)*VLOOKUP((TRUNC(($AN403+0.01)*3/13,0)+0.99),'Tax scales - NAT 1004'!$A$25:$C$33,2,1)-VLOOKUP((TRUNC(($AN403+0.01)*3/13,0)+0.99),'Tax scales - NAT 1004'!$A$25:$C$33,3,1)),0)
*13/3,
0),
IF($E$2="Monthly",
ROUND(
ROUND(((TRUNC($AN403*3/13,0)+0.99)*VLOOKUP((TRUNC($AN403*3/13,0)+0.99),'Tax scales - NAT 1004'!$A$25:$C$33,2,1)-VLOOKUP((TRUNC($AN403*3/13,0)+0.99),'Tax scales - NAT 1004'!$A$25:$C$33,3,1)),0)
*13/3,
0),
""))),
""),
"")</f>
        <v/>
      </c>
      <c r="AQ403" s="118" t="str">
        <f>IFERROR(
IF(VLOOKUP($C403,'Employee information'!$B:$M,COLUMNS('Employee information'!$B:$M),0)=3,
IF($E$2="Fortnightly",
ROUND(
ROUND((((TRUNC($AN403/2,0)+0.99))*VLOOKUP((TRUNC($AN403/2,0)+0.99),'Tax scales - NAT 1004'!$A$39:$C$41,2,1)-VLOOKUP((TRUNC($AN403/2,0)+0.99),'Tax scales - NAT 1004'!$A$39:$C$41,3,1)),0)
*2,
0),
IF(AND($E$2="Monthly",ROUND($AN403-TRUNC($AN403),2)=0.33),
ROUND(
ROUND(((TRUNC(($AN403+0.01)*3/13,0)+0.99)*VLOOKUP((TRUNC(($AN403+0.01)*3/13,0)+0.99),'Tax scales - NAT 1004'!$A$39:$C$41,2,1)-VLOOKUP((TRUNC(($AN403+0.01)*3/13,0)+0.99),'Tax scales - NAT 1004'!$A$39:$C$41,3,1)),0)
*13/3,
0),
IF($E$2="Monthly",
ROUND(
ROUND(((TRUNC($AN403*3/13,0)+0.99)*VLOOKUP((TRUNC($AN403*3/13,0)+0.99),'Tax scales - NAT 1004'!$A$39:$C$41,2,1)-VLOOKUP((TRUNC($AN403*3/13,0)+0.99),'Tax scales - NAT 1004'!$A$39:$C$41,3,1)),0)
*13/3,
0),
""))),
""),
"")</f>
        <v/>
      </c>
      <c r="AR403" s="118" t="str">
        <f>IFERROR(
IF(AND(VLOOKUP($C403,'Employee information'!$B:$M,COLUMNS('Employee information'!$B:$M),0)=4,
VLOOKUP($C403,'Employee information'!$B:$J,COLUMNS('Employee information'!$B:$J),0)="Resident"),
TRUNC(TRUNC($AN403)*'Tax scales - NAT 1004'!$B$47),
IF(AND(VLOOKUP($C403,'Employee information'!$B:$M,COLUMNS('Employee information'!$B:$M),0)=4,
VLOOKUP($C403,'Employee information'!$B:$J,COLUMNS('Employee information'!$B:$J),0)="Foreign resident"),
TRUNC(TRUNC($AN403)*'Tax scales - NAT 1004'!$B$48),
"")),
"")</f>
        <v/>
      </c>
      <c r="AS403" s="118" t="str">
        <f>IFERROR(
IF(VLOOKUP($C403,'Employee information'!$B:$M,COLUMNS('Employee information'!$B:$M),0)=5,
IF($E$2="Fortnightly",
ROUND(
ROUND((((TRUNC($AN403/2,0)+0.99))*VLOOKUP((TRUNC($AN403/2,0)+0.99),'Tax scales - NAT 1004'!$A$53:$C$59,2,1)-VLOOKUP((TRUNC($AN403/2,0)+0.99),'Tax scales - NAT 1004'!$A$53:$C$59,3,1)),0)
*2,
0),
IF(AND($E$2="Monthly",ROUND($AN403-TRUNC($AN403),2)=0.33),
ROUND(
ROUND(((TRUNC(($AN403+0.01)*3/13,0)+0.99)*VLOOKUP((TRUNC(($AN403+0.01)*3/13,0)+0.99),'Tax scales - NAT 1004'!$A$53:$C$59,2,1)-VLOOKUP((TRUNC(($AN403+0.01)*3/13,0)+0.99),'Tax scales - NAT 1004'!$A$53:$C$59,3,1)),0)
*13/3,
0),
IF($E$2="Monthly",
ROUND(
ROUND(((TRUNC($AN403*3/13,0)+0.99)*VLOOKUP((TRUNC($AN403*3/13,0)+0.99),'Tax scales - NAT 1004'!$A$53:$C$59,2,1)-VLOOKUP((TRUNC($AN403*3/13,0)+0.99),'Tax scales - NAT 1004'!$A$53:$C$59,3,1)),0)
*13/3,
0),
""))),
""),
"")</f>
        <v/>
      </c>
      <c r="AT403" s="118" t="str">
        <f>IFERROR(
IF(VLOOKUP($C403,'Employee information'!$B:$M,COLUMNS('Employee information'!$B:$M),0)=6,
IF($E$2="Fortnightly",
ROUND(
ROUND((((TRUNC($AN403/2,0)+0.99))*VLOOKUP((TRUNC($AN403/2,0)+0.99),'Tax scales - NAT 1004'!$A$65:$C$73,2,1)-VLOOKUP((TRUNC($AN403/2,0)+0.99),'Tax scales - NAT 1004'!$A$65:$C$73,3,1)),0)
*2,
0),
IF(AND($E$2="Monthly",ROUND($AN403-TRUNC($AN403),2)=0.33),
ROUND(
ROUND(((TRUNC(($AN403+0.01)*3/13,0)+0.99)*VLOOKUP((TRUNC(($AN403+0.01)*3/13,0)+0.99),'Tax scales - NAT 1004'!$A$65:$C$73,2,1)-VLOOKUP((TRUNC(($AN403+0.01)*3/13,0)+0.99),'Tax scales - NAT 1004'!$A$65:$C$73,3,1)),0)
*13/3,
0),
IF($E$2="Monthly",
ROUND(
ROUND(((TRUNC($AN403*3/13,0)+0.99)*VLOOKUP((TRUNC($AN403*3/13,0)+0.99),'Tax scales - NAT 1004'!$A$65:$C$73,2,1)-VLOOKUP((TRUNC($AN403*3/13,0)+0.99),'Tax scales - NAT 1004'!$A$65:$C$73,3,1)),0)
*13/3,
0),
""))),
""),
"")</f>
        <v/>
      </c>
      <c r="AU403" s="118" t="str">
        <f>IFERROR(
IF(VLOOKUP($C403,'Employee information'!$B:$M,COLUMNS('Employee information'!$B:$M),0)=11,
IF($E$2="Fortnightly",
ROUND(
ROUND((((TRUNC($AN403/2,0)+0.99))*VLOOKUP((TRUNC($AN403/2,0)+0.99),'Tax scales - NAT 3539'!$A$14:$C$38,2,1)-VLOOKUP((TRUNC($AN403/2,0)+0.99),'Tax scales - NAT 3539'!$A$14:$C$38,3,1)),0)
*2,
0),
IF(AND($E$2="Monthly",ROUND($AN403-TRUNC($AN403),2)=0.33),
ROUND(
ROUND(((TRUNC(($AN403+0.01)*3/13,0)+0.99)*VLOOKUP((TRUNC(($AN403+0.01)*3/13,0)+0.99),'Tax scales - NAT 3539'!$A$14:$C$38,2,1)-VLOOKUP((TRUNC(($AN403+0.01)*3/13,0)+0.99),'Tax scales - NAT 3539'!$A$14:$C$38,3,1)),0)
*13/3,
0),
IF($E$2="Monthly",
ROUND(
ROUND(((TRUNC($AN403*3/13,0)+0.99)*VLOOKUP((TRUNC($AN403*3/13,0)+0.99),'Tax scales - NAT 3539'!$A$14:$C$38,2,1)-VLOOKUP((TRUNC($AN403*3/13,0)+0.99),'Tax scales - NAT 3539'!$A$14:$C$38,3,1)),0)
*13/3,
0),
""))),
""),
"")</f>
        <v/>
      </c>
      <c r="AV403" s="118" t="str">
        <f>IFERROR(
IF(VLOOKUP($C403,'Employee information'!$B:$M,COLUMNS('Employee information'!$B:$M),0)=22,
IF($E$2="Fortnightly",
ROUND(
ROUND((((TRUNC($AN403/2,0)+0.99))*VLOOKUP((TRUNC($AN403/2,0)+0.99),'Tax scales - NAT 3539'!$A$43:$C$69,2,1)-VLOOKUP((TRUNC($AN403/2,0)+0.99),'Tax scales - NAT 3539'!$A$43:$C$69,3,1)),0)
*2,
0),
IF(AND($E$2="Monthly",ROUND($AN403-TRUNC($AN403),2)=0.33),
ROUND(
ROUND(((TRUNC(($AN403+0.01)*3/13,0)+0.99)*VLOOKUP((TRUNC(($AN403+0.01)*3/13,0)+0.99),'Tax scales - NAT 3539'!$A$43:$C$69,2,1)-VLOOKUP((TRUNC(($AN403+0.01)*3/13,0)+0.99),'Tax scales - NAT 3539'!$A$43:$C$69,3,1)),0)
*13/3,
0),
IF($E$2="Monthly",
ROUND(
ROUND(((TRUNC($AN403*3/13,0)+0.99)*VLOOKUP((TRUNC($AN403*3/13,0)+0.99),'Tax scales - NAT 3539'!$A$43:$C$69,2,1)-VLOOKUP((TRUNC($AN403*3/13,0)+0.99),'Tax scales - NAT 3539'!$A$43:$C$69,3,1)),0)
*13/3,
0),
""))),
""),
"")</f>
        <v/>
      </c>
      <c r="AW403" s="118" t="str">
        <f>IFERROR(
IF(VLOOKUP($C403,'Employee information'!$B:$M,COLUMNS('Employee information'!$B:$M),0)=33,
IF($E$2="Fortnightly",
ROUND(
ROUND((((TRUNC($AN403/2,0)+0.99))*VLOOKUP((TRUNC($AN403/2,0)+0.99),'Tax scales - NAT 3539'!$A$74:$C$94,2,1)-VLOOKUP((TRUNC($AN403/2,0)+0.99),'Tax scales - NAT 3539'!$A$74:$C$94,3,1)),0)
*2,
0),
IF(AND($E$2="Monthly",ROUND($AN403-TRUNC($AN403),2)=0.33),
ROUND(
ROUND(((TRUNC(($AN403+0.01)*3/13,0)+0.99)*VLOOKUP((TRUNC(($AN403+0.01)*3/13,0)+0.99),'Tax scales - NAT 3539'!$A$74:$C$94,2,1)-VLOOKUP((TRUNC(($AN403+0.01)*3/13,0)+0.99),'Tax scales - NAT 3539'!$A$74:$C$94,3,1)),0)
*13/3,
0),
IF($E$2="Monthly",
ROUND(
ROUND(((TRUNC($AN403*3/13,0)+0.99)*VLOOKUP((TRUNC($AN403*3/13,0)+0.99),'Tax scales - NAT 3539'!$A$74:$C$94,2,1)-VLOOKUP((TRUNC($AN403*3/13,0)+0.99),'Tax scales - NAT 3539'!$A$74:$C$94,3,1)),0)
*13/3,
0),
""))),
""),
"")</f>
        <v/>
      </c>
      <c r="AX403" s="118" t="str">
        <f>IFERROR(
IF(VLOOKUP($C403,'Employee information'!$B:$M,COLUMNS('Employee information'!$B:$M),0)=55,
IF($E$2="Fortnightly",
ROUND(
ROUND((((TRUNC($AN403/2,0)+0.99))*VLOOKUP((TRUNC($AN403/2,0)+0.99),'Tax scales - NAT 3539'!$A$99:$C$123,2,1)-VLOOKUP((TRUNC($AN403/2,0)+0.99),'Tax scales - NAT 3539'!$A$99:$C$123,3,1)),0)
*2,
0),
IF(AND($E$2="Monthly",ROUND($AN403-TRUNC($AN403),2)=0.33),
ROUND(
ROUND(((TRUNC(($AN403+0.01)*3/13,0)+0.99)*VLOOKUP((TRUNC(($AN403+0.01)*3/13,0)+0.99),'Tax scales - NAT 3539'!$A$99:$C$123,2,1)-VLOOKUP((TRUNC(($AN403+0.01)*3/13,0)+0.99),'Tax scales - NAT 3539'!$A$99:$C$123,3,1)),0)
*13/3,
0),
IF($E$2="Monthly",
ROUND(
ROUND(((TRUNC($AN403*3/13,0)+0.99)*VLOOKUP((TRUNC($AN403*3/13,0)+0.99),'Tax scales - NAT 3539'!$A$99:$C$123,2,1)-VLOOKUP((TRUNC($AN403*3/13,0)+0.99),'Tax scales - NAT 3539'!$A$99:$C$123,3,1)),0)
*13/3,
0),
""))),
""),
"")</f>
        <v/>
      </c>
      <c r="AY403" s="118" t="str">
        <f>IFERROR(
IF(VLOOKUP($C403,'Employee information'!$B:$M,COLUMNS('Employee information'!$B:$M),0)=66,
IF($E$2="Fortnightly",
ROUND(
ROUND((((TRUNC($AN403/2,0)+0.99))*VLOOKUP((TRUNC($AN403/2,0)+0.99),'Tax scales - NAT 3539'!$A$127:$C$154,2,1)-VLOOKUP((TRUNC($AN403/2,0)+0.99),'Tax scales - NAT 3539'!$A$127:$C$154,3,1)),0)
*2,
0),
IF(AND($E$2="Monthly",ROUND($AN403-TRUNC($AN403),2)=0.33),
ROUND(
ROUND(((TRUNC(($AN403+0.01)*3/13,0)+0.99)*VLOOKUP((TRUNC(($AN403+0.01)*3/13,0)+0.99),'Tax scales - NAT 3539'!$A$127:$C$154,2,1)-VLOOKUP((TRUNC(($AN403+0.01)*3/13,0)+0.99),'Tax scales - NAT 3539'!$A$127:$C$154,3,1)),0)
*13/3,
0),
IF($E$2="Monthly",
ROUND(
ROUND(((TRUNC($AN403*3/13,0)+0.99)*VLOOKUP((TRUNC($AN403*3/13,0)+0.99),'Tax scales - NAT 3539'!$A$127:$C$154,2,1)-VLOOKUP((TRUNC($AN403*3/13,0)+0.99),'Tax scales - NAT 3539'!$A$127:$C$154,3,1)),0)
*13/3,
0),
""))),
""),
"")</f>
        <v/>
      </c>
      <c r="AZ403" s="118">
        <f>IFERROR(
HLOOKUP(VLOOKUP($C403,'Employee information'!$B:$M,COLUMNS('Employee information'!$B:$M),0),'PAYG worksheet'!$AO$387:$AY$406,COUNTA($C$388:$C403)+1,0),
0)</f>
        <v>0</v>
      </c>
      <c r="BA403" s="118"/>
      <c r="BB403" s="118">
        <f t="shared" si="418"/>
        <v>0</v>
      </c>
      <c r="BC403" s="119">
        <f>IFERROR(
IF(OR($AE403=1,$AE403=""),SUM($P403,$AA403,$AC403,$AK403)*VLOOKUP($C403,'Employee information'!$B:$Q,COLUMNS('Employee information'!$B:$H),0),
IF($AE403=0,SUM($P403,$AA403,$AK403)*VLOOKUP($C403,'Employee information'!$B:$Q,COLUMNS('Employee information'!$B:$H),0),
0)),
0)</f>
        <v>0</v>
      </c>
      <c r="BE403" s="114">
        <f t="shared" si="403"/>
        <v>0</v>
      </c>
      <c r="BF403" s="114">
        <f t="shared" si="404"/>
        <v>0</v>
      </c>
      <c r="BG403" s="114">
        <f t="shared" si="405"/>
        <v>0</v>
      </c>
      <c r="BH403" s="114">
        <f t="shared" si="406"/>
        <v>0</v>
      </c>
      <c r="BI403" s="114">
        <f t="shared" si="407"/>
        <v>0</v>
      </c>
      <c r="BJ403" s="114">
        <f t="shared" si="408"/>
        <v>0</v>
      </c>
      <c r="BK403" s="114">
        <f t="shared" si="409"/>
        <v>0</v>
      </c>
      <c r="BL403" s="114">
        <f t="shared" si="419"/>
        <v>0</v>
      </c>
      <c r="BM403" s="114">
        <f t="shared" si="410"/>
        <v>0</v>
      </c>
    </row>
    <row r="404" spans="1:65" x14ac:dyDescent="0.25">
      <c r="A404" s="228">
        <f t="shared" si="398"/>
        <v>14</v>
      </c>
      <c r="C404" s="278"/>
      <c r="E404" s="103">
        <f>IF($C404="",0,
IF(AND($E$2="Monthly",$A404&gt;12),0,
IF($E$2="Monthly",VLOOKUP($C404,'Employee information'!$B:$AM,COLUMNS('Employee information'!$B:S),0),
IF($E$2="Fortnightly",VLOOKUP($C404,'Employee information'!$B:$AM,COLUMNS('Employee information'!$B:R),0),
0))))</f>
        <v>0</v>
      </c>
      <c r="F404" s="106"/>
      <c r="G404" s="106"/>
      <c r="H404" s="106"/>
      <c r="I404" s="106"/>
      <c r="J404" s="103">
        <f t="shared" si="411"/>
        <v>0</v>
      </c>
      <c r="L404" s="113">
        <f>IF(AND($E$2="Monthly",$A404&gt;12),"",
IFERROR($J404*VLOOKUP($C404,'Employee information'!$B:$AI,COLUMNS('Employee information'!$B:$P),0),0))</f>
        <v>0</v>
      </c>
      <c r="M404" s="114">
        <f t="shared" si="412"/>
        <v>0</v>
      </c>
      <c r="O404" s="103">
        <f t="shared" si="413"/>
        <v>0</v>
      </c>
      <c r="P404" s="113">
        <f>IFERROR(
IF(AND($E$2="Monthly",$A404&gt;12),0,
$O404*VLOOKUP($C404,'Employee information'!$B:$AI,COLUMNS('Employee information'!$B:$P),0)),
0)</f>
        <v>0</v>
      </c>
      <c r="R404" s="114">
        <f t="shared" si="399"/>
        <v>0</v>
      </c>
      <c r="T404" s="103"/>
      <c r="U404" s="103"/>
      <c r="V404" s="282" t="str">
        <f>IF($C404="","",
IF(AND($E$2="Monthly",$A404&gt;12),"",
$T404*VLOOKUP($C404,'Employee information'!$B:$P,COLUMNS('Employee information'!$B:$P),0)))</f>
        <v/>
      </c>
      <c r="W404" s="282" t="str">
        <f>IF($C404="","",
IF(AND($E$2="Monthly",$A404&gt;12),"",
$U404*VLOOKUP($C404,'Employee information'!$B:$P,COLUMNS('Employee information'!$B:$P),0)))</f>
        <v/>
      </c>
      <c r="X404" s="114">
        <f t="shared" si="400"/>
        <v>0</v>
      </c>
      <c r="Y404" s="114">
        <f t="shared" si="401"/>
        <v>0</v>
      </c>
      <c r="AA404" s="118">
        <f>IFERROR(
IF(OR('Basic payroll data'!$D$12="",'Basic payroll data'!$D$12="No"),0,
$T404*VLOOKUP($C404,'Employee information'!$B:$P,COLUMNS('Employee information'!$B:$P),0)*AL_loading_perc),
0)</f>
        <v>0</v>
      </c>
      <c r="AC404" s="118"/>
      <c r="AD404" s="118"/>
      <c r="AE404" s="283" t="str">
        <f t="shared" si="414"/>
        <v/>
      </c>
      <c r="AF404" s="283" t="str">
        <f t="shared" si="415"/>
        <v/>
      </c>
      <c r="AG404" s="118"/>
      <c r="AH404" s="118"/>
      <c r="AI404" s="283" t="str">
        <f t="shared" si="416"/>
        <v/>
      </c>
      <c r="AJ404" s="118"/>
      <c r="AK404" s="118"/>
      <c r="AM404" s="118">
        <f t="shared" si="417"/>
        <v>0</v>
      </c>
      <c r="AN404" s="118">
        <f t="shared" si="402"/>
        <v>0</v>
      </c>
      <c r="AO404" s="118" t="str">
        <f>IFERROR(
IF(VLOOKUP($C404,'Employee information'!$B:$M,COLUMNS('Employee information'!$B:$M),0)=1,
IF($E$2="Fortnightly",
ROUND(
ROUND((((TRUNC($AN404/2,0)+0.99))*VLOOKUP((TRUNC($AN404/2,0)+0.99),'Tax scales - NAT 1004'!$A$12:$C$18,2,1)-VLOOKUP((TRUNC($AN404/2,0)+0.99),'Tax scales - NAT 1004'!$A$12:$C$18,3,1)),0)
*2,
0),
IF(AND($E$2="Monthly",ROUND($AN404-TRUNC($AN404),2)=0.33),
ROUND(
ROUND(((TRUNC(($AN404+0.01)*3/13,0)+0.99)*VLOOKUP((TRUNC(($AN404+0.01)*3/13,0)+0.99),'Tax scales - NAT 1004'!$A$12:$C$18,2,1)-VLOOKUP((TRUNC(($AN404+0.01)*3/13,0)+0.99),'Tax scales - NAT 1004'!$A$12:$C$18,3,1)),0)
*13/3,
0),
IF($E$2="Monthly",
ROUND(
ROUND(((TRUNC($AN404*3/13,0)+0.99)*VLOOKUP((TRUNC($AN404*3/13,0)+0.99),'Tax scales - NAT 1004'!$A$12:$C$18,2,1)-VLOOKUP((TRUNC($AN404*3/13,0)+0.99),'Tax scales - NAT 1004'!$A$12:$C$18,3,1)),0)
*13/3,
0),
""))),
""),
"")</f>
        <v/>
      </c>
      <c r="AP404" s="118" t="str">
        <f>IFERROR(
IF(VLOOKUP($C404,'Employee information'!$B:$M,COLUMNS('Employee information'!$B:$M),0)=2,
IF($E$2="Fortnightly",
ROUND(
ROUND((((TRUNC($AN404/2,0)+0.99))*VLOOKUP((TRUNC($AN404/2,0)+0.99),'Tax scales - NAT 1004'!$A$25:$C$33,2,1)-VLOOKUP((TRUNC($AN404/2,0)+0.99),'Tax scales - NAT 1004'!$A$25:$C$33,3,1)),0)
*2,
0),
IF(AND($E$2="Monthly",ROUND($AN404-TRUNC($AN404),2)=0.33),
ROUND(
ROUND(((TRUNC(($AN404+0.01)*3/13,0)+0.99)*VLOOKUP((TRUNC(($AN404+0.01)*3/13,0)+0.99),'Tax scales - NAT 1004'!$A$25:$C$33,2,1)-VLOOKUP((TRUNC(($AN404+0.01)*3/13,0)+0.99),'Tax scales - NAT 1004'!$A$25:$C$33,3,1)),0)
*13/3,
0),
IF($E$2="Monthly",
ROUND(
ROUND(((TRUNC($AN404*3/13,0)+0.99)*VLOOKUP((TRUNC($AN404*3/13,0)+0.99),'Tax scales - NAT 1004'!$A$25:$C$33,2,1)-VLOOKUP((TRUNC($AN404*3/13,0)+0.99),'Tax scales - NAT 1004'!$A$25:$C$33,3,1)),0)
*13/3,
0),
""))),
""),
"")</f>
        <v/>
      </c>
      <c r="AQ404" s="118" t="str">
        <f>IFERROR(
IF(VLOOKUP($C404,'Employee information'!$B:$M,COLUMNS('Employee information'!$B:$M),0)=3,
IF($E$2="Fortnightly",
ROUND(
ROUND((((TRUNC($AN404/2,0)+0.99))*VLOOKUP((TRUNC($AN404/2,0)+0.99),'Tax scales - NAT 1004'!$A$39:$C$41,2,1)-VLOOKUP((TRUNC($AN404/2,0)+0.99),'Tax scales - NAT 1004'!$A$39:$C$41,3,1)),0)
*2,
0),
IF(AND($E$2="Monthly",ROUND($AN404-TRUNC($AN404),2)=0.33),
ROUND(
ROUND(((TRUNC(($AN404+0.01)*3/13,0)+0.99)*VLOOKUP((TRUNC(($AN404+0.01)*3/13,0)+0.99),'Tax scales - NAT 1004'!$A$39:$C$41,2,1)-VLOOKUP((TRUNC(($AN404+0.01)*3/13,0)+0.99),'Tax scales - NAT 1004'!$A$39:$C$41,3,1)),0)
*13/3,
0),
IF($E$2="Monthly",
ROUND(
ROUND(((TRUNC($AN404*3/13,0)+0.99)*VLOOKUP((TRUNC($AN404*3/13,0)+0.99),'Tax scales - NAT 1004'!$A$39:$C$41,2,1)-VLOOKUP((TRUNC($AN404*3/13,0)+0.99),'Tax scales - NAT 1004'!$A$39:$C$41,3,1)),0)
*13/3,
0),
""))),
""),
"")</f>
        <v/>
      </c>
      <c r="AR404" s="118" t="str">
        <f>IFERROR(
IF(AND(VLOOKUP($C404,'Employee information'!$B:$M,COLUMNS('Employee information'!$B:$M),0)=4,
VLOOKUP($C404,'Employee information'!$B:$J,COLUMNS('Employee information'!$B:$J),0)="Resident"),
TRUNC(TRUNC($AN404)*'Tax scales - NAT 1004'!$B$47),
IF(AND(VLOOKUP($C404,'Employee information'!$B:$M,COLUMNS('Employee information'!$B:$M),0)=4,
VLOOKUP($C404,'Employee information'!$B:$J,COLUMNS('Employee information'!$B:$J),0)="Foreign resident"),
TRUNC(TRUNC($AN404)*'Tax scales - NAT 1004'!$B$48),
"")),
"")</f>
        <v/>
      </c>
      <c r="AS404" s="118" t="str">
        <f>IFERROR(
IF(VLOOKUP($C404,'Employee information'!$B:$M,COLUMNS('Employee information'!$B:$M),0)=5,
IF($E$2="Fortnightly",
ROUND(
ROUND((((TRUNC($AN404/2,0)+0.99))*VLOOKUP((TRUNC($AN404/2,0)+0.99),'Tax scales - NAT 1004'!$A$53:$C$59,2,1)-VLOOKUP((TRUNC($AN404/2,0)+0.99),'Tax scales - NAT 1004'!$A$53:$C$59,3,1)),0)
*2,
0),
IF(AND($E$2="Monthly",ROUND($AN404-TRUNC($AN404),2)=0.33),
ROUND(
ROUND(((TRUNC(($AN404+0.01)*3/13,0)+0.99)*VLOOKUP((TRUNC(($AN404+0.01)*3/13,0)+0.99),'Tax scales - NAT 1004'!$A$53:$C$59,2,1)-VLOOKUP((TRUNC(($AN404+0.01)*3/13,0)+0.99),'Tax scales - NAT 1004'!$A$53:$C$59,3,1)),0)
*13/3,
0),
IF($E$2="Monthly",
ROUND(
ROUND(((TRUNC($AN404*3/13,0)+0.99)*VLOOKUP((TRUNC($AN404*3/13,0)+0.99),'Tax scales - NAT 1004'!$A$53:$C$59,2,1)-VLOOKUP((TRUNC($AN404*3/13,0)+0.99),'Tax scales - NAT 1004'!$A$53:$C$59,3,1)),0)
*13/3,
0),
""))),
""),
"")</f>
        <v/>
      </c>
      <c r="AT404" s="118" t="str">
        <f>IFERROR(
IF(VLOOKUP($C404,'Employee information'!$B:$M,COLUMNS('Employee information'!$B:$M),0)=6,
IF($E$2="Fortnightly",
ROUND(
ROUND((((TRUNC($AN404/2,0)+0.99))*VLOOKUP((TRUNC($AN404/2,0)+0.99),'Tax scales - NAT 1004'!$A$65:$C$73,2,1)-VLOOKUP((TRUNC($AN404/2,0)+0.99),'Tax scales - NAT 1004'!$A$65:$C$73,3,1)),0)
*2,
0),
IF(AND($E$2="Monthly",ROUND($AN404-TRUNC($AN404),2)=0.33),
ROUND(
ROUND(((TRUNC(($AN404+0.01)*3/13,0)+0.99)*VLOOKUP((TRUNC(($AN404+0.01)*3/13,0)+0.99),'Tax scales - NAT 1004'!$A$65:$C$73,2,1)-VLOOKUP((TRUNC(($AN404+0.01)*3/13,0)+0.99),'Tax scales - NAT 1004'!$A$65:$C$73,3,1)),0)
*13/3,
0),
IF($E$2="Monthly",
ROUND(
ROUND(((TRUNC($AN404*3/13,0)+0.99)*VLOOKUP((TRUNC($AN404*3/13,0)+0.99),'Tax scales - NAT 1004'!$A$65:$C$73,2,1)-VLOOKUP((TRUNC($AN404*3/13,0)+0.99),'Tax scales - NAT 1004'!$A$65:$C$73,3,1)),0)
*13/3,
0),
""))),
""),
"")</f>
        <v/>
      </c>
      <c r="AU404" s="118" t="str">
        <f>IFERROR(
IF(VLOOKUP($C404,'Employee information'!$B:$M,COLUMNS('Employee information'!$B:$M),0)=11,
IF($E$2="Fortnightly",
ROUND(
ROUND((((TRUNC($AN404/2,0)+0.99))*VLOOKUP((TRUNC($AN404/2,0)+0.99),'Tax scales - NAT 3539'!$A$14:$C$38,2,1)-VLOOKUP((TRUNC($AN404/2,0)+0.99),'Tax scales - NAT 3539'!$A$14:$C$38,3,1)),0)
*2,
0),
IF(AND($E$2="Monthly",ROUND($AN404-TRUNC($AN404),2)=0.33),
ROUND(
ROUND(((TRUNC(($AN404+0.01)*3/13,0)+0.99)*VLOOKUP((TRUNC(($AN404+0.01)*3/13,0)+0.99),'Tax scales - NAT 3539'!$A$14:$C$38,2,1)-VLOOKUP((TRUNC(($AN404+0.01)*3/13,0)+0.99),'Tax scales - NAT 3539'!$A$14:$C$38,3,1)),0)
*13/3,
0),
IF($E$2="Monthly",
ROUND(
ROUND(((TRUNC($AN404*3/13,0)+0.99)*VLOOKUP((TRUNC($AN404*3/13,0)+0.99),'Tax scales - NAT 3539'!$A$14:$C$38,2,1)-VLOOKUP((TRUNC($AN404*3/13,0)+0.99),'Tax scales - NAT 3539'!$A$14:$C$38,3,1)),0)
*13/3,
0),
""))),
""),
"")</f>
        <v/>
      </c>
      <c r="AV404" s="118" t="str">
        <f>IFERROR(
IF(VLOOKUP($C404,'Employee information'!$B:$M,COLUMNS('Employee information'!$B:$M),0)=22,
IF($E$2="Fortnightly",
ROUND(
ROUND((((TRUNC($AN404/2,0)+0.99))*VLOOKUP((TRUNC($AN404/2,0)+0.99),'Tax scales - NAT 3539'!$A$43:$C$69,2,1)-VLOOKUP((TRUNC($AN404/2,0)+0.99),'Tax scales - NAT 3539'!$A$43:$C$69,3,1)),0)
*2,
0),
IF(AND($E$2="Monthly",ROUND($AN404-TRUNC($AN404),2)=0.33),
ROUND(
ROUND(((TRUNC(($AN404+0.01)*3/13,0)+0.99)*VLOOKUP((TRUNC(($AN404+0.01)*3/13,0)+0.99),'Tax scales - NAT 3539'!$A$43:$C$69,2,1)-VLOOKUP((TRUNC(($AN404+0.01)*3/13,0)+0.99),'Tax scales - NAT 3539'!$A$43:$C$69,3,1)),0)
*13/3,
0),
IF($E$2="Monthly",
ROUND(
ROUND(((TRUNC($AN404*3/13,0)+0.99)*VLOOKUP((TRUNC($AN404*3/13,0)+0.99),'Tax scales - NAT 3539'!$A$43:$C$69,2,1)-VLOOKUP((TRUNC($AN404*3/13,0)+0.99),'Tax scales - NAT 3539'!$A$43:$C$69,3,1)),0)
*13/3,
0),
""))),
""),
"")</f>
        <v/>
      </c>
      <c r="AW404" s="118" t="str">
        <f>IFERROR(
IF(VLOOKUP($C404,'Employee information'!$B:$M,COLUMNS('Employee information'!$B:$M),0)=33,
IF($E$2="Fortnightly",
ROUND(
ROUND((((TRUNC($AN404/2,0)+0.99))*VLOOKUP((TRUNC($AN404/2,0)+0.99),'Tax scales - NAT 3539'!$A$74:$C$94,2,1)-VLOOKUP((TRUNC($AN404/2,0)+0.99),'Tax scales - NAT 3539'!$A$74:$C$94,3,1)),0)
*2,
0),
IF(AND($E$2="Monthly",ROUND($AN404-TRUNC($AN404),2)=0.33),
ROUND(
ROUND(((TRUNC(($AN404+0.01)*3/13,0)+0.99)*VLOOKUP((TRUNC(($AN404+0.01)*3/13,0)+0.99),'Tax scales - NAT 3539'!$A$74:$C$94,2,1)-VLOOKUP((TRUNC(($AN404+0.01)*3/13,0)+0.99),'Tax scales - NAT 3539'!$A$74:$C$94,3,1)),0)
*13/3,
0),
IF($E$2="Monthly",
ROUND(
ROUND(((TRUNC($AN404*3/13,0)+0.99)*VLOOKUP((TRUNC($AN404*3/13,0)+0.99),'Tax scales - NAT 3539'!$A$74:$C$94,2,1)-VLOOKUP((TRUNC($AN404*3/13,0)+0.99),'Tax scales - NAT 3539'!$A$74:$C$94,3,1)),0)
*13/3,
0),
""))),
""),
"")</f>
        <v/>
      </c>
      <c r="AX404" s="118" t="str">
        <f>IFERROR(
IF(VLOOKUP($C404,'Employee information'!$B:$M,COLUMNS('Employee information'!$B:$M),0)=55,
IF($E$2="Fortnightly",
ROUND(
ROUND((((TRUNC($AN404/2,0)+0.99))*VLOOKUP((TRUNC($AN404/2,0)+0.99),'Tax scales - NAT 3539'!$A$99:$C$123,2,1)-VLOOKUP((TRUNC($AN404/2,0)+0.99),'Tax scales - NAT 3539'!$A$99:$C$123,3,1)),0)
*2,
0),
IF(AND($E$2="Monthly",ROUND($AN404-TRUNC($AN404),2)=0.33),
ROUND(
ROUND(((TRUNC(($AN404+0.01)*3/13,0)+0.99)*VLOOKUP((TRUNC(($AN404+0.01)*3/13,0)+0.99),'Tax scales - NAT 3539'!$A$99:$C$123,2,1)-VLOOKUP((TRUNC(($AN404+0.01)*3/13,0)+0.99),'Tax scales - NAT 3539'!$A$99:$C$123,3,1)),0)
*13/3,
0),
IF($E$2="Monthly",
ROUND(
ROUND(((TRUNC($AN404*3/13,0)+0.99)*VLOOKUP((TRUNC($AN404*3/13,0)+0.99),'Tax scales - NAT 3539'!$A$99:$C$123,2,1)-VLOOKUP((TRUNC($AN404*3/13,0)+0.99),'Tax scales - NAT 3539'!$A$99:$C$123,3,1)),0)
*13/3,
0),
""))),
""),
"")</f>
        <v/>
      </c>
      <c r="AY404" s="118" t="str">
        <f>IFERROR(
IF(VLOOKUP($C404,'Employee information'!$B:$M,COLUMNS('Employee information'!$B:$M),0)=66,
IF($E$2="Fortnightly",
ROUND(
ROUND((((TRUNC($AN404/2,0)+0.99))*VLOOKUP((TRUNC($AN404/2,0)+0.99),'Tax scales - NAT 3539'!$A$127:$C$154,2,1)-VLOOKUP((TRUNC($AN404/2,0)+0.99),'Tax scales - NAT 3539'!$A$127:$C$154,3,1)),0)
*2,
0),
IF(AND($E$2="Monthly",ROUND($AN404-TRUNC($AN404),2)=0.33),
ROUND(
ROUND(((TRUNC(($AN404+0.01)*3/13,0)+0.99)*VLOOKUP((TRUNC(($AN404+0.01)*3/13,0)+0.99),'Tax scales - NAT 3539'!$A$127:$C$154,2,1)-VLOOKUP((TRUNC(($AN404+0.01)*3/13,0)+0.99),'Tax scales - NAT 3539'!$A$127:$C$154,3,1)),0)
*13/3,
0),
IF($E$2="Monthly",
ROUND(
ROUND(((TRUNC($AN404*3/13,0)+0.99)*VLOOKUP((TRUNC($AN404*3/13,0)+0.99),'Tax scales - NAT 3539'!$A$127:$C$154,2,1)-VLOOKUP((TRUNC($AN404*3/13,0)+0.99),'Tax scales - NAT 3539'!$A$127:$C$154,3,1)),0)
*13/3,
0),
""))),
""),
"")</f>
        <v/>
      </c>
      <c r="AZ404" s="118">
        <f>IFERROR(
HLOOKUP(VLOOKUP($C404,'Employee information'!$B:$M,COLUMNS('Employee information'!$B:$M),0),'PAYG worksheet'!$AO$387:$AY$406,COUNTA($C$388:$C404)+1,0),
0)</f>
        <v>0</v>
      </c>
      <c r="BA404" s="118"/>
      <c r="BB404" s="118">
        <f t="shared" si="418"/>
        <v>0</v>
      </c>
      <c r="BC404" s="119">
        <f>IFERROR(
IF(OR($AE404=1,$AE404=""),SUM($P404,$AA404,$AC404,$AK404)*VLOOKUP($C404,'Employee information'!$B:$Q,COLUMNS('Employee information'!$B:$H),0),
IF($AE404=0,SUM($P404,$AA404,$AK404)*VLOOKUP($C404,'Employee information'!$B:$Q,COLUMNS('Employee information'!$B:$H),0),
0)),
0)</f>
        <v>0</v>
      </c>
      <c r="BE404" s="114">
        <f t="shared" si="403"/>
        <v>0</v>
      </c>
      <c r="BF404" s="114">
        <f t="shared" si="404"/>
        <v>0</v>
      </c>
      <c r="BG404" s="114">
        <f t="shared" si="405"/>
        <v>0</v>
      </c>
      <c r="BH404" s="114">
        <f t="shared" si="406"/>
        <v>0</v>
      </c>
      <c r="BI404" s="114">
        <f t="shared" si="407"/>
        <v>0</v>
      </c>
      <c r="BJ404" s="114">
        <f t="shared" si="408"/>
        <v>0</v>
      </c>
      <c r="BK404" s="114">
        <f t="shared" si="409"/>
        <v>0</v>
      </c>
      <c r="BL404" s="114">
        <f t="shared" si="419"/>
        <v>0</v>
      </c>
      <c r="BM404" s="114">
        <f t="shared" si="410"/>
        <v>0</v>
      </c>
    </row>
    <row r="405" spans="1:65" x14ac:dyDescent="0.25">
      <c r="A405" s="228">
        <f t="shared" si="398"/>
        <v>14</v>
      </c>
      <c r="C405" s="278"/>
      <c r="E405" s="103">
        <f>IF($C405="",0,
IF(AND($E$2="Monthly",$A405&gt;12),0,
IF($E$2="Monthly",VLOOKUP($C405,'Employee information'!$B:$AM,COLUMNS('Employee information'!$B:S),0),
IF($E$2="Fortnightly",VLOOKUP($C405,'Employee information'!$B:$AM,COLUMNS('Employee information'!$B:R),0),
0))))</f>
        <v>0</v>
      </c>
      <c r="F405" s="106"/>
      <c r="G405" s="106"/>
      <c r="H405" s="106"/>
      <c r="I405" s="106"/>
      <c r="J405" s="103">
        <f t="shared" si="411"/>
        <v>0</v>
      </c>
      <c r="L405" s="113">
        <f>IF(AND($E$2="Monthly",$A405&gt;12),"",
IFERROR($J405*VLOOKUP($C405,'Employee information'!$B:$AI,COLUMNS('Employee information'!$B:$P),0),0))</f>
        <v>0</v>
      </c>
      <c r="M405" s="114">
        <f t="shared" si="412"/>
        <v>0</v>
      </c>
      <c r="O405" s="103">
        <f t="shared" si="413"/>
        <v>0</v>
      </c>
      <c r="P405" s="113">
        <f>IFERROR(
IF(AND($E$2="Monthly",$A405&gt;12),0,
$O405*VLOOKUP($C405,'Employee information'!$B:$AI,COLUMNS('Employee information'!$B:$P),0)),
0)</f>
        <v>0</v>
      </c>
      <c r="R405" s="114">
        <f t="shared" si="399"/>
        <v>0</v>
      </c>
      <c r="T405" s="103"/>
      <c r="U405" s="103"/>
      <c r="V405" s="282" t="str">
        <f>IF($C405="","",
IF(AND($E$2="Monthly",$A405&gt;12),"",
$T405*VLOOKUP($C405,'Employee information'!$B:$P,COLUMNS('Employee information'!$B:$P),0)))</f>
        <v/>
      </c>
      <c r="W405" s="282" t="str">
        <f>IF($C405="","",
IF(AND($E$2="Monthly",$A405&gt;12),"",
$U405*VLOOKUP($C405,'Employee information'!$B:$P,COLUMNS('Employee information'!$B:$P),0)))</f>
        <v/>
      </c>
      <c r="X405" s="114">
        <f t="shared" si="400"/>
        <v>0</v>
      </c>
      <c r="Y405" s="114">
        <f t="shared" si="401"/>
        <v>0</v>
      </c>
      <c r="AA405" s="118">
        <f>IFERROR(
IF(OR('Basic payroll data'!$D$12="",'Basic payroll data'!$D$12="No"),0,
$T405*VLOOKUP($C405,'Employee information'!$B:$P,COLUMNS('Employee information'!$B:$P),0)*AL_loading_perc),
0)</f>
        <v>0</v>
      </c>
      <c r="AC405" s="118"/>
      <c r="AD405" s="118"/>
      <c r="AE405" s="283" t="str">
        <f t="shared" si="414"/>
        <v/>
      </c>
      <c r="AF405" s="283" t="str">
        <f t="shared" si="415"/>
        <v/>
      </c>
      <c r="AG405" s="118"/>
      <c r="AH405" s="118"/>
      <c r="AI405" s="283" t="str">
        <f t="shared" si="416"/>
        <v/>
      </c>
      <c r="AJ405" s="118"/>
      <c r="AK405" s="118"/>
      <c r="AM405" s="118">
        <f t="shared" si="417"/>
        <v>0</v>
      </c>
      <c r="AN405" s="118">
        <f t="shared" si="402"/>
        <v>0</v>
      </c>
      <c r="AO405" s="118" t="str">
        <f>IFERROR(
IF(VLOOKUP($C405,'Employee information'!$B:$M,COLUMNS('Employee information'!$B:$M),0)=1,
IF($E$2="Fortnightly",
ROUND(
ROUND((((TRUNC($AN405/2,0)+0.99))*VLOOKUP((TRUNC($AN405/2,0)+0.99),'Tax scales - NAT 1004'!$A$12:$C$18,2,1)-VLOOKUP((TRUNC($AN405/2,0)+0.99),'Tax scales - NAT 1004'!$A$12:$C$18,3,1)),0)
*2,
0),
IF(AND($E$2="Monthly",ROUND($AN405-TRUNC($AN405),2)=0.33),
ROUND(
ROUND(((TRUNC(($AN405+0.01)*3/13,0)+0.99)*VLOOKUP((TRUNC(($AN405+0.01)*3/13,0)+0.99),'Tax scales - NAT 1004'!$A$12:$C$18,2,1)-VLOOKUP((TRUNC(($AN405+0.01)*3/13,0)+0.99),'Tax scales - NAT 1004'!$A$12:$C$18,3,1)),0)
*13/3,
0),
IF($E$2="Monthly",
ROUND(
ROUND(((TRUNC($AN405*3/13,0)+0.99)*VLOOKUP((TRUNC($AN405*3/13,0)+0.99),'Tax scales - NAT 1004'!$A$12:$C$18,2,1)-VLOOKUP((TRUNC($AN405*3/13,0)+0.99),'Tax scales - NAT 1004'!$A$12:$C$18,3,1)),0)
*13/3,
0),
""))),
""),
"")</f>
        <v/>
      </c>
      <c r="AP405" s="118" t="str">
        <f>IFERROR(
IF(VLOOKUP($C405,'Employee information'!$B:$M,COLUMNS('Employee information'!$B:$M),0)=2,
IF($E$2="Fortnightly",
ROUND(
ROUND((((TRUNC($AN405/2,0)+0.99))*VLOOKUP((TRUNC($AN405/2,0)+0.99),'Tax scales - NAT 1004'!$A$25:$C$33,2,1)-VLOOKUP((TRUNC($AN405/2,0)+0.99),'Tax scales - NAT 1004'!$A$25:$C$33,3,1)),0)
*2,
0),
IF(AND($E$2="Monthly",ROUND($AN405-TRUNC($AN405),2)=0.33),
ROUND(
ROUND(((TRUNC(($AN405+0.01)*3/13,0)+0.99)*VLOOKUP((TRUNC(($AN405+0.01)*3/13,0)+0.99),'Tax scales - NAT 1004'!$A$25:$C$33,2,1)-VLOOKUP((TRUNC(($AN405+0.01)*3/13,0)+0.99),'Tax scales - NAT 1004'!$A$25:$C$33,3,1)),0)
*13/3,
0),
IF($E$2="Monthly",
ROUND(
ROUND(((TRUNC($AN405*3/13,0)+0.99)*VLOOKUP((TRUNC($AN405*3/13,0)+0.99),'Tax scales - NAT 1004'!$A$25:$C$33,2,1)-VLOOKUP((TRUNC($AN405*3/13,0)+0.99),'Tax scales - NAT 1004'!$A$25:$C$33,3,1)),0)
*13/3,
0),
""))),
""),
"")</f>
        <v/>
      </c>
      <c r="AQ405" s="118" t="str">
        <f>IFERROR(
IF(VLOOKUP($C405,'Employee information'!$B:$M,COLUMNS('Employee information'!$B:$M),0)=3,
IF($E$2="Fortnightly",
ROUND(
ROUND((((TRUNC($AN405/2,0)+0.99))*VLOOKUP((TRUNC($AN405/2,0)+0.99),'Tax scales - NAT 1004'!$A$39:$C$41,2,1)-VLOOKUP((TRUNC($AN405/2,0)+0.99),'Tax scales - NAT 1004'!$A$39:$C$41,3,1)),0)
*2,
0),
IF(AND($E$2="Monthly",ROUND($AN405-TRUNC($AN405),2)=0.33),
ROUND(
ROUND(((TRUNC(($AN405+0.01)*3/13,0)+0.99)*VLOOKUP((TRUNC(($AN405+0.01)*3/13,0)+0.99),'Tax scales - NAT 1004'!$A$39:$C$41,2,1)-VLOOKUP((TRUNC(($AN405+0.01)*3/13,0)+0.99),'Tax scales - NAT 1004'!$A$39:$C$41,3,1)),0)
*13/3,
0),
IF($E$2="Monthly",
ROUND(
ROUND(((TRUNC($AN405*3/13,0)+0.99)*VLOOKUP((TRUNC($AN405*3/13,0)+0.99),'Tax scales - NAT 1004'!$A$39:$C$41,2,1)-VLOOKUP((TRUNC($AN405*3/13,0)+0.99),'Tax scales - NAT 1004'!$A$39:$C$41,3,1)),0)
*13/3,
0),
""))),
""),
"")</f>
        <v/>
      </c>
      <c r="AR405" s="118" t="str">
        <f>IFERROR(
IF(AND(VLOOKUP($C405,'Employee information'!$B:$M,COLUMNS('Employee information'!$B:$M),0)=4,
VLOOKUP($C405,'Employee information'!$B:$J,COLUMNS('Employee information'!$B:$J),0)="Resident"),
TRUNC(TRUNC($AN405)*'Tax scales - NAT 1004'!$B$47),
IF(AND(VLOOKUP($C405,'Employee information'!$B:$M,COLUMNS('Employee information'!$B:$M),0)=4,
VLOOKUP($C405,'Employee information'!$B:$J,COLUMNS('Employee information'!$B:$J),0)="Foreign resident"),
TRUNC(TRUNC($AN405)*'Tax scales - NAT 1004'!$B$48),
"")),
"")</f>
        <v/>
      </c>
      <c r="AS405" s="118" t="str">
        <f>IFERROR(
IF(VLOOKUP($C405,'Employee information'!$B:$M,COLUMNS('Employee information'!$B:$M),0)=5,
IF($E$2="Fortnightly",
ROUND(
ROUND((((TRUNC($AN405/2,0)+0.99))*VLOOKUP((TRUNC($AN405/2,0)+0.99),'Tax scales - NAT 1004'!$A$53:$C$59,2,1)-VLOOKUP((TRUNC($AN405/2,0)+0.99),'Tax scales - NAT 1004'!$A$53:$C$59,3,1)),0)
*2,
0),
IF(AND($E$2="Monthly",ROUND($AN405-TRUNC($AN405),2)=0.33),
ROUND(
ROUND(((TRUNC(($AN405+0.01)*3/13,0)+0.99)*VLOOKUP((TRUNC(($AN405+0.01)*3/13,0)+0.99),'Tax scales - NAT 1004'!$A$53:$C$59,2,1)-VLOOKUP((TRUNC(($AN405+0.01)*3/13,0)+0.99),'Tax scales - NAT 1004'!$A$53:$C$59,3,1)),0)
*13/3,
0),
IF($E$2="Monthly",
ROUND(
ROUND(((TRUNC($AN405*3/13,0)+0.99)*VLOOKUP((TRUNC($AN405*3/13,0)+0.99),'Tax scales - NAT 1004'!$A$53:$C$59,2,1)-VLOOKUP((TRUNC($AN405*3/13,0)+0.99),'Tax scales - NAT 1004'!$A$53:$C$59,3,1)),0)
*13/3,
0),
""))),
""),
"")</f>
        <v/>
      </c>
      <c r="AT405" s="118" t="str">
        <f>IFERROR(
IF(VLOOKUP($C405,'Employee information'!$B:$M,COLUMNS('Employee information'!$B:$M),0)=6,
IF($E$2="Fortnightly",
ROUND(
ROUND((((TRUNC($AN405/2,0)+0.99))*VLOOKUP((TRUNC($AN405/2,0)+0.99),'Tax scales - NAT 1004'!$A$65:$C$73,2,1)-VLOOKUP((TRUNC($AN405/2,0)+0.99),'Tax scales - NAT 1004'!$A$65:$C$73,3,1)),0)
*2,
0),
IF(AND($E$2="Monthly",ROUND($AN405-TRUNC($AN405),2)=0.33),
ROUND(
ROUND(((TRUNC(($AN405+0.01)*3/13,0)+0.99)*VLOOKUP((TRUNC(($AN405+0.01)*3/13,0)+0.99),'Tax scales - NAT 1004'!$A$65:$C$73,2,1)-VLOOKUP((TRUNC(($AN405+0.01)*3/13,0)+0.99),'Tax scales - NAT 1004'!$A$65:$C$73,3,1)),0)
*13/3,
0),
IF($E$2="Monthly",
ROUND(
ROUND(((TRUNC($AN405*3/13,0)+0.99)*VLOOKUP((TRUNC($AN405*3/13,0)+0.99),'Tax scales - NAT 1004'!$A$65:$C$73,2,1)-VLOOKUP((TRUNC($AN405*3/13,0)+0.99),'Tax scales - NAT 1004'!$A$65:$C$73,3,1)),0)
*13/3,
0),
""))),
""),
"")</f>
        <v/>
      </c>
      <c r="AU405" s="118" t="str">
        <f>IFERROR(
IF(VLOOKUP($C405,'Employee information'!$B:$M,COLUMNS('Employee information'!$B:$M),0)=11,
IF($E$2="Fortnightly",
ROUND(
ROUND((((TRUNC($AN405/2,0)+0.99))*VLOOKUP((TRUNC($AN405/2,0)+0.99),'Tax scales - NAT 3539'!$A$14:$C$38,2,1)-VLOOKUP((TRUNC($AN405/2,0)+0.99),'Tax scales - NAT 3539'!$A$14:$C$38,3,1)),0)
*2,
0),
IF(AND($E$2="Monthly",ROUND($AN405-TRUNC($AN405),2)=0.33),
ROUND(
ROUND(((TRUNC(($AN405+0.01)*3/13,0)+0.99)*VLOOKUP((TRUNC(($AN405+0.01)*3/13,0)+0.99),'Tax scales - NAT 3539'!$A$14:$C$38,2,1)-VLOOKUP((TRUNC(($AN405+0.01)*3/13,0)+0.99),'Tax scales - NAT 3539'!$A$14:$C$38,3,1)),0)
*13/3,
0),
IF($E$2="Monthly",
ROUND(
ROUND(((TRUNC($AN405*3/13,0)+0.99)*VLOOKUP((TRUNC($AN405*3/13,0)+0.99),'Tax scales - NAT 3539'!$A$14:$C$38,2,1)-VLOOKUP((TRUNC($AN405*3/13,0)+0.99),'Tax scales - NAT 3539'!$A$14:$C$38,3,1)),0)
*13/3,
0),
""))),
""),
"")</f>
        <v/>
      </c>
      <c r="AV405" s="118" t="str">
        <f>IFERROR(
IF(VLOOKUP($C405,'Employee information'!$B:$M,COLUMNS('Employee information'!$B:$M),0)=22,
IF($E$2="Fortnightly",
ROUND(
ROUND((((TRUNC($AN405/2,0)+0.99))*VLOOKUP((TRUNC($AN405/2,0)+0.99),'Tax scales - NAT 3539'!$A$43:$C$69,2,1)-VLOOKUP((TRUNC($AN405/2,0)+0.99),'Tax scales - NAT 3539'!$A$43:$C$69,3,1)),0)
*2,
0),
IF(AND($E$2="Monthly",ROUND($AN405-TRUNC($AN405),2)=0.33),
ROUND(
ROUND(((TRUNC(($AN405+0.01)*3/13,0)+0.99)*VLOOKUP((TRUNC(($AN405+0.01)*3/13,0)+0.99),'Tax scales - NAT 3539'!$A$43:$C$69,2,1)-VLOOKUP((TRUNC(($AN405+0.01)*3/13,0)+0.99),'Tax scales - NAT 3539'!$A$43:$C$69,3,1)),0)
*13/3,
0),
IF($E$2="Monthly",
ROUND(
ROUND(((TRUNC($AN405*3/13,0)+0.99)*VLOOKUP((TRUNC($AN405*3/13,0)+0.99),'Tax scales - NAT 3539'!$A$43:$C$69,2,1)-VLOOKUP((TRUNC($AN405*3/13,0)+0.99),'Tax scales - NAT 3539'!$A$43:$C$69,3,1)),0)
*13/3,
0),
""))),
""),
"")</f>
        <v/>
      </c>
      <c r="AW405" s="118" t="str">
        <f>IFERROR(
IF(VLOOKUP($C405,'Employee information'!$B:$M,COLUMNS('Employee information'!$B:$M),0)=33,
IF($E$2="Fortnightly",
ROUND(
ROUND((((TRUNC($AN405/2,0)+0.99))*VLOOKUP((TRUNC($AN405/2,0)+0.99),'Tax scales - NAT 3539'!$A$74:$C$94,2,1)-VLOOKUP((TRUNC($AN405/2,0)+0.99),'Tax scales - NAT 3539'!$A$74:$C$94,3,1)),0)
*2,
0),
IF(AND($E$2="Monthly",ROUND($AN405-TRUNC($AN405),2)=0.33),
ROUND(
ROUND(((TRUNC(($AN405+0.01)*3/13,0)+0.99)*VLOOKUP((TRUNC(($AN405+0.01)*3/13,0)+0.99),'Tax scales - NAT 3539'!$A$74:$C$94,2,1)-VLOOKUP((TRUNC(($AN405+0.01)*3/13,0)+0.99),'Tax scales - NAT 3539'!$A$74:$C$94,3,1)),0)
*13/3,
0),
IF($E$2="Monthly",
ROUND(
ROUND(((TRUNC($AN405*3/13,0)+0.99)*VLOOKUP((TRUNC($AN405*3/13,0)+0.99),'Tax scales - NAT 3539'!$A$74:$C$94,2,1)-VLOOKUP((TRUNC($AN405*3/13,0)+0.99),'Tax scales - NAT 3539'!$A$74:$C$94,3,1)),0)
*13/3,
0),
""))),
""),
"")</f>
        <v/>
      </c>
      <c r="AX405" s="118" t="str">
        <f>IFERROR(
IF(VLOOKUP($C405,'Employee information'!$B:$M,COLUMNS('Employee information'!$B:$M),0)=55,
IF($E$2="Fortnightly",
ROUND(
ROUND((((TRUNC($AN405/2,0)+0.99))*VLOOKUP((TRUNC($AN405/2,0)+0.99),'Tax scales - NAT 3539'!$A$99:$C$123,2,1)-VLOOKUP((TRUNC($AN405/2,0)+0.99),'Tax scales - NAT 3539'!$A$99:$C$123,3,1)),0)
*2,
0),
IF(AND($E$2="Monthly",ROUND($AN405-TRUNC($AN405),2)=0.33),
ROUND(
ROUND(((TRUNC(($AN405+0.01)*3/13,0)+0.99)*VLOOKUP((TRUNC(($AN405+0.01)*3/13,0)+0.99),'Tax scales - NAT 3539'!$A$99:$C$123,2,1)-VLOOKUP((TRUNC(($AN405+0.01)*3/13,0)+0.99),'Tax scales - NAT 3539'!$A$99:$C$123,3,1)),0)
*13/3,
0),
IF($E$2="Monthly",
ROUND(
ROUND(((TRUNC($AN405*3/13,0)+0.99)*VLOOKUP((TRUNC($AN405*3/13,0)+0.99),'Tax scales - NAT 3539'!$A$99:$C$123,2,1)-VLOOKUP((TRUNC($AN405*3/13,0)+0.99),'Tax scales - NAT 3539'!$A$99:$C$123,3,1)),0)
*13/3,
0),
""))),
""),
"")</f>
        <v/>
      </c>
      <c r="AY405" s="118" t="str">
        <f>IFERROR(
IF(VLOOKUP($C405,'Employee information'!$B:$M,COLUMNS('Employee information'!$B:$M),0)=66,
IF($E$2="Fortnightly",
ROUND(
ROUND((((TRUNC($AN405/2,0)+0.99))*VLOOKUP((TRUNC($AN405/2,0)+0.99),'Tax scales - NAT 3539'!$A$127:$C$154,2,1)-VLOOKUP((TRUNC($AN405/2,0)+0.99),'Tax scales - NAT 3539'!$A$127:$C$154,3,1)),0)
*2,
0),
IF(AND($E$2="Monthly",ROUND($AN405-TRUNC($AN405),2)=0.33),
ROUND(
ROUND(((TRUNC(($AN405+0.01)*3/13,0)+0.99)*VLOOKUP((TRUNC(($AN405+0.01)*3/13,0)+0.99),'Tax scales - NAT 3539'!$A$127:$C$154,2,1)-VLOOKUP((TRUNC(($AN405+0.01)*3/13,0)+0.99),'Tax scales - NAT 3539'!$A$127:$C$154,3,1)),0)
*13/3,
0),
IF($E$2="Monthly",
ROUND(
ROUND(((TRUNC($AN405*3/13,0)+0.99)*VLOOKUP((TRUNC($AN405*3/13,0)+0.99),'Tax scales - NAT 3539'!$A$127:$C$154,2,1)-VLOOKUP((TRUNC($AN405*3/13,0)+0.99),'Tax scales - NAT 3539'!$A$127:$C$154,3,1)),0)
*13/3,
0),
""))),
""),
"")</f>
        <v/>
      </c>
      <c r="AZ405" s="118">
        <f>IFERROR(
HLOOKUP(VLOOKUP($C405,'Employee information'!$B:$M,COLUMNS('Employee information'!$B:$M),0),'PAYG worksheet'!$AO$387:$AY$406,COUNTA($C$388:$C405)+1,0),
0)</f>
        <v>0</v>
      </c>
      <c r="BA405" s="118"/>
      <c r="BB405" s="118">
        <f t="shared" si="418"/>
        <v>0</v>
      </c>
      <c r="BC405" s="119">
        <f>IFERROR(
IF(OR($AE405=1,$AE405=""),SUM($P405,$AA405,$AC405,$AK405)*VLOOKUP($C405,'Employee information'!$B:$Q,COLUMNS('Employee information'!$B:$H),0),
IF($AE405=0,SUM($P405,$AA405,$AK405)*VLOOKUP($C405,'Employee information'!$B:$Q,COLUMNS('Employee information'!$B:$H),0),
0)),
0)</f>
        <v>0</v>
      </c>
      <c r="BE405" s="114">
        <f t="shared" si="403"/>
        <v>0</v>
      </c>
      <c r="BF405" s="114">
        <f t="shared" si="404"/>
        <v>0</v>
      </c>
      <c r="BG405" s="114">
        <f t="shared" si="405"/>
        <v>0</v>
      </c>
      <c r="BH405" s="114">
        <f t="shared" si="406"/>
        <v>0</v>
      </c>
      <c r="BI405" s="114">
        <f t="shared" si="407"/>
        <v>0</v>
      </c>
      <c r="BJ405" s="114">
        <f t="shared" si="408"/>
        <v>0</v>
      </c>
      <c r="BK405" s="114">
        <f t="shared" si="409"/>
        <v>0</v>
      </c>
      <c r="BL405" s="114">
        <f t="shared" si="419"/>
        <v>0</v>
      </c>
      <c r="BM405" s="114">
        <f t="shared" si="410"/>
        <v>0</v>
      </c>
    </row>
    <row r="406" spans="1:65" x14ac:dyDescent="0.25">
      <c r="A406" s="228">
        <f t="shared" si="398"/>
        <v>14</v>
      </c>
      <c r="C406" s="278"/>
      <c r="E406" s="103">
        <f>IF($C406="",0,
IF(AND($E$2="Monthly",$A406&gt;12),0,
IF($E$2="Monthly",VLOOKUP($C406,'Employee information'!$B:$AM,COLUMNS('Employee information'!$B:S),0),
IF($E$2="Fortnightly",VLOOKUP($C406,'Employee information'!$B:$AM,COLUMNS('Employee information'!$B:R),0),
0))))</f>
        <v>0</v>
      </c>
      <c r="F406" s="106"/>
      <c r="G406" s="106"/>
      <c r="H406" s="106"/>
      <c r="I406" s="106"/>
      <c r="J406" s="103">
        <f t="shared" si="411"/>
        <v>0</v>
      </c>
      <c r="L406" s="113">
        <f>IF(AND($E$2="Monthly",$A406&gt;12),"",
IFERROR($J406*VLOOKUP($C406,'Employee information'!$B:$AI,COLUMNS('Employee information'!$B:$P),0),0))</f>
        <v>0</v>
      </c>
      <c r="M406" s="114">
        <f t="shared" si="412"/>
        <v>0</v>
      </c>
      <c r="O406" s="103">
        <f t="shared" si="413"/>
        <v>0</v>
      </c>
      <c r="P406" s="113">
        <f>IFERROR(
IF(AND($E$2="Monthly",$A406&gt;12),0,
$O406*VLOOKUP($C406,'Employee information'!$B:$AI,COLUMNS('Employee information'!$B:$P),0)),
0)</f>
        <v>0</v>
      </c>
      <c r="R406" s="114">
        <f t="shared" si="399"/>
        <v>0</v>
      </c>
      <c r="T406" s="103"/>
      <c r="U406" s="103"/>
      <c r="V406" s="282" t="str">
        <f>IF($C406="","",
IF(AND($E$2="Monthly",$A406&gt;12),"",
$T406*VLOOKUP($C406,'Employee information'!$B:$P,COLUMNS('Employee information'!$B:$P),0)))</f>
        <v/>
      </c>
      <c r="W406" s="282" t="str">
        <f>IF($C406="","",
IF(AND($E$2="Monthly",$A406&gt;12),"",
$U406*VLOOKUP($C406,'Employee information'!$B:$P,COLUMNS('Employee information'!$B:$P),0)))</f>
        <v/>
      </c>
      <c r="X406" s="114">
        <f t="shared" si="400"/>
        <v>0</v>
      </c>
      <c r="Y406" s="114">
        <f t="shared" si="401"/>
        <v>0</v>
      </c>
      <c r="AA406" s="118">
        <f>IFERROR(
IF(OR('Basic payroll data'!$D$12="",'Basic payroll data'!$D$12="No"),0,
$T406*VLOOKUP($C406,'Employee information'!$B:$P,COLUMNS('Employee information'!$B:$P),0)*AL_loading_perc),
0)</f>
        <v>0</v>
      </c>
      <c r="AC406" s="118"/>
      <c r="AD406" s="118"/>
      <c r="AE406" s="283" t="str">
        <f t="shared" si="414"/>
        <v/>
      </c>
      <c r="AF406" s="283" t="str">
        <f t="shared" si="415"/>
        <v/>
      </c>
      <c r="AG406" s="118"/>
      <c r="AH406" s="118"/>
      <c r="AI406" s="283" t="str">
        <f t="shared" si="416"/>
        <v/>
      </c>
      <c r="AJ406" s="118"/>
      <c r="AK406" s="118"/>
      <c r="AM406" s="118">
        <f t="shared" si="417"/>
        <v>0</v>
      </c>
      <c r="AN406" s="118">
        <f t="shared" si="402"/>
        <v>0</v>
      </c>
      <c r="AO406" s="118" t="str">
        <f>IFERROR(
IF(VLOOKUP($C406,'Employee information'!$B:$M,COLUMNS('Employee information'!$B:$M),0)=1,
IF($E$2="Fortnightly",
ROUND(
ROUND((((TRUNC($AN406/2,0)+0.99))*VLOOKUP((TRUNC($AN406/2,0)+0.99),'Tax scales - NAT 1004'!$A$12:$C$18,2,1)-VLOOKUP((TRUNC($AN406/2,0)+0.99),'Tax scales - NAT 1004'!$A$12:$C$18,3,1)),0)
*2,
0),
IF(AND($E$2="Monthly",ROUND($AN406-TRUNC($AN406),2)=0.33),
ROUND(
ROUND(((TRUNC(($AN406+0.01)*3/13,0)+0.99)*VLOOKUP((TRUNC(($AN406+0.01)*3/13,0)+0.99),'Tax scales - NAT 1004'!$A$12:$C$18,2,1)-VLOOKUP((TRUNC(($AN406+0.01)*3/13,0)+0.99),'Tax scales - NAT 1004'!$A$12:$C$18,3,1)),0)
*13/3,
0),
IF($E$2="Monthly",
ROUND(
ROUND(((TRUNC($AN406*3/13,0)+0.99)*VLOOKUP((TRUNC($AN406*3/13,0)+0.99),'Tax scales - NAT 1004'!$A$12:$C$18,2,1)-VLOOKUP((TRUNC($AN406*3/13,0)+0.99),'Tax scales - NAT 1004'!$A$12:$C$18,3,1)),0)
*13/3,
0),
""))),
""),
"")</f>
        <v/>
      </c>
      <c r="AP406" s="118" t="str">
        <f>IFERROR(
IF(VLOOKUP($C406,'Employee information'!$B:$M,COLUMNS('Employee information'!$B:$M),0)=2,
IF($E$2="Fortnightly",
ROUND(
ROUND((((TRUNC($AN406/2,0)+0.99))*VLOOKUP((TRUNC($AN406/2,0)+0.99),'Tax scales - NAT 1004'!$A$25:$C$33,2,1)-VLOOKUP((TRUNC($AN406/2,0)+0.99),'Tax scales - NAT 1004'!$A$25:$C$33,3,1)),0)
*2,
0),
IF(AND($E$2="Monthly",ROUND($AN406-TRUNC($AN406),2)=0.33),
ROUND(
ROUND(((TRUNC(($AN406+0.01)*3/13,0)+0.99)*VLOOKUP((TRUNC(($AN406+0.01)*3/13,0)+0.99),'Tax scales - NAT 1004'!$A$25:$C$33,2,1)-VLOOKUP((TRUNC(($AN406+0.01)*3/13,0)+0.99),'Tax scales - NAT 1004'!$A$25:$C$33,3,1)),0)
*13/3,
0),
IF($E$2="Monthly",
ROUND(
ROUND(((TRUNC($AN406*3/13,0)+0.99)*VLOOKUP((TRUNC($AN406*3/13,0)+0.99),'Tax scales - NAT 1004'!$A$25:$C$33,2,1)-VLOOKUP((TRUNC($AN406*3/13,0)+0.99),'Tax scales - NAT 1004'!$A$25:$C$33,3,1)),0)
*13/3,
0),
""))),
""),
"")</f>
        <v/>
      </c>
      <c r="AQ406" s="118" t="str">
        <f>IFERROR(
IF(VLOOKUP($C406,'Employee information'!$B:$M,COLUMNS('Employee information'!$B:$M),0)=3,
IF($E$2="Fortnightly",
ROUND(
ROUND((((TRUNC($AN406/2,0)+0.99))*VLOOKUP((TRUNC($AN406/2,0)+0.99),'Tax scales - NAT 1004'!$A$39:$C$41,2,1)-VLOOKUP((TRUNC($AN406/2,0)+0.99),'Tax scales - NAT 1004'!$A$39:$C$41,3,1)),0)
*2,
0),
IF(AND($E$2="Monthly",ROUND($AN406-TRUNC($AN406),2)=0.33),
ROUND(
ROUND(((TRUNC(($AN406+0.01)*3/13,0)+0.99)*VLOOKUP((TRUNC(($AN406+0.01)*3/13,0)+0.99),'Tax scales - NAT 1004'!$A$39:$C$41,2,1)-VLOOKUP((TRUNC(($AN406+0.01)*3/13,0)+0.99),'Tax scales - NAT 1004'!$A$39:$C$41,3,1)),0)
*13/3,
0),
IF($E$2="Monthly",
ROUND(
ROUND(((TRUNC($AN406*3/13,0)+0.99)*VLOOKUP((TRUNC($AN406*3/13,0)+0.99),'Tax scales - NAT 1004'!$A$39:$C$41,2,1)-VLOOKUP((TRUNC($AN406*3/13,0)+0.99),'Tax scales - NAT 1004'!$A$39:$C$41,3,1)),0)
*13/3,
0),
""))),
""),
"")</f>
        <v/>
      </c>
      <c r="AR406" s="118" t="str">
        <f>IFERROR(
IF(AND(VLOOKUP($C406,'Employee information'!$B:$M,COLUMNS('Employee information'!$B:$M),0)=4,
VLOOKUP($C406,'Employee information'!$B:$J,COLUMNS('Employee information'!$B:$J),0)="Resident"),
TRUNC(TRUNC($AN406)*'Tax scales - NAT 1004'!$B$47),
IF(AND(VLOOKUP($C406,'Employee information'!$B:$M,COLUMNS('Employee information'!$B:$M),0)=4,
VLOOKUP($C406,'Employee information'!$B:$J,COLUMNS('Employee information'!$B:$J),0)="Foreign resident"),
TRUNC(TRUNC($AN406)*'Tax scales - NAT 1004'!$B$48),
"")),
"")</f>
        <v/>
      </c>
      <c r="AS406" s="118" t="str">
        <f>IFERROR(
IF(VLOOKUP($C406,'Employee information'!$B:$M,COLUMNS('Employee information'!$B:$M),0)=5,
IF($E$2="Fortnightly",
ROUND(
ROUND((((TRUNC($AN406/2,0)+0.99))*VLOOKUP((TRUNC($AN406/2,0)+0.99),'Tax scales - NAT 1004'!$A$53:$C$59,2,1)-VLOOKUP((TRUNC($AN406/2,0)+0.99),'Tax scales - NAT 1004'!$A$53:$C$59,3,1)),0)
*2,
0),
IF(AND($E$2="Monthly",ROUND($AN406-TRUNC($AN406),2)=0.33),
ROUND(
ROUND(((TRUNC(($AN406+0.01)*3/13,0)+0.99)*VLOOKUP((TRUNC(($AN406+0.01)*3/13,0)+0.99),'Tax scales - NAT 1004'!$A$53:$C$59,2,1)-VLOOKUP((TRUNC(($AN406+0.01)*3/13,0)+0.99),'Tax scales - NAT 1004'!$A$53:$C$59,3,1)),0)
*13/3,
0),
IF($E$2="Monthly",
ROUND(
ROUND(((TRUNC($AN406*3/13,0)+0.99)*VLOOKUP((TRUNC($AN406*3/13,0)+0.99),'Tax scales - NAT 1004'!$A$53:$C$59,2,1)-VLOOKUP((TRUNC($AN406*3/13,0)+0.99),'Tax scales - NAT 1004'!$A$53:$C$59,3,1)),0)
*13/3,
0),
""))),
""),
"")</f>
        <v/>
      </c>
      <c r="AT406" s="118" t="str">
        <f>IFERROR(
IF(VLOOKUP($C406,'Employee information'!$B:$M,COLUMNS('Employee information'!$B:$M),0)=6,
IF($E$2="Fortnightly",
ROUND(
ROUND((((TRUNC($AN406/2,0)+0.99))*VLOOKUP((TRUNC($AN406/2,0)+0.99),'Tax scales - NAT 1004'!$A$65:$C$73,2,1)-VLOOKUP((TRUNC($AN406/2,0)+0.99),'Tax scales - NAT 1004'!$A$65:$C$73,3,1)),0)
*2,
0),
IF(AND($E$2="Monthly",ROUND($AN406-TRUNC($AN406),2)=0.33),
ROUND(
ROUND(((TRUNC(($AN406+0.01)*3/13,0)+0.99)*VLOOKUP((TRUNC(($AN406+0.01)*3/13,0)+0.99),'Tax scales - NAT 1004'!$A$65:$C$73,2,1)-VLOOKUP((TRUNC(($AN406+0.01)*3/13,0)+0.99),'Tax scales - NAT 1004'!$A$65:$C$73,3,1)),0)
*13/3,
0),
IF($E$2="Monthly",
ROUND(
ROUND(((TRUNC($AN406*3/13,0)+0.99)*VLOOKUP((TRUNC($AN406*3/13,0)+0.99),'Tax scales - NAT 1004'!$A$65:$C$73,2,1)-VLOOKUP((TRUNC($AN406*3/13,0)+0.99),'Tax scales - NAT 1004'!$A$65:$C$73,3,1)),0)
*13/3,
0),
""))),
""),
"")</f>
        <v/>
      </c>
      <c r="AU406" s="118" t="str">
        <f>IFERROR(
IF(VLOOKUP($C406,'Employee information'!$B:$M,COLUMNS('Employee information'!$B:$M),0)=11,
IF($E$2="Fortnightly",
ROUND(
ROUND((((TRUNC($AN406/2,0)+0.99))*VLOOKUP((TRUNC($AN406/2,0)+0.99),'Tax scales - NAT 3539'!$A$14:$C$38,2,1)-VLOOKUP((TRUNC($AN406/2,0)+0.99),'Tax scales - NAT 3539'!$A$14:$C$38,3,1)),0)
*2,
0),
IF(AND($E$2="Monthly",ROUND($AN406-TRUNC($AN406),2)=0.33),
ROUND(
ROUND(((TRUNC(($AN406+0.01)*3/13,0)+0.99)*VLOOKUP((TRUNC(($AN406+0.01)*3/13,0)+0.99),'Tax scales - NAT 3539'!$A$14:$C$38,2,1)-VLOOKUP((TRUNC(($AN406+0.01)*3/13,0)+0.99),'Tax scales - NAT 3539'!$A$14:$C$38,3,1)),0)
*13/3,
0),
IF($E$2="Monthly",
ROUND(
ROUND(((TRUNC($AN406*3/13,0)+0.99)*VLOOKUP((TRUNC($AN406*3/13,0)+0.99),'Tax scales - NAT 3539'!$A$14:$C$38,2,1)-VLOOKUP((TRUNC($AN406*3/13,0)+0.99),'Tax scales - NAT 3539'!$A$14:$C$38,3,1)),0)
*13/3,
0),
""))),
""),
"")</f>
        <v/>
      </c>
      <c r="AV406" s="118" t="str">
        <f>IFERROR(
IF(VLOOKUP($C406,'Employee information'!$B:$M,COLUMNS('Employee information'!$B:$M),0)=22,
IF($E$2="Fortnightly",
ROUND(
ROUND((((TRUNC($AN406/2,0)+0.99))*VLOOKUP((TRUNC($AN406/2,0)+0.99),'Tax scales - NAT 3539'!$A$43:$C$69,2,1)-VLOOKUP((TRUNC($AN406/2,0)+0.99),'Tax scales - NAT 3539'!$A$43:$C$69,3,1)),0)
*2,
0),
IF(AND($E$2="Monthly",ROUND($AN406-TRUNC($AN406),2)=0.33),
ROUND(
ROUND(((TRUNC(($AN406+0.01)*3/13,0)+0.99)*VLOOKUP((TRUNC(($AN406+0.01)*3/13,0)+0.99),'Tax scales - NAT 3539'!$A$43:$C$69,2,1)-VLOOKUP((TRUNC(($AN406+0.01)*3/13,0)+0.99),'Tax scales - NAT 3539'!$A$43:$C$69,3,1)),0)
*13/3,
0),
IF($E$2="Monthly",
ROUND(
ROUND(((TRUNC($AN406*3/13,0)+0.99)*VLOOKUP((TRUNC($AN406*3/13,0)+0.99),'Tax scales - NAT 3539'!$A$43:$C$69,2,1)-VLOOKUP((TRUNC($AN406*3/13,0)+0.99),'Tax scales - NAT 3539'!$A$43:$C$69,3,1)),0)
*13/3,
0),
""))),
""),
"")</f>
        <v/>
      </c>
      <c r="AW406" s="118" t="str">
        <f>IFERROR(
IF(VLOOKUP($C406,'Employee information'!$B:$M,COLUMNS('Employee information'!$B:$M),0)=33,
IF($E$2="Fortnightly",
ROUND(
ROUND((((TRUNC($AN406/2,0)+0.99))*VLOOKUP((TRUNC($AN406/2,0)+0.99),'Tax scales - NAT 3539'!$A$74:$C$94,2,1)-VLOOKUP((TRUNC($AN406/2,0)+0.99),'Tax scales - NAT 3539'!$A$74:$C$94,3,1)),0)
*2,
0),
IF(AND($E$2="Monthly",ROUND($AN406-TRUNC($AN406),2)=0.33),
ROUND(
ROUND(((TRUNC(($AN406+0.01)*3/13,0)+0.99)*VLOOKUP((TRUNC(($AN406+0.01)*3/13,0)+0.99),'Tax scales - NAT 3539'!$A$74:$C$94,2,1)-VLOOKUP((TRUNC(($AN406+0.01)*3/13,0)+0.99),'Tax scales - NAT 3539'!$A$74:$C$94,3,1)),0)
*13/3,
0),
IF($E$2="Monthly",
ROUND(
ROUND(((TRUNC($AN406*3/13,0)+0.99)*VLOOKUP((TRUNC($AN406*3/13,0)+0.99),'Tax scales - NAT 3539'!$A$74:$C$94,2,1)-VLOOKUP((TRUNC($AN406*3/13,0)+0.99),'Tax scales - NAT 3539'!$A$74:$C$94,3,1)),0)
*13/3,
0),
""))),
""),
"")</f>
        <v/>
      </c>
      <c r="AX406" s="118" t="str">
        <f>IFERROR(
IF(VLOOKUP($C406,'Employee information'!$B:$M,COLUMNS('Employee information'!$B:$M),0)=55,
IF($E$2="Fortnightly",
ROUND(
ROUND((((TRUNC($AN406/2,0)+0.99))*VLOOKUP((TRUNC($AN406/2,0)+0.99),'Tax scales - NAT 3539'!$A$99:$C$123,2,1)-VLOOKUP((TRUNC($AN406/2,0)+0.99),'Tax scales - NAT 3539'!$A$99:$C$123,3,1)),0)
*2,
0),
IF(AND($E$2="Monthly",ROUND($AN406-TRUNC($AN406),2)=0.33),
ROUND(
ROUND(((TRUNC(($AN406+0.01)*3/13,0)+0.99)*VLOOKUP((TRUNC(($AN406+0.01)*3/13,0)+0.99),'Tax scales - NAT 3539'!$A$99:$C$123,2,1)-VLOOKUP((TRUNC(($AN406+0.01)*3/13,0)+0.99),'Tax scales - NAT 3539'!$A$99:$C$123,3,1)),0)
*13/3,
0),
IF($E$2="Monthly",
ROUND(
ROUND(((TRUNC($AN406*3/13,0)+0.99)*VLOOKUP((TRUNC($AN406*3/13,0)+0.99),'Tax scales - NAT 3539'!$A$99:$C$123,2,1)-VLOOKUP((TRUNC($AN406*3/13,0)+0.99),'Tax scales - NAT 3539'!$A$99:$C$123,3,1)),0)
*13/3,
0),
""))),
""),
"")</f>
        <v/>
      </c>
      <c r="AY406" s="118" t="str">
        <f>IFERROR(
IF(VLOOKUP($C406,'Employee information'!$B:$M,COLUMNS('Employee information'!$B:$M),0)=66,
IF($E$2="Fortnightly",
ROUND(
ROUND((((TRUNC($AN406/2,0)+0.99))*VLOOKUP((TRUNC($AN406/2,0)+0.99),'Tax scales - NAT 3539'!$A$127:$C$154,2,1)-VLOOKUP((TRUNC($AN406/2,0)+0.99),'Tax scales - NAT 3539'!$A$127:$C$154,3,1)),0)
*2,
0),
IF(AND($E$2="Monthly",ROUND($AN406-TRUNC($AN406),2)=0.33),
ROUND(
ROUND(((TRUNC(($AN406+0.01)*3/13,0)+0.99)*VLOOKUP((TRUNC(($AN406+0.01)*3/13,0)+0.99),'Tax scales - NAT 3539'!$A$127:$C$154,2,1)-VLOOKUP((TRUNC(($AN406+0.01)*3/13,0)+0.99),'Tax scales - NAT 3539'!$A$127:$C$154,3,1)),0)
*13/3,
0),
IF($E$2="Monthly",
ROUND(
ROUND(((TRUNC($AN406*3/13,0)+0.99)*VLOOKUP((TRUNC($AN406*3/13,0)+0.99),'Tax scales - NAT 3539'!$A$127:$C$154,2,1)-VLOOKUP((TRUNC($AN406*3/13,0)+0.99),'Tax scales - NAT 3539'!$A$127:$C$154,3,1)),0)
*13/3,
0),
""))),
""),
"")</f>
        <v/>
      </c>
      <c r="AZ406" s="118">
        <f>IFERROR(
HLOOKUP(VLOOKUP($C406,'Employee information'!$B:$M,COLUMNS('Employee information'!$B:$M),0),'PAYG worksheet'!$AO$387:$AY$406,COUNTA($C$388:$C406)+1,0),
0)</f>
        <v>0</v>
      </c>
      <c r="BA406" s="118"/>
      <c r="BB406" s="118">
        <f t="shared" si="418"/>
        <v>0</v>
      </c>
      <c r="BC406" s="119">
        <f>IFERROR(
IF(OR($AE406=1,$AE406=""),SUM($P406,$AA406,$AC406,$AK406)*VLOOKUP($C406,'Employee information'!$B:$Q,COLUMNS('Employee information'!$B:$H),0),
IF($AE406=0,SUM($P406,$AA406,$AK406)*VLOOKUP($C406,'Employee information'!$B:$Q,COLUMNS('Employee information'!$B:$H),0),
0)),
0)</f>
        <v>0</v>
      </c>
      <c r="BE406" s="114">
        <f t="shared" si="403"/>
        <v>0</v>
      </c>
      <c r="BF406" s="114">
        <f t="shared" si="404"/>
        <v>0</v>
      </c>
      <c r="BG406" s="114">
        <f t="shared" si="405"/>
        <v>0</v>
      </c>
      <c r="BH406" s="114">
        <f t="shared" si="406"/>
        <v>0</v>
      </c>
      <c r="BI406" s="114">
        <f t="shared" si="407"/>
        <v>0</v>
      </c>
      <c r="BJ406" s="114">
        <f t="shared" si="408"/>
        <v>0</v>
      </c>
      <c r="BK406" s="114">
        <f t="shared" si="409"/>
        <v>0</v>
      </c>
      <c r="BL406" s="114">
        <f t="shared" si="419"/>
        <v>0</v>
      </c>
      <c r="BM406" s="114">
        <f t="shared" si="410"/>
        <v>0</v>
      </c>
    </row>
    <row r="407" spans="1:65" x14ac:dyDescent="0.25">
      <c r="C407" s="284" t="s">
        <v>39</v>
      </c>
      <c r="D407" s="223"/>
      <c r="E407" s="111">
        <f>SUM(E388:E406)</f>
        <v>345</v>
      </c>
      <c r="F407" s="112">
        <f t="shared" ref="F407:H407" si="420">SUM(F388:F406)</f>
        <v>0</v>
      </c>
      <c r="G407" s="112">
        <f t="shared" si="420"/>
        <v>0</v>
      </c>
      <c r="H407" s="112">
        <f t="shared" si="420"/>
        <v>0</v>
      </c>
      <c r="I407" s="112"/>
      <c r="J407" s="111">
        <f t="shared" ref="J407" si="421">SUM(J388:J406)</f>
        <v>345</v>
      </c>
      <c r="K407" s="223"/>
      <c r="L407" s="115">
        <f>SUM(L388:L406)</f>
        <v>19122.576396206536</v>
      </c>
      <c r="M407" s="115">
        <f>SUM(M388:M406)</f>
        <v>270231.45416227606</v>
      </c>
      <c r="N407" s="223"/>
      <c r="O407" s="116">
        <f>SUM(O388:O406)</f>
        <v>345</v>
      </c>
      <c r="P407" s="117">
        <f>SUM(P388:P406)</f>
        <v>19122.576396206536</v>
      </c>
      <c r="R407" s="117">
        <f>SUM(R388:R406)</f>
        <v>270231.45416227606</v>
      </c>
      <c r="S407" s="223"/>
      <c r="T407" s="116">
        <f>SUM(T388:T406)</f>
        <v>0</v>
      </c>
      <c r="U407" s="116">
        <f t="shared" ref="U407:Y407" si="422">SUM(U388:U406)</f>
        <v>0</v>
      </c>
      <c r="V407" s="285">
        <f t="shared" si="422"/>
        <v>0</v>
      </c>
      <c r="W407" s="285">
        <f t="shared" si="422"/>
        <v>0</v>
      </c>
      <c r="X407" s="285">
        <f t="shared" si="422"/>
        <v>1538.4615384615386</v>
      </c>
      <c r="Y407" s="285">
        <f t="shared" si="422"/>
        <v>801.28205128205127</v>
      </c>
      <c r="Z407" s="223"/>
      <c r="AA407" s="117">
        <f t="shared" ref="AA407" si="423">SUM(AA388:AA406)</f>
        <v>0</v>
      </c>
      <c r="AC407" s="117">
        <f t="shared" ref="AC407" si="424">SUM(AC388:AC406)</f>
        <v>0</v>
      </c>
      <c r="AD407" s="117"/>
      <c r="AE407" s="117"/>
      <c r="AF407" s="117"/>
      <c r="AG407" s="117">
        <f t="shared" ref="AG407" si="425">SUM(AG388:AG406)</f>
        <v>0</v>
      </c>
      <c r="AH407" s="117"/>
      <c r="AI407" s="117"/>
      <c r="AJ407" s="117">
        <f>SUM(AJ388:AJ406)</f>
        <v>0</v>
      </c>
      <c r="AK407" s="117">
        <f>SUM(AK388:AK406)</f>
        <v>0</v>
      </c>
      <c r="AM407" s="117">
        <f t="shared" ref="AM407:AN407" si="426">SUM(AM388:AM406)</f>
        <v>19122.576396206536</v>
      </c>
      <c r="AN407" s="117">
        <f t="shared" si="426"/>
        <v>19122.576396206536</v>
      </c>
      <c r="AO407" s="117"/>
      <c r="AP407" s="117"/>
      <c r="AQ407" s="117"/>
      <c r="AR407" s="117"/>
      <c r="AS407" s="117"/>
      <c r="AT407" s="117"/>
      <c r="AU407" s="117"/>
      <c r="AV407" s="117"/>
      <c r="AW407" s="117"/>
      <c r="AX407" s="117"/>
      <c r="AY407" s="117"/>
      <c r="AZ407" s="117">
        <f>SUM(AZ388:AZ406)</f>
        <v>7481</v>
      </c>
      <c r="BA407" s="117">
        <f>SUM(BA388:BA406)</f>
        <v>0</v>
      </c>
      <c r="BB407" s="117">
        <f>SUM(BB388:BB406)</f>
        <v>11641.576396206534</v>
      </c>
      <c r="BC407" s="117">
        <f t="shared" ref="BC407" si="427">SUM(BC388:BC406)</f>
        <v>1816.6447576396208</v>
      </c>
      <c r="BD407" s="136"/>
      <c r="BE407" s="117">
        <f t="shared" ref="BE407:BM407" si="428">SUM(BE388:BE406)</f>
        <v>270471.45416227606</v>
      </c>
      <c r="BF407" s="117">
        <f t="shared" si="428"/>
        <v>270331.45416227606</v>
      </c>
      <c r="BG407" s="117">
        <f t="shared" si="428"/>
        <v>0</v>
      </c>
      <c r="BH407" s="117">
        <f t="shared" si="428"/>
        <v>140</v>
      </c>
      <c r="BI407" s="117">
        <f t="shared" si="428"/>
        <v>105548</v>
      </c>
      <c r="BJ407" s="117">
        <f t="shared" si="428"/>
        <v>0</v>
      </c>
      <c r="BK407" s="117">
        <f t="shared" si="428"/>
        <v>0</v>
      </c>
      <c r="BL407" s="117">
        <f t="shared" si="428"/>
        <v>100</v>
      </c>
      <c r="BM407" s="117">
        <f t="shared" si="428"/>
        <v>25681.488145416228</v>
      </c>
    </row>
    <row r="409" spans="1:65" x14ac:dyDescent="0.25">
      <c r="B409" s="228">
        <v>15</v>
      </c>
      <c r="C409" s="230" t="s">
        <v>2</v>
      </c>
      <c r="E409" s="232">
        <v>44116</v>
      </c>
      <c r="F409" s="148" t="s">
        <v>91</v>
      </c>
      <c r="L409" s="286"/>
      <c r="T409" s="127"/>
      <c r="U409" s="127"/>
      <c r="V409" s="127"/>
      <c r="W409" s="127"/>
      <c r="X409" s="127"/>
      <c r="Y409" s="127"/>
    </row>
    <row r="410" spans="1:65" x14ac:dyDescent="0.25">
      <c r="C410" s="230" t="s">
        <v>3</v>
      </c>
      <c r="E410" s="232">
        <v>44127</v>
      </c>
      <c r="F410" s="148" t="s">
        <v>90</v>
      </c>
      <c r="G410" s="229"/>
      <c r="H410" s="229"/>
      <c r="I410" s="229"/>
      <c r="J410" s="229"/>
      <c r="L410" s="164"/>
      <c r="T410" s="127"/>
      <c r="U410" s="127"/>
      <c r="V410" s="127"/>
      <c r="W410" s="127"/>
      <c r="X410" s="127"/>
      <c r="Y410" s="127"/>
    </row>
    <row r="411" spans="1:65" x14ac:dyDescent="0.25">
      <c r="C411" s="233"/>
    </row>
    <row r="412" spans="1:65" ht="34.5" customHeight="1" x14ac:dyDescent="0.25">
      <c r="C412" s="234"/>
      <c r="D412" s="235"/>
      <c r="E412" s="441" t="s">
        <v>4</v>
      </c>
      <c r="F412" s="442"/>
      <c r="G412" s="442"/>
      <c r="H412" s="442"/>
      <c r="I412" s="442"/>
      <c r="J412" s="443"/>
      <c r="L412" s="444" t="s">
        <v>253</v>
      </c>
      <c r="M412" s="445"/>
      <c r="N412" s="235"/>
      <c r="O412" s="444" t="s">
        <v>148</v>
      </c>
      <c r="P412" s="445"/>
      <c r="R412" s="235"/>
      <c r="T412" s="446" t="s">
        <v>269</v>
      </c>
      <c r="U412" s="447"/>
      <c r="V412" s="447"/>
      <c r="W412" s="447"/>
      <c r="X412" s="447"/>
      <c r="Y412" s="447"/>
      <c r="Z412" s="447"/>
      <c r="AA412" s="447"/>
      <c r="AC412" s="438" t="s">
        <v>274</v>
      </c>
      <c r="AD412" s="438"/>
      <c r="AE412" s="438"/>
      <c r="AF412" s="438"/>
      <c r="AG412" s="438"/>
      <c r="AH412" s="438"/>
      <c r="AI412" s="438"/>
      <c r="AJ412" s="438"/>
      <c r="AK412" s="438"/>
      <c r="AM412" s="439" t="s">
        <v>270</v>
      </c>
      <c r="AN412" s="439"/>
      <c r="AO412" s="439"/>
      <c r="AP412" s="439"/>
      <c r="AQ412" s="439"/>
      <c r="AR412" s="439"/>
      <c r="AS412" s="439"/>
      <c r="AT412" s="439"/>
      <c r="AU412" s="439"/>
      <c r="AV412" s="439"/>
      <c r="AW412" s="439"/>
      <c r="AX412" s="439"/>
      <c r="AY412" s="439"/>
      <c r="AZ412" s="439"/>
      <c r="BA412" s="439"/>
      <c r="BB412" s="439"/>
      <c r="BC412" s="440"/>
      <c r="BE412" s="439" t="s">
        <v>246</v>
      </c>
      <c r="BF412" s="439"/>
      <c r="BG412" s="439"/>
      <c r="BH412" s="439"/>
      <c r="BI412" s="439"/>
      <c r="BJ412" s="439"/>
      <c r="BK412" s="439"/>
      <c r="BL412" s="439"/>
      <c r="BM412" s="439"/>
    </row>
    <row r="413" spans="1:65" x14ac:dyDescent="0.25">
      <c r="C413" s="236"/>
      <c r="E413" s="229"/>
      <c r="F413" s="229"/>
      <c r="G413" s="229"/>
      <c r="H413" s="229"/>
      <c r="I413" s="229"/>
      <c r="J413" s="229"/>
      <c r="L413" s="164"/>
      <c r="O413" s="229"/>
      <c r="P413" s="164"/>
      <c r="T413" s="127"/>
      <c r="U413" s="127"/>
      <c r="V413" s="127"/>
      <c r="W413" s="127"/>
      <c r="X413" s="127"/>
      <c r="Y413" s="127"/>
      <c r="AA413" s="229"/>
      <c r="AC413" s="229"/>
      <c r="AD413" s="229"/>
      <c r="AE413" s="229"/>
      <c r="AF413" s="229"/>
      <c r="AG413" s="229"/>
      <c r="AH413" s="229"/>
      <c r="AI413" s="229"/>
      <c r="AJ413" s="229"/>
      <c r="AK413" s="127"/>
      <c r="AM413" s="229"/>
      <c r="AN413" s="229"/>
      <c r="AO413" s="229"/>
      <c r="AP413" s="229"/>
      <c r="AQ413" s="229"/>
      <c r="AR413" s="229"/>
      <c r="AS413" s="229"/>
      <c r="AT413" s="229"/>
      <c r="AU413" s="229"/>
      <c r="AV413" s="229"/>
      <c r="AW413" s="229"/>
      <c r="AX413" s="229"/>
      <c r="AY413" s="229"/>
      <c r="AZ413" s="229"/>
      <c r="BA413" s="229"/>
      <c r="BB413" s="229"/>
      <c r="BC413" s="229"/>
    </row>
    <row r="414" spans="1:65" ht="60" x14ac:dyDescent="0.25">
      <c r="C414" s="238" t="s">
        <v>5</v>
      </c>
      <c r="D414" s="239"/>
      <c r="E414" s="240" t="s">
        <v>268</v>
      </c>
      <c r="F414" s="241" t="s">
        <v>271</v>
      </c>
      <c r="G414" s="242" t="s">
        <v>267</v>
      </c>
      <c r="H414" s="243" t="s">
        <v>266</v>
      </c>
      <c r="I414" s="242" t="s">
        <v>265</v>
      </c>
      <c r="J414" s="244" t="s">
        <v>6</v>
      </c>
      <c r="L414" s="245" t="s">
        <v>7</v>
      </c>
      <c r="M414" s="246" t="s">
        <v>254</v>
      </c>
      <c r="N414" s="247"/>
      <c r="O414" s="248" t="s">
        <v>272</v>
      </c>
      <c r="P414" s="249" t="s">
        <v>200</v>
      </c>
      <c r="R414" s="250" t="s">
        <v>151</v>
      </c>
      <c r="T414" s="251" t="s">
        <v>8</v>
      </c>
      <c r="U414" s="252" t="s">
        <v>9</v>
      </c>
      <c r="V414" s="252" t="s">
        <v>120</v>
      </c>
      <c r="W414" s="252" t="s">
        <v>121</v>
      </c>
      <c r="X414" s="253" t="s">
        <v>118</v>
      </c>
      <c r="Y414" s="254" t="s">
        <v>119</v>
      </c>
      <c r="AA414" s="255" t="s">
        <v>84</v>
      </c>
      <c r="AC414" s="256" t="s">
        <v>142</v>
      </c>
      <c r="AD414" s="256" t="s">
        <v>138</v>
      </c>
      <c r="AE414" s="257" t="s">
        <v>147</v>
      </c>
      <c r="AF414" s="257" t="s">
        <v>149</v>
      </c>
      <c r="AG414" s="256" t="s">
        <v>305</v>
      </c>
      <c r="AH414" s="256" t="s">
        <v>306</v>
      </c>
      <c r="AI414" s="257" t="s">
        <v>150</v>
      </c>
      <c r="AJ414" s="258" t="s">
        <v>250</v>
      </c>
      <c r="AK414" s="259" t="s">
        <v>373</v>
      </c>
      <c r="AM414" s="260" t="s">
        <v>256</v>
      </c>
      <c r="AN414" s="261" t="s">
        <v>372</v>
      </c>
      <c r="AO414" s="253" t="s">
        <v>170</v>
      </c>
      <c r="AP414" s="253" t="s">
        <v>171</v>
      </c>
      <c r="AQ414" s="253" t="s">
        <v>172</v>
      </c>
      <c r="AR414" s="253" t="s">
        <v>173</v>
      </c>
      <c r="AS414" s="253" t="s">
        <v>174</v>
      </c>
      <c r="AT414" s="253" t="s">
        <v>175</v>
      </c>
      <c r="AU414" s="262" t="s">
        <v>210</v>
      </c>
      <c r="AV414" s="262" t="s">
        <v>211</v>
      </c>
      <c r="AW414" s="262" t="s">
        <v>212</v>
      </c>
      <c r="AX414" s="262" t="s">
        <v>213</v>
      </c>
      <c r="AY414" s="263" t="s">
        <v>214</v>
      </c>
      <c r="AZ414" s="264" t="s">
        <v>111</v>
      </c>
      <c r="BA414" s="265" t="s">
        <v>199</v>
      </c>
      <c r="BB414" s="252" t="s">
        <v>223</v>
      </c>
      <c r="BC414" s="260" t="s">
        <v>112</v>
      </c>
      <c r="BE414" s="260" t="s">
        <v>257</v>
      </c>
      <c r="BF414" s="266" t="s">
        <v>255</v>
      </c>
      <c r="BG414" s="262" t="s">
        <v>247</v>
      </c>
      <c r="BH414" s="262" t="s">
        <v>248</v>
      </c>
      <c r="BI414" s="260" t="s">
        <v>249</v>
      </c>
      <c r="BJ414" s="253" t="s">
        <v>199</v>
      </c>
      <c r="BK414" s="262" t="s">
        <v>251</v>
      </c>
      <c r="BL414" s="259" t="s">
        <v>373</v>
      </c>
      <c r="BM414" s="260" t="s">
        <v>252</v>
      </c>
    </row>
    <row r="415" spans="1:65" x14ac:dyDescent="0.25">
      <c r="T415" s="120"/>
      <c r="U415" s="120"/>
      <c r="V415" s="120"/>
      <c r="W415" s="120"/>
      <c r="X415" s="120"/>
      <c r="Y415" s="120"/>
      <c r="AM415" s="267" t="s">
        <v>322</v>
      </c>
      <c r="AN415" s="237"/>
      <c r="AO415" s="237"/>
      <c r="AP415" s="237"/>
      <c r="AQ415" s="237"/>
      <c r="AR415" s="237"/>
      <c r="AS415" s="237"/>
      <c r="AT415" s="237"/>
      <c r="AU415" s="237"/>
      <c r="AV415" s="237"/>
      <c r="AW415" s="237"/>
      <c r="AX415" s="237"/>
      <c r="AY415" s="237"/>
      <c r="AZ415" s="436" t="s">
        <v>320</v>
      </c>
      <c r="BA415" s="437"/>
      <c r="BB415" s="237"/>
      <c r="BC415" s="267" t="s">
        <v>321</v>
      </c>
    </row>
    <row r="416" spans="1:65" x14ac:dyDescent="0.25">
      <c r="A416" s="228">
        <f t="shared" ref="A416:A435" si="429">IF($E$410="","",$B$409)</f>
        <v>15</v>
      </c>
      <c r="C416" s="268"/>
      <c r="D416" s="239"/>
      <c r="E416" s="269"/>
      <c r="F416" s="270"/>
      <c r="G416" s="271"/>
      <c r="H416" s="272"/>
      <c r="I416" s="271"/>
      <c r="J416" s="273"/>
      <c r="O416" s="274"/>
      <c r="P416" s="247"/>
      <c r="T416" s="271"/>
      <c r="U416" s="271"/>
      <c r="V416" s="275"/>
      <c r="W416" s="269"/>
      <c r="X416" s="269"/>
      <c r="Y416" s="269"/>
      <c r="AA416" s="271"/>
      <c r="AC416" s="271"/>
      <c r="AD416" s="271"/>
      <c r="AE416" s="271"/>
      <c r="AF416" s="271"/>
      <c r="AG416" s="271"/>
      <c r="AH416" s="271"/>
      <c r="AI416" s="271"/>
      <c r="AJ416" s="271"/>
      <c r="AK416" s="275"/>
      <c r="AM416" s="271"/>
      <c r="AN416" s="271"/>
      <c r="AO416" s="276">
        <v>1</v>
      </c>
      <c r="AP416" s="276">
        <v>2</v>
      </c>
      <c r="AQ416" s="276">
        <v>3</v>
      </c>
      <c r="AR416" s="277">
        <v>4</v>
      </c>
      <c r="AS416" s="276">
        <v>5</v>
      </c>
      <c r="AT416" s="276">
        <v>6</v>
      </c>
      <c r="AU416" s="276">
        <v>11</v>
      </c>
      <c r="AV416" s="276">
        <v>22</v>
      </c>
      <c r="AW416" s="276">
        <v>33</v>
      </c>
      <c r="AX416" s="276">
        <v>55</v>
      </c>
      <c r="AY416" s="276">
        <v>66</v>
      </c>
      <c r="AZ416" s="271"/>
      <c r="BA416" s="271"/>
      <c r="BB416" s="271"/>
      <c r="BC416" s="273"/>
    </row>
    <row r="417" spans="1:65" x14ac:dyDescent="0.25">
      <c r="A417" s="228">
        <f t="shared" si="429"/>
        <v>15</v>
      </c>
      <c r="C417" s="278" t="s">
        <v>12</v>
      </c>
      <c r="E417" s="103">
        <f>IF($C417="",0,
IF(AND($E$2="Monthly",$A417&gt;12),0,
IF($E$2="Monthly",VLOOKUP($C417,'Employee information'!$B:$AM,COLUMNS('Employee information'!$B:S),0),
IF($E$2="Fortnightly",VLOOKUP($C417,'Employee information'!$B:$AM,COLUMNS('Employee information'!$B:R),0),
0))))</f>
        <v>75</v>
      </c>
      <c r="F417" s="279"/>
      <c r="G417" s="106"/>
      <c r="H417" s="280"/>
      <c r="I417" s="106"/>
      <c r="J417" s="103">
        <f>IF($E$2="Monthly",
IF(AND($E$2="Monthly",$H417&lt;&gt;""),$H417,
IF(AND($E$2="Monthly",$E417=0),SUM($F417:$G417),
$E417)),
IF($E$2="Fortnightly",
IF(AND($E$2="Fortnightly",$H417&lt;&gt;""),$H417,
IF(AND($E$2="Fortnightly",$F417&lt;&gt;"",$E417&lt;&gt;0),$F417,
IF(AND($E$2="Fortnightly",$E417=0),SUM($F417:$G417),
$E417)))))</f>
        <v>75</v>
      </c>
      <c r="L417" s="113">
        <f>IF(AND($E$2="Monthly",$A417&gt;12),"",
IFERROR($J417*VLOOKUP($C417,'Employee information'!$B:$AI,COLUMNS('Employee information'!$B:$P),0),0))</f>
        <v>3697.576396206533</v>
      </c>
      <c r="M417" s="114">
        <f>IF(AND($E$2="Monthly",$A417&gt;12),"",
SUMIFS($L:$L,$C:$C,$C417,$A:$A,"&lt;="&amp;$A417)
)</f>
        <v>55463.645943097988</v>
      </c>
      <c r="O417" s="103">
        <f>IF($E$2="Monthly",
IF(AND($E$2="Monthly",$H417&lt;&gt;""),$H417,
IF(AND($E$2="Monthly",$E417=0),$F417,
$E417)),
IF($E$2="Fortnightly",
IF(AND($E$2="Fortnightly",$H417&lt;&gt;""),$H417,
IF(AND($E$2="Fortnightly",$F417&lt;&gt;"",$E417&lt;&gt;0),$F417,
IF(AND($E$2="Fortnightly",$E417=0),$F417,
$E417)))))</f>
        <v>75</v>
      </c>
      <c r="P417" s="113">
        <f>IFERROR(
IF(AND($E$2="Monthly",$A417&gt;12),0,
$O417*VLOOKUP($C417,'Employee information'!$B:$AI,COLUMNS('Employee information'!$B:$P),0)),
0)</f>
        <v>3697.576396206533</v>
      </c>
      <c r="R417" s="114">
        <f t="shared" ref="R417:R435" si="430">IF(AND($E$2="Monthly",$A417&gt;12),"",
SUMIFS($P:$P,$C:$C,$C417,$A:$A,"&lt;="&amp;$A417)
)</f>
        <v>55463.645943097988</v>
      </c>
      <c r="T417" s="281"/>
      <c r="U417" s="103"/>
      <c r="V417" s="282">
        <f>IF($C417="","",
IF(AND($E$2="Monthly",$A417&gt;12),"",
$T417*VLOOKUP($C417,'Employee information'!$B:$P,COLUMNS('Employee information'!$B:$P),0)))</f>
        <v>0</v>
      </c>
      <c r="W417" s="282">
        <f>IF($C417="","",
IF(AND($E$2="Monthly",$A417&gt;12),"",
$U417*VLOOKUP($C417,'Employee information'!$B:$P,COLUMNS('Employee information'!$B:$P),0)))</f>
        <v>0</v>
      </c>
      <c r="X417" s="114">
        <f t="shared" ref="X417:X435" si="431">IF(AND($E$2="Monthly",$A417&gt;12),"",
SUMIFS($V:$V,$C:$C,$C417,$A:$A,"&lt;="&amp;$A417)
)</f>
        <v>0</v>
      </c>
      <c r="Y417" s="114">
        <f t="shared" ref="Y417:Y435" si="432">IF(AND($E$2="Monthly",$A417&gt;12),"",
SUMIFS($W:$W,$C:$C,$C417,$A:$A,"&lt;="&amp;$A417)
)</f>
        <v>0</v>
      </c>
      <c r="AA417" s="118">
        <f>IFERROR(
IF(OR('Basic payroll data'!$D$12="",'Basic payroll data'!$D$12="No"),0,
$T417*VLOOKUP($C417,'Employee information'!$B:$P,COLUMNS('Employee information'!$B:$P),0)*AL_loading_perc),
0)</f>
        <v>0</v>
      </c>
      <c r="AC417" s="118"/>
      <c r="AD417" s="118"/>
      <c r="AE417" s="283" t="str">
        <f>IF(LEFT($AD417,6)="Is OTE",1,
IF(LEFT($AD417,10)="Is not OTE",0,
""))</f>
        <v/>
      </c>
      <c r="AF417" s="283" t="str">
        <f>IF(RIGHT($AD417,12)="tax withheld",1,
IF(RIGHT($AD417,16)="tax not withheld",0,
""))</f>
        <v/>
      </c>
      <c r="AG417" s="118"/>
      <c r="AH417" s="118"/>
      <c r="AI417" s="283" t="str">
        <f>IF($AH417="FBT",0,
IF($AH417="Not FBT",1,
""))</f>
        <v/>
      </c>
      <c r="AJ417" s="118"/>
      <c r="AK417" s="118"/>
      <c r="AM417" s="118">
        <f>SUM($L417,$AA417,$AC417,$AG417,$AK417)-$AJ417</f>
        <v>3697.576396206533</v>
      </c>
      <c r="AN417" s="118">
        <f t="shared" ref="AN417:AN435" si="433">IF(AND(OR($AF417=1,$AF417=""),OR($AI417=1,$AI417="")),SUM($L417,$AA417,$AC417,$AG417,$AK417)-$AJ417,
IF(AND(OR($AF417=1,$AF417=""),$AI417=0),SUM($L417,$AA417,$AC417,$AK417)-$AJ417,
IF(AND($AF417=0,OR($AI417=1,$AI417="")),SUM($L417,$AA417,$AG417,$AK417)-$AJ417,
IF(AND($AF417=0,$AI417=0),SUM($L417,$AA417,$AK417)-$AJ417,
""))))</f>
        <v>3697.576396206533</v>
      </c>
      <c r="AO417" s="118" t="str">
        <f>IFERROR(
IF(VLOOKUP($C417,'Employee information'!$B:$M,COLUMNS('Employee information'!$B:$M),0)=1,
IF($E$2="Fortnightly",
ROUND(
ROUND((((TRUNC($AN417/2,0)+0.99))*VLOOKUP((TRUNC($AN417/2,0)+0.99),'Tax scales - NAT 1004'!$A$12:$C$18,2,1)-VLOOKUP((TRUNC($AN417/2,0)+0.99),'Tax scales - NAT 1004'!$A$12:$C$18,3,1)),0)
*2,
0),
IF(AND($E$2="Monthly",ROUND($AN417-TRUNC($AN417),2)=0.33),
ROUND(
ROUND(((TRUNC(($AN417+0.01)*3/13,0)+0.99)*VLOOKUP((TRUNC(($AN417+0.01)*3/13,0)+0.99),'Tax scales - NAT 1004'!$A$12:$C$18,2,1)-VLOOKUP((TRUNC(($AN417+0.01)*3/13,0)+0.99),'Tax scales - NAT 1004'!$A$12:$C$18,3,1)),0)
*13/3,
0),
IF($E$2="Monthly",
ROUND(
ROUND(((TRUNC($AN417*3/13,0)+0.99)*VLOOKUP((TRUNC($AN417*3/13,0)+0.99),'Tax scales - NAT 1004'!$A$12:$C$18,2,1)-VLOOKUP((TRUNC($AN417*3/13,0)+0.99),'Tax scales - NAT 1004'!$A$12:$C$18,3,1)),0)
*13/3,
0),
""))),
""),
"")</f>
        <v/>
      </c>
      <c r="AP417" s="118" t="str">
        <f>IFERROR(
IF(VLOOKUP($C417,'Employee information'!$B:$M,COLUMNS('Employee information'!$B:$M),0)=2,
IF($E$2="Fortnightly",
ROUND(
ROUND((((TRUNC($AN417/2,0)+0.99))*VLOOKUP((TRUNC($AN417/2,0)+0.99),'Tax scales - NAT 1004'!$A$25:$C$33,2,1)-VLOOKUP((TRUNC($AN417/2,0)+0.99),'Tax scales - NAT 1004'!$A$25:$C$33,3,1)),0)
*2,
0),
IF(AND($E$2="Monthly",ROUND($AN417-TRUNC($AN417),2)=0.33),
ROUND(
ROUND(((TRUNC(($AN417+0.01)*3/13,0)+0.99)*VLOOKUP((TRUNC(($AN417+0.01)*3/13,0)+0.99),'Tax scales - NAT 1004'!$A$25:$C$33,2,1)-VLOOKUP((TRUNC(($AN417+0.01)*3/13,0)+0.99),'Tax scales - NAT 1004'!$A$25:$C$33,3,1)),0)
*13/3,
0),
IF($E$2="Monthly",
ROUND(
ROUND(((TRUNC($AN417*3/13,0)+0.99)*VLOOKUP((TRUNC($AN417*3/13,0)+0.99),'Tax scales - NAT 1004'!$A$25:$C$33,2,1)-VLOOKUP((TRUNC($AN417*3/13,0)+0.99),'Tax scales - NAT 1004'!$A$25:$C$33,3,1)),0)
*13/3,
0),
""))),
""),
"")</f>
        <v/>
      </c>
      <c r="AQ417" s="118" t="str">
        <f>IFERROR(
IF(VLOOKUP($C417,'Employee information'!$B:$M,COLUMNS('Employee information'!$B:$M),0)=3,
IF($E$2="Fortnightly",
ROUND(
ROUND((((TRUNC($AN417/2,0)+0.99))*VLOOKUP((TRUNC($AN417/2,0)+0.99),'Tax scales - NAT 1004'!$A$39:$C$41,2,1)-VLOOKUP((TRUNC($AN417/2,0)+0.99),'Tax scales - NAT 1004'!$A$39:$C$41,3,1)),0)
*2,
0),
IF(AND($E$2="Monthly",ROUND($AN417-TRUNC($AN417),2)=0.33),
ROUND(
ROUND(((TRUNC(($AN417+0.01)*3/13,0)+0.99)*VLOOKUP((TRUNC(($AN417+0.01)*3/13,0)+0.99),'Tax scales - NAT 1004'!$A$39:$C$41,2,1)-VLOOKUP((TRUNC(($AN417+0.01)*3/13,0)+0.99),'Tax scales - NAT 1004'!$A$39:$C$41,3,1)),0)
*13/3,
0),
IF($E$2="Monthly",
ROUND(
ROUND(((TRUNC($AN417*3/13,0)+0.99)*VLOOKUP((TRUNC($AN417*3/13,0)+0.99),'Tax scales - NAT 1004'!$A$39:$C$41,2,1)-VLOOKUP((TRUNC($AN417*3/13,0)+0.99),'Tax scales - NAT 1004'!$A$39:$C$41,3,1)),0)
*13/3,
0),
""))),
""),
"")</f>
        <v/>
      </c>
      <c r="AR417" s="118" t="str">
        <f>IFERROR(
IF(AND(VLOOKUP($C417,'Employee information'!$B:$M,COLUMNS('Employee information'!$B:$M),0)=4,
VLOOKUP($C417,'Employee information'!$B:$J,COLUMNS('Employee information'!$B:$J),0)="Resident"),
TRUNC(TRUNC($AN417)*'Tax scales - NAT 1004'!$B$47),
IF(AND(VLOOKUP($C417,'Employee information'!$B:$M,COLUMNS('Employee information'!$B:$M),0)=4,
VLOOKUP($C417,'Employee information'!$B:$J,COLUMNS('Employee information'!$B:$J),0)="Foreign resident"),
TRUNC(TRUNC($AN417)*'Tax scales - NAT 1004'!$B$48),
"")),
"")</f>
        <v/>
      </c>
      <c r="AS417" s="118" t="str">
        <f>IFERROR(
IF(VLOOKUP($C417,'Employee information'!$B:$M,COLUMNS('Employee information'!$B:$M),0)=5,
IF($E$2="Fortnightly",
ROUND(
ROUND((((TRUNC($AN417/2,0)+0.99))*VLOOKUP((TRUNC($AN417/2,0)+0.99),'Tax scales - NAT 1004'!$A$53:$C$59,2,1)-VLOOKUP((TRUNC($AN417/2,0)+0.99),'Tax scales - NAT 1004'!$A$53:$C$59,3,1)),0)
*2,
0),
IF(AND($E$2="Monthly",ROUND($AN417-TRUNC($AN417),2)=0.33),
ROUND(
ROUND(((TRUNC(($AN417+0.01)*3/13,0)+0.99)*VLOOKUP((TRUNC(($AN417+0.01)*3/13,0)+0.99),'Tax scales - NAT 1004'!$A$53:$C$59,2,1)-VLOOKUP((TRUNC(($AN417+0.01)*3/13,0)+0.99),'Tax scales - NAT 1004'!$A$53:$C$59,3,1)),0)
*13/3,
0),
IF($E$2="Monthly",
ROUND(
ROUND(((TRUNC($AN417*3/13,0)+0.99)*VLOOKUP((TRUNC($AN417*3/13,0)+0.99),'Tax scales - NAT 1004'!$A$53:$C$59,2,1)-VLOOKUP((TRUNC($AN417*3/13,0)+0.99),'Tax scales - NAT 1004'!$A$53:$C$59,3,1)),0)
*13/3,
0),
""))),
""),
"")</f>
        <v/>
      </c>
      <c r="AT417" s="118" t="str">
        <f>IFERROR(
IF(VLOOKUP($C417,'Employee information'!$B:$M,COLUMNS('Employee information'!$B:$M),0)=6,
IF($E$2="Fortnightly",
ROUND(
ROUND((((TRUNC($AN417/2,0)+0.99))*VLOOKUP((TRUNC($AN417/2,0)+0.99),'Tax scales - NAT 1004'!$A$65:$C$73,2,1)-VLOOKUP((TRUNC($AN417/2,0)+0.99),'Tax scales - NAT 1004'!$A$65:$C$73,3,1)),0)
*2,
0),
IF(AND($E$2="Monthly",ROUND($AN417-TRUNC($AN417),2)=0.33),
ROUND(
ROUND(((TRUNC(($AN417+0.01)*3/13,0)+0.99)*VLOOKUP((TRUNC(($AN417+0.01)*3/13,0)+0.99),'Tax scales - NAT 1004'!$A$65:$C$73,2,1)-VLOOKUP((TRUNC(($AN417+0.01)*3/13,0)+0.99),'Tax scales - NAT 1004'!$A$65:$C$73,3,1)),0)
*13/3,
0),
IF($E$2="Monthly",
ROUND(
ROUND(((TRUNC($AN417*3/13,0)+0.99)*VLOOKUP((TRUNC($AN417*3/13,0)+0.99),'Tax scales - NAT 1004'!$A$65:$C$73,2,1)-VLOOKUP((TRUNC($AN417*3/13,0)+0.99),'Tax scales - NAT 1004'!$A$65:$C$73,3,1)),0)
*13/3,
0),
""))),
""),
"")</f>
        <v/>
      </c>
      <c r="AU417" s="118">
        <f>IFERROR(
IF(VLOOKUP($C417,'Employee information'!$B:$M,COLUMNS('Employee information'!$B:$M),0)=11,
IF($E$2="Fortnightly",
ROUND(
ROUND((((TRUNC($AN417/2,0)+0.99))*VLOOKUP((TRUNC($AN417/2,0)+0.99),'Tax scales - NAT 3539'!$A$14:$C$38,2,1)-VLOOKUP((TRUNC($AN417/2,0)+0.99),'Tax scales - NAT 3539'!$A$14:$C$38,3,1)),0)
*2,
0),
IF(AND($E$2="Monthly",ROUND($AN417-TRUNC($AN417),2)=0.33),
ROUND(
ROUND(((TRUNC(($AN417+0.01)*3/13,0)+0.99)*VLOOKUP((TRUNC(($AN417+0.01)*3/13,0)+0.99),'Tax scales - NAT 3539'!$A$14:$C$38,2,1)-VLOOKUP((TRUNC(($AN417+0.01)*3/13,0)+0.99),'Tax scales - NAT 3539'!$A$14:$C$38,3,1)),0)
*13/3,
0),
IF($E$2="Monthly",
ROUND(
ROUND(((TRUNC($AN417*3/13,0)+0.99)*VLOOKUP((TRUNC($AN417*3/13,0)+0.99),'Tax scales - NAT 3539'!$A$14:$C$38,2,1)-VLOOKUP((TRUNC($AN417*3/13,0)+0.99),'Tax scales - NAT 3539'!$A$14:$C$38,3,1)),0)
*13/3,
0),
""))),
""),
"")</f>
        <v>1448</v>
      </c>
      <c r="AV417" s="118" t="str">
        <f>IFERROR(
IF(VLOOKUP($C417,'Employee information'!$B:$M,COLUMNS('Employee information'!$B:$M),0)=22,
IF($E$2="Fortnightly",
ROUND(
ROUND((((TRUNC($AN417/2,0)+0.99))*VLOOKUP((TRUNC($AN417/2,0)+0.99),'Tax scales - NAT 3539'!$A$43:$C$69,2,1)-VLOOKUP((TRUNC($AN417/2,0)+0.99),'Tax scales - NAT 3539'!$A$43:$C$69,3,1)),0)
*2,
0),
IF(AND($E$2="Monthly",ROUND($AN417-TRUNC($AN417),2)=0.33),
ROUND(
ROUND(((TRUNC(($AN417+0.01)*3/13,0)+0.99)*VLOOKUP((TRUNC(($AN417+0.01)*3/13,0)+0.99),'Tax scales - NAT 3539'!$A$43:$C$69,2,1)-VLOOKUP((TRUNC(($AN417+0.01)*3/13,0)+0.99),'Tax scales - NAT 3539'!$A$43:$C$69,3,1)),0)
*13/3,
0),
IF($E$2="Monthly",
ROUND(
ROUND(((TRUNC($AN417*3/13,0)+0.99)*VLOOKUP((TRUNC($AN417*3/13,0)+0.99),'Tax scales - NAT 3539'!$A$43:$C$69,2,1)-VLOOKUP((TRUNC($AN417*3/13,0)+0.99),'Tax scales - NAT 3539'!$A$43:$C$69,3,1)),0)
*13/3,
0),
""))),
""),
"")</f>
        <v/>
      </c>
      <c r="AW417" s="118" t="str">
        <f>IFERROR(
IF(VLOOKUP($C417,'Employee information'!$B:$M,COLUMNS('Employee information'!$B:$M),0)=33,
IF($E$2="Fortnightly",
ROUND(
ROUND((((TRUNC($AN417/2,0)+0.99))*VLOOKUP((TRUNC($AN417/2,0)+0.99),'Tax scales - NAT 3539'!$A$74:$C$94,2,1)-VLOOKUP((TRUNC($AN417/2,0)+0.99),'Tax scales - NAT 3539'!$A$74:$C$94,3,1)),0)
*2,
0),
IF(AND($E$2="Monthly",ROUND($AN417-TRUNC($AN417),2)=0.33),
ROUND(
ROUND(((TRUNC(($AN417+0.01)*3/13,0)+0.99)*VLOOKUP((TRUNC(($AN417+0.01)*3/13,0)+0.99),'Tax scales - NAT 3539'!$A$74:$C$94,2,1)-VLOOKUP((TRUNC(($AN417+0.01)*3/13,0)+0.99),'Tax scales - NAT 3539'!$A$74:$C$94,3,1)),0)
*13/3,
0),
IF($E$2="Monthly",
ROUND(
ROUND(((TRUNC($AN417*3/13,0)+0.99)*VLOOKUP((TRUNC($AN417*3/13,0)+0.99),'Tax scales - NAT 3539'!$A$74:$C$94,2,1)-VLOOKUP((TRUNC($AN417*3/13,0)+0.99),'Tax scales - NAT 3539'!$A$74:$C$94,3,1)),0)
*13/3,
0),
""))),
""),
"")</f>
        <v/>
      </c>
      <c r="AX417" s="118" t="str">
        <f>IFERROR(
IF(VLOOKUP($C417,'Employee information'!$B:$M,COLUMNS('Employee information'!$B:$M),0)=55,
IF($E$2="Fortnightly",
ROUND(
ROUND((((TRUNC($AN417/2,0)+0.99))*VLOOKUP((TRUNC($AN417/2,0)+0.99),'Tax scales - NAT 3539'!$A$99:$C$123,2,1)-VLOOKUP((TRUNC($AN417/2,0)+0.99),'Tax scales - NAT 3539'!$A$99:$C$123,3,1)),0)
*2,
0),
IF(AND($E$2="Monthly",ROUND($AN417-TRUNC($AN417),2)=0.33),
ROUND(
ROUND(((TRUNC(($AN417+0.01)*3/13,0)+0.99)*VLOOKUP((TRUNC(($AN417+0.01)*3/13,0)+0.99),'Tax scales - NAT 3539'!$A$99:$C$123,2,1)-VLOOKUP((TRUNC(($AN417+0.01)*3/13,0)+0.99),'Tax scales - NAT 3539'!$A$99:$C$123,3,1)),0)
*13/3,
0),
IF($E$2="Monthly",
ROUND(
ROUND(((TRUNC($AN417*3/13,0)+0.99)*VLOOKUP((TRUNC($AN417*3/13,0)+0.99),'Tax scales - NAT 3539'!$A$99:$C$123,2,1)-VLOOKUP((TRUNC($AN417*3/13,0)+0.99),'Tax scales - NAT 3539'!$A$99:$C$123,3,1)),0)
*13/3,
0),
""))),
""),
"")</f>
        <v/>
      </c>
      <c r="AY417" s="118" t="str">
        <f>IFERROR(
IF(VLOOKUP($C417,'Employee information'!$B:$M,COLUMNS('Employee information'!$B:$M),0)=66,
IF($E$2="Fortnightly",
ROUND(
ROUND((((TRUNC($AN417/2,0)+0.99))*VLOOKUP((TRUNC($AN417/2,0)+0.99),'Tax scales - NAT 3539'!$A$127:$C$154,2,1)-VLOOKUP((TRUNC($AN417/2,0)+0.99),'Tax scales - NAT 3539'!$A$127:$C$154,3,1)),0)
*2,
0),
IF(AND($E$2="Monthly",ROUND($AN417-TRUNC($AN417),2)=0.33),
ROUND(
ROUND(((TRUNC(($AN417+0.01)*3/13,0)+0.99)*VLOOKUP((TRUNC(($AN417+0.01)*3/13,0)+0.99),'Tax scales - NAT 3539'!$A$127:$C$154,2,1)-VLOOKUP((TRUNC(($AN417+0.01)*3/13,0)+0.99),'Tax scales - NAT 3539'!$A$127:$C$154,3,1)),0)
*13/3,
0),
IF($E$2="Monthly",
ROUND(
ROUND(((TRUNC($AN417*3/13,0)+0.99)*VLOOKUP((TRUNC($AN417*3/13,0)+0.99),'Tax scales - NAT 3539'!$A$127:$C$154,2,1)-VLOOKUP((TRUNC($AN417*3/13,0)+0.99),'Tax scales - NAT 3539'!$A$127:$C$154,3,1)),0)
*13/3,
0),
""))),
""),
"")</f>
        <v/>
      </c>
      <c r="AZ417" s="118">
        <f>IFERROR(
HLOOKUP(VLOOKUP($C417,'Employee information'!$B:$M,COLUMNS('Employee information'!$B:$M),0),'PAYG worksheet'!$AO$416:$AY$435,COUNTA($C$417:$C417)+1,0),
0)</f>
        <v>1448</v>
      </c>
      <c r="BA417" s="118"/>
      <c r="BB417" s="118">
        <f>IFERROR($AM417-$AZ417-$BA417,"")</f>
        <v>2249.576396206533</v>
      </c>
      <c r="BC417" s="119">
        <f>IFERROR(
IF(OR($AE417=1,$AE417=""),SUM($P417,$AA417,$AC417,$AK417)*VLOOKUP($C417,'Employee information'!$B:$Q,COLUMNS('Employee information'!$B:$H),0),
IF($AE417=0,SUM($P417,$AA417,$AK417)*VLOOKUP($C417,'Employee information'!$B:$Q,COLUMNS('Employee information'!$B:$H),0),
0)),
0)</f>
        <v>351.26975763962065</v>
      </c>
      <c r="BE417" s="114">
        <f t="shared" ref="BE417:BE435" si="434">IF(AND($E$2="Monthly",$A417&gt;12),"",
SUMIFS($AM:$AM,$C:$C,$C417,$A:$A,"&lt;="&amp;$A417)
)</f>
        <v>55463.645943097988</v>
      </c>
      <c r="BF417" s="114">
        <f t="shared" ref="BF417:BF435" si="435">IF(AND($E$2="Monthly",$A417&gt;12),"",
SUMIFS($AN:$AN,$C:$C,$C417,$A:$A,"&lt;="&amp;$A417)
)</f>
        <v>55463.645943097988</v>
      </c>
      <c r="BG417" s="114">
        <f t="shared" ref="BG417:BG435" si="436">IF(AND($E$2="Monthly",$A417&gt;12),"",
SUMIFS($AC:$AC,$C:$C,$C417,$A:$A,"&lt;="&amp;$A417)
)</f>
        <v>0</v>
      </c>
      <c r="BH417" s="114">
        <f t="shared" ref="BH417:BH435" si="437">IF(AND($E$2="Monthly",$A417&gt;12),"",
SUMIFS($AG:$AG,$C:$C,$C417,$A:$A,"&lt;="&amp;$A417)
)</f>
        <v>0</v>
      </c>
      <c r="BI417" s="114">
        <f t="shared" ref="BI417:BI435" si="438">IF(AND($E$2="Monthly",$A417&gt;12),"",
SUMIFS($AZ:$AZ,$C:$C,$C417,$A:$A,"&lt;="&amp;$A417)
)</f>
        <v>21720</v>
      </c>
      <c r="BJ417" s="114">
        <f t="shared" ref="BJ417:BJ435" si="439">IF(AND($E$2="Monthly",$A417&gt;12),"",
SUMIFS($BA:$BA,$C:$C,$C417,$A:$A,"&lt;="&amp;$A417)
)</f>
        <v>0</v>
      </c>
      <c r="BK417" s="114">
        <f t="shared" ref="BK417:BK435" si="440">IF(AND($E$2="Monthly",$A417&gt;12),"",
SUMIFS($AJ:$AJ,$C:$C,$C417,$A:$A,"&lt;="&amp;$A417)
)</f>
        <v>0</v>
      </c>
      <c r="BL417" s="114">
        <f>IF(AND($E$2="Monthly",$A417&gt;12),"",
SUMIFS($AK:$AK,$C:$C,$C417,$A:$A,"&lt;="&amp;$A417)
)</f>
        <v>0</v>
      </c>
      <c r="BM417" s="114">
        <f t="shared" ref="BM417:BM435" si="441">IF(AND($E$2="Monthly",$A417&gt;12),"",
SUMIFS($BC:$BC,$C:$C,$C417,$A:$A,"&lt;="&amp;$A417)
)</f>
        <v>5269.04636459431</v>
      </c>
    </row>
    <row r="418" spans="1:65" x14ac:dyDescent="0.25">
      <c r="A418" s="228">
        <f t="shared" si="429"/>
        <v>15</v>
      </c>
      <c r="C418" s="278" t="s">
        <v>13</v>
      </c>
      <c r="E418" s="103">
        <f>IF($C418="",0,
IF(AND($E$2="Monthly",$A418&gt;12),0,
IF($E$2="Monthly",VLOOKUP($C418,'Employee information'!$B:$AM,COLUMNS('Employee information'!$B:S),0),
IF($E$2="Fortnightly",VLOOKUP($C418,'Employee information'!$B:$AM,COLUMNS('Employee information'!$B:R),0),
0))))</f>
        <v>0</v>
      </c>
      <c r="F418" s="106"/>
      <c r="G418" s="106"/>
      <c r="H418" s="106"/>
      <c r="I418" s="106"/>
      <c r="J418" s="103">
        <f t="shared" ref="J418:J435" si="442">IF($E$2="Monthly",
IF(AND($E$2="Monthly",$H418&lt;&gt;""),$H418,
IF(AND($E$2="Monthly",$E418=0),SUM($F418:$G418),
$E418)),
IF($E$2="Fortnightly",
IF(AND($E$2="Fortnightly",$H418&lt;&gt;""),$H418,
IF(AND($E$2="Fortnightly",$F418&lt;&gt;"",$E418&lt;&gt;0),$F418,
IF(AND($E$2="Fortnightly",$E418=0),SUM($F418:$G418),
$E418)))))</f>
        <v>0</v>
      </c>
      <c r="L418" s="113">
        <f>IF(AND($E$2="Monthly",$A418&gt;12),"",
IFERROR($J418*VLOOKUP($C418,'Employee information'!$B:$AI,COLUMNS('Employee information'!$B:$P),0),0))</f>
        <v>0</v>
      </c>
      <c r="M418" s="114">
        <f t="shared" ref="M418:M435" si="443">IF(AND($E$2="Monthly",$A418&gt;12),"",
SUMIFS($L:$L,$C:$C,$C418,$A:$A,"&lt;="&amp;$A418)
)</f>
        <v>1615.3846153846152</v>
      </c>
      <c r="O418" s="103">
        <f t="shared" ref="O418:O435" si="444">IF($E$2="Monthly",
IF(AND($E$2="Monthly",$H418&lt;&gt;""),$H418,
IF(AND($E$2="Monthly",$E418=0),$F418,
$E418)),
IF($E$2="Fortnightly",
IF(AND($E$2="Fortnightly",$H418&lt;&gt;""),$H418,
IF(AND($E$2="Fortnightly",$F418&lt;&gt;"",$E418&lt;&gt;0),$F418,
IF(AND($E$2="Fortnightly",$E418=0),$F418,
$E418)))))</f>
        <v>0</v>
      </c>
      <c r="P418" s="113">
        <f>IFERROR(
IF(AND($E$2="Monthly",$A418&gt;12),0,
$O418*VLOOKUP($C418,'Employee information'!$B:$AI,COLUMNS('Employee information'!$B:$P),0)),
0)</f>
        <v>0</v>
      </c>
      <c r="R418" s="114">
        <f t="shared" si="430"/>
        <v>1615.3846153846152</v>
      </c>
      <c r="T418" s="103"/>
      <c r="U418" s="103"/>
      <c r="V418" s="282">
        <f>IF($C418="","",
IF(AND($E$2="Monthly",$A418&gt;12),"",
$T418*VLOOKUP($C418,'Employee information'!$B:$P,COLUMNS('Employee information'!$B:$P),0)))</f>
        <v>0</v>
      </c>
      <c r="W418" s="282">
        <f>IF($C418="","",
IF(AND($E$2="Monthly",$A418&gt;12),"",
$U418*VLOOKUP($C418,'Employee information'!$B:$P,COLUMNS('Employee information'!$B:$P),0)))</f>
        <v>0</v>
      </c>
      <c r="X418" s="114">
        <f t="shared" si="431"/>
        <v>0</v>
      </c>
      <c r="Y418" s="114">
        <f t="shared" si="432"/>
        <v>288.46153846153845</v>
      </c>
      <c r="AA418" s="118">
        <f>IFERROR(
IF(OR('Basic payroll data'!$D$12="",'Basic payroll data'!$D$12="No"),0,
$T418*VLOOKUP($C418,'Employee information'!$B:$P,COLUMNS('Employee information'!$B:$P),0)*AL_loading_perc),
0)</f>
        <v>0</v>
      </c>
      <c r="AC418" s="118"/>
      <c r="AD418" s="118"/>
      <c r="AE418" s="283" t="str">
        <f t="shared" ref="AE418:AE435" si="445">IF(LEFT($AD418,6)="Is OTE",1,
IF(LEFT($AD418,10)="Is not OTE",0,
""))</f>
        <v/>
      </c>
      <c r="AF418" s="283" t="str">
        <f t="shared" ref="AF418:AF435" si="446">IF(RIGHT($AD418,12)="tax withheld",1,
IF(RIGHT($AD418,16)="tax not withheld",0,
""))</f>
        <v/>
      </c>
      <c r="AG418" s="118"/>
      <c r="AH418" s="118"/>
      <c r="AI418" s="283" t="str">
        <f t="shared" ref="AI418:AI435" si="447">IF($AH418="FBT",0,
IF($AH418="Not FBT",1,
""))</f>
        <v/>
      </c>
      <c r="AJ418" s="118"/>
      <c r="AK418" s="118"/>
      <c r="AM418" s="118">
        <f t="shared" ref="AM418:AM435" si="448">SUM($L418,$AA418,$AC418,$AG418,$AK418)-$AJ418</f>
        <v>0</v>
      </c>
      <c r="AN418" s="118">
        <f t="shared" si="433"/>
        <v>0</v>
      </c>
      <c r="AO418" s="118" t="str">
        <f>IFERROR(
IF(VLOOKUP($C418,'Employee information'!$B:$M,COLUMNS('Employee information'!$B:$M),0)=1,
IF($E$2="Fortnightly",
ROUND(
ROUND((((TRUNC($AN418/2,0)+0.99))*VLOOKUP((TRUNC($AN418/2,0)+0.99),'Tax scales - NAT 1004'!$A$12:$C$18,2,1)-VLOOKUP((TRUNC($AN418/2,0)+0.99),'Tax scales - NAT 1004'!$A$12:$C$18,3,1)),0)
*2,
0),
IF(AND($E$2="Monthly",ROUND($AN418-TRUNC($AN418),2)=0.33),
ROUND(
ROUND(((TRUNC(($AN418+0.01)*3/13,0)+0.99)*VLOOKUP((TRUNC(($AN418+0.01)*3/13,0)+0.99),'Tax scales - NAT 1004'!$A$12:$C$18,2,1)-VLOOKUP((TRUNC(($AN418+0.01)*3/13,0)+0.99),'Tax scales - NAT 1004'!$A$12:$C$18,3,1)),0)
*13/3,
0),
IF($E$2="Monthly",
ROUND(
ROUND(((TRUNC($AN418*3/13,0)+0.99)*VLOOKUP((TRUNC($AN418*3/13,0)+0.99),'Tax scales - NAT 1004'!$A$12:$C$18,2,1)-VLOOKUP((TRUNC($AN418*3/13,0)+0.99),'Tax scales - NAT 1004'!$A$12:$C$18,3,1)),0)
*13/3,
0),
""))),
""),
"")</f>
        <v/>
      </c>
      <c r="AP418" s="118" t="str">
        <f>IFERROR(
IF(VLOOKUP($C418,'Employee information'!$B:$M,COLUMNS('Employee information'!$B:$M),0)=2,
IF($E$2="Fortnightly",
ROUND(
ROUND((((TRUNC($AN418/2,0)+0.99))*VLOOKUP((TRUNC($AN418/2,0)+0.99),'Tax scales - NAT 1004'!$A$25:$C$33,2,1)-VLOOKUP((TRUNC($AN418/2,0)+0.99),'Tax scales - NAT 1004'!$A$25:$C$33,3,1)),0)
*2,
0),
IF(AND($E$2="Monthly",ROUND($AN418-TRUNC($AN418),2)=0.33),
ROUND(
ROUND(((TRUNC(($AN418+0.01)*3/13,0)+0.99)*VLOOKUP((TRUNC(($AN418+0.01)*3/13,0)+0.99),'Tax scales - NAT 1004'!$A$25:$C$33,2,1)-VLOOKUP((TRUNC(($AN418+0.01)*3/13,0)+0.99),'Tax scales - NAT 1004'!$A$25:$C$33,3,1)),0)
*13/3,
0),
IF($E$2="Monthly",
ROUND(
ROUND(((TRUNC($AN418*3/13,0)+0.99)*VLOOKUP((TRUNC($AN418*3/13,0)+0.99),'Tax scales - NAT 1004'!$A$25:$C$33,2,1)-VLOOKUP((TRUNC($AN418*3/13,0)+0.99),'Tax scales - NAT 1004'!$A$25:$C$33,3,1)),0)
*13/3,
0),
""))),
""),
"")</f>
        <v/>
      </c>
      <c r="AQ418" s="118" t="str">
        <f>IFERROR(
IF(VLOOKUP($C418,'Employee information'!$B:$M,COLUMNS('Employee information'!$B:$M),0)=3,
IF($E$2="Fortnightly",
ROUND(
ROUND((((TRUNC($AN418/2,0)+0.99))*VLOOKUP((TRUNC($AN418/2,0)+0.99),'Tax scales - NAT 1004'!$A$39:$C$41,2,1)-VLOOKUP((TRUNC($AN418/2,0)+0.99),'Tax scales - NAT 1004'!$A$39:$C$41,3,1)),0)
*2,
0),
IF(AND($E$2="Monthly",ROUND($AN418-TRUNC($AN418),2)=0.33),
ROUND(
ROUND(((TRUNC(($AN418+0.01)*3/13,0)+0.99)*VLOOKUP((TRUNC(($AN418+0.01)*3/13,0)+0.99),'Tax scales - NAT 1004'!$A$39:$C$41,2,1)-VLOOKUP((TRUNC(($AN418+0.01)*3/13,0)+0.99),'Tax scales - NAT 1004'!$A$39:$C$41,3,1)),0)
*13/3,
0),
IF($E$2="Monthly",
ROUND(
ROUND(((TRUNC($AN418*3/13,0)+0.99)*VLOOKUP((TRUNC($AN418*3/13,0)+0.99),'Tax scales - NAT 1004'!$A$39:$C$41,2,1)-VLOOKUP((TRUNC($AN418*3/13,0)+0.99),'Tax scales - NAT 1004'!$A$39:$C$41,3,1)),0)
*13/3,
0),
""))),
""),
"")</f>
        <v/>
      </c>
      <c r="AR418" s="118" t="str">
        <f>IFERROR(
IF(AND(VLOOKUP($C418,'Employee information'!$B:$M,COLUMNS('Employee information'!$B:$M),0)=4,
VLOOKUP($C418,'Employee information'!$B:$J,COLUMNS('Employee information'!$B:$J),0)="Resident"),
TRUNC(TRUNC($AN418)*'Tax scales - NAT 1004'!$B$47),
IF(AND(VLOOKUP($C418,'Employee information'!$B:$M,COLUMNS('Employee information'!$B:$M),0)=4,
VLOOKUP($C418,'Employee information'!$B:$J,COLUMNS('Employee information'!$B:$J),0)="Foreign resident"),
TRUNC(TRUNC($AN418)*'Tax scales - NAT 1004'!$B$48),
"")),
"")</f>
        <v/>
      </c>
      <c r="AS418" s="118" t="str">
        <f>IFERROR(
IF(VLOOKUP($C418,'Employee information'!$B:$M,COLUMNS('Employee information'!$B:$M),0)=5,
IF($E$2="Fortnightly",
ROUND(
ROUND((((TRUNC($AN418/2,0)+0.99))*VLOOKUP((TRUNC($AN418/2,0)+0.99),'Tax scales - NAT 1004'!$A$53:$C$59,2,1)-VLOOKUP((TRUNC($AN418/2,0)+0.99),'Tax scales - NAT 1004'!$A$53:$C$59,3,1)),0)
*2,
0),
IF(AND($E$2="Monthly",ROUND($AN418-TRUNC($AN418),2)=0.33),
ROUND(
ROUND(((TRUNC(($AN418+0.01)*3/13,0)+0.99)*VLOOKUP((TRUNC(($AN418+0.01)*3/13,0)+0.99),'Tax scales - NAT 1004'!$A$53:$C$59,2,1)-VLOOKUP((TRUNC(($AN418+0.01)*3/13,0)+0.99),'Tax scales - NAT 1004'!$A$53:$C$59,3,1)),0)
*13/3,
0),
IF($E$2="Monthly",
ROUND(
ROUND(((TRUNC($AN418*3/13,0)+0.99)*VLOOKUP((TRUNC($AN418*3/13,0)+0.99),'Tax scales - NAT 1004'!$A$53:$C$59,2,1)-VLOOKUP((TRUNC($AN418*3/13,0)+0.99),'Tax scales - NAT 1004'!$A$53:$C$59,3,1)),0)
*13/3,
0),
""))),
""),
"")</f>
        <v/>
      </c>
      <c r="AT418" s="118" t="str">
        <f>IFERROR(
IF(VLOOKUP($C418,'Employee information'!$B:$M,COLUMNS('Employee information'!$B:$M),0)=6,
IF($E$2="Fortnightly",
ROUND(
ROUND((((TRUNC($AN418/2,0)+0.99))*VLOOKUP((TRUNC($AN418/2,0)+0.99),'Tax scales - NAT 1004'!$A$65:$C$73,2,1)-VLOOKUP((TRUNC($AN418/2,0)+0.99),'Tax scales - NAT 1004'!$A$65:$C$73,3,1)),0)
*2,
0),
IF(AND($E$2="Monthly",ROUND($AN418-TRUNC($AN418),2)=0.33),
ROUND(
ROUND(((TRUNC(($AN418+0.01)*3/13,0)+0.99)*VLOOKUP((TRUNC(($AN418+0.01)*3/13,0)+0.99),'Tax scales - NAT 1004'!$A$65:$C$73,2,1)-VLOOKUP((TRUNC(($AN418+0.01)*3/13,0)+0.99),'Tax scales - NAT 1004'!$A$65:$C$73,3,1)),0)
*13/3,
0),
IF($E$2="Monthly",
ROUND(
ROUND(((TRUNC($AN418*3/13,0)+0.99)*VLOOKUP((TRUNC($AN418*3/13,0)+0.99),'Tax scales - NAT 1004'!$A$65:$C$73,2,1)-VLOOKUP((TRUNC($AN418*3/13,0)+0.99),'Tax scales - NAT 1004'!$A$65:$C$73,3,1)),0)
*13/3,
0),
""))),
""),
"")</f>
        <v/>
      </c>
      <c r="AU418" s="118">
        <f>IFERROR(
IF(VLOOKUP($C418,'Employee information'!$B:$M,COLUMNS('Employee information'!$B:$M),0)=11,
IF($E$2="Fortnightly",
ROUND(
ROUND((((TRUNC($AN418/2,0)+0.99))*VLOOKUP((TRUNC($AN418/2,0)+0.99),'Tax scales - NAT 3539'!$A$14:$C$38,2,1)-VLOOKUP((TRUNC($AN418/2,0)+0.99),'Tax scales - NAT 3539'!$A$14:$C$38,3,1)),0)
*2,
0),
IF(AND($E$2="Monthly",ROUND($AN418-TRUNC($AN418),2)=0.33),
ROUND(
ROUND(((TRUNC(($AN418+0.01)*3/13,0)+0.99)*VLOOKUP((TRUNC(($AN418+0.01)*3/13,0)+0.99),'Tax scales - NAT 3539'!$A$14:$C$38,2,1)-VLOOKUP((TRUNC(($AN418+0.01)*3/13,0)+0.99),'Tax scales - NAT 3539'!$A$14:$C$38,3,1)),0)
*13/3,
0),
IF($E$2="Monthly",
ROUND(
ROUND(((TRUNC($AN418*3/13,0)+0.99)*VLOOKUP((TRUNC($AN418*3/13,0)+0.99),'Tax scales - NAT 3539'!$A$14:$C$38,2,1)-VLOOKUP((TRUNC($AN418*3/13,0)+0.99),'Tax scales - NAT 3539'!$A$14:$C$38,3,1)),0)
*13/3,
0),
""))),
""),
"")</f>
        <v>0</v>
      </c>
      <c r="AV418" s="118" t="str">
        <f>IFERROR(
IF(VLOOKUP($C418,'Employee information'!$B:$M,COLUMNS('Employee information'!$B:$M),0)=22,
IF($E$2="Fortnightly",
ROUND(
ROUND((((TRUNC($AN418/2,0)+0.99))*VLOOKUP((TRUNC($AN418/2,0)+0.99),'Tax scales - NAT 3539'!$A$43:$C$69,2,1)-VLOOKUP((TRUNC($AN418/2,0)+0.99),'Tax scales - NAT 3539'!$A$43:$C$69,3,1)),0)
*2,
0),
IF(AND($E$2="Monthly",ROUND($AN418-TRUNC($AN418),2)=0.33),
ROUND(
ROUND(((TRUNC(($AN418+0.01)*3/13,0)+0.99)*VLOOKUP((TRUNC(($AN418+0.01)*3/13,0)+0.99),'Tax scales - NAT 3539'!$A$43:$C$69,2,1)-VLOOKUP((TRUNC(($AN418+0.01)*3/13,0)+0.99),'Tax scales - NAT 3539'!$A$43:$C$69,3,1)),0)
*13/3,
0),
IF($E$2="Monthly",
ROUND(
ROUND(((TRUNC($AN418*3/13,0)+0.99)*VLOOKUP((TRUNC($AN418*3/13,0)+0.99),'Tax scales - NAT 3539'!$A$43:$C$69,2,1)-VLOOKUP((TRUNC($AN418*3/13,0)+0.99),'Tax scales - NAT 3539'!$A$43:$C$69,3,1)),0)
*13/3,
0),
""))),
""),
"")</f>
        <v/>
      </c>
      <c r="AW418" s="118" t="str">
        <f>IFERROR(
IF(VLOOKUP($C418,'Employee information'!$B:$M,COLUMNS('Employee information'!$B:$M),0)=33,
IF($E$2="Fortnightly",
ROUND(
ROUND((((TRUNC($AN418/2,0)+0.99))*VLOOKUP((TRUNC($AN418/2,0)+0.99),'Tax scales - NAT 3539'!$A$74:$C$94,2,1)-VLOOKUP((TRUNC($AN418/2,0)+0.99),'Tax scales - NAT 3539'!$A$74:$C$94,3,1)),0)
*2,
0),
IF(AND($E$2="Monthly",ROUND($AN418-TRUNC($AN418),2)=0.33),
ROUND(
ROUND(((TRUNC(($AN418+0.01)*3/13,0)+0.99)*VLOOKUP((TRUNC(($AN418+0.01)*3/13,0)+0.99),'Tax scales - NAT 3539'!$A$74:$C$94,2,1)-VLOOKUP((TRUNC(($AN418+0.01)*3/13,0)+0.99),'Tax scales - NAT 3539'!$A$74:$C$94,3,1)),0)
*13/3,
0),
IF($E$2="Monthly",
ROUND(
ROUND(((TRUNC($AN418*3/13,0)+0.99)*VLOOKUP((TRUNC($AN418*3/13,0)+0.99),'Tax scales - NAT 3539'!$A$74:$C$94,2,1)-VLOOKUP((TRUNC($AN418*3/13,0)+0.99),'Tax scales - NAT 3539'!$A$74:$C$94,3,1)),0)
*13/3,
0),
""))),
""),
"")</f>
        <v/>
      </c>
      <c r="AX418" s="118" t="str">
        <f>IFERROR(
IF(VLOOKUP($C418,'Employee information'!$B:$M,COLUMNS('Employee information'!$B:$M),0)=55,
IF($E$2="Fortnightly",
ROUND(
ROUND((((TRUNC($AN418/2,0)+0.99))*VLOOKUP((TRUNC($AN418/2,0)+0.99),'Tax scales - NAT 3539'!$A$99:$C$123,2,1)-VLOOKUP((TRUNC($AN418/2,0)+0.99),'Tax scales - NAT 3539'!$A$99:$C$123,3,1)),0)
*2,
0),
IF(AND($E$2="Monthly",ROUND($AN418-TRUNC($AN418),2)=0.33),
ROUND(
ROUND(((TRUNC(($AN418+0.01)*3/13,0)+0.99)*VLOOKUP((TRUNC(($AN418+0.01)*3/13,0)+0.99),'Tax scales - NAT 3539'!$A$99:$C$123,2,1)-VLOOKUP((TRUNC(($AN418+0.01)*3/13,0)+0.99),'Tax scales - NAT 3539'!$A$99:$C$123,3,1)),0)
*13/3,
0),
IF($E$2="Monthly",
ROUND(
ROUND(((TRUNC($AN418*3/13,0)+0.99)*VLOOKUP((TRUNC($AN418*3/13,0)+0.99),'Tax scales - NAT 3539'!$A$99:$C$123,2,1)-VLOOKUP((TRUNC($AN418*3/13,0)+0.99),'Tax scales - NAT 3539'!$A$99:$C$123,3,1)),0)
*13/3,
0),
""))),
""),
"")</f>
        <v/>
      </c>
      <c r="AY418" s="118" t="str">
        <f>IFERROR(
IF(VLOOKUP($C418,'Employee information'!$B:$M,COLUMNS('Employee information'!$B:$M),0)=66,
IF($E$2="Fortnightly",
ROUND(
ROUND((((TRUNC($AN418/2,0)+0.99))*VLOOKUP((TRUNC($AN418/2,0)+0.99),'Tax scales - NAT 3539'!$A$127:$C$154,2,1)-VLOOKUP((TRUNC($AN418/2,0)+0.99),'Tax scales - NAT 3539'!$A$127:$C$154,3,1)),0)
*2,
0),
IF(AND($E$2="Monthly",ROUND($AN418-TRUNC($AN418),2)=0.33),
ROUND(
ROUND(((TRUNC(($AN418+0.01)*3/13,0)+0.99)*VLOOKUP((TRUNC(($AN418+0.01)*3/13,0)+0.99),'Tax scales - NAT 3539'!$A$127:$C$154,2,1)-VLOOKUP((TRUNC(($AN418+0.01)*3/13,0)+0.99),'Tax scales - NAT 3539'!$A$127:$C$154,3,1)),0)
*13/3,
0),
IF($E$2="Monthly",
ROUND(
ROUND(((TRUNC($AN418*3/13,0)+0.99)*VLOOKUP((TRUNC($AN418*3/13,0)+0.99),'Tax scales - NAT 3539'!$A$127:$C$154,2,1)-VLOOKUP((TRUNC($AN418*3/13,0)+0.99),'Tax scales - NAT 3539'!$A$127:$C$154,3,1)),0)
*13/3,
0),
""))),
""),
"")</f>
        <v/>
      </c>
      <c r="AZ418" s="118">
        <f>IFERROR(
HLOOKUP(VLOOKUP($C418,'Employee information'!$B:$M,COLUMNS('Employee information'!$B:$M),0),'PAYG worksheet'!$AO$416:$AY$435,COUNTA($C$417:$C418)+1,0),
0)</f>
        <v>0</v>
      </c>
      <c r="BA418" s="118"/>
      <c r="BB418" s="118">
        <f t="shared" ref="BB418:BB435" si="449">IFERROR($AM418-$AZ418-$BA418,"")</f>
        <v>0</v>
      </c>
      <c r="BC418" s="119">
        <f>IFERROR(
IF(OR($AE418=1,$AE418=""),SUM($P418,$AA418,$AC418,$AK418)*VLOOKUP($C418,'Employee information'!$B:$Q,COLUMNS('Employee information'!$B:$H),0),
IF($AE418=0,SUM($P418,$AA418,$AK418)*VLOOKUP($C418,'Employee information'!$B:$Q,COLUMNS('Employee information'!$B:$H),0),
0)),
0)</f>
        <v>0</v>
      </c>
      <c r="BE418" s="114">
        <f t="shared" si="434"/>
        <v>1615.3846153846152</v>
      </c>
      <c r="BF418" s="114">
        <f t="shared" si="435"/>
        <v>1615.3846153846152</v>
      </c>
      <c r="BG418" s="114">
        <f t="shared" si="436"/>
        <v>0</v>
      </c>
      <c r="BH418" s="114">
        <f t="shared" si="437"/>
        <v>0</v>
      </c>
      <c r="BI418" s="114">
        <f t="shared" si="438"/>
        <v>474</v>
      </c>
      <c r="BJ418" s="114">
        <f t="shared" si="439"/>
        <v>0</v>
      </c>
      <c r="BK418" s="114">
        <f t="shared" si="440"/>
        <v>0</v>
      </c>
      <c r="BL418" s="114">
        <f t="shared" ref="BL418:BL435" si="450">IF(AND($E$2="Monthly",$A418&gt;12),"",
SUMIFS($AK:$AK,$C:$C,$C418,$A:$A,"&lt;="&amp;$A418)
)</f>
        <v>0</v>
      </c>
      <c r="BM418" s="114">
        <f t="shared" si="441"/>
        <v>153.46153846153845</v>
      </c>
    </row>
    <row r="419" spans="1:65" x14ac:dyDescent="0.25">
      <c r="A419" s="228">
        <f t="shared" si="429"/>
        <v>15</v>
      </c>
      <c r="C419" s="278" t="s">
        <v>14</v>
      </c>
      <c r="E419" s="103">
        <f>IF($C419="",0,
IF(AND($E$2="Monthly",$A419&gt;12),0,
IF($E$2="Monthly",VLOOKUP($C419,'Employee information'!$B:$AM,COLUMNS('Employee information'!$B:S),0),
IF($E$2="Fortnightly",VLOOKUP($C419,'Employee information'!$B:$AM,COLUMNS('Employee information'!$B:R),0),
0))))</f>
        <v>0</v>
      </c>
      <c r="F419" s="106"/>
      <c r="G419" s="106"/>
      <c r="H419" s="106"/>
      <c r="I419" s="106"/>
      <c r="J419" s="103">
        <f t="shared" si="442"/>
        <v>0</v>
      </c>
      <c r="L419" s="113">
        <f>IF(AND($E$2="Monthly",$A419&gt;12),"",
IFERROR($J419*VLOOKUP($C419,'Employee information'!$B:$AI,COLUMNS('Employee information'!$B:$P),0),0))</f>
        <v>0</v>
      </c>
      <c r="M419" s="114">
        <f t="shared" si="443"/>
        <v>900</v>
      </c>
      <c r="O419" s="103">
        <f t="shared" si="444"/>
        <v>0</v>
      </c>
      <c r="P419" s="113">
        <f>IFERROR(
IF(AND($E$2="Monthly",$A419&gt;12),0,
$O419*VLOOKUP($C419,'Employee information'!$B:$AI,COLUMNS('Employee information'!$B:$P),0)),
0)</f>
        <v>0</v>
      </c>
      <c r="R419" s="114">
        <f t="shared" si="430"/>
        <v>900</v>
      </c>
      <c r="T419" s="103"/>
      <c r="U419" s="103"/>
      <c r="V419" s="282">
        <f>IF($C419="","",
IF(AND($E$2="Monthly",$A419&gt;12),"",
$T419*VLOOKUP($C419,'Employee information'!$B:$P,COLUMNS('Employee information'!$B:$P),0)))</f>
        <v>0</v>
      </c>
      <c r="W419" s="282">
        <f>IF($C419="","",
IF(AND($E$2="Monthly",$A419&gt;12),"",
$U419*VLOOKUP($C419,'Employee information'!$B:$P,COLUMNS('Employee information'!$B:$P),0)))</f>
        <v>0</v>
      </c>
      <c r="X419" s="114">
        <f t="shared" si="431"/>
        <v>0</v>
      </c>
      <c r="Y419" s="114">
        <f t="shared" si="432"/>
        <v>0</v>
      </c>
      <c r="AA419" s="118">
        <f>IFERROR(
IF(OR('Basic payroll data'!$D$12="",'Basic payroll data'!$D$12="No"),0,
$T419*VLOOKUP($C419,'Employee information'!$B:$P,COLUMNS('Employee information'!$B:$P),0)*AL_loading_perc),
0)</f>
        <v>0</v>
      </c>
      <c r="AC419" s="118"/>
      <c r="AD419" s="118"/>
      <c r="AE419" s="283" t="str">
        <f t="shared" si="445"/>
        <v/>
      </c>
      <c r="AF419" s="283" t="str">
        <f t="shared" si="446"/>
        <v/>
      </c>
      <c r="AG419" s="118"/>
      <c r="AH419" s="118"/>
      <c r="AI419" s="283" t="str">
        <f t="shared" si="447"/>
        <v/>
      </c>
      <c r="AJ419" s="118"/>
      <c r="AK419" s="118"/>
      <c r="AM419" s="118">
        <f t="shared" si="448"/>
        <v>0</v>
      </c>
      <c r="AN419" s="118">
        <f t="shared" si="433"/>
        <v>0</v>
      </c>
      <c r="AO419" s="118" t="str">
        <f>IFERROR(
IF(VLOOKUP($C419,'Employee information'!$B:$M,COLUMNS('Employee information'!$B:$M),0)=1,
IF($E$2="Fortnightly",
ROUND(
ROUND((((TRUNC($AN419/2,0)+0.99))*VLOOKUP((TRUNC($AN419/2,0)+0.99),'Tax scales - NAT 1004'!$A$12:$C$18,2,1)-VLOOKUP((TRUNC($AN419/2,0)+0.99),'Tax scales - NAT 1004'!$A$12:$C$18,3,1)),0)
*2,
0),
IF(AND($E$2="Monthly",ROUND($AN419-TRUNC($AN419),2)=0.33),
ROUND(
ROUND(((TRUNC(($AN419+0.01)*3/13,0)+0.99)*VLOOKUP((TRUNC(($AN419+0.01)*3/13,0)+0.99),'Tax scales - NAT 1004'!$A$12:$C$18,2,1)-VLOOKUP((TRUNC(($AN419+0.01)*3/13,0)+0.99),'Tax scales - NAT 1004'!$A$12:$C$18,3,1)),0)
*13/3,
0),
IF($E$2="Monthly",
ROUND(
ROUND(((TRUNC($AN419*3/13,0)+0.99)*VLOOKUP((TRUNC($AN419*3/13,0)+0.99),'Tax scales - NAT 1004'!$A$12:$C$18,2,1)-VLOOKUP((TRUNC($AN419*3/13,0)+0.99),'Tax scales - NAT 1004'!$A$12:$C$18,3,1)),0)
*13/3,
0),
""))),
""),
"")</f>
        <v/>
      </c>
      <c r="AP419" s="118" t="str">
        <f>IFERROR(
IF(VLOOKUP($C419,'Employee information'!$B:$M,COLUMNS('Employee information'!$B:$M),0)=2,
IF($E$2="Fortnightly",
ROUND(
ROUND((((TRUNC($AN419/2,0)+0.99))*VLOOKUP((TRUNC($AN419/2,0)+0.99),'Tax scales - NAT 1004'!$A$25:$C$33,2,1)-VLOOKUP((TRUNC($AN419/2,0)+0.99),'Tax scales - NAT 1004'!$A$25:$C$33,3,1)),0)
*2,
0),
IF(AND($E$2="Monthly",ROUND($AN419-TRUNC($AN419),2)=0.33),
ROUND(
ROUND(((TRUNC(($AN419+0.01)*3/13,0)+0.99)*VLOOKUP((TRUNC(($AN419+0.01)*3/13,0)+0.99),'Tax scales - NAT 1004'!$A$25:$C$33,2,1)-VLOOKUP((TRUNC(($AN419+0.01)*3/13,0)+0.99),'Tax scales - NAT 1004'!$A$25:$C$33,3,1)),0)
*13/3,
0),
IF($E$2="Monthly",
ROUND(
ROUND(((TRUNC($AN419*3/13,0)+0.99)*VLOOKUP((TRUNC($AN419*3/13,0)+0.99),'Tax scales - NAT 1004'!$A$25:$C$33,2,1)-VLOOKUP((TRUNC($AN419*3/13,0)+0.99),'Tax scales - NAT 1004'!$A$25:$C$33,3,1)),0)
*13/3,
0),
""))),
""),
"")</f>
        <v/>
      </c>
      <c r="AQ419" s="118" t="str">
        <f>IFERROR(
IF(VLOOKUP($C419,'Employee information'!$B:$M,COLUMNS('Employee information'!$B:$M),0)=3,
IF($E$2="Fortnightly",
ROUND(
ROUND((((TRUNC($AN419/2,0)+0.99))*VLOOKUP((TRUNC($AN419/2,0)+0.99),'Tax scales - NAT 1004'!$A$39:$C$41,2,1)-VLOOKUP((TRUNC($AN419/2,0)+0.99),'Tax scales - NAT 1004'!$A$39:$C$41,3,1)),0)
*2,
0),
IF(AND($E$2="Monthly",ROUND($AN419-TRUNC($AN419),2)=0.33),
ROUND(
ROUND(((TRUNC(($AN419+0.01)*3/13,0)+0.99)*VLOOKUP((TRUNC(($AN419+0.01)*3/13,0)+0.99),'Tax scales - NAT 1004'!$A$39:$C$41,2,1)-VLOOKUP((TRUNC(($AN419+0.01)*3/13,0)+0.99),'Tax scales - NAT 1004'!$A$39:$C$41,3,1)),0)
*13/3,
0),
IF($E$2="Monthly",
ROUND(
ROUND(((TRUNC($AN419*3/13,0)+0.99)*VLOOKUP((TRUNC($AN419*3/13,0)+0.99),'Tax scales - NAT 1004'!$A$39:$C$41,2,1)-VLOOKUP((TRUNC($AN419*3/13,0)+0.99),'Tax scales - NAT 1004'!$A$39:$C$41,3,1)),0)
*13/3,
0),
""))),
""),
"")</f>
        <v/>
      </c>
      <c r="AR419" s="118" t="str">
        <f>IFERROR(
IF(AND(VLOOKUP($C419,'Employee information'!$B:$M,COLUMNS('Employee information'!$B:$M),0)=4,
VLOOKUP($C419,'Employee information'!$B:$J,COLUMNS('Employee information'!$B:$J),0)="Resident"),
TRUNC(TRUNC($AN419)*'Tax scales - NAT 1004'!$B$47),
IF(AND(VLOOKUP($C419,'Employee information'!$B:$M,COLUMNS('Employee information'!$B:$M),0)=4,
VLOOKUP($C419,'Employee information'!$B:$J,COLUMNS('Employee information'!$B:$J),0)="Foreign resident"),
TRUNC(TRUNC($AN419)*'Tax scales - NAT 1004'!$B$48),
"")),
"")</f>
        <v/>
      </c>
      <c r="AS419" s="118" t="str">
        <f>IFERROR(
IF(VLOOKUP($C419,'Employee information'!$B:$M,COLUMNS('Employee information'!$B:$M),0)=5,
IF($E$2="Fortnightly",
ROUND(
ROUND((((TRUNC($AN419/2,0)+0.99))*VLOOKUP((TRUNC($AN419/2,0)+0.99),'Tax scales - NAT 1004'!$A$53:$C$59,2,1)-VLOOKUP((TRUNC($AN419/2,0)+0.99),'Tax scales - NAT 1004'!$A$53:$C$59,3,1)),0)
*2,
0),
IF(AND($E$2="Monthly",ROUND($AN419-TRUNC($AN419),2)=0.33),
ROUND(
ROUND(((TRUNC(($AN419+0.01)*3/13,0)+0.99)*VLOOKUP((TRUNC(($AN419+0.01)*3/13,0)+0.99),'Tax scales - NAT 1004'!$A$53:$C$59,2,1)-VLOOKUP((TRUNC(($AN419+0.01)*3/13,0)+0.99),'Tax scales - NAT 1004'!$A$53:$C$59,3,1)),0)
*13/3,
0),
IF($E$2="Monthly",
ROUND(
ROUND(((TRUNC($AN419*3/13,0)+0.99)*VLOOKUP((TRUNC($AN419*3/13,0)+0.99),'Tax scales - NAT 1004'!$A$53:$C$59,2,1)-VLOOKUP((TRUNC($AN419*3/13,0)+0.99),'Tax scales - NAT 1004'!$A$53:$C$59,3,1)),0)
*13/3,
0),
""))),
""),
"")</f>
        <v/>
      </c>
      <c r="AT419" s="118" t="str">
        <f>IFERROR(
IF(VLOOKUP($C419,'Employee information'!$B:$M,COLUMNS('Employee information'!$B:$M),0)=6,
IF($E$2="Fortnightly",
ROUND(
ROUND((((TRUNC($AN419/2,0)+0.99))*VLOOKUP((TRUNC($AN419/2,0)+0.99),'Tax scales - NAT 1004'!$A$65:$C$73,2,1)-VLOOKUP((TRUNC($AN419/2,0)+0.99),'Tax scales - NAT 1004'!$A$65:$C$73,3,1)),0)
*2,
0),
IF(AND($E$2="Monthly",ROUND($AN419-TRUNC($AN419),2)=0.33),
ROUND(
ROUND(((TRUNC(($AN419+0.01)*3/13,0)+0.99)*VLOOKUP((TRUNC(($AN419+0.01)*3/13,0)+0.99),'Tax scales - NAT 1004'!$A$65:$C$73,2,1)-VLOOKUP((TRUNC(($AN419+0.01)*3/13,0)+0.99),'Tax scales - NAT 1004'!$A$65:$C$73,3,1)),0)
*13/3,
0),
IF($E$2="Monthly",
ROUND(
ROUND(((TRUNC($AN419*3/13,0)+0.99)*VLOOKUP((TRUNC($AN419*3/13,0)+0.99),'Tax scales - NAT 1004'!$A$65:$C$73,2,1)-VLOOKUP((TRUNC($AN419*3/13,0)+0.99),'Tax scales - NAT 1004'!$A$65:$C$73,3,1)),0)
*13/3,
0),
""))),
""),
"")</f>
        <v/>
      </c>
      <c r="AU419" s="118" t="str">
        <f>IFERROR(
IF(VLOOKUP($C419,'Employee information'!$B:$M,COLUMNS('Employee information'!$B:$M),0)=11,
IF($E$2="Fortnightly",
ROUND(
ROUND((((TRUNC($AN419/2,0)+0.99))*VLOOKUP((TRUNC($AN419/2,0)+0.99),'Tax scales - NAT 3539'!$A$14:$C$38,2,1)-VLOOKUP((TRUNC($AN419/2,0)+0.99),'Tax scales - NAT 3539'!$A$14:$C$38,3,1)),0)
*2,
0),
IF(AND($E$2="Monthly",ROUND($AN419-TRUNC($AN419),2)=0.33),
ROUND(
ROUND(((TRUNC(($AN419+0.01)*3/13,0)+0.99)*VLOOKUP((TRUNC(($AN419+0.01)*3/13,0)+0.99),'Tax scales - NAT 3539'!$A$14:$C$38,2,1)-VLOOKUP((TRUNC(($AN419+0.01)*3/13,0)+0.99),'Tax scales - NAT 3539'!$A$14:$C$38,3,1)),0)
*13/3,
0),
IF($E$2="Monthly",
ROUND(
ROUND(((TRUNC($AN419*3/13,0)+0.99)*VLOOKUP((TRUNC($AN419*3/13,0)+0.99),'Tax scales - NAT 3539'!$A$14:$C$38,2,1)-VLOOKUP((TRUNC($AN419*3/13,0)+0.99),'Tax scales - NAT 3539'!$A$14:$C$38,3,1)),0)
*13/3,
0),
""))),
""),
"")</f>
        <v/>
      </c>
      <c r="AV419" s="118" t="str">
        <f>IFERROR(
IF(VLOOKUP($C419,'Employee information'!$B:$M,COLUMNS('Employee information'!$B:$M),0)=22,
IF($E$2="Fortnightly",
ROUND(
ROUND((((TRUNC($AN419/2,0)+0.99))*VLOOKUP((TRUNC($AN419/2,0)+0.99),'Tax scales - NAT 3539'!$A$43:$C$69,2,1)-VLOOKUP((TRUNC($AN419/2,0)+0.99),'Tax scales - NAT 3539'!$A$43:$C$69,3,1)),0)
*2,
0),
IF(AND($E$2="Monthly",ROUND($AN419-TRUNC($AN419),2)=0.33),
ROUND(
ROUND(((TRUNC(($AN419+0.01)*3/13,0)+0.99)*VLOOKUP((TRUNC(($AN419+0.01)*3/13,0)+0.99),'Tax scales - NAT 3539'!$A$43:$C$69,2,1)-VLOOKUP((TRUNC(($AN419+0.01)*3/13,0)+0.99),'Tax scales - NAT 3539'!$A$43:$C$69,3,1)),0)
*13/3,
0),
IF($E$2="Monthly",
ROUND(
ROUND(((TRUNC($AN419*3/13,0)+0.99)*VLOOKUP((TRUNC($AN419*3/13,0)+0.99),'Tax scales - NAT 3539'!$A$43:$C$69,2,1)-VLOOKUP((TRUNC($AN419*3/13,0)+0.99),'Tax scales - NAT 3539'!$A$43:$C$69,3,1)),0)
*13/3,
0),
""))),
""),
"")</f>
        <v/>
      </c>
      <c r="AW419" s="118">
        <f>IFERROR(
IF(VLOOKUP($C419,'Employee information'!$B:$M,COLUMNS('Employee information'!$B:$M),0)=33,
IF($E$2="Fortnightly",
ROUND(
ROUND((((TRUNC($AN419/2,0)+0.99))*VLOOKUP((TRUNC($AN419/2,0)+0.99),'Tax scales - NAT 3539'!$A$74:$C$94,2,1)-VLOOKUP((TRUNC($AN419/2,0)+0.99),'Tax scales - NAT 3539'!$A$74:$C$94,3,1)),0)
*2,
0),
IF(AND($E$2="Monthly",ROUND($AN419-TRUNC($AN419),2)=0.33),
ROUND(
ROUND(((TRUNC(($AN419+0.01)*3/13,0)+0.99)*VLOOKUP((TRUNC(($AN419+0.01)*3/13,0)+0.99),'Tax scales - NAT 3539'!$A$74:$C$94,2,1)-VLOOKUP((TRUNC(($AN419+0.01)*3/13,0)+0.99),'Tax scales - NAT 3539'!$A$74:$C$94,3,1)),0)
*13/3,
0),
IF($E$2="Monthly",
ROUND(
ROUND(((TRUNC($AN419*3/13,0)+0.99)*VLOOKUP((TRUNC($AN419*3/13,0)+0.99),'Tax scales - NAT 3539'!$A$74:$C$94,2,1)-VLOOKUP((TRUNC($AN419*3/13,0)+0.99),'Tax scales - NAT 3539'!$A$74:$C$94,3,1)),0)
*13/3,
0),
""))),
""),
"")</f>
        <v>0</v>
      </c>
      <c r="AX419" s="118" t="str">
        <f>IFERROR(
IF(VLOOKUP($C419,'Employee information'!$B:$M,COLUMNS('Employee information'!$B:$M),0)=55,
IF($E$2="Fortnightly",
ROUND(
ROUND((((TRUNC($AN419/2,0)+0.99))*VLOOKUP((TRUNC($AN419/2,0)+0.99),'Tax scales - NAT 3539'!$A$99:$C$123,2,1)-VLOOKUP((TRUNC($AN419/2,0)+0.99),'Tax scales - NAT 3539'!$A$99:$C$123,3,1)),0)
*2,
0),
IF(AND($E$2="Monthly",ROUND($AN419-TRUNC($AN419),2)=0.33),
ROUND(
ROUND(((TRUNC(($AN419+0.01)*3/13,0)+0.99)*VLOOKUP((TRUNC(($AN419+0.01)*3/13,0)+0.99),'Tax scales - NAT 3539'!$A$99:$C$123,2,1)-VLOOKUP((TRUNC(($AN419+0.01)*3/13,0)+0.99),'Tax scales - NAT 3539'!$A$99:$C$123,3,1)),0)
*13/3,
0),
IF($E$2="Monthly",
ROUND(
ROUND(((TRUNC($AN419*3/13,0)+0.99)*VLOOKUP((TRUNC($AN419*3/13,0)+0.99),'Tax scales - NAT 3539'!$A$99:$C$123,2,1)-VLOOKUP((TRUNC($AN419*3/13,0)+0.99),'Tax scales - NAT 3539'!$A$99:$C$123,3,1)),0)
*13/3,
0),
""))),
""),
"")</f>
        <v/>
      </c>
      <c r="AY419" s="118" t="str">
        <f>IFERROR(
IF(VLOOKUP($C419,'Employee information'!$B:$M,COLUMNS('Employee information'!$B:$M),0)=66,
IF($E$2="Fortnightly",
ROUND(
ROUND((((TRUNC($AN419/2,0)+0.99))*VLOOKUP((TRUNC($AN419/2,0)+0.99),'Tax scales - NAT 3539'!$A$127:$C$154,2,1)-VLOOKUP((TRUNC($AN419/2,0)+0.99),'Tax scales - NAT 3539'!$A$127:$C$154,3,1)),0)
*2,
0),
IF(AND($E$2="Monthly",ROUND($AN419-TRUNC($AN419),2)=0.33),
ROUND(
ROUND(((TRUNC(($AN419+0.01)*3/13,0)+0.99)*VLOOKUP((TRUNC(($AN419+0.01)*3/13,0)+0.99),'Tax scales - NAT 3539'!$A$127:$C$154,2,1)-VLOOKUP((TRUNC(($AN419+0.01)*3/13,0)+0.99),'Tax scales - NAT 3539'!$A$127:$C$154,3,1)),0)
*13/3,
0),
IF($E$2="Monthly",
ROUND(
ROUND(((TRUNC($AN419*3/13,0)+0.99)*VLOOKUP((TRUNC($AN419*3/13,0)+0.99),'Tax scales - NAT 3539'!$A$127:$C$154,2,1)-VLOOKUP((TRUNC($AN419*3/13,0)+0.99),'Tax scales - NAT 3539'!$A$127:$C$154,3,1)),0)
*13/3,
0),
""))),
""),
"")</f>
        <v/>
      </c>
      <c r="AZ419" s="118">
        <f>IFERROR(
HLOOKUP(VLOOKUP($C419,'Employee information'!$B:$M,COLUMNS('Employee information'!$B:$M),0),'PAYG worksheet'!$AO$416:$AY$435,COUNTA($C$417:$C419)+1,0),
0)</f>
        <v>0</v>
      </c>
      <c r="BA419" s="118"/>
      <c r="BB419" s="118">
        <f t="shared" si="449"/>
        <v>0</v>
      </c>
      <c r="BC419" s="119">
        <f>IFERROR(
IF(OR($AE419=1,$AE419=""),SUM($P419,$AA419,$AC419,$AK419)*VLOOKUP($C419,'Employee information'!$B:$Q,COLUMNS('Employee information'!$B:$H),0),
IF($AE419=0,SUM($P419,$AA419,$AK419)*VLOOKUP($C419,'Employee information'!$B:$Q,COLUMNS('Employee information'!$B:$H),0),
0)),
0)</f>
        <v>0</v>
      </c>
      <c r="BE419" s="114">
        <f t="shared" si="434"/>
        <v>900</v>
      </c>
      <c r="BF419" s="114">
        <f t="shared" si="435"/>
        <v>900</v>
      </c>
      <c r="BG419" s="114">
        <f t="shared" si="436"/>
        <v>0</v>
      </c>
      <c r="BH419" s="114">
        <f t="shared" si="437"/>
        <v>0</v>
      </c>
      <c r="BI419" s="114">
        <f t="shared" si="438"/>
        <v>292</v>
      </c>
      <c r="BJ419" s="114">
        <f t="shared" si="439"/>
        <v>0</v>
      </c>
      <c r="BK419" s="114">
        <f t="shared" si="440"/>
        <v>0</v>
      </c>
      <c r="BL419" s="114">
        <f t="shared" si="450"/>
        <v>0</v>
      </c>
      <c r="BM419" s="114">
        <f t="shared" si="441"/>
        <v>85.5</v>
      </c>
    </row>
    <row r="420" spans="1:65" x14ac:dyDescent="0.25">
      <c r="A420" s="228">
        <f t="shared" si="429"/>
        <v>15</v>
      </c>
      <c r="C420" s="278" t="s">
        <v>15</v>
      </c>
      <c r="E420" s="103">
        <f>IF($C420="",0,
IF(AND($E$2="Monthly",$A420&gt;12),0,
IF($E$2="Monthly",VLOOKUP($C420,'Employee information'!$B:$AM,COLUMNS('Employee information'!$B:S),0),
IF($E$2="Fortnightly",VLOOKUP($C420,'Employee information'!$B:$AM,COLUMNS('Employee information'!$B:R),0),
0))))</f>
        <v>75</v>
      </c>
      <c r="F420" s="106"/>
      <c r="G420" s="106"/>
      <c r="H420" s="106"/>
      <c r="I420" s="106"/>
      <c r="J420" s="103">
        <f t="shared" si="442"/>
        <v>75</v>
      </c>
      <c r="L420" s="113">
        <f>IF(AND($E$2="Monthly",$A420&gt;12),"",
IFERROR($J420*VLOOKUP($C420,'Employee information'!$B:$AI,COLUMNS('Employee information'!$B:$P),0),0))</f>
        <v>7692.3076923076924</v>
      </c>
      <c r="M420" s="114">
        <f t="shared" si="443"/>
        <v>115384.61538461536</v>
      </c>
      <c r="O420" s="103">
        <f t="shared" si="444"/>
        <v>75</v>
      </c>
      <c r="P420" s="113">
        <f>IFERROR(
IF(AND($E$2="Monthly",$A420&gt;12),0,
$O420*VLOOKUP($C420,'Employee information'!$B:$AI,COLUMNS('Employee information'!$B:$P),0)),
0)</f>
        <v>7692.3076923076924</v>
      </c>
      <c r="R420" s="114">
        <f t="shared" si="430"/>
        <v>115384.61538461536</v>
      </c>
      <c r="T420" s="103"/>
      <c r="U420" s="103"/>
      <c r="V420" s="282">
        <f>IF($C420="","",
IF(AND($E$2="Monthly",$A420&gt;12),"",
$T420*VLOOKUP($C420,'Employee information'!$B:$P,COLUMNS('Employee information'!$B:$P),0)))</f>
        <v>0</v>
      </c>
      <c r="W420" s="282">
        <f>IF($C420="","",
IF(AND($E$2="Monthly",$A420&gt;12),"",
$U420*VLOOKUP($C420,'Employee information'!$B:$P,COLUMNS('Employee information'!$B:$P),0)))</f>
        <v>0</v>
      </c>
      <c r="X420" s="114">
        <f t="shared" si="431"/>
        <v>1538.4615384615386</v>
      </c>
      <c r="Y420" s="114">
        <f t="shared" si="432"/>
        <v>512.82051282051282</v>
      </c>
      <c r="AA420" s="118">
        <f>IFERROR(
IF(OR('Basic payroll data'!$D$12="",'Basic payroll data'!$D$12="No"),0,
$T420*VLOOKUP($C420,'Employee information'!$B:$P,COLUMNS('Employee information'!$B:$P),0)*AL_loading_perc),
0)</f>
        <v>0</v>
      </c>
      <c r="AC420" s="118"/>
      <c r="AD420" s="118"/>
      <c r="AE420" s="283" t="str">
        <f t="shared" si="445"/>
        <v/>
      </c>
      <c r="AF420" s="283" t="str">
        <f t="shared" si="446"/>
        <v/>
      </c>
      <c r="AG420" s="118"/>
      <c r="AH420" s="118"/>
      <c r="AI420" s="283" t="str">
        <f t="shared" si="447"/>
        <v/>
      </c>
      <c r="AJ420" s="118"/>
      <c r="AK420" s="118"/>
      <c r="AM420" s="118">
        <f t="shared" si="448"/>
        <v>7692.3076923076924</v>
      </c>
      <c r="AN420" s="118">
        <f t="shared" si="433"/>
        <v>7692.3076923076924</v>
      </c>
      <c r="AO420" s="118" t="str">
        <f>IFERROR(
IF(VLOOKUP($C420,'Employee information'!$B:$M,COLUMNS('Employee information'!$B:$M),0)=1,
IF($E$2="Fortnightly",
ROUND(
ROUND((((TRUNC($AN420/2,0)+0.99))*VLOOKUP((TRUNC($AN420/2,0)+0.99),'Tax scales - NAT 1004'!$A$12:$C$18,2,1)-VLOOKUP((TRUNC($AN420/2,0)+0.99),'Tax scales - NAT 1004'!$A$12:$C$18,3,1)),0)
*2,
0),
IF(AND($E$2="Monthly",ROUND($AN420-TRUNC($AN420),2)=0.33),
ROUND(
ROUND(((TRUNC(($AN420+0.01)*3/13,0)+0.99)*VLOOKUP((TRUNC(($AN420+0.01)*3/13,0)+0.99),'Tax scales - NAT 1004'!$A$12:$C$18,2,1)-VLOOKUP((TRUNC(($AN420+0.01)*3/13,0)+0.99),'Tax scales - NAT 1004'!$A$12:$C$18,3,1)),0)
*13/3,
0),
IF($E$2="Monthly",
ROUND(
ROUND(((TRUNC($AN420*3/13,0)+0.99)*VLOOKUP((TRUNC($AN420*3/13,0)+0.99),'Tax scales - NAT 1004'!$A$12:$C$18,2,1)-VLOOKUP((TRUNC($AN420*3/13,0)+0.99),'Tax scales - NAT 1004'!$A$12:$C$18,3,1)),0)
*13/3,
0),
""))),
""),
"")</f>
        <v/>
      </c>
      <c r="AP420" s="118" t="str">
        <f>IFERROR(
IF(VLOOKUP($C420,'Employee information'!$B:$M,COLUMNS('Employee information'!$B:$M),0)=2,
IF($E$2="Fortnightly",
ROUND(
ROUND((((TRUNC($AN420/2,0)+0.99))*VLOOKUP((TRUNC($AN420/2,0)+0.99),'Tax scales - NAT 1004'!$A$25:$C$33,2,1)-VLOOKUP((TRUNC($AN420/2,0)+0.99),'Tax scales - NAT 1004'!$A$25:$C$33,3,1)),0)
*2,
0),
IF(AND($E$2="Monthly",ROUND($AN420-TRUNC($AN420),2)=0.33),
ROUND(
ROUND(((TRUNC(($AN420+0.01)*3/13,0)+0.99)*VLOOKUP((TRUNC(($AN420+0.01)*3/13,0)+0.99),'Tax scales - NAT 1004'!$A$25:$C$33,2,1)-VLOOKUP((TRUNC(($AN420+0.01)*3/13,0)+0.99),'Tax scales - NAT 1004'!$A$25:$C$33,3,1)),0)
*13/3,
0),
IF($E$2="Monthly",
ROUND(
ROUND(((TRUNC($AN420*3/13,0)+0.99)*VLOOKUP((TRUNC($AN420*3/13,0)+0.99),'Tax scales - NAT 1004'!$A$25:$C$33,2,1)-VLOOKUP((TRUNC($AN420*3/13,0)+0.99),'Tax scales - NAT 1004'!$A$25:$C$33,3,1)),0)
*13/3,
0),
""))),
""),
"")</f>
        <v/>
      </c>
      <c r="AQ420" s="118" t="str">
        <f>IFERROR(
IF(VLOOKUP($C420,'Employee information'!$B:$M,COLUMNS('Employee information'!$B:$M),0)=3,
IF($E$2="Fortnightly",
ROUND(
ROUND((((TRUNC($AN420/2,0)+0.99))*VLOOKUP((TRUNC($AN420/2,0)+0.99),'Tax scales - NAT 1004'!$A$39:$C$41,2,1)-VLOOKUP((TRUNC($AN420/2,0)+0.99),'Tax scales - NAT 1004'!$A$39:$C$41,3,1)),0)
*2,
0),
IF(AND($E$2="Monthly",ROUND($AN420-TRUNC($AN420),2)=0.33),
ROUND(
ROUND(((TRUNC(($AN420+0.01)*3/13,0)+0.99)*VLOOKUP((TRUNC(($AN420+0.01)*3/13,0)+0.99),'Tax scales - NAT 1004'!$A$39:$C$41,2,1)-VLOOKUP((TRUNC(($AN420+0.01)*3/13,0)+0.99),'Tax scales - NAT 1004'!$A$39:$C$41,3,1)),0)
*13/3,
0),
IF($E$2="Monthly",
ROUND(
ROUND(((TRUNC($AN420*3/13,0)+0.99)*VLOOKUP((TRUNC($AN420*3/13,0)+0.99),'Tax scales - NAT 1004'!$A$39:$C$41,2,1)-VLOOKUP((TRUNC($AN420*3/13,0)+0.99),'Tax scales - NAT 1004'!$A$39:$C$41,3,1)),0)
*13/3,
0),
""))),
""),
"")</f>
        <v/>
      </c>
      <c r="AR420" s="118" t="str">
        <f>IFERROR(
IF(AND(VLOOKUP($C420,'Employee information'!$B:$M,COLUMNS('Employee information'!$B:$M),0)=4,
VLOOKUP($C420,'Employee information'!$B:$J,COLUMNS('Employee information'!$B:$J),0)="Resident"),
TRUNC(TRUNC($AN420)*'Tax scales - NAT 1004'!$B$47),
IF(AND(VLOOKUP($C420,'Employee information'!$B:$M,COLUMNS('Employee information'!$B:$M),0)=4,
VLOOKUP($C420,'Employee information'!$B:$J,COLUMNS('Employee information'!$B:$J),0)="Foreign resident"),
TRUNC(TRUNC($AN420)*'Tax scales - NAT 1004'!$B$48),
"")),
"")</f>
        <v/>
      </c>
      <c r="AS420" s="118" t="str">
        <f>IFERROR(
IF(VLOOKUP($C420,'Employee information'!$B:$M,COLUMNS('Employee information'!$B:$M),0)=5,
IF($E$2="Fortnightly",
ROUND(
ROUND((((TRUNC($AN420/2,0)+0.99))*VLOOKUP((TRUNC($AN420/2,0)+0.99),'Tax scales - NAT 1004'!$A$53:$C$59,2,1)-VLOOKUP((TRUNC($AN420/2,0)+0.99),'Tax scales - NAT 1004'!$A$53:$C$59,3,1)),0)
*2,
0),
IF(AND($E$2="Monthly",ROUND($AN420-TRUNC($AN420),2)=0.33),
ROUND(
ROUND(((TRUNC(($AN420+0.01)*3/13,0)+0.99)*VLOOKUP((TRUNC(($AN420+0.01)*3/13,0)+0.99),'Tax scales - NAT 1004'!$A$53:$C$59,2,1)-VLOOKUP((TRUNC(($AN420+0.01)*3/13,0)+0.99),'Tax scales - NAT 1004'!$A$53:$C$59,3,1)),0)
*13/3,
0),
IF($E$2="Monthly",
ROUND(
ROUND(((TRUNC($AN420*3/13,0)+0.99)*VLOOKUP((TRUNC($AN420*3/13,0)+0.99),'Tax scales - NAT 1004'!$A$53:$C$59,2,1)-VLOOKUP((TRUNC($AN420*3/13,0)+0.99),'Tax scales - NAT 1004'!$A$53:$C$59,3,1)),0)
*13/3,
0),
""))),
""),
"")</f>
        <v/>
      </c>
      <c r="AT420" s="118" t="str">
        <f>IFERROR(
IF(VLOOKUP($C420,'Employee information'!$B:$M,COLUMNS('Employee information'!$B:$M),0)=6,
IF($E$2="Fortnightly",
ROUND(
ROUND((((TRUNC($AN420/2,0)+0.99))*VLOOKUP((TRUNC($AN420/2,0)+0.99),'Tax scales - NAT 1004'!$A$65:$C$73,2,1)-VLOOKUP((TRUNC($AN420/2,0)+0.99),'Tax scales - NAT 1004'!$A$65:$C$73,3,1)),0)
*2,
0),
IF(AND($E$2="Monthly",ROUND($AN420-TRUNC($AN420),2)=0.33),
ROUND(
ROUND(((TRUNC(($AN420+0.01)*3/13,0)+0.99)*VLOOKUP((TRUNC(($AN420+0.01)*3/13,0)+0.99),'Tax scales - NAT 1004'!$A$65:$C$73,2,1)-VLOOKUP((TRUNC(($AN420+0.01)*3/13,0)+0.99),'Tax scales - NAT 1004'!$A$65:$C$73,3,1)),0)
*13/3,
0),
IF($E$2="Monthly",
ROUND(
ROUND(((TRUNC($AN420*3/13,0)+0.99)*VLOOKUP((TRUNC($AN420*3/13,0)+0.99),'Tax scales - NAT 1004'!$A$65:$C$73,2,1)-VLOOKUP((TRUNC($AN420*3/13,0)+0.99),'Tax scales - NAT 1004'!$A$65:$C$73,3,1)),0)
*13/3,
0),
""))),
""),
"")</f>
        <v/>
      </c>
      <c r="AU420" s="118" t="str">
        <f>IFERROR(
IF(VLOOKUP($C420,'Employee information'!$B:$M,COLUMNS('Employee information'!$B:$M),0)=11,
IF($E$2="Fortnightly",
ROUND(
ROUND((((TRUNC($AN420/2,0)+0.99))*VLOOKUP((TRUNC($AN420/2,0)+0.99),'Tax scales - NAT 3539'!$A$14:$C$38,2,1)-VLOOKUP((TRUNC($AN420/2,0)+0.99),'Tax scales - NAT 3539'!$A$14:$C$38,3,1)),0)
*2,
0),
IF(AND($E$2="Monthly",ROUND($AN420-TRUNC($AN420),2)=0.33),
ROUND(
ROUND(((TRUNC(($AN420+0.01)*3/13,0)+0.99)*VLOOKUP((TRUNC(($AN420+0.01)*3/13,0)+0.99),'Tax scales - NAT 3539'!$A$14:$C$38,2,1)-VLOOKUP((TRUNC(($AN420+0.01)*3/13,0)+0.99),'Tax scales - NAT 3539'!$A$14:$C$38,3,1)),0)
*13/3,
0),
IF($E$2="Monthly",
ROUND(
ROUND(((TRUNC($AN420*3/13,0)+0.99)*VLOOKUP((TRUNC($AN420*3/13,0)+0.99),'Tax scales - NAT 3539'!$A$14:$C$38,2,1)-VLOOKUP((TRUNC($AN420*3/13,0)+0.99),'Tax scales - NAT 3539'!$A$14:$C$38,3,1)),0)
*13/3,
0),
""))),
""),
"")</f>
        <v/>
      </c>
      <c r="AV420" s="118" t="str">
        <f>IFERROR(
IF(VLOOKUP($C420,'Employee information'!$B:$M,COLUMNS('Employee information'!$B:$M),0)=22,
IF($E$2="Fortnightly",
ROUND(
ROUND((((TRUNC($AN420/2,0)+0.99))*VLOOKUP((TRUNC($AN420/2,0)+0.99),'Tax scales - NAT 3539'!$A$43:$C$69,2,1)-VLOOKUP((TRUNC($AN420/2,0)+0.99),'Tax scales - NAT 3539'!$A$43:$C$69,3,1)),0)
*2,
0),
IF(AND($E$2="Monthly",ROUND($AN420-TRUNC($AN420),2)=0.33),
ROUND(
ROUND(((TRUNC(($AN420+0.01)*3/13,0)+0.99)*VLOOKUP((TRUNC(($AN420+0.01)*3/13,0)+0.99),'Tax scales - NAT 3539'!$A$43:$C$69,2,1)-VLOOKUP((TRUNC(($AN420+0.01)*3/13,0)+0.99),'Tax scales - NAT 3539'!$A$43:$C$69,3,1)),0)
*13/3,
0),
IF($E$2="Monthly",
ROUND(
ROUND(((TRUNC($AN420*3/13,0)+0.99)*VLOOKUP((TRUNC($AN420*3/13,0)+0.99),'Tax scales - NAT 3539'!$A$43:$C$69,2,1)-VLOOKUP((TRUNC($AN420*3/13,0)+0.99),'Tax scales - NAT 3539'!$A$43:$C$69,3,1)),0)
*13/3,
0),
""))),
""),
"")</f>
        <v/>
      </c>
      <c r="AW420" s="118" t="str">
        <f>IFERROR(
IF(VLOOKUP($C420,'Employee information'!$B:$M,COLUMNS('Employee information'!$B:$M),0)=33,
IF($E$2="Fortnightly",
ROUND(
ROUND((((TRUNC($AN420/2,0)+0.99))*VLOOKUP((TRUNC($AN420/2,0)+0.99),'Tax scales - NAT 3539'!$A$74:$C$94,2,1)-VLOOKUP((TRUNC($AN420/2,0)+0.99),'Tax scales - NAT 3539'!$A$74:$C$94,3,1)),0)
*2,
0),
IF(AND($E$2="Monthly",ROUND($AN420-TRUNC($AN420),2)=0.33),
ROUND(
ROUND(((TRUNC(($AN420+0.01)*3/13,0)+0.99)*VLOOKUP((TRUNC(($AN420+0.01)*3/13,0)+0.99),'Tax scales - NAT 3539'!$A$74:$C$94,2,1)-VLOOKUP((TRUNC(($AN420+0.01)*3/13,0)+0.99),'Tax scales - NAT 3539'!$A$74:$C$94,3,1)),0)
*13/3,
0),
IF($E$2="Monthly",
ROUND(
ROUND(((TRUNC($AN420*3/13,0)+0.99)*VLOOKUP((TRUNC($AN420*3/13,0)+0.99),'Tax scales - NAT 3539'!$A$74:$C$94,2,1)-VLOOKUP((TRUNC($AN420*3/13,0)+0.99),'Tax scales - NAT 3539'!$A$74:$C$94,3,1)),0)
*13/3,
0),
""))),
""),
"")</f>
        <v/>
      </c>
      <c r="AX420" s="118">
        <f>IFERROR(
IF(VLOOKUP($C420,'Employee information'!$B:$M,COLUMNS('Employee information'!$B:$M),0)=55,
IF($E$2="Fortnightly",
ROUND(
ROUND((((TRUNC($AN420/2,0)+0.99))*VLOOKUP((TRUNC($AN420/2,0)+0.99),'Tax scales - NAT 3539'!$A$99:$C$123,2,1)-VLOOKUP((TRUNC($AN420/2,0)+0.99),'Tax scales - NAT 3539'!$A$99:$C$123,3,1)),0)
*2,
0),
IF(AND($E$2="Monthly",ROUND($AN420-TRUNC($AN420),2)=0.33),
ROUND(
ROUND(((TRUNC(($AN420+0.01)*3/13,0)+0.99)*VLOOKUP((TRUNC(($AN420+0.01)*3/13,0)+0.99),'Tax scales - NAT 3539'!$A$99:$C$123,2,1)-VLOOKUP((TRUNC(($AN420+0.01)*3/13,0)+0.99),'Tax scales - NAT 3539'!$A$99:$C$123,3,1)),0)
*13/3,
0),
IF($E$2="Monthly",
ROUND(
ROUND(((TRUNC($AN420*3/13,0)+0.99)*VLOOKUP((TRUNC($AN420*3/13,0)+0.99),'Tax scales - NAT 3539'!$A$99:$C$123,2,1)-VLOOKUP((TRUNC($AN420*3/13,0)+0.99),'Tax scales - NAT 3539'!$A$99:$C$123,3,1)),0)
*13/3,
0),
""))),
""),
"")</f>
        <v>3104</v>
      </c>
      <c r="AY420" s="118" t="str">
        <f>IFERROR(
IF(VLOOKUP($C420,'Employee information'!$B:$M,COLUMNS('Employee information'!$B:$M),0)=66,
IF($E$2="Fortnightly",
ROUND(
ROUND((((TRUNC($AN420/2,0)+0.99))*VLOOKUP((TRUNC($AN420/2,0)+0.99),'Tax scales - NAT 3539'!$A$127:$C$154,2,1)-VLOOKUP((TRUNC($AN420/2,0)+0.99),'Tax scales - NAT 3539'!$A$127:$C$154,3,1)),0)
*2,
0),
IF(AND($E$2="Monthly",ROUND($AN420-TRUNC($AN420),2)=0.33),
ROUND(
ROUND(((TRUNC(($AN420+0.01)*3/13,0)+0.99)*VLOOKUP((TRUNC(($AN420+0.01)*3/13,0)+0.99),'Tax scales - NAT 3539'!$A$127:$C$154,2,1)-VLOOKUP((TRUNC(($AN420+0.01)*3/13,0)+0.99),'Tax scales - NAT 3539'!$A$127:$C$154,3,1)),0)
*13/3,
0),
IF($E$2="Monthly",
ROUND(
ROUND(((TRUNC($AN420*3/13,0)+0.99)*VLOOKUP((TRUNC($AN420*3/13,0)+0.99),'Tax scales - NAT 3539'!$A$127:$C$154,2,1)-VLOOKUP((TRUNC($AN420*3/13,0)+0.99),'Tax scales - NAT 3539'!$A$127:$C$154,3,1)),0)
*13/3,
0),
""))),
""),
"")</f>
        <v/>
      </c>
      <c r="AZ420" s="118">
        <f>IFERROR(
HLOOKUP(VLOOKUP($C420,'Employee information'!$B:$M,COLUMNS('Employee information'!$B:$M),0),'PAYG worksheet'!$AO$416:$AY$435,COUNTA($C$417:$C420)+1,0),
0)</f>
        <v>3104</v>
      </c>
      <c r="BA420" s="118"/>
      <c r="BB420" s="118">
        <f t="shared" si="449"/>
        <v>4588.3076923076924</v>
      </c>
      <c r="BC420" s="119">
        <f>IFERROR(
IF(OR($AE420=1,$AE420=""),SUM($P420,$AA420,$AC420,$AK420)*VLOOKUP($C420,'Employee information'!$B:$Q,COLUMNS('Employee information'!$B:$H),0),
IF($AE420=0,SUM($P420,$AA420,$AK420)*VLOOKUP($C420,'Employee information'!$B:$Q,COLUMNS('Employee information'!$B:$H),0),
0)),
0)</f>
        <v>730.76923076923083</v>
      </c>
      <c r="BE420" s="114">
        <f t="shared" si="434"/>
        <v>115524.61538461536</v>
      </c>
      <c r="BF420" s="114">
        <f t="shared" si="435"/>
        <v>115384.61538461536</v>
      </c>
      <c r="BG420" s="114">
        <f t="shared" si="436"/>
        <v>0</v>
      </c>
      <c r="BH420" s="114">
        <f t="shared" si="437"/>
        <v>140</v>
      </c>
      <c r="BI420" s="114">
        <f t="shared" si="438"/>
        <v>46560</v>
      </c>
      <c r="BJ420" s="114">
        <f t="shared" si="439"/>
        <v>0</v>
      </c>
      <c r="BK420" s="114">
        <f t="shared" si="440"/>
        <v>0</v>
      </c>
      <c r="BL420" s="114">
        <f t="shared" si="450"/>
        <v>0</v>
      </c>
      <c r="BM420" s="114">
        <f t="shared" si="441"/>
        <v>10961.538461538459</v>
      </c>
    </row>
    <row r="421" spans="1:65" x14ac:dyDescent="0.25">
      <c r="A421" s="228">
        <f t="shared" si="429"/>
        <v>15</v>
      </c>
      <c r="C421" s="278" t="s">
        <v>16</v>
      </c>
      <c r="E421" s="103">
        <f>IF($C421="",0,
IF(AND($E$2="Monthly",$A421&gt;12),0,
IF($E$2="Monthly",VLOOKUP($C421,'Employee information'!$B:$AM,COLUMNS('Employee information'!$B:S),0),
IF($E$2="Fortnightly",VLOOKUP($C421,'Employee information'!$B:$AM,COLUMNS('Employee information'!$B:R),0),
0))))</f>
        <v>75</v>
      </c>
      <c r="F421" s="106"/>
      <c r="G421" s="106"/>
      <c r="H421" s="106"/>
      <c r="I421" s="106"/>
      <c r="J421" s="103">
        <f t="shared" si="442"/>
        <v>75</v>
      </c>
      <c r="L421" s="113">
        <f>IF(AND($E$2="Monthly",$A421&gt;12),"",
IFERROR($J421*VLOOKUP($C421,'Employee information'!$B:$AI,COLUMNS('Employee information'!$B:$P),0),0))</f>
        <v>4125</v>
      </c>
      <c r="M421" s="114">
        <f t="shared" si="443"/>
        <v>61875</v>
      </c>
      <c r="O421" s="103">
        <f t="shared" si="444"/>
        <v>75</v>
      </c>
      <c r="P421" s="113">
        <f>IFERROR(
IF(AND($E$2="Monthly",$A421&gt;12),0,
$O421*VLOOKUP($C421,'Employee information'!$B:$AI,COLUMNS('Employee information'!$B:$P),0)),
0)</f>
        <v>4125</v>
      </c>
      <c r="R421" s="114">
        <f t="shared" si="430"/>
        <v>61875</v>
      </c>
      <c r="T421" s="103"/>
      <c r="U421" s="103"/>
      <c r="V421" s="282">
        <f>IF($C421="","",
IF(AND($E$2="Monthly",$A421&gt;12),"",
$T421*VLOOKUP($C421,'Employee information'!$B:$P,COLUMNS('Employee information'!$B:$P),0)))</f>
        <v>0</v>
      </c>
      <c r="W421" s="282">
        <f>IF($C421="","",
IF(AND($E$2="Monthly",$A421&gt;12),"",
$U421*VLOOKUP($C421,'Employee information'!$B:$P,COLUMNS('Employee information'!$B:$P),0)))</f>
        <v>0</v>
      </c>
      <c r="X421" s="114">
        <f t="shared" si="431"/>
        <v>0</v>
      </c>
      <c r="Y421" s="114">
        <f t="shared" si="432"/>
        <v>0</v>
      </c>
      <c r="AA421" s="118">
        <f>IFERROR(
IF(OR('Basic payroll data'!$D$12="",'Basic payroll data'!$D$12="No"),0,
$T421*VLOOKUP($C421,'Employee information'!$B:$P,COLUMNS('Employee information'!$B:$P),0)*AL_loading_perc),
0)</f>
        <v>0</v>
      </c>
      <c r="AC421" s="118"/>
      <c r="AD421" s="118"/>
      <c r="AE421" s="283" t="str">
        <f t="shared" si="445"/>
        <v/>
      </c>
      <c r="AF421" s="283" t="str">
        <f t="shared" si="446"/>
        <v/>
      </c>
      <c r="AG421" s="118"/>
      <c r="AH421" s="118"/>
      <c r="AI421" s="283" t="str">
        <f t="shared" si="447"/>
        <v/>
      </c>
      <c r="AJ421" s="118"/>
      <c r="AK421" s="118"/>
      <c r="AM421" s="118">
        <f t="shared" si="448"/>
        <v>4125</v>
      </c>
      <c r="AN421" s="118">
        <f t="shared" si="433"/>
        <v>4125</v>
      </c>
      <c r="AO421" s="118" t="str">
        <f>IFERROR(
IF(VLOOKUP($C421,'Employee information'!$B:$M,COLUMNS('Employee information'!$B:$M),0)=1,
IF($E$2="Fortnightly",
ROUND(
ROUND((((TRUNC($AN421/2,0)+0.99))*VLOOKUP((TRUNC($AN421/2,0)+0.99),'Tax scales - NAT 1004'!$A$12:$C$18,2,1)-VLOOKUP((TRUNC($AN421/2,0)+0.99),'Tax scales - NAT 1004'!$A$12:$C$18,3,1)),0)
*2,
0),
IF(AND($E$2="Monthly",ROUND($AN421-TRUNC($AN421),2)=0.33),
ROUND(
ROUND(((TRUNC(($AN421+0.01)*3/13,0)+0.99)*VLOOKUP((TRUNC(($AN421+0.01)*3/13,0)+0.99),'Tax scales - NAT 1004'!$A$12:$C$18,2,1)-VLOOKUP((TRUNC(($AN421+0.01)*3/13,0)+0.99),'Tax scales - NAT 1004'!$A$12:$C$18,3,1)),0)
*13/3,
0),
IF($E$2="Monthly",
ROUND(
ROUND(((TRUNC($AN421*3/13,0)+0.99)*VLOOKUP((TRUNC($AN421*3/13,0)+0.99),'Tax scales - NAT 1004'!$A$12:$C$18,2,1)-VLOOKUP((TRUNC($AN421*3/13,0)+0.99),'Tax scales - NAT 1004'!$A$12:$C$18,3,1)),0)
*13/3,
0),
""))),
""),
"")</f>
        <v/>
      </c>
      <c r="AP421" s="118" t="str">
        <f>IFERROR(
IF(VLOOKUP($C421,'Employee information'!$B:$M,COLUMNS('Employee information'!$B:$M),0)=2,
IF($E$2="Fortnightly",
ROUND(
ROUND((((TRUNC($AN421/2,0)+0.99))*VLOOKUP((TRUNC($AN421/2,0)+0.99),'Tax scales - NAT 1004'!$A$25:$C$33,2,1)-VLOOKUP((TRUNC($AN421/2,0)+0.99),'Tax scales - NAT 1004'!$A$25:$C$33,3,1)),0)
*2,
0),
IF(AND($E$2="Monthly",ROUND($AN421-TRUNC($AN421),2)=0.33),
ROUND(
ROUND(((TRUNC(($AN421+0.01)*3/13,0)+0.99)*VLOOKUP((TRUNC(($AN421+0.01)*3/13,0)+0.99),'Tax scales - NAT 1004'!$A$25:$C$33,2,1)-VLOOKUP((TRUNC(($AN421+0.01)*3/13,0)+0.99),'Tax scales - NAT 1004'!$A$25:$C$33,3,1)),0)
*13/3,
0),
IF($E$2="Monthly",
ROUND(
ROUND(((TRUNC($AN421*3/13,0)+0.99)*VLOOKUP((TRUNC($AN421*3/13,0)+0.99),'Tax scales - NAT 1004'!$A$25:$C$33,2,1)-VLOOKUP((TRUNC($AN421*3/13,0)+0.99),'Tax scales - NAT 1004'!$A$25:$C$33,3,1)),0)
*13/3,
0),
""))),
""),
"")</f>
        <v/>
      </c>
      <c r="AQ421" s="118" t="str">
        <f>IFERROR(
IF(VLOOKUP($C421,'Employee information'!$B:$M,COLUMNS('Employee information'!$B:$M),0)=3,
IF($E$2="Fortnightly",
ROUND(
ROUND((((TRUNC($AN421/2,0)+0.99))*VLOOKUP((TRUNC($AN421/2,0)+0.99),'Tax scales - NAT 1004'!$A$39:$C$41,2,1)-VLOOKUP((TRUNC($AN421/2,0)+0.99),'Tax scales - NAT 1004'!$A$39:$C$41,3,1)),0)
*2,
0),
IF(AND($E$2="Monthly",ROUND($AN421-TRUNC($AN421),2)=0.33),
ROUND(
ROUND(((TRUNC(($AN421+0.01)*3/13,0)+0.99)*VLOOKUP((TRUNC(($AN421+0.01)*3/13,0)+0.99),'Tax scales - NAT 1004'!$A$39:$C$41,2,1)-VLOOKUP((TRUNC(($AN421+0.01)*3/13,0)+0.99),'Tax scales - NAT 1004'!$A$39:$C$41,3,1)),0)
*13/3,
0),
IF($E$2="Monthly",
ROUND(
ROUND(((TRUNC($AN421*3/13,0)+0.99)*VLOOKUP((TRUNC($AN421*3/13,0)+0.99),'Tax scales - NAT 1004'!$A$39:$C$41,2,1)-VLOOKUP((TRUNC($AN421*3/13,0)+0.99),'Tax scales - NAT 1004'!$A$39:$C$41,3,1)),0)
*13/3,
0),
""))),
""),
"")</f>
        <v/>
      </c>
      <c r="AR421" s="118" t="str">
        <f>IFERROR(
IF(AND(VLOOKUP($C421,'Employee information'!$B:$M,COLUMNS('Employee information'!$B:$M),0)=4,
VLOOKUP($C421,'Employee information'!$B:$J,COLUMNS('Employee information'!$B:$J),0)="Resident"),
TRUNC(TRUNC($AN421)*'Tax scales - NAT 1004'!$B$47),
IF(AND(VLOOKUP($C421,'Employee information'!$B:$M,COLUMNS('Employee information'!$B:$M),0)=4,
VLOOKUP($C421,'Employee information'!$B:$J,COLUMNS('Employee information'!$B:$J),0)="Foreign resident"),
TRUNC(TRUNC($AN421)*'Tax scales - NAT 1004'!$B$48),
"")),
"")</f>
        <v/>
      </c>
      <c r="AS421" s="118" t="str">
        <f>IFERROR(
IF(VLOOKUP($C421,'Employee information'!$B:$M,COLUMNS('Employee information'!$B:$M),0)=5,
IF($E$2="Fortnightly",
ROUND(
ROUND((((TRUNC($AN421/2,0)+0.99))*VLOOKUP((TRUNC($AN421/2,0)+0.99),'Tax scales - NAT 1004'!$A$53:$C$59,2,1)-VLOOKUP((TRUNC($AN421/2,0)+0.99),'Tax scales - NAT 1004'!$A$53:$C$59,3,1)),0)
*2,
0),
IF(AND($E$2="Monthly",ROUND($AN421-TRUNC($AN421),2)=0.33),
ROUND(
ROUND(((TRUNC(($AN421+0.01)*3/13,0)+0.99)*VLOOKUP((TRUNC(($AN421+0.01)*3/13,0)+0.99),'Tax scales - NAT 1004'!$A$53:$C$59,2,1)-VLOOKUP((TRUNC(($AN421+0.01)*3/13,0)+0.99),'Tax scales - NAT 1004'!$A$53:$C$59,3,1)),0)
*13/3,
0),
IF($E$2="Monthly",
ROUND(
ROUND(((TRUNC($AN421*3/13,0)+0.99)*VLOOKUP((TRUNC($AN421*3/13,0)+0.99),'Tax scales - NAT 1004'!$A$53:$C$59,2,1)-VLOOKUP((TRUNC($AN421*3/13,0)+0.99),'Tax scales - NAT 1004'!$A$53:$C$59,3,1)),0)
*13/3,
0),
""))),
""),
"")</f>
        <v/>
      </c>
      <c r="AT421" s="118" t="str">
        <f>IFERROR(
IF(VLOOKUP($C421,'Employee information'!$B:$M,COLUMNS('Employee information'!$B:$M),0)=6,
IF($E$2="Fortnightly",
ROUND(
ROUND((((TRUNC($AN421/2,0)+0.99))*VLOOKUP((TRUNC($AN421/2,0)+0.99),'Tax scales - NAT 1004'!$A$65:$C$73,2,1)-VLOOKUP((TRUNC($AN421/2,0)+0.99),'Tax scales - NAT 1004'!$A$65:$C$73,3,1)),0)
*2,
0),
IF(AND($E$2="Monthly",ROUND($AN421-TRUNC($AN421),2)=0.33),
ROUND(
ROUND(((TRUNC(($AN421+0.01)*3/13,0)+0.99)*VLOOKUP((TRUNC(($AN421+0.01)*3/13,0)+0.99),'Tax scales - NAT 1004'!$A$65:$C$73,2,1)-VLOOKUP((TRUNC(($AN421+0.01)*3/13,0)+0.99),'Tax scales - NAT 1004'!$A$65:$C$73,3,1)),0)
*13/3,
0),
IF($E$2="Monthly",
ROUND(
ROUND(((TRUNC($AN421*3/13,0)+0.99)*VLOOKUP((TRUNC($AN421*3/13,0)+0.99),'Tax scales - NAT 1004'!$A$65:$C$73,2,1)-VLOOKUP((TRUNC($AN421*3/13,0)+0.99),'Tax scales - NAT 1004'!$A$65:$C$73,3,1)),0)
*13/3,
0),
""))),
""),
"")</f>
        <v/>
      </c>
      <c r="AU421" s="118">
        <f>IFERROR(
IF(VLOOKUP($C421,'Employee information'!$B:$M,COLUMNS('Employee information'!$B:$M),0)=11,
IF($E$2="Fortnightly",
ROUND(
ROUND((((TRUNC($AN421/2,0)+0.99))*VLOOKUP((TRUNC($AN421/2,0)+0.99),'Tax scales - NAT 3539'!$A$14:$C$38,2,1)-VLOOKUP((TRUNC($AN421/2,0)+0.99),'Tax scales - NAT 3539'!$A$14:$C$38,3,1)),0)
*2,
0),
IF(AND($E$2="Monthly",ROUND($AN421-TRUNC($AN421),2)=0.33),
ROUND(
ROUND(((TRUNC(($AN421+0.01)*3/13,0)+0.99)*VLOOKUP((TRUNC(($AN421+0.01)*3/13,0)+0.99),'Tax scales - NAT 3539'!$A$14:$C$38,2,1)-VLOOKUP((TRUNC(($AN421+0.01)*3/13,0)+0.99),'Tax scales - NAT 3539'!$A$14:$C$38,3,1)),0)
*13/3,
0),
IF($E$2="Monthly",
ROUND(
ROUND(((TRUNC($AN421*3/13,0)+0.99)*VLOOKUP((TRUNC($AN421*3/13,0)+0.99),'Tax scales - NAT 3539'!$A$14:$C$38,2,1)-VLOOKUP((TRUNC($AN421*3/13,0)+0.99),'Tax scales - NAT 3539'!$A$14:$C$38,3,1)),0)
*13/3,
0),
""))),
""),
"")</f>
        <v>1680</v>
      </c>
      <c r="AV421" s="118" t="str">
        <f>IFERROR(
IF(VLOOKUP($C421,'Employee information'!$B:$M,COLUMNS('Employee information'!$B:$M),0)=22,
IF($E$2="Fortnightly",
ROUND(
ROUND((((TRUNC($AN421/2,0)+0.99))*VLOOKUP((TRUNC($AN421/2,0)+0.99),'Tax scales - NAT 3539'!$A$43:$C$69,2,1)-VLOOKUP((TRUNC($AN421/2,0)+0.99),'Tax scales - NAT 3539'!$A$43:$C$69,3,1)),0)
*2,
0),
IF(AND($E$2="Monthly",ROUND($AN421-TRUNC($AN421),2)=0.33),
ROUND(
ROUND(((TRUNC(($AN421+0.01)*3/13,0)+0.99)*VLOOKUP((TRUNC(($AN421+0.01)*3/13,0)+0.99),'Tax scales - NAT 3539'!$A$43:$C$69,2,1)-VLOOKUP((TRUNC(($AN421+0.01)*3/13,0)+0.99),'Tax scales - NAT 3539'!$A$43:$C$69,3,1)),0)
*13/3,
0),
IF($E$2="Monthly",
ROUND(
ROUND(((TRUNC($AN421*3/13,0)+0.99)*VLOOKUP((TRUNC($AN421*3/13,0)+0.99),'Tax scales - NAT 3539'!$A$43:$C$69,2,1)-VLOOKUP((TRUNC($AN421*3/13,0)+0.99),'Tax scales - NAT 3539'!$A$43:$C$69,3,1)),0)
*13/3,
0),
""))),
""),
"")</f>
        <v/>
      </c>
      <c r="AW421" s="118" t="str">
        <f>IFERROR(
IF(VLOOKUP($C421,'Employee information'!$B:$M,COLUMNS('Employee information'!$B:$M),0)=33,
IF($E$2="Fortnightly",
ROUND(
ROUND((((TRUNC($AN421/2,0)+0.99))*VLOOKUP((TRUNC($AN421/2,0)+0.99),'Tax scales - NAT 3539'!$A$74:$C$94,2,1)-VLOOKUP((TRUNC($AN421/2,0)+0.99),'Tax scales - NAT 3539'!$A$74:$C$94,3,1)),0)
*2,
0),
IF(AND($E$2="Monthly",ROUND($AN421-TRUNC($AN421),2)=0.33),
ROUND(
ROUND(((TRUNC(($AN421+0.01)*3/13,0)+0.99)*VLOOKUP((TRUNC(($AN421+0.01)*3/13,0)+0.99),'Tax scales - NAT 3539'!$A$74:$C$94,2,1)-VLOOKUP((TRUNC(($AN421+0.01)*3/13,0)+0.99),'Tax scales - NAT 3539'!$A$74:$C$94,3,1)),0)
*13/3,
0),
IF($E$2="Monthly",
ROUND(
ROUND(((TRUNC($AN421*3/13,0)+0.99)*VLOOKUP((TRUNC($AN421*3/13,0)+0.99),'Tax scales - NAT 3539'!$A$74:$C$94,2,1)-VLOOKUP((TRUNC($AN421*3/13,0)+0.99),'Tax scales - NAT 3539'!$A$74:$C$94,3,1)),0)
*13/3,
0),
""))),
""),
"")</f>
        <v/>
      </c>
      <c r="AX421" s="118" t="str">
        <f>IFERROR(
IF(VLOOKUP($C421,'Employee information'!$B:$M,COLUMNS('Employee information'!$B:$M),0)=55,
IF($E$2="Fortnightly",
ROUND(
ROUND((((TRUNC($AN421/2,0)+0.99))*VLOOKUP((TRUNC($AN421/2,0)+0.99),'Tax scales - NAT 3539'!$A$99:$C$123,2,1)-VLOOKUP((TRUNC($AN421/2,0)+0.99),'Tax scales - NAT 3539'!$A$99:$C$123,3,1)),0)
*2,
0),
IF(AND($E$2="Monthly",ROUND($AN421-TRUNC($AN421),2)=0.33),
ROUND(
ROUND(((TRUNC(($AN421+0.01)*3/13,0)+0.99)*VLOOKUP((TRUNC(($AN421+0.01)*3/13,0)+0.99),'Tax scales - NAT 3539'!$A$99:$C$123,2,1)-VLOOKUP((TRUNC(($AN421+0.01)*3/13,0)+0.99),'Tax scales - NAT 3539'!$A$99:$C$123,3,1)),0)
*13/3,
0),
IF($E$2="Monthly",
ROUND(
ROUND(((TRUNC($AN421*3/13,0)+0.99)*VLOOKUP((TRUNC($AN421*3/13,0)+0.99),'Tax scales - NAT 3539'!$A$99:$C$123,2,1)-VLOOKUP((TRUNC($AN421*3/13,0)+0.99),'Tax scales - NAT 3539'!$A$99:$C$123,3,1)),0)
*13/3,
0),
""))),
""),
"")</f>
        <v/>
      </c>
      <c r="AY421" s="118" t="str">
        <f>IFERROR(
IF(VLOOKUP($C421,'Employee information'!$B:$M,COLUMNS('Employee information'!$B:$M),0)=66,
IF($E$2="Fortnightly",
ROUND(
ROUND((((TRUNC($AN421/2,0)+0.99))*VLOOKUP((TRUNC($AN421/2,0)+0.99),'Tax scales - NAT 3539'!$A$127:$C$154,2,1)-VLOOKUP((TRUNC($AN421/2,0)+0.99),'Tax scales - NAT 3539'!$A$127:$C$154,3,1)),0)
*2,
0),
IF(AND($E$2="Monthly",ROUND($AN421-TRUNC($AN421),2)=0.33),
ROUND(
ROUND(((TRUNC(($AN421+0.01)*3/13,0)+0.99)*VLOOKUP((TRUNC(($AN421+0.01)*3/13,0)+0.99),'Tax scales - NAT 3539'!$A$127:$C$154,2,1)-VLOOKUP((TRUNC(($AN421+0.01)*3/13,0)+0.99),'Tax scales - NAT 3539'!$A$127:$C$154,3,1)),0)
*13/3,
0),
IF($E$2="Monthly",
ROUND(
ROUND(((TRUNC($AN421*3/13,0)+0.99)*VLOOKUP((TRUNC($AN421*3/13,0)+0.99),'Tax scales - NAT 3539'!$A$127:$C$154,2,1)-VLOOKUP((TRUNC($AN421*3/13,0)+0.99),'Tax scales - NAT 3539'!$A$127:$C$154,3,1)),0)
*13/3,
0),
""))),
""),
"")</f>
        <v/>
      </c>
      <c r="AZ421" s="118">
        <f>IFERROR(
HLOOKUP(VLOOKUP($C421,'Employee information'!$B:$M,COLUMNS('Employee information'!$B:$M),0),'PAYG worksheet'!$AO$416:$AY$435,COUNTA($C$417:$C421)+1,0),
0)</f>
        <v>1680</v>
      </c>
      <c r="BA421" s="118"/>
      <c r="BB421" s="118">
        <f t="shared" si="449"/>
        <v>2445</v>
      </c>
      <c r="BC421" s="119">
        <f>IFERROR(
IF(OR($AE421=1,$AE421=""),SUM($P421,$AA421,$AC421,$AK421)*VLOOKUP($C421,'Employee information'!$B:$Q,COLUMNS('Employee information'!$B:$H),0),
IF($AE421=0,SUM($P421,$AA421,$AK421)*VLOOKUP($C421,'Employee information'!$B:$Q,COLUMNS('Employee information'!$B:$H),0),
0)),
0)</f>
        <v>391.875</v>
      </c>
      <c r="BE421" s="114">
        <f t="shared" si="434"/>
        <v>61975</v>
      </c>
      <c r="BF421" s="114">
        <f t="shared" si="435"/>
        <v>61975</v>
      </c>
      <c r="BG421" s="114">
        <f t="shared" si="436"/>
        <v>0</v>
      </c>
      <c r="BH421" s="114">
        <f t="shared" si="437"/>
        <v>0</v>
      </c>
      <c r="BI421" s="114">
        <f t="shared" si="438"/>
        <v>25248</v>
      </c>
      <c r="BJ421" s="114">
        <f t="shared" si="439"/>
        <v>0</v>
      </c>
      <c r="BK421" s="114">
        <f t="shared" si="440"/>
        <v>0</v>
      </c>
      <c r="BL421" s="114">
        <f t="shared" si="450"/>
        <v>100</v>
      </c>
      <c r="BM421" s="114">
        <f t="shared" si="441"/>
        <v>5887.625</v>
      </c>
    </row>
    <row r="422" spans="1:65" x14ac:dyDescent="0.25">
      <c r="A422" s="228">
        <f t="shared" si="429"/>
        <v>15</v>
      </c>
      <c r="C422" s="278" t="s">
        <v>17</v>
      </c>
      <c r="E422" s="103">
        <f>IF($C422="",0,
IF(AND($E$2="Monthly",$A422&gt;12),0,
IF($E$2="Monthly",VLOOKUP($C422,'Employee information'!$B:$AM,COLUMNS('Employee information'!$B:S),0),
IF($E$2="Fortnightly",VLOOKUP($C422,'Employee information'!$B:$AM,COLUMNS('Employee information'!$B:R),0),
0))))</f>
        <v>75</v>
      </c>
      <c r="F422" s="106"/>
      <c r="G422" s="106"/>
      <c r="H422" s="106"/>
      <c r="I422" s="106"/>
      <c r="J422" s="103">
        <f t="shared" si="442"/>
        <v>75</v>
      </c>
      <c r="L422" s="113">
        <f>IF(AND($E$2="Monthly",$A422&gt;12),"",
IFERROR($J422*VLOOKUP($C422,'Employee information'!$B:$AI,COLUMNS('Employee information'!$B:$P),0),0))</f>
        <v>2500</v>
      </c>
      <c r="M422" s="114">
        <f t="shared" si="443"/>
        <v>37500</v>
      </c>
      <c r="O422" s="103">
        <f t="shared" si="444"/>
        <v>75</v>
      </c>
      <c r="P422" s="113">
        <f>IFERROR(
IF(AND($E$2="Monthly",$A422&gt;12),0,
$O422*VLOOKUP($C422,'Employee information'!$B:$AI,COLUMNS('Employee information'!$B:$P),0)),
0)</f>
        <v>2500</v>
      </c>
      <c r="R422" s="114">
        <f t="shared" si="430"/>
        <v>37500</v>
      </c>
      <c r="T422" s="103"/>
      <c r="U422" s="103"/>
      <c r="V422" s="282">
        <f>IF($C422="","",
IF(AND($E$2="Monthly",$A422&gt;12),"",
$T422*VLOOKUP($C422,'Employee information'!$B:$P,COLUMNS('Employee information'!$B:$P),0)))</f>
        <v>0</v>
      </c>
      <c r="W422" s="282">
        <f>IF($C422="","",
IF(AND($E$2="Monthly",$A422&gt;12),"",
$U422*VLOOKUP($C422,'Employee information'!$B:$P,COLUMNS('Employee information'!$B:$P),0)))</f>
        <v>0</v>
      </c>
      <c r="X422" s="114">
        <f t="shared" si="431"/>
        <v>0</v>
      </c>
      <c r="Y422" s="114">
        <f t="shared" si="432"/>
        <v>0</v>
      </c>
      <c r="AA422" s="118">
        <f>IFERROR(
IF(OR('Basic payroll data'!$D$12="",'Basic payroll data'!$D$12="No"),0,
$T422*VLOOKUP($C422,'Employee information'!$B:$P,COLUMNS('Employee information'!$B:$P),0)*AL_loading_perc),
0)</f>
        <v>0</v>
      </c>
      <c r="AC422" s="118"/>
      <c r="AD422" s="118"/>
      <c r="AE422" s="283" t="str">
        <f t="shared" si="445"/>
        <v/>
      </c>
      <c r="AF422" s="283" t="str">
        <f t="shared" si="446"/>
        <v/>
      </c>
      <c r="AG422" s="118"/>
      <c r="AH422" s="118"/>
      <c r="AI422" s="283" t="str">
        <f t="shared" si="447"/>
        <v/>
      </c>
      <c r="AJ422" s="118"/>
      <c r="AK422" s="118"/>
      <c r="AM422" s="118">
        <f t="shared" si="448"/>
        <v>2500</v>
      </c>
      <c r="AN422" s="118">
        <f t="shared" si="433"/>
        <v>2500</v>
      </c>
      <c r="AO422" s="118" t="str">
        <f>IFERROR(
IF(VLOOKUP($C422,'Employee information'!$B:$M,COLUMNS('Employee information'!$B:$M),0)=1,
IF($E$2="Fortnightly",
ROUND(
ROUND((((TRUNC($AN422/2,0)+0.99))*VLOOKUP((TRUNC($AN422/2,0)+0.99),'Tax scales - NAT 1004'!$A$12:$C$18,2,1)-VLOOKUP((TRUNC($AN422/2,0)+0.99),'Tax scales - NAT 1004'!$A$12:$C$18,3,1)),0)
*2,
0),
IF(AND($E$2="Monthly",ROUND($AN422-TRUNC($AN422),2)=0.33),
ROUND(
ROUND(((TRUNC(($AN422+0.01)*3/13,0)+0.99)*VLOOKUP((TRUNC(($AN422+0.01)*3/13,0)+0.99),'Tax scales - NAT 1004'!$A$12:$C$18,2,1)-VLOOKUP((TRUNC(($AN422+0.01)*3/13,0)+0.99),'Tax scales - NAT 1004'!$A$12:$C$18,3,1)),0)
*13/3,
0),
IF($E$2="Monthly",
ROUND(
ROUND(((TRUNC($AN422*3/13,0)+0.99)*VLOOKUP((TRUNC($AN422*3/13,0)+0.99),'Tax scales - NAT 1004'!$A$12:$C$18,2,1)-VLOOKUP((TRUNC($AN422*3/13,0)+0.99),'Tax scales - NAT 1004'!$A$12:$C$18,3,1)),0)
*13/3,
0),
""))),
""),
"")</f>
        <v/>
      </c>
      <c r="AP422" s="118" t="str">
        <f>IFERROR(
IF(VLOOKUP($C422,'Employee information'!$B:$M,COLUMNS('Employee information'!$B:$M),0)=2,
IF($E$2="Fortnightly",
ROUND(
ROUND((((TRUNC($AN422/2,0)+0.99))*VLOOKUP((TRUNC($AN422/2,0)+0.99),'Tax scales - NAT 1004'!$A$25:$C$33,2,1)-VLOOKUP((TRUNC($AN422/2,0)+0.99),'Tax scales - NAT 1004'!$A$25:$C$33,3,1)),0)
*2,
0),
IF(AND($E$2="Monthly",ROUND($AN422-TRUNC($AN422),2)=0.33),
ROUND(
ROUND(((TRUNC(($AN422+0.01)*3/13,0)+0.99)*VLOOKUP((TRUNC(($AN422+0.01)*3/13,0)+0.99),'Tax scales - NAT 1004'!$A$25:$C$33,2,1)-VLOOKUP((TRUNC(($AN422+0.01)*3/13,0)+0.99),'Tax scales - NAT 1004'!$A$25:$C$33,3,1)),0)
*13/3,
0),
IF($E$2="Monthly",
ROUND(
ROUND(((TRUNC($AN422*3/13,0)+0.99)*VLOOKUP((TRUNC($AN422*3/13,0)+0.99),'Tax scales - NAT 1004'!$A$25:$C$33,2,1)-VLOOKUP((TRUNC($AN422*3/13,0)+0.99),'Tax scales - NAT 1004'!$A$25:$C$33,3,1)),0)
*13/3,
0),
""))),
""),
"")</f>
        <v/>
      </c>
      <c r="AQ422" s="118" t="str">
        <f>IFERROR(
IF(VLOOKUP($C422,'Employee information'!$B:$M,COLUMNS('Employee information'!$B:$M),0)=3,
IF($E$2="Fortnightly",
ROUND(
ROUND((((TRUNC($AN422/2,0)+0.99))*VLOOKUP((TRUNC($AN422/2,0)+0.99),'Tax scales - NAT 1004'!$A$39:$C$41,2,1)-VLOOKUP((TRUNC($AN422/2,0)+0.99),'Tax scales - NAT 1004'!$A$39:$C$41,3,1)),0)
*2,
0),
IF(AND($E$2="Monthly",ROUND($AN422-TRUNC($AN422),2)=0.33),
ROUND(
ROUND(((TRUNC(($AN422+0.01)*3/13,0)+0.99)*VLOOKUP((TRUNC(($AN422+0.01)*3/13,0)+0.99),'Tax scales - NAT 1004'!$A$39:$C$41,2,1)-VLOOKUP((TRUNC(($AN422+0.01)*3/13,0)+0.99),'Tax scales - NAT 1004'!$A$39:$C$41,3,1)),0)
*13/3,
0),
IF($E$2="Monthly",
ROUND(
ROUND(((TRUNC($AN422*3/13,0)+0.99)*VLOOKUP((TRUNC($AN422*3/13,0)+0.99),'Tax scales - NAT 1004'!$A$39:$C$41,2,1)-VLOOKUP((TRUNC($AN422*3/13,0)+0.99),'Tax scales - NAT 1004'!$A$39:$C$41,3,1)),0)
*13/3,
0),
""))),
""),
"")</f>
        <v/>
      </c>
      <c r="AR422" s="118">
        <f>IFERROR(
IF(AND(VLOOKUP($C422,'Employee information'!$B:$M,COLUMNS('Employee information'!$B:$M),0)=4,
VLOOKUP($C422,'Employee information'!$B:$J,COLUMNS('Employee information'!$B:$J),0)="Resident"),
TRUNC(TRUNC($AN422)*'Tax scales - NAT 1004'!$B$47),
IF(AND(VLOOKUP($C422,'Employee information'!$B:$M,COLUMNS('Employee information'!$B:$M),0)=4,
VLOOKUP($C422,'Employee information'!$B:$J,COLUMNS('Employee information'!$B:$J),0)="Foreign resident"),
TRUNC(TRUNC($AN422)*'Tax scales - NAT 1004'!$B$48),
"")),
"")</f>
        <v>1175</v>
      </c>
      <c r="AS422" s="118" t="str">
        <f>IFERROR(
IF(VLOOKUP($C422,'Employee information'!$B:$M,COLUMNS('Employee information'!$B:$M),0)=5,
IF($E$2="Fortnightly",
ROUND(
ROUND((((TRUNC($AN422/2,0)+0.99))*VLOOKUP((TRUNC($AN422/2,0)+0.99),'Tax scales - NAT 1004'!$A$53:$C$59,2,1)-VLOOKUP((TRUNC($AN422/2,0)+0.99),'Tax scales - NAT 1004'!$A$53:$C$59,3,1)),0)
*2,
0),
IF(AND($E$2="Monthly",ROUND($AN422-TRUNC($AN422),2)=0.33),
ROUND(
ROUND(((TRUNC(($AN422+0.01)*3/13,0)+0.99)*VLOOKUP((TRUNC(($AN422+0.01)*3/13,0)+0.99),'Tax scales - NAT 1004'!$A$53:$C$59,2,1)-VLOOKUP((TRUNC(($AN422+0.01)*3/13,0)+0.99),'Tax scales - NAT 1004'!$A$53:$C$59,3,1)),0)
*13/3,
0),
IF($E$2="Monthly",
ROUND(
ROUND(((TRUNC($AN422*3/13,0)+0.99)*VLOOKUP((TRUNC($AN422*3/13,0)+0.99),'Tax scales - NAT 1004'!$A$53:$C$59,2,1)-VLOOKUP((TRUNC($AN422*3/13,0)+0.99),'Tax scales - NAT 1004'!$A$53:$C$59,3,1)),0)
*13/3,
0),
""))),
""),
"")</f>
        <v/>
      </c>
      <c r="AT422" s="118" t="str">
        <f>IFERROR(
IF(VLOOKUP($C422,'Employee information'!$B:$M,COLUMNS('Employee information'!$B:$M),0)=6,
IF($E$2="Fortnightly",
ROUND(
ROUND((((TRUNC($AN422/2,0)+0.99))*VLOOKUP((TRUNC($AN422/2,0)+0.99),'Tax scales - NAT 1004'!$A$65:$C$73,2,1)-VLOOKUP((TRUNC($AN422/2,0)+0.99),'Tax scales - NAT 1004'!$A$65:$C$73,3,1)),0)
*2,
0),
IF(AND($E$2="Monthly",ROUND($AN422-TRUNC($AN422),2)=0.33),
ROUND(
ROUND(((TRUNC(($AN422+0.01)*3/13,0)+0.99)*VLOOKUP((TRUNC(($AN422+0.01)*3/13,0)+0.99),'Tax scales - NAT 1004'!$A$65:$C$73,2,1)-VLOOKUP((TRUNC(($AN422+0.01)*3/13,0)+0.99),'Tax scales - NAT 1004'!$A$65:$C$73,3,1)),0)
*13/3,
0),
IF($E$2="Monthly",
ROUND(
ROUND(((TRUNC($AN422*3/13,0)+0.99)*VLOOKUP((TRUNC($AN422*3/13,0)+0.99),'Tax scales - NAT 1004'!$A$65:$C$73,2,1)-VLOOKUP((TRUNC($AN422*3/13,0)+0.99),'Tax scales - NAT 1004'!$A$65:$C$73,3,1)),0)
*13/3,
0),
""))),
""),
"")</f>
        <v/>
      </c>
      <c r="AU422" s="118" t="str">
        <f>IFERROR(
IF(VLOOKUP($C422,'Employee information'!$B:$M,COLUMNS('Employee information'!$B:$M),0)=11,
IF($E$2="Fortnightly",
ROUND(
ROUND((((TRUNC($AN422/2,0)+0.99))*VLOOKUP((TRUNC($AN422/2,0)+0.99),'Tax scales - NAT 3539'!$A$14:$C$38,2,1)-VLOOKUP((TRUNC($AN422/2,0)+0.99),'Tax scales - NAT 3539'!$A$14:$C$38,3,1)),0)
*2,
0),
IF(AND($E$2="Monthly",ROUND($AN422-TRUNC($AN422),2)=0.33),
ROUND(
ROUND(((TRUNC(($AN422+0.01)*3/13,0)+0.99)*VLOOKUP((TRUNC(($AN422+0.01)*3/13,0)+0.99),'Tax scales - NAT 3539'!$A$14:$C$38,2,1)-VLOOKUP((TRUNC(($AN422+0.01)*3/13,0)+0.99),'Tax scales - NAT 3539'!$A$14:$C$38,3,1)),0)
*13/3,
0),
IF($E$2="Monthly",
ROUND(
ROUND(((TRUNC($AN422*3/13,0)+0.99)*VLOOKUP((TRUNC($AN422*3/13,0)+0.99),'Tax scales - NAT 3539'!$A$14:$C$38,2,1)-VLOOKUP((TRUNC($AN422*3/13,0)+0.99),'Tax scales - NAT 3539'!$A$14:$C$38,3,1)),0)
*13/3,
0),
""))),
""),
"")</f>
        <v/>
      </c>
      <c r="AV422" s="118" t="str">
        <f>IFERROR(
IF(VLOOKUP($C422,'Employee information'!$B:$M,COLUMNS('Employee information'!$B:$M),0)=22,
IF($E$2="Fortnightly",
ROUND(
ROUND((((TRUNC($AN422/2,0)+0.99))*VLOOKUP((TRUNC($AN422/2,0)+0.99),'Tax scales - NAT 3539'!$A$43:$C$69,2,1)-VLOOKUP((TRUNC($AN422/2,0)+0.99),'Tax scales - NAT 3539'!$A$43:$C$69,3,1)),0)
*2,
0),
IF(AND($E$2="Monthly",ROUND($AN422-TRUNC($AN422),2)=0.33),
ROUND(
ROUND(((TRUNC(($AN422+0.01)*3/13,0)+0.99)*VLOOKUP((TRUNC(($AN422+0.01)*3/13,0)+0.99),'Tax scales - NAT 3539'!$A$43:$C$69,2,1)-VLOOKUP((TRUNC(($AN422+0.01)*3/13,0)+0.99),'Tax scales - NAT 3539'!$A$43:$C$69,3,1)),0)
*13/3,
0),
IF($E$2="Monthly",
ROUND(
ROUND(((TRUNC($AN422*3/13,0)+0.99)*VLOOKUP((TRUNC($AN422*3/13,0)+0.99),'Tax scales - NAT 3539'!$A$43:$C$69,2,1)-VLOOKUP((TRUNC($AN422*3/13,0)+0.99),'Tax scales - NAT 3539'!$A$43:$C$69,3,1)),0)
*13/3,
0),
""))),
""),
"")</f>
        <v/>
      </c>
      <c r="AW422" s="118" t="str">
        <f>IFERROR(
IF(VLOOKUP($C422,'Employee information'!$B:$M,COLUMNS('Employee information'!$B:$M),0)=33,
IF($E$2="Fortnightly",
ROUND(
ROUND((((TRUNC($AN422/2,0)+0.99))*VLOOKUP((TRUNC($AN422/2,0)+0.99),'Tax scales - NAT 3539'!$A$74:$C$94,2,1)-VLOOKUP((TRUNC($AN422/2,0)+0.99),'Tax scales - NAT 3539'!$A$74:$C$94,3,1)),0)
*2,
0),
IF(AND($E$2="Monthly",ROUND($AN422-TRUNC($AN422),2)=0.33),
ROUND(
ROUND(((TRUNC(($AN422+0.01)*3/13,0)+0.99)*VLOOKUP((TRUNC(($AN422+0.01)*3/13,0)+0.99),'Tax scales - NAT 3539'!$A$74:$C$94,2,1)-VLOOKUP((TRUNC(($AN422+0.01)*3/13,0)+0.99),'Tax scales - NAT 3539'!$A$74:$C$94,3,1)),0)
*13/3,
0),
IF($E$2="Monthly",
ROUND(
ROUND(((TRUNC($AN422*3/13,0)+0.99)*VLOOKUP((TRUNC($AN422*3/13,0)+0.99),'Tax scales - NAT 3539'!$A$74:$C$94,2,1)-VLOOKUP((TRUNC($AN422*3/13,0)+0.99),'Tax scales - NAT 3539'!$A$74:$C$94,3,1)),0)
*13/3,
0),
""))),
""),
"")</f>
        <v/>
      </c>
      <c r="AX422" s="118" t="str">
        <f>IFERROR(
IF(VLOOKUP($C422,'Employee information'!$B:$M,COLUMNS('Employee information'!$B:$M),0)=55,
IF($E$2="Fortnightly",
ROUND(
ROUND((((TRUNC($AN422/2,0)+0.99))*VLOOKUP((TRUNC($AN422/2,0)+0.99),'Tax scales - NAT 3539'!$A$99:$C$123,2,1)-VLOOKUP((TRUNC($AN422/2,0)+0.99),'Tax scales - NAT 3539'!$A$99:$C$123,3,1)),0)
*2,
0),
IF(AND($E$2="Monthly",ROUND($AN422-TRUNC($AN422),2)=0.33),
ROUND(
ROUND(((TRUNC(($AN422+0.01)*3/13,0)+0.99)*VLOOKUP((TRUNC(($AN422+0.01)*3/13,0)+0.99),'Tax scales - NAT 3539'!$A$99:$C$123,2,1)-VLOOKUP((TRUNC(($AN422+0.01)*3/13,0)+0.99),'Tax scales - NAT 3539'!$A$99:$C$123,3,1)),0)
*13/3,
0),
IF($E$2="Monthly",
ROUND(
ROUND(((TRUNC($AN422*3/13,0)+0.99)*VLOOKUP((TRUNC($AN422*3/13,0)+0.99),'Tax scales - NAT 3539'!$A$99:$C$123,2,1)-VLOOKUP((TRUNC($AN422*3/13,0)+0.99),'Tax scales - NAT 3539'!$A$99:$C$123,3,1)),0)
*13/3,
0),
""))),
""),
"")</f>
        <v/>
      </c>
      <c r="AY422" s="118" t="str">
        <f>IFERROR(
IF(VLOOKUP($C422,'Employee information'!$B:$M,COLUMNS('Employee information'!$B:$M),0)=66,
IF($E$2="Fortnightly",
ROUND(
ROUND((((TRUNC($AN422/2,0)+0.99))*VLOOKUP((TRUNC($AN422/2,0)+0.99),'Tax scales - NAT 3539'!$A$127:$C$154,2,1)-VLOOKUP((TRUNC($AN422/2,0)+0.99),'Tax scales - NAT 3539'!$A$127:$C$154,3,1)),0)
*2,
0),
IF(AND($E$2="Monthly",ROUND($AN422-TRUNC($AN422),2)=0.33),
ROUND(
ROUND(((TRUNC(($AN422+0.01)*3/13,0)+0.99)*VLOOKUP((TRUNC(($AN422+0.01)*3/13,0)+0.99),'Tax scales - NAT 3539'!$A$127:$C$154,2,1)-VLOOKUP((TRUNC(($AN422+0.01)*3/13,0)+0.99),'Tax scales - NAT 3539'!$A$127:$C$154,3,1)),0)
*13/3,
0),
IF($E$2="Monthly",
ROUND(
ROUND(((TRUNC($AN422*3/13,0)+0.99)*VLOOKUP((TRUNC($AN422*3/13,0)+0.99),'Tax scales - NAT 3539'!$A$127:$C$154,2,1)-VLOOKUP((TRUNC($AN422*3/13,0)+0.99),'Tax scales - NAT 3539'!$A$127:$C$154,3,1)),0)
*13/3,
0),
""))),
""),
"")</f>
        <v/>
      </c>
      <c r="AZ422" s="118">
        <f>IFERROR(
HLOOKUP(VLOOKUP($C422,'Employee information'!$B:$M,COLUMNS('Employee information'!$B:$M),0),'PAYG worksheet'!$AO$416:$AY$435,COUNTA($C$417:$C422)+1,0),
0)</f>
        <v>1175</v>
      </c>
      <c r="BA422" s="118"/>
      <c r="BB422" s="118">
        <f t="shared" si="449"/>
        <v>1325</v>
      </c>
      <c r="BC422" s="119">
        <f>IFERROR(
IF(OR($AE422=1,$AE422=""),SUM($P422,$AA422,$AC422,$AK422)*VLOOKUP($C422,'Employee information'!$B:$Q,COLUMNS('Employee information'!$B:$H),0),
IF($AE422=0,SUM($P422,$AA422,$AK422)*VLOOKUP($C422,'Employee information'!$B:$Q,COLUMNS('Employee information'!$B:$H),0),
0)),
0)</f>
        <v>237.5</v>
      </c>
      <c r="BE422" s="114">
        <f t="shared" si="434"/>
        <v>37500</v>
      </c>
      <c r="BF422" s="114">
        <f t="shared" si="435"/>
        <v>37500</v>
      </c>
      <c r="BG422" s="114">
        <f t="shared" si="436"/>
        <v>0</v>
      </c>
      <c r="BH422" s="114">
        <f t="shared" si="437"/>
        <v>0</v>
      </c>
      <c r="BI422" s="114">
        <f t="shared" si="438"/>
        <v>17625</v>
      </c>
      <c r="BJ422" s="114">
        <f t="shared" si="439"/>
        <v>0</v>
      </c>
      <c r="BK422" s="114">
        <f t="shared" si="440"/>
        <v>0</v>
      </c>
      <c r="BL422" s="114">
        <f t="shared" si="450"/>
        <v>0</v>
      </c>
      <c r="BM422" s="114">
        <f t="shared" si="441"/>
        <v>3562.5</v>
      </c>
    </row>
    <row r="423" spans="1:65" x14ac:dyDescent="0.25">
      <c r="A423" s="228">
        <f t="shared" si="429"/>
        <v>15</v>
      </c>
      <c r="C423" s="278" t="s">
        <v>95</v>
      </c>
      <c r="E423" s="103">
        <f>IF($C423="",0,
IF(AND($E$2="Monthly",$A423&gt;12),0,
IF($E$2="Monthly",VLOOKUP($C423,'Employee information'!$B:$AM,COLUMNS('Employee information'!$B:S),0),
IF($E$2="Fortnightly",VLOOKUP($C423,'Employee information'!$B:$AM,COLUMNS('Employee information'!$B:R),0),
0))))</f>
        <v>45</v>
      </c>
      <c r="F423" s="106"/>
      <c r="G423" s="106"/>
      <c r="H423" s="106"/>
      <c r="I423" s="106"/>
      <c r="J423" s="103">
        <f t="shared" si="442"/>
        <v>45</v>
      </c>
      <c r="L423" s="113">
        <f>IF(AND($E$2="Monthly",$A423&gt;12),"",
IFERROR($J423*VLOOKUP($C423,'Employee information'!$B:$AI,COLUMNS('Employee information'!$B:$P),0),0))</f>
        <v>1107.6923076923078</v>
      </c>
      <c r="M423" s="114">
        <f t="shared" si="443"/>
        <v>16615.384615384621</v>
      </c>
      <c r="O423" s="103">
        <f t="shared" si="444"/>
        <v>45</v>
      </c>
      <c r="P423" s="113">
        <f>IFERROR(
IF(AND($E$2="Monthly",$A423&gt;12),0,
$O423*VLOOKUP($C423,'Employee information'!$B:$AI,COLUMNS('Employee information'!$B:$P),0)),
0)</f>
        <v>1107.6923076923078</v>
      </c>
      <c r="R423" s="114">
        <f t="shared" si="430"/>
        <v>16615.384615384621</v>
      </c>
      <c r="T423" s="103"/>
      <c r="U423" s="103"/>
      <c r="V423" s="282">
        <f>IF($C423="","",
IF(AND($E$2="Monthly",$A423&gt;12),"",
$T423*VLOOKUP($C423,'Employee information'!$B:$P,COLUMNS('Employee information'!$B:$P),0)))</f>
        <v>0</v>
      </c>
      <c r="W423" s="282">
        <f>IF($C423="","",
IF(AND($E$2="Monthly",$A423&gt;12),"",
$U423*VLOOKUP($C423,'Employee information'!$B:$P,COLUMNS('Employee information'!$B:$P),0)))</f>
        <v>0</v>
      </c>
      <c r="X423" s="114">
        <f t="shared" si="431"/>
        <v>0</v>
      </c>
      <c r="Y423" s="114">
        <f t="shared" si="432"/>
        <v>0</v>
      </c>
      <c r="AA423" s="118">
        <f>IFERROR(
IF(OR('Basic payroll data'!$D$12="",'Basic payroll data'!$D$12="No"),0,
$T423*VLOOKUP($C423,'Employee information'!$B:$P,COLUMNS('Employee information'!$B:$P),0)*AL_loading_perc),
0)</f>
        <v>0</v>
      </c>
      <c r="AC423" s="118"/>
      <c r="AD423" s="118"/>
      <c r="AE423" s="283" t="str">
        <f t="shared" si="445"/>
        <v/>
      </c>
      <c r="AF423" s="283" t="str">
        <f t="shared" si="446"/>
        <v/>
      </c>
      <c r="AG423" s="118"/>
      <c r="AH423" s="118"/>
      <c r="AI423" s="283" t="str">
        <f t="shared" si="447"/>
        <v/>
      </c>
      <c r="AJ423" s="118"/>
      <c r="AK423" s="118"/>
      <c r="AM423" s="118">
        <f t="shared" si="448"/>
        <v>1107.6923076923078</v>
      </c>
      <c r="AN423" s="118">
        <f t="shared" si="433"/>
        <v>1107.6923076923078</v>
      </c>
      <c r="AO423" s="118" t="str">
        <f>IFERROR(
IF(VLOOKUP($C423,'Employee information'!$B:$M,COLUMNS('Employee information'!$B:$M),0)=1,
IF($E$2="Fortnightly",
ROUND(
ROUND((((TRUNC($AN423/2,0)+0.99))*VLOOKUP((TRUNC($AN423/2,0)+0.99),'Tax scales - NAT 1004'!$A$12:$C$18,2,1)-VLOOKUP((TRUNC($AN423/2,0)+0.99),'Tax scales - NAT 1004'!$A$12:$C$18,3,1)),0)
*2,
0),
IF(AND($E$2="Monthly",ROUND($AN423-TRUNC($AN423),2)=0.33),
ROUND(
ROUND(((TRUNC(($AN423+0.01)*3/13,0)+0.99)*VLOOKUP((TRUNC(($AN423+0.01)*3/13,0)+0.99),'Tax scales - NAT 1004'!$A$12:$C$18,2,1)-VLOOKUP((TRUNC(($AN423+0.01)*3/13,0)+0.99),'Tax scales - NAT 1004'!$A$12:$C$18,3,1)),0)
*13/3,
0),
IF($E$2="Monthly",
ROUND(
ROUND(((TRUNC($AN423*3/13,0)+0.99)*VLOOKUP((TRUNC($AN423*3/13,0)+0.99),'Tax scales - NAT 1004'!$A$12:$C$18,2,1)-VLOOKUP((TRUNC($AN423*3/13,0)+0.99),'Tax scales - NAT 1004'!$A$12:$C$18,3,1)),0)
*13/3,
0),
""))),
""),
"")</f>
        <v/>
      </c>
      <c r="AP423" s="118" t="str">
        <f>IFERROR(
IF(VLOOKUP($C423,'Employee information'!$B:$M,COLUMNS('Employee information'!$B:$M),0)=2,
IF($E$2="Fortnightly",
ROUND(
ROUND((((TRUNC($AN423/2,0)+0.99))*VLOOKUP((TRUNC($AN423/2,0)+0.99),'Tax scales - NAT 1004'!$A$25:$C$33,2,1)-VLOOKUP((TRUNC($AN423/2,0)+0.99),'Tax scales - NAT 1004'!$A$25:$C$33,3,1)),0)
*2,
0),
IF(AND($E$2="Monthly",ROUND($AN423-TRUNC($AN423),2)=0.33),
ROUND(
ROUND(((TRUNC(($AN423+0.01)*3/13,0)+0.99)*VLOOKUP((TRUNC(($AN423+0.01)*3/13,0)+0.99),'Tax scales - NAT 1004'!$A$25:$C$33,2,1)-VLOOKUP((TRUNC(($AN423+0.01)*3/13,0)+0.99),'Tax scales - NAT 1004'!$A$25:$C$33,3,1)),0)
*13/3,
0),
IF($E$2="Monthly",
ROUND(
ROUND(((TRUNC($AN423*3/13,0)+0.99)*VLOOKUP((TRUNC($AN423*3/13,0)+0.99),'Tax scales - NAT 1004'!$A$25:$C$33,2,1)-VLOOKUP((TRUNC($AN423*3/13,0)+0.99),'Tax scales - NAT 1004'!$A$25:$C$33,3,1)),0)
*13/3,
0),
""))),
""),
"")</f>
        <v/>
      </c>
      <c r="AQ423" s="118" t="str">
        <f>IFERROR(
IF(VLOOKUP($C423,'Employee information'!$B:$M,COLUMNS('Employee information'!$B:$M),0)=3,
IF($E$2="Fortnightly",
ROUND(
ROUND((((TRUNC($AN423/2,0)+0.99))*VLOOKUP((TRUNC($AN423/2,0)+0.99),'Tax scales - NAT 1004'!$A$39:$C$41,2,1)-VLOOKUP((TRUNC($AN423/2,0)+0.99),'Tax scales - NAT 1004'!$A$39:$C$41,3,1)),0)
*2,
0),
IF(AND($E$2="Monthly",ROUND($AN423-TRUNC($AN423),2)=0.33),
ROUND(
ROUND(((TRUNC(($AN423+0.01)*3/13,0)+0.99)*VLOOKUP((TRUNC(($AN423+0.01)*3/13,0)+0.99),'Tax scales - NAT 1004'!$A$39:$C$41,2,1)-VLOOKUP((TRUNC(($AN423+0.01)*3/13,0)+0.99),'Tax scales - NAT 1004'!$A$39:$C$41,3,1)),0)
*13/3,
0),
IF($E$2="Monthly",
ROUND(
ROUND(((TRUNC($AN423*3/13,0)+0.99)*VLOOKUP((TRUNC($AN423*3/13,0)+0.99),'Tax scales - NAT 1004'!$A$39:$C$41,2,1)-VLOOKUP((TRUNC($AN423*3/13,0)+0.99),'Tax scales - NAT 1004'!$A$39:$C$41,3,1)),0)
*13/3,
0),
""))),
""),
"")</f>
        <v/>
      </c>
      <c r="AR423" s="118" t="str">
        <f>IFERROR(
IF(AND(VLOOKUP($C423,'Employee information'!$B:$M,COLUMNS('Employee information'!$B:$M),0)=4,
VLOOKUP($C423,'Employee information'!$B:$J,COLUMNS('Employee information'!$B:$J),0)="Resident"),
TRUNC(TRUNC($AN423)*'Tax scales - NAT 1004'!$B$47),
IF(AND(VLOOKUP($C423,'Employee information'!$B:$M,COLUMNS('Employee information'!$B:$M),0)=4,
VLOOKUP($C423,'Employee information'!$B:$J,COLUMNS('Employee information'!$B:$J),0)="Foreign resident"),
TRUNC(TRUNC($AN423)*'Tax scales - NAT 1004'!$B$48),
"")),
"")</f>
        <v/>
      </c>
      <c r="AS423" s="118" t="str">
        <f>IFERROR(
IF(VLOOKUP($C423,'Employee information'!$B:$M,COLUMNS('Employee information'!$B:$M),0)=5,
IF($E$2="Fortnightly",
ROUND(
ROUND((((TRUNC($AN423/2,0)+0.99))*VLOOKUP((TRUNC($AN423/2,0)+0.99),'Tax scales - NAT 1004'!$A$53:$C$59,2,1)-VLOOKUP((TRUNC($AN423/2,0)+0.99),'Tax scales - NAT 1004'!$A$53:$C$59,3,1)),0)
*2,
0),
IF(AND($E$2="Monthly",ROUND($AN423-TRUNC($AN423),2)=0.33),
ROUND(
ROUND(((TRUNC(($AN423+0.01)*3/13,0)+0.99)*VLOOKUP((TRUNC(($AN423+0.01)*3/13,0)+0.99),'Tax scales - NAT 1004'!$A$53:$C$59,2,1)-VLOOKUP((TRUNC(($AN423+0.01)*3/13,0)+0.99),'Tax scales - NAT 1004'!$A$53:$C$59,3,1)),0)
*13/3,
0),
IF($E$2="Monthly",
ROUND(
ROUND(((TRUNC($AN423*3/13,0)+0.99)*VLOOKUP((TRUNC($AN423*3/13,0)+0.99),'Tax scales - NAT 1004'!$A$53:$C$59,2,1)-VLOOKUP((TRUNC($AN423*3/13,0)+0.99),'Tax scales - NAT 1004'!$A$53:$C$59,3,1)),0)
*13/3,
0),
""))),
""),
"")</f>
        <v/>
      </c>
      <c r="AT423" s="118" t="str">
        <f>IFERROR(
IF(VLOOKUP($C423,'Employee information'!$B:$M,COLUMNS('Employee information'!$B:$M),0)=6,
IF($E$2="Fortnightly",
ROUND(
ROUND((((TRUNC($AN423/2,0)+0.99))*VLOOKUP((TRUNC($AN423/2,0)+0.99),'Tax scales - NAT 1004'!$A$65:$C$73,2,1)-VLOOKUP((TRUNC($AN423/2,0)+0.99),'Tax scales - NAT 1004'!$A$65:$C$73,3,1)),0)
*2,
0),
IF(AND($E$2="Monthly",ROUND($AN423-TRUNC($AN423),2)=0.33),
ROUND(
ROUND(((TRUNC(($AN423+0.01)*3/13,0)+0.99)*VLOOKUP((TRUNC(($AN423+0.01)*3/13,0)+0.99),'Tax scales - NAT 1004'!$A$65:$C$73,2,1)-VLOOKUP((TRUNC(($AN423+0.01)*3/13,0)+0.99),'Tax scales - NAT 1004'!$A$65:$C$73,3,1)),0)
*13/3,
0),
IF($E$2="Monthly",
ROUND(
ROUND(((TRUNC($AN423*3/13,0)+0.99)*VLOOKUP((TRUNC($AN423*3/13,0)+0.99),'Tax scales - NAT 1004'!$A$65:$C$73,2,1)-VLOOKUP((TRUNC($AN423*3/13,0)+0.99),'Tax scales - NAT 1004'!$A$65:$C$73,3,1)),0)
*13/3,
0),
""))),
""),
"")</f>
        <v/>
      </c>
      <c r="AU423" s="118" t="str">
        <f>IFERROR(
IF(VLOOKUP($C423,'Employee information'!$B:$M,COLUMNS('Employee information'!$B:$M),0)=11,
IF($E$2="Fortnightly",
ROUND(
ROUND((((TRUNC($AN423/2,0)+0.99))*VLOOKUP((TRUNC($AN423/2,0)+0.99),'Tax scales - NAT 3539'!$A$14:$C$38,2,1)-VLOOKUP((TRUNC($AN423/2,0)+0.99),'Tax scales - NAT 3539'!$A$14:$C$38,3,1)),0)
*2,
0),
IF(AND($E$2="Monthly",ROUND($AN423-TRUNC($AN423),2)=0.33),
ROUND(
ROUND(((TRUNC(($AN423+0.01)*3/13,0)+0.99)*VLOOKUP((TRUNC(($AN423+0.01)*3/13,0)+0.99),'Tax scales - NAT 3539'!$A$14:$C$38,2,1)-VLOOKUP((TRUNC(($AN423+0.01)*3/13,0)+0.99),'Tax scales - NAT 3539'!$A$14:$C$38,3,1)),0)
*13/3,
0),
IF($E$2="Monthly",
ROUND(
ROUND(((TRUNC($AN423*3/13,0)+0.99)*VLOOKUP((TRUNC($AN423*3/13,0)+0.99),'Tax scales - NAT 3539'!$A$14:$C$38,2,1)-VLOOKUP((TRUNC($AN423*3/13,0)+0.99),'Tax scales - NAT 3539'!$A$14:$C$38,3,1)),0)
*13/3,
0),
""))),
""),
"")</f>
        <v/>
      </c>
      <c r="AV423" s="118" t="str">
        <f>IFERROR(
IF(VLOOKUP($C423,'Employee information'!$B:$M,COLUMNS('Employee information'!$B:$M),0)=22,
IF($E$2="Fortnightly",
ROUND(
ROUND((((TRUNC($AN423/2,0)+0.99))*VLOOKUP((TRUNC($AN423/2,0)+0.99),'Tax scales - NAT 3539'!$A$43:$C$69,2,1)-VLOOKUP((TRUNC($AN423/2,0)+0.99),'Tax scales - NAT 3539'!$A$43:$C$69,3,1)),0)
*2,
0),
IF(AND($E$2="Monthly",ROUND($AN423-TRUNC($AN423),2)=0.33),
ROUND(
ROUND(((TRUNC(($AN423+0.01)*3/13,0)+0.99)*VLOOKUP((TRUNC(($AN423+0.01)*3/13,0)+0.99),'Tax scales - NAT 3539'!$A$43:$C$69,2,1)-VLOOKUP((TRUNC(($AN423+0.01)*3/13,0)+0.99),'Tax scales - NAT 3539'!$A$43:$C$69,3,1)),0)
*13/3,
0),
IF($E$2="Monthly",
ROUND(
ROUND(((TRUNC($AN423*3/13,0)+0.99)*VLOOKUP((TRUNC($AN423*3/13,0)+0.99),'Tax scales - NAT 3539'!$A$43:$C$69,2,1)-VLOOKUP((TRUNC($AN423*3/13,0)+0.99),'Tax scales - NAT 3539'!$A$43:$C$69,3,1)),0)
*13/3,
0),
""))),
""),
"")</f>
        <v/>
      </c>
      <c r="AW423" s="118" t="str">
        <f>IFERROR(
IF(VLOOKUP($C423,'Employee information'!$B:$M,COLUMNS('Employee information'!$B:$M),0)=33,
IF($E$2="Fortnightly",
ROUND(
ROUND((((TRUNC($AN423/2,0)+0.99))*VLOOKUP((TRUNC($AN423/2,0)+0.99),'Tax scales - NAT 3539'!$A$74:$C$94,2,1)-VLOOKUP((TRUNC($AN423/2,0)+0.99),'Tax scales - NAT 3539'!$A$74:$C$94,3,1)),0)
*2,
0),
IF(AND($E$2="Monthly",ROUND($AN423-TRUNC($AN423),2)=0.33),
ROUND(
ROUND(((TRUNC(($AN423+0.01)*3/13,0)+0.99)*VLOOKUP((TRUNC(($AN423+0.01)*3/13,0)+0.99),'Tax scales - NAT 3539'!$A$74:$C$94,2,1)-VLOOKUP((TRUNC(($AN423+0.01)*3/13,0)+0.99),'Tax scales - NAT 3539'!$A$74:$C$94,3,1)),0)
*13/3,
0),
IF($E$2="Monthly",
ROUND(
ROUND(((TRUNC($AN423*3/13,0)+0.99)*VLOOKUP((TRUNC($AN423*3/13,0)+0.99),'Tax scales - NAT 3539'!$A$74:$C$94,2,1)-VLOOKUP((TRUNC($AN423*3/13,0)+0.99),'Tax scales - NAT 3539'!$A$74:$C$94,3,1)),0)
*13/3,
0),
""))),
""),
"")</f>
        <v/>
      </c>
      <c r="AX423" s="118" t="str">
        <f>IFERROR(
IF(VLOOKUP($C423,'Employee information'!$B:$M,COLUMNS('Employee information'!$B:$M),0)=55,
IF($E$2="Fortnightly",
ROUND(
ROUND((((TRUNC($AN423/2,0)+0.99))*VLOOKUP((TRUNC($AN423/2,0)+0.99),'Tax scales - NAT 3539'!$A$99:$C$123,2,1)-VLOOKUP((TRUNC($AN423/2,0)+0.99),'Tax scales - NAT 3539'!$A$99:$C$123,3,1)),0)
*2,
0),
IF(AND($E$2="Monthly",ROUND($AN423-TRUNC($AN423),2)=0.33),
ROUND(
ROUND(((TRUNC(($AN423+0.01)*3/13,0)+0.99)*VLOOKUP((TRUNC(($AN423+0.01)*3/13,0)+0.99),'Tax scales - NAT 3539'!$A$99:$C$123,2,1)-VLOOKUP((TRUNC(($AN423+0.01)*3/13,0)+0.99),'Tax scales - NAT 3539'!$A$99:$C$123,3,1)),0)
*13/3,
0),
IF($E$2="Monthly",
ROUND(
ROUND(((TRUNC($AN423*3/13,0)+0.99)*VLOOKUP((TRUNC($AN423*3/13,0)+0.99),'Tax scales - NAT 3539'!$A$99:$C$123,2,1)-VLOOKUP((TRUNC($AN423*3/13,0)+0.99),'Tax scales - NAT 3539'!$A$99:$C$123,3,1)),0)
*13/3,
0),
""))),
""),
"")</f>
        <v/>
      </c>
      <c r="AY423" s="118">
        <f>IFERROR(
IF(VLOOKUP($C423,'Employee information'!$B:$M,COLUMNS('Employee information'!$B:$M),0)=66,
IF($E$2="Fortnightly",
ROUND(
ROUND((((TRUNC($AN423/2,0)+0.99))*VLOOKUP((TRUNC($AN423/2,0)+0.99),'Tax scales - NAT 3539'!$A$127:$C$154,2,1)-VLOOKUP((TRUNC($AN423/2,0)+0.99),'Tax scales - NAT 3539'!$A$127:$C$154,3,1)),0)
*2,
0),
IF(AND($E$2="Monthly",ROUND($AN423-TRUNC($AN423),2)=0.33),
ROUND(
ROUND(((TRUNC(($AN423+0.01)*3/13,0)+0.99)*VLOOKUP((TRUNC(($AN423+0.01)*3/13,0)+0.99),'Tax scales - NAT 3539'!$A$127:$C$154,2,1)-VLOOKUP((TRUNC(($AN423+0.01)*3/13,0)+0.99),'Tax scales - NAT 3539'!$A$127:$C$154,3,1)),0)
*13/3,
0),
IF($E$2="Monthly",
ROUND(
ROUND(((TRUNC($AN423*3/13,0)+0.99)*VLOOKUP((TRUNC($AN423*3/13,0)+0.99),'Tax scales - NAT 3539'!$A$127:$C$154,2,1)-VLOOKUP((TRUNC($AN423*3/13,0)+0.99),'Tax scales - NAT 3539'!$A$127:$C$154,3,1)),0)
*13/3,
0),
""))),
""),
"")</f>
        <v>74</v>
      </c>
      <c r="AZ423" s="118">
        <f>IFERROR(
HLOOKUP(VLOOKUP($C423,'Employee information'!$B:$M,COLUMNS('Employee information'!$B:$M),0),'PAYG worksheet'!$AO$416:$AY$435,COUNTA($C$417:$C423)+1,0),
0)</f>
        <v>74</v>
      </c>
      <c r="BA423" s="118"/>
      <c r="BB423" s="118">
        <f t="shared" si="449"/>
        <v>1033.6923076923078</v>
      </c>
      <c r="BC423" s="119">
        <f>IFERROR(
IF(OR($AE423=1,$AE423=""),SUM($P423,$AA423,$AC423,$AK423)*VLOOKUP($C423,'Employee information'!$B:$Q,COLUMNS('Employee information'!$B:$H),0),
IF($AE423=0,SUM($P423,$AA423,$AK423)*VLOOKUP($C423,'Employee information'!$B:$Q,COLUMNS('Employee information'!$B:$H),0),
0)),
0)</f>
        <v>105.23076923076924</v>
      </c>
      <c r="BE423" s="114">
        <f t="shared" si="434"/>
        <v>16615.384615384621</v>
      </c>
      <c r="BF423" s="114">
        <f t="shared" si="435"/>
        <v>16615.384615384621</v>
      </c>
      <c r="BG423" s="114">
        <f t="shared" si="436"/>
        <v>0</v>
      </c>
      <c r="BH423" s="114">
        <f t="shared" si="437"/>
        <v>0</v>
      </c>
      <c r="BI423" s="114">
        <f t="shared" si="438"/>
        <v>1110</v>
      </c>
      <c r="BJ423" s="114">
        <f t="shared" si="439"/>
        <v>0</v>
      </c>
      <c r="BK423" s="114">
        <f t="shared" si="440"/>
        <v>0</v>
      </c>
      <c r="BL423" s="114">
        <f t="shared" si="450"/>
        <v>0</v>
      </c>
      <c r="BM423" s="114">
        <f t="shared" si="441"/>
        <v>1578.461538461539</v>
      </c>
    </row>
    <row r="424" spans="1:65" x14ac:dyDescent="0.25">
      <c r="A424" s="228">
        <f t="shared" si="429"/>
        <v>15</v>
      </c>
      <c r="C424" s="278"/>
      <c r="E424" s="103">
        <f>IF($C424="",0,
IF(AND($E$2="Monthly",$A424&gt;12),0,
IF($E$2="Monthly",VLOOKUP($C424,'Employee information'!$B:$AM,COLUMNS('Employee information'!$B:S),0),
IF($E$2="Fortnightly",VLOOKUP($C424,'Employee information'!$B:$AM,COLUMNS('Employee information'!$B:R),0),
0))))</f>
        <v>0</v>
      </c>
      <c r="F424" s="106"/>
      <c r="G424" s="106"/>
      <c r="H424" s="106"/>
      <c r="I424" s="106"/>
      <c r="J424" s="103">
        <f>IF($E$2="Monthly",
IF(AND($E$2="Monthly",$H424&lt;&gt;""),$H424,
IF(AND($E$2="Monthly",$E424=0),SUM($F424:$G424),
$E424)),
IF($E$2="Fortnightly",
IF(AND($E$2="Fortnightly",$H424&lt;&gt;""),$H424,
IF(AND($E$2="Fortnightly",$F424&lt;&gt;"",$E424&lt;&gt;0),$F424,
IF(AND($E$2="Fortnightly",$E424=0),SUM($F424:$G424),
$E424)))))</f>
        <v>0</v>
      </c>
      <c r="L424" s="113">
        <f>IF(AND($E$2="Monthly",$A424&gt;12),"",
IFERROR($J424*VLOOKUP($C424,'Employee information'!$B:$AI,COLUMNS('Employee information'!$B:$P),0),0))</f>
        <v>0</v>
      </c>
      <c r="M424" s="114">
        <f t="shared" si="443"/>
        <v>0</v>
      </c>
      <c r="O424" s="103">
        <f t="shared" si="444"/>
        <v>0</v>
      </c>
      <c r="P424" s="113">
        <f>IFERROR(
IF(AND($E$2="Monthly",$A424&gt;12),0,
$O424*VLOOKUP($C424,'Employee information'!$B:$AI,COLUMNS('Employee information'!$B:$P),0)),
0)</f>
        <v>0</v>
      </c>
      <c r="R424" s="114">
        <f t="shared" si="430"/>
        <v>0</v>
      </c>
      <c r="T424" s="103"/>
      <c r="U424" s="103"/>
      <c r="V424" s="282" t="str">
        <f>IF($C424="","",
IF(AND($E$2="Monthly",$A424&gt;12),"",
$T424*VLOOKUP($C424,'Employee information'!$B:$P,COLUMNS('Employee information'!$B:$P),0)))</f>
        <v/>
      </c>
      <c r="W424" s="282" t="str">
        <f>IF($C424="","",
IF(AND($E$2="Monthly",$A424&gt;12),"",
$U424*VLOOKUP($C424,'Employee information'!$B:$P,COLUMNS('Employee information'!$B:$P),0)))</f>
        <v/>
      </c>
      <c r="X424" s="114">
        <f t="shared" si="431"/>
        <v>0</v>
      </c>
      <c r="Y424" s="114">
        <f t="shared" si="432"/>
        <v>0</v>
      </c>
      <c r="AA424" s="118">
        <f>IFERROR(
IF(OR('Basic payroll data'!$D$12="",'Basic payroll data'!$D$12="No"),0,
$T424*VLOOKUP($C424,'Employee information'!$B:$P,COLUMNS('Employee information'!$B:$P),0)*AL_loading_perc),
0)</f>
        <v>0</v>
      </c>
      <c r="AC424" s="118"/>
      <c r="AD424" s="118"/>
      <c r="AE424" s="283" t="str">
        <f t="shared" si="445"/>
        <v/>
      </c>
      <c r="AF424" s="283" t="str">
        <f t="shared" si="446"/>
        <v/>
      </c>
      <c r="AG424" s="118"/>
      <c r="AH424" s="118"/>
      <c r="AI424" s="283" t="str">
        <f t="shared" si="447"/>
        <v/>
      </c>
      <c r="AJ424" s="118"/>
      <c r="AK424" s="118"/>
      <c r="AM424" s="118">
        <f t="shared" si="448"/>
        <v>0</v>
      </c>
      <c r="AN424" s="118">
        <f t="shared" si="433"/>
        <v>0</v>
      </c>
      <c r="AO424" s="118" t="str">
        <f>IFERROR(
IF(VLOOKUP($C424,'Employee information'!$B:$M,COLUMNS('Employee information'!$B:$M),0)=1,
IF($E$2="Fortnightly",
ROUND(
ROUND((((TRUNC($AN424/2,0)+0.99))*VLOOKUP((TRUNC($AN424/2,0)+0.99),'Tax scales - NAT 1004'!$A$12:$C$18,2,1)-VLOOKUP((TRUNC($AN424/2,0)+0.99),'Tax scales - NAT 1004'!$A$12:$C$18,3,1)),0)
*2,
0),
IF(AND($E$2="Monthly",ROUND($AN424-TRUNC($AN424),2)=0.33),
ROUND(
ROUND(((TRUNC(($AN424+0.01)*3/13,0)+0.99)*VLOOKUP((TRUNC(($AN424+0.01)*3/13,0)+0.99),'Tax scales - NAT 1004'!$A$12:$C$18,2,1)-VLOOKUP((TRUNC(($AN424+0.01)*3/13,0)+0.99),'Tax scales - NAT 1004'!$A$12:$C$18,3,1)),0)
*13/3,
0),
IF($E$2="Monthly",
ROUND(
ROUND(((TRUNC($AN424*3/13,0)+0.99)*VLOOKUP((TRUNC($AN424*3/13,0)+0.99),'Tax scales - NAT 1004'!$A$12:$C$18,2,1)-VLOOKUP((TRUNC($AN424*3/13,0)+0.99),'Tax scales - NAT 1004'!$A$12:$C$18,3,1)),0)
*13/3,
0),
""))),
""),
"")</f>
        <v/>
      </c>
      <c r="AP424" s="118" t="str">
        <f>IFERROR(
IF(VLOOKUP($C424,'Employee information'!$B:$M,COLUMNS('Employee information'!$B:$M),0)=2,
IF($E$2="Fortnightly",
ROUND(
ROUND((((TRUNC($AN424/2,0)+0.99))*VLOOKUP((TRUNC($AN424/2,0)+0.99),'Tax scales - NAT 1004'!$A$25:$C$33,2,1)-VLOOKUP((TRUNC($AN424/2,0)+0.99),'Tax scales - NAT 1004'!$A$25:$C$33,3,1)),0)
*2,
0),
IF(AND($E$2="Monthly",ROUND($AN424-TRUNC($AN424),2)=0.33),
ROUND(
ROUND(((TRUNC(($AN424+0.01)*3/13,0)+0.99)*VLOOKUP((TRUNC(($AN424+0.01)*3/13,0)+0.99),'Tax scales - NAT 1004'!$A$25:$C$33,2,1)-VLOOKUP((TRUNC(($AN424+0.01)*3/13,0)+0.99),'Tax scales - NAT 1004'!$A$25:$C$33,3,1)),0)
*13/3,
0),
IF($E$2="Monthly",
ROUND(
ROUND(((TRUNC($AN424*3/13,0)+0.99)*VLOOKUP((TRUNC($AN424*3/13,0)+0.99),'Tax scales - NAT 1004'!$A$25:$C$33,2,1)-VLOOKUP((TRUNC($AN424*3/13,0)+0.99),'Tax scales - NAT 1004'!$A$25:$C$33,3,1)),0)
*13/3,
0),
""))),
""),
"")</f>
        <v/>
      </c>
      <c r="AQ424" s="118" t="str">
        <f>IFERROR(
IF(VLOOKUP($C424,'Employee information'!$B:$M,COLUMNS('Employee information'!$B:$M),0)=3,
IF($E$2="Fortnightly",
ROUND(
ROUND((((TRUNC($AN424/2,0)+0.99))*VLOOKUP((TRUNC($AN424/2,0)+0.99),'Tax scales - NAT 1004'!$A$39:$C$41,2,1)-VLOOKUP((TRUNC($AN424/2,0)+0.99),'Tax scales - NAT 1004'!$A$39:$C$41,3,1)),0)
*2,
0),
IF(AND($E$2="Monthly",ROUND($AN424-TRUNC($AN424),2)=0.33),
ROUND(
ROUND(((TRUNC(($AN424+0.01)*3/13,0)+0.99)*VLOOKUP((TRUNC(($AN424+0.01)*3/13,0)+0.99),'Tax scales - NAT 1004'!$A$39:$C$41,2,1)-VLOOKUP((TRUNC(($AN424+0.01)*3/13,0)+0.99),'Tax scales - NAT 1004'!$A$39:$C$41,3,1)),0)
*13/3,
0),
IF($E$2="Monthly",
ROUND(
ROUND(((TRUNC($AN424*3/13,0)+0.99)*VLOOKUP((TRUNC($AN424*3/13,0)+0.99),'Tax scales - NAT 1004'!$A$39:$C$41,2,1)-VLOOKUP((TRUNC($AN424*3/13,0)+0.99),'Tax scales - NAT 1004'!$A$39:$C$41,3,1)),0)
*13/3,
0),
""))),
""),
"")</f>
        <v/>
      </c>
      <c r="AR424" s="118" t="str">
        <f>IFERROR(
IF(AND(VLOOKUP($C424,'Employee information'!$B:$M,COLUMNS('Employee information'!$B:$M),0)=4,
VLOOKUP($C424,'Employee information'!$B:$J,COLUMNS('Employee information'!$B:$J),0)="Resident"),
TRUNC(TRUNC($AN424)*'Tax scales - NAT 1004'!$B$47),
IF(AND(VLOOKUP($C424,'Employee information'!$B:$M,COLUMNS('Employee information'!$B:$M),0)=4,
VLOOKUP($C424,'Employee information'!$B:$J,COLUMNS('Employee information'!$B:$J),0)="Foreign resident"),
TRUNC(TRUNC($AN424)*'Tax scales - NAT 1004'!$B$48),
"")),
"")</f>
        <v/>
      </c>
      <c r="AS424" s="118" t="str">
        <f>IFERROR(
IF(VLOOKUP($C424,'Employee information'!$B:$M,COLUMNS('Employee information'!$B:$M),0)=5,
IF($E$2="Fortnightly",
ROUND(
ROUND((((TRUNC($AN424/2,0)+0.99))*VLOOKUP((TRUNC($AN424/2,0)+0.99),'Tax scales - NAT 1004'!$A$53:$C$59,2,1)-VLOOKUP((TRUNC($AN424/2,0)+0.99),'Tax scales - NAT 1004'!$A$53:$C$59,3,1)),0)
*2,
0),
IF(AND($E$2="Monthly",ROUND($AN424-TRUNC($AN424),2)=0.33),
ROUND(
ROUND(((TRUNC(($AN424+0.01)*3/13,0)+0.99)*VLOOKUP((TRUNC(($AN424+0.01)*3/13,0)+0.99),'Tax scales - NAT 1004'!$A$53:$C$59,2,1)-VLOOKUP((TRUNC(($AN424+0.01)*3/13,0)+0.99),'Tax scales - NAT 1004'!$A$53:$C$59,3,1)),0)
*13/3,
0),
IF($E$2="Monthly",
ROUND(
ROUND(((TRUNC($AN424*3/13,0)+0.99)*VLOOKUP((TRUNC($AN424*3/13,0)+0.99),'Tax scales - NAT 1004'!$A$53:$C$59,2,1)-VLOOKUP((TRUNC($AN424*3/13,0)+0.99),'Tax scales - NAT 1004'!$A$53:$C$59,3,1)),0)
*13/3,
0),
""))),
""),
"")</f>
        <v/>
      </c>
      <c r="AT424" s="118" t="str">
        <f>IFERROR(
IF(VLOOKUP($C424,'Employee information'!$B:$M,COLUMNS('Employee information'!$B:$M),0)=6,
IF($E$2="Fortnightly",
ROUND(
ROUND((((TRUNC($AN424/2,0)+0.99))*VLOOKUP((TRUNC($AN424/2,0)+0.99),'Tax scales - NAT 1004'!$A$65:$C$73,2,1)-VLOOKUP((TRUNC($AN424/2,0)+0.99),'Tax scales - NAT 1004'!$A$65:$C$73,3,1)),0)
*2,
0),
IF(AND($E$2="Monthly",ROUND($AN424-TRUNC($AN424),2)=0.33),
ROUND(
ROUND(((TRUNC(($AN424+0.01)*3/13,0)+0.99)*VLOOKUP((TRUNC(($AN424+0.01)*3/13,0)+0.99),'Tax scales - NAT 1004'!$A$65:$C$73,2,1)-VLOOKUP((TRUNC(($AN424+0.01)*3/13,0)+0.99),'Tax scales - NAT 1004'!$A$65:$C$73,3,1)),0)
*13/3,
0),
IF($E$2="Monthly",
ROUND(
ROUND(((TRUNC($AN424*3/13,0)+0.99)*VLOOKUP((TRUNC($AN424*3/13,0)+0.99),'Tax scales - NAT 1004'!$A$65:$C$73,2,1)-VLOOKUP((TRUNC($AN424*3/13,0)+0.99),'Tax scales - NAT 1004'!$A$65:$C$73,3,1)),0)
*13/3,
0),
""))),
""),
"")</f>
        <v/>
      </c>
      <c r="AU424" s="118" t="str">
        <f>IFERROR(
IF(VLOOKUP($C424,'Employee information'!$B:$M,COLUMNS('Employee information'!$B:$M),0)=11,
IF($E$2="Fortnightly",
ROUND(
ROUND((((TRUNC($AN424/2,0)+0.99))*VLOOKUP((TRUNC($AN424/2,0)+0.99),'Tax scales - NAT 3539'!$A$14:$C$38,2,1)-VLOOKUP((TRUNC($AN424/2,0)+0.99),'Tax scales - NAT 3539'!$A$14:$C$38,3,1)),0)
*2,
0),
IF(AND($E$2="Monthly",ROUND($AN424-TRUNC($AN424),2)=0.33),
ROUND(
ROUND(((TRUNC(($AN424+0.01)*3/13,0)+0.99)*VLOOKUP((TRUNC(($AN424+0.01)*3/13,0)+0.99),'Tax scales - NAT 3539'!$A$14:$C$38,2,1)-VLOOKUP((TRUNC(($AN424+0.01)*3/13,0)+0.99),'Tax scales - NAT 3539'!$A$14:$C$38,3,1)),0)
*13/3,
0),
IF($E$2="Monthly",
ROUND(
ROUND(((TRUNC($AN424*3/13,0)+0.99)*VLOOKUP((TRUNC($AN424*3/13,0)+0.99),'Tax scales - NAT 3539'!$A$14:$C$38,2,1)-VLOOKUP((TRUNC($AN424*3/13,0)+0.99),'Tax scales - NAT 3539'!$A$14:$C$38,3,1)),0)
*13/3,
0),
""))),
""),
"")</f>
        <v/>
      </c>
      <c r="AV424" s="118" t="str">
        <f>IFERROR(
IF(VLOOKUP($C424,'Employee information'!$B:$M,COLUMNS('Employee information'!$B:$M),0)=22,
IF($E$2="Fortnightly",
ROUND(
ROUND((((TRUNC($AN424/2,0)+0.99))*VLOOKUP((TRUNC($AN424/2,0)+0.99),'Tax scales - NAT 3539'!$A$43:$C$69,2,1)-VLOOKUP((TRUNC($AN424/2,0)+0.99),'Tax scales - NAT 3539'!$A$43:$C$69,3,1)),0)
*2,
0),
IF(AND($E$2="Monthly",ROUND($AN424-TRUNC($AN424),2)=0.33),
ROUND(
ROUND(((TRUNC(($AN424+0.01)*3/13,0)+0.99)*VLOOKUP((TRUNC(($AN424+0.01)*3/13,0)+0.99),'Tax scales - NAT 3539'!$A$43:$C$69,2,1)-VLOOKUP((TRUNC(($AN424+0.01)*3/13,0)+0.99),'Tax scales - NAT 3539'!$A$43:$C$69,3,1)),0)
*13/3,
0),
IF($E$2="Monthly",
ROUND(
ROUND(((TRUNC($AN424*3/13,0)+0.99)*VLOOKUP((TRUNC($AN424*3/13,0)+0.99),'Tax scales - NAT 3539'!$A$43:$C$69,2,1)-VLOOKUP((TRUNC($AN424*3/13,0)+0.99),'Tax scales - NAT 3539'!$A$43:$C$69,3,1)),0)
*13/3,
0),
""))),
""),
"")</f>
        <v/>
      </c>
      <c r="AW424" s="118" t="str">
        <f>IFERROR(
IF(VLOOKUP($C424,'Employee information'!$B:$M,COLUMNS('Employee information'!$B:$M),0)=33,
IF($E$2="Fortnightly",
ROUND(
ROUND((((TRUNC($AN424/2,0)+0.99))*VLOOKUP((TRUNC($AN424/2,0)+0.99),'Tax scales - NAT 3539'!$A$74:$C$94,2,1)-VLOOKUP((TRUNC($AN424/2,0)+0.99),'Tax scales - NAT 3539'!$A$74:$C$94,3,1)),0)
*2,
0),
IF(AND($E$2="Monthly",ROUND($AN424-TRUNC($AN424),2)=0.33),
ROUND(
ROUND(((TRUNC(($AN424+0.01)*3/13,0)+0.99)*VLOOKUP((TRUNC(($AN424+0.01)*3/13,0)+0.99),'Tax scales - NAT 3539'!$A$74:$C$94,2,1)-VLOOKUP((TRUNC(($AN424+0.01)*3/13,0)+0.99),'Tax scales - NAT 3539'!$A$74:$C$94,3,1)),0)
*13/3,
0),
IF($E$2="Monthly",
ROUND(
ROUND(((TRUNC($AN424*3/13,0)+0.99)*VLOOKUP((TRUNC($AN424*3/13,0)+0.99),'Tax scales - NAT 3539'!$A$74:$C$94,2,1)-VLOOKUP((TRUNC($AN424*3/13,0)+0.99),'Tax scales - NAT 3539'!$A$74:$C$94,3,1)),0)
*13/3,
0),
""))),
""),
"")</f>
        <v/>
      </c>
      <c r="AX424" s="118" t="str">
        <f>IFERROR(
IF(VLOOKUP($C424,'Employee information'!$B:$M,COLUMNS('Employee information'!$B:$M),0)=55,
IF($E$2="Fortnightly",
ROUND(
ROUND((((TRUNC($AN424/2,0)+0.99))*VLOOKUP((TRUNC($AN424/2,0)+0.99),'Tax scales - NAT 3539'!$A$99:$C$123,2,1)-VLOOKUP((TRUNC($AN424/2,0)+0.99),'Tax scales - NAT 3539'!$A$99:$C$123,3,1)),0)
*2,
0),
IF(AND($E$2="Monthly",ROUND($AN424-TRUNC($AN424),2)=0.33),
ROUND(
ROUND(((TRUNC(($AN424+0.01)*3/13,0)+0.99)*VLOOKUP((TRUNC(($AN424+0.01)*3/13,0)+0.99),'Tax scales - NAT 3539'!$A$99:$C$123,2,1)-VLOOKUP((TRUNC(($AN424+0.01)*3/13,0)+0.99),'Tax scales - NAT 3539'!$A$99:$C$123,3,1)),0)
*13/3,
0),
IF($E$2="Monthly",
ROUND(
ROUND(((TRUNC($AN424*3/13,0)+0.99)*VLOOKUP((TRUNC($AN424*3/13,0)+0.99),'Tax scales - NAT 3539'!$A$99:$C$123,2,1)-VLOOKUP((TRUNC($AN424*3/13,0)+0.99),'Tax scales - NAT 3539'!$A$99:$C$123,3,1)),0)
*13/3,
0),
""))),
""),
"")</f>
        <v/>
      </c>
      <c r="AY424" s="118" t="str">
        <f>IFERROR(
IF(VLOOKUP($C424,'Employee information'!$B:$M,COLUMNS('Employee information'!$B:$M),0)=66,
IF($E$2="Fortnightly",
ROUND(
ROUND((((TRUNC($AN424/2,0)+0.99))*VLOOKUP((TRUNC($AN424/2,0)+0.99),'Tax scales - NAT 3539'!$A$127:$C$154,2,1)-VLOOKUP((TRUNC($AN424/2,0)+0.99),'Tax scales - NAT 3539'!$A$127:$C$154,3,1)),0)
*2,
0),
IF(AND($E$2="Monthly",ROUND($AN424-TRUNC($AN424),2)=0.33),
ROUND(
ROUND(((TRUNC(($AN424+0.01)*3/13,0)+0.99)*VLOOKUP((TRUNC(($AN424+0.01)*3/13,0)+0.99),'Tax scales - NAT 3539'!$A$127:$C$154,2,1)-VLOOKUP((TRUNC(($AN424+0.01)*3/13,0)+0.99),'Tax scales - NAT 3539'!$A$127:$C$154,3,1)),0)
*13/3,
0),
IF($E$2="Monthly",
ROUND(
ROUND(((TRUNC($AN424*3/13,0)+0.99)*VLOOKUP((TRUNC($AN424*3/13,0)+0.99),'Tax scales - NAT 3539'!$A$127:$C$154,2,1)-VLOOKUP((TRUNC($AN424*3/13,0)+0.99),'Tax scales - NAT 3539'!$A$127:$C$154,3,1)),0)
*13/3,
0),
""))),
""),
"")</f>
        <v/>
      </c>
      <c r="AZ424" s="118">
        <f>IFERROR(
HLOOKUP(VLOOKUP($C424,'Employee information'!$B:$M,COLUMNS('Employee information'!$B:$M),0),'PAYG worksheet'!$AO$416:$AY$435,COUNTA($C$417:$C424)+1,0),
0)</f>
        <v>0</v>
      </c>
      <c r="BA424" s="118"/>
      <c r="BB424" s="118">
        <f t="shared" si="449"/>
        <v>0</v>
      </c>
      <c r="BC424" s="119">
        <f>IFERROR(
IF(OR($AE424=1,$AE424=""),SUM($P424,$AA424,$AC424,$AK424)*VLOOKUP($C424,'Employee information'!$B:$Q,COLUMNS('Employee information'!$B:$H),0),
IF($AE424=0,SUM($P424,$AA424,$AK424)*VLOOKUP($C424,'Employee information'!$B:$Q,COLUMNS('Employee information'!$B:$H),0),
0)),
0)</f>
        <v>0</v>
      </c>
      <c r="BE424" s="114">
        <f t="shared" si="434"/>
        <v>0</v>
      </c>
      <c r="BF424" s="114">
        <f t="shared" si="435"/>
        <v>0</v>
      </c>
      <c r="BG424" s="114">
        <f t="shared" si="436"/>
        <v>0</v>
      </c>
      <c r="BH424" s="114">
        <f t="shared" si="437"/>
        <v>0</v>
      </c>
      <c r="BI424" s="114">
        <f t="shared" si="438"/>
        <v>0</v>
      </c>
      <c r="BJ424" s="114">
        <f t="shared" si="439"/>
        <v>0</v>
      </c>
      <c r="BK424" s="114">
        <f t="shared" si="440"/>
        <v>0</v>
      </c>
      <c r="BL424" s="114">
        <f t="shared" si="450"/>
        <v>0</v>
      </c>
      <c r="BM424" s="114">
        <f t="shared" si="441"/>
        <v>0</v>
      </c>
    </row>
    <row r="425" spans="1:65" x14ac:dyDescent="0.25">
      <c r="A425" s="228">
        <f t="shared" si="429"/>
        <v>15</v>
      </c>
      <c r="C425" s="278"/>
      <c r="E425" s="103">
        <f>IF($C425="",0,
IF(AND($E$2="Monthly",$A425&gt;12),0,
IF($E$2="Monthly",VLOOKUP($C425,'Employee information'!$B:$AM,COLUMNS('Employee information'!$B:S),0),
IF($E$2="Fortnightly",VLOOKUP($C425,'Employee information'!$B:$AM,COLUMNS('Employee information'!$B:R),0),
0))))</f>
        <v>0</v>
      </c>
      <c r="F425" s="106"/>
      <c r="G425" s="106"/>
      <c r="H425" s="106"/>
      <c r="I425" s="106"/>
      <c r="J425" s="103">
        <f t="shared" si="442"/>
        <v>0</v>
      </c>
      <c r="L425" s="113">
        <f>IF(AND($E$2="Monthly",$A425&gt;12),"",
IFERROR($J425*VLOOKUP($C425,'Employee information'!$B:$AI,COLUMNS('Employee information'!$B:$P),0),0))</f>
        <v>0</v>
      </c>
      <c r="M425" s="114">
        <f t="shared" si="443"/>
        <v>0</v>
      </c>
      <c r="O425" s="103">
        <f t="shared" si="444"/>
        <v>0</v>
      </c>
      <c r="P425" s="113">
        <f>IFERROR(
IF(AND($E$2="Monthly",$A425&gt;12),0,
$O425*VLOOKUP($C425,'Employee information'!$B:$AI,COLUMNS('Employee information'!$B:$P),0)),
0)</f>
        <v>0</v>
      </c>
      <c r="R425" s="114">
        <f t="shared" si="430"/>
        <v>0</v>
      </c>
      <c r="T425" s="103"/>
      <c r="U425" s="103"/>
      <c r="V425" s="282" t="str">
        <f>IF($C425="","",
IF(AND($E$2="Monthly",$A425&gt;12),"",
$T425*VLOOKUP($C425,'Employee information'!$B:$P,COLUMNS('Employee information'!$B:$P),0)))</f>
        <v/>
      </c>
      <c r="W425" s="282" t="str">
        <f>IF($C425="","",
IF(AND($E$2="Monthly",$A425&gt;12),"",
$U425*VLOOKUP($C425,'Employee information'!$B:$P,COLUMNS('Employee information'!$B:$P),0)))</f>
        <v/>
      </c>
      <c r="X425" s="114">
        <f t="shared" si="431"/>
        <v>0</v>
      </c>
      <c r="Y425" s="114">
        <f t="shared" si="432"/>
        <v>0</v>
      </c>
      <c r="AA425" s="118">
        <f>IFERROR(
IF(OR('Basic payroll data'!$D$12="",'Basic payroll data'!$D$12="No"),0,
$T425*VLOOKUP($C425,'Employee information'!$B:$P,COLUMNS('Employee information'!$B:$P),0)*AL_loading_perc),
0)</f>
        <v>0</v>
      </c>
      <c r="AC425" s="118"/>
      <c r="AD425" s="118"/>
      <c r="AE425" s="283" t="str">
        <f t="shared" si="445"/>
        <v/>
      </c>
      <c r="AF425" s="283" t="str">
        <f t="shared" si="446"/>
        <v/>
      </c>
      <c r="AG425" s="118"/>
      <c r="AH425" s="118"/>
      <c r="AI425" s="283" t="str">
        <f t="shared" si="447"/>
        <v/>
      </c>
      <c r="AJ425" s="118"/>
      <c r="AK425" s="118"/>
      <c r="AM425" s="118">
        <f t="shared" si="448"/>
        <v>0</v>
      </c>
      <c r="AN425" s="118">
        <f t="shared" si="433"/>
        <v>0</v>
      </c>
      <c r="AO425" s="118" t="str">
        <f>IFERROR(
IF(VLOOKUP($C425,'Employee information'!$B:$M,COLUMNS('Employee information'!$B:$M),0)=1,
IF($E$2="Fortnightly",
ROUND(
ROUND((((TRUNC($AN425/2,0)+0.99))*VLOOKUP((TRUNC($AN425/2,0)+0.99),'Tax scales - NAT 1004'!$A$12:$C$18,2,1)-VLOOKUP((TRUNC($AN425/2,0)+0.99),'Tax scales - NAT 1004'!$A$12:$C$18,3,1)),0)
*2,
0),
IF(AND($E$2="Monthly",ROUND($AN425-TRUNC($AN425),2)=0.33),
ROUND(
ROUND(((TRUNC(($AN425+0.01)*3/13,0)+0.99)*VLOOKUP((TRUNC(($AN425+0.01)*3/13,0)+0.99),'Tax scales - NAT 1004'!$A$12:$C$18,2,1)-VLOOKUP((TRUNC(($AN425+0.01)*3/13,0)+0.99),'Tax scales - NAT 1004'!$A$12:$C$18,3,1)),0)
*13/3,
0),
IF($E$2="Monthly",
ROUND(
ROUND(((TRUNC($AN425*3/13,0)+0.99)*VLOOKUP((TRUNC($AN425*3/13,0)+0.99),'Tax scales - NAT 1004'!$A$12:$C$18,2,1)-VLOOKUP((TRUNC($AN425*3/13,0)+0.99),'Tax scales - NAT 1004'!$A$12:$C$18,3,1)),0)
*13/3,
0),
""))),
""),
"")</f>
        <v/>
      </c>
      <c r="AP425" s="118" t="str">
        <f>IFERROR(
IF(VLOOKUP($C425,'Employee information'!$B:$M,COLUMNS('Employee information'!$B:$M),0)=2,
IF($E$2="Fortnightly",
ROUND(
ROUND((((TRUNC($AN425/2,0)+0.99))*VLOOKUP((TRUNC($AN425/2,0)+0.99),'Tax scales - NAT 1004'!$A$25:$C$33,2,1)-VLOOKUP((TRUNC($AN425/2,0)+0.99),'Tax scales - NAT 1004'!$A$25:$C$33,3,1)),0)
*2,
0),
IF(AND($E$2="Monthly",ROUND($AN425-TRUNC($AN425),2)=0.33),
ROUND(
ROUND(((TRUNC(($AN425+0.01)*3/13,0)+0.99)*VLOOKUP((TRUNC(($AN425+0.01)*3/13,0)+0.99),'Tax scales - NAT 1004'!$A$25:$C$33,2,1)-VLOOKUP((TRUNC(($AN425+0.01)*3/13,0)+0.99),'Tax scales - NAT 1004'!$A$25:$C$33,3,1)),0)
*13/3,
0),
IF($E$2="Monthly",
ROUND(
ROUND(((TRUNC($AN425*3/13,0)+0.99)*VLOOKUP((TRUNC($AN425*3/13,0)+0.99),'Tax scales - NAT 1004'!$A$25:$C$33,2,1)-VLOOKUP((TRUNC($AN425*3/13,0)+0.99),'Tax scales - NAT 1004'!$A$25:$C$33,3,1)),0)
*13/3,
0),
""))),
""),
"")</f>
        <v/>
      </c>
      <c r="AQ425" s="118" t="str">
        <f>IFERROR(
IF(VLOOKUP($C425,'Employee information'!$B:$M,COLUMNS('Employee information'!$B:$M),0)=3,
IF($E$2="Fortnightly",
ROUND(
ROUND((((TRUNC($AN425/2,0)+0.99))*VLOOKUP((TRUNC($AN425/2,0)+0.99),'Tax scales - NAT 1004'!$A$39:$C$41,2,1)-VLOOKUP((TRUNC($AN425/2,0)+0.99),'Tax scales - NAT 1004'!$A$39:$C$41,3,1)),0)
*2,
0),
IF(AND($E$2="Monthly",ROUND($AN425-TRUNC($AN425),2)=0.33),
ROUND(
ROUND(((TRUNC(($AN425+0.01)*3/13,0)+0.99)*VLOOKUP((TRUNC(($AN425+0.01)*3/13,0)+0.99),'Tax scales - NAT 1004'!$A$39:$C$41,2,1)-VLOOKUP((TRUNC(($AN425+0.01)*3/13,0)+0.99),'Tax scales - NAT 1004'!$A$39:$C$41,3,1)),0)
*13/3,
0),
IF($E$2="Monthly",
ROUND(
ROUND(((TRUNC($AN425*3/13,0)+0.99)*VLOOKUP((TRUNC($AN425*3/13,0)+0.99),'Tax scales - NAT 1004'!$A$39:$C$41,2,1)-VLOOKUP((TRUNC($AN425*3/13,0)+0.99),'Tax scales - NAT 1004'!$A$39:$C$41,3,1)),0)
*13/3,
0),
""))),
""),
"")</f>
        <v/>
      </c>
      <c r="AR425" s="118" t="str">
        <f>IFERROR(
IF(AND(VLOOKUP($C425,'Employee information'!$B:$M,COLUMNS('Employee information'!$B:$M),0)=4,
VLOOKUP($C425,'Employee information'!$B:$J,COLUMNS('Employee information'!$B:$J),0)="Resident"),
TRUNC(TRUNC($AN425)*'Tax scales - NAT 1004'!$B$47),
IF(AND(VLOOKUP($C425,'Employee information'!$B:$M,COLUMNS('Employee information'!$B:$M),0)=4,
VLOOKUP($C425,'Employee information'!$B:$J,COLUMNS('Employee information'!$B:$J),0)="Foreign resident"),
TRUNC(TRUNC($AN425)*'Tax scales - NAT 1004'!$B$48),
"")),
"")</f>
        <v/>
      </c>
      <c r="AS425" s="118" t="str">
        <f>IFERROR(
IF(VLOOKUP($C425,'Employee information'!$B:$M,COLUMNS('Employee information'!$B:$M),0)=5,
IF($E$2="Fortnightly",
ROUND(
ROUND((((TRUNC($AN425/2,0)+0.99))*VLOOKUP((TRUNC($AN425/2,0)+0.99),'Tax scales - NAT 1004'!$A$53:$C$59,2,1)-VLOOKUP((TRUNC($AN425/2,0)+0.99),'Tax scales - NAT 1004'!$A$53:$C$59,3,1)),0)
*2,
0),
IF(AND($E$2="Monthly",ROUND($AN425-TRUNC($AN425),2)=0.33),
ROUND(
ROUND(((TRUNC(($AN425+0.01)*3/13,0)+0.99)*VLOOKUP((TRUNC(($AN425+0.01)*3/13,0)+0.99),'Tax scales - NAT 1004'!$A$53:$C$59,2,1)-VLOOKUP((TRUNC(($AN425+0.01)*3/13,0)+0.99),'Tax scales - NAT 1004'!$A$53:$C$59,3,1)),0)
*13/3,
0),
IF($E$2="Monthly",
ROUND(
ROUND(((TRUNC($AN425*3/13,0)+0.99)*VLOOKUP((TRUNC($AN425*3/13,0)+0.99),'Tax scales - NAT 1004'!$A$53:$C$59,2,1)-VLOOKUP((TRUNC($AN425*3/13,0)+0.99),'Tax scales - NAT 1004'!$A$53:$C$59,3,1)),0)
*13/3,
0),
""))),
""),
"")</f>
        <v/>
      </c>
      <c r="AT425" s="118" t="str">
        <f>IFERROR(
IF(VLOOKUP($C425,'Employee information'!$B:$M,COLUMNS('Employee information'!$B:$M),0)=6,
IF($E$2="Fortnightly",
ROUND(
ROUND((((TRUNC($AN425/2,0)+0.99))*VLOOKUP((TRUNC($AN425/2,0)+0.99),'Tax scales - NAT 1004'!$A$65:$C$73,2,1)-VLOOKUP((TRUNC($AN425/2,0)+0.99),'Tax scales - NAT 1004'!$A$65:$C$73,3,1)),0)
*2,
0),
IF(AND($E$2="Monthly",ROUND($AN425-TRUNC($AN425),2)=0.33),
ROUND(
ROUND(((TRUNC(($AN425+0.01)*3/13,0)+0.99)*VLOOKUP((TRUNC(($AN425+0.01)*3/13,0)+0.99),'Tax scales - NAT 1004'!$A$65:$C$73,2,1)-VLOOKUP((TRUNC(($AN425+0.01)*3/13,0)+0.99),'Tax scales - NAT 1004'!$A$65:$C$73,3,1)),0)
*13/3,
0),
IF($E$2="Monthly",
ROUND(
ROUND(((TRUNC($AN425*3/13,0)+0.99)*VLOOKUP((TRUNC($AN425*3/13,0)+0.99),'Tax scales - NAT 1004'!$A$65:$C$73,2,1)-VLOOKUP((TRUNC($AN425*3/13,0)+0.99),'Tax scales - NAT 1004'!$A$65:$C$73,3,1)),0)
*13/3,
0),
""))),
""),
"")</f>
        <v/>
      </c>
      <c r="AU425" s="118" t="str">
        <f>IFERROR(
IF(VLOOKUP($C425,'Employee information'!$B:$M,COLUMNS('Employee information'!$B:$M),0)=11,
IF($E$2="Fortnightly",
ROUND(
ROUND((((TRUNC($AN425/2,0)+0.99))*VLOOKUP((TRUNC($AN425/2,0)+0.99),'Tax scales - NAT 3539'!$A$14:$C$38,2,1)-VLOOKUP((TRUNC($AN425/2,0)+0.99),'Tax scales - NAT 3539'!$A$14:$C$38,3,1)),0)
*2,
0),
IF(AND($E$2="Monthly",ROUND($AN425-TRUNC($AN425),2)=0.33),
ROUND(
ROUND(((TRUNC(($AN425+0.01)*3/13,0)+0.99)*VLOOKUP((TRUNC(($AN425+0.01)*3/13,0)+0.99),'Tax scales - NAT 3539'!$A$14:$C$38,2,1)-VLOOKUP((TRUNC(($AN425+0.01)*3/13,0)+0.99),'Tax scales - NAT 3539'!$A$14:$C$38,3,1)),0)
*13/3,
0),
IF($E$2="Monthly",
ROUND(
ROUND(((TRUNC($AN425*3/13,0)+0.99)*VLOOKUP((TRUNC($AN425*3/13,0)+0.99),'Tax scales - NAT 3539'!$A$14:$C$38,2,1)-VLOOKUP((TRUNC($AN425*3/13,0)+0.99),'Tax scales - NAT 3539'!$A$14:$C$38,3,1)),0)
*13/3,
0),
""))),
""),
"")</f>
        <v/>
      </c>
      <c r="AV425" s="118" t="str">
        <f>IFERROR(
IF(VLOOKUP($C425,'Employee information'!$B:$M,COLUMNS('Employee information'!$B:$M),0)=22,
IF($E$2="Fortnightly",
ROUND(
ROUND((((TRUNC($AN425/2,0)+0.99))*VLOOKUP((TRUNC($AN425/2,0)+0.99),'Tax scales - NAT 3539'!$A$43:$C$69,2,1)-VLOOKUP((TRUNC($AN425/2,0)+0.99),'Tax scales - NAT 3539'!$A$43:$C$69,3,1)),0)
*2,
0),
IF(AND($E$2="Monthly",ROUND($AN425-TRUNC($AN425),2)=0.33),
ROUND(
ROUND(((TRUNC(($AN425+0.01)*3/13,0)+0.99)*VLOOKUP((TRUNC(($AN425+0.01)*3/13,0)+0.99),'Tax scales - NAT 3539'!$A$43:$C$69,2,1)-VLOOKUP((TRUNC(($AN425+0.01)*3/13,0)+0.99),'Tax scales - NAT 3539'!$A$43:$C$69,3,1)),0)
*13/3,
0),
IF($E$2="Monthly",
ROUND(
ROUND(((TRUNC($AN425*3/13,0)+0.99)*VLOOKUP((TRUNC($AN425*3/13,0)+0.99),'Tax scales - NAT 3539'!$A$43:$C$69,2,1)-VLOOKUP((TRUNC($AN425*3/13,0)+0.99),'Tax scales - NAT 3539'!$A$43:$C$69,3,1)),0)
*13/3,
0),
""))),
""),
"")</f>
        <v/>
      </c>
      <c r="AW425" s="118" t="str">
        <f>IFERROR(
IF(VLOOKUP($C425,'Employee information'!$B:$M,COLUMNS('Employee information'!$B:$M),0)=33,
IF($E$2="Fortnightly",
ROUND(
ROUND((((TRUNC($AN425/2,0)+0.99))*VLOOKUP((TRUNC($AN425/2,0)+0.99),'Tax scales - NAT 3539'!$A$74:$C$94,2,1)-VLOOKUP((TRUNC($AN425/2,0)+0.99),'Tax scales - NAT 3539'!$A$74:$C$94,3,1)),0)
*2,
0),
IF(AND($E$2="Monthly",ROUND($AN425-TRUNC($AN425),2)=0.33),
ROUND(
ROUND(((TRUNC(($AN425+0.01)*3/13,0)+0.99)*VLOOKUP((TRUNC(($AN425+0.01)*3/13,0)+0.99),'Tax scales - NAT 3539'!$A$74:$C$94,2,1)-VLOOKUP((TRUNC(($AN425+0.01)*3/13,0)+0.99),'Tax scales - NAT 3539'!$A$74:$C$94,3,1)),0)
*13/3,
0),
IF($E$2="Monthly",
ROUND(
ROUND(((TRUNC($AN425*3/13,0)+0.99)*VLOOKUP((TRUNC($AN425*3/13,0)+0.99),'Tax scales - NAT 3539'!$A$74:$C$94,2,1)-VLOOKUP((TRUNC($AN425*3/13,0)+0.99),'Tax scales - NAT 3539'!$A$74:$C$94,3,1)),0)
*13/3,
0),
""))),
""),
"")</f>
        <v/>
      </c>
      <c r="AX425" s="118" t="str">
        <f>IFERROR(
IF(VLOOKUP($C425,'Employee information'!$B:$M,COLUMNS('Employee information'!$B:$M),0)=55,
IF($E$2="Fortnightly",
ROUND(
ROUND((((TRUNC($AN425/2,0)+0.99))*VLOOKUP((TRUNC($AN425/2,0)+0.99),'Tax scales - NAT 3539'!$A$99:$C$123,2,1)-VLOOKUP((TRUNC($AN425/2,0)+0.99),'Tax scales - NAT 3539'!$A$99:$C$123,3,1)),0)
*2,
0),
IF(AND($E$2="Monthly",ROUND($AN425-TRUNC($AN425),2)=0.33),
ROUND(
ROUND(((TRUNC(($AN425+0.01)*3/13,0)+0.99)*VLOOKUP((TRUNC(($AN425+0.01)*3/13,0)+0.99),'Tax scales - NAT 3539'!$A$99:$C$123,2,1)-VLOOKUP((TRUNC(($AN425+0.01)*3/13,0)+0.99),'Tax scales - NAT 3539'!$A$99:$C$123,3,1)),0)
*13/3,
0),
IF($E$2="Monthly",
ROUND(
ROUND(((TRUNC($AN425*3/13,0)+0.99)*VLOOKUP((TRUNC($AN425*3/13,0)+0.99),'Tax scales - NAT 3539'!$A$99:$C$123,2,1)-VLOOKUP((TRUNC($AN425*3/13,0)+0.99),'Tax scales - NAT 3539'!$A$99:$C$123,3,1)),0)
*13/3,
0),
""))),
""),
"")</f>
        <v/>
      </c>
      <c r="AY425" s="118" t="str">
        <f>IFERROR(
IF(VLOOKUP($C425,'Employee information'!$B:$M,COLUMNS('Employee information'!$B:$M),0)=66,
IF($E$2="Fortnightly",
ROUND(
ROUND((((TRUNC($AN425/2,0)+0.99))*VLOOKUP((TRUNC($AN425/2,0)+0.99),'Tax scales - NAT 3539'!$A$127:$C$154,2,1)-VLOOKUP((TRUNC($AN425/2,0)+0.99),'Tax scales - NAT 3539'!$A$127:$C$154,3,1)),0)
*2,
0),
IF(AND($E$2="Monthly",ROUND($AN425-TRUNC($AN425),2)=0.33),
ROUND(
ROUND(((TRUNC(($AN425+0.01)*3/13,0)+0.99)*VLOOKUP((TRUNC(($AN425+0.01)*3/13,0)+0.99),'Tax scales - NAT 3539'!$A$127:$C$154,2,1)-VLOOKUP((TRUNC(($AN425+0.01)*3/13,0)+0.99),'Tax scales - NAT 3539'!$A$127:$C$154,3,1)),0)
*13/3,
0),
IF($E$2="Monthly",
ROUND(
ROUND(((TRUNC($AN425*3/13,0)+0.99)*VLOOKUP((TRUNC($AN425*3/13,0)+0.99),'Tax scales - NAT 3539'!$A$127:$C$154,2,1)-VLOOKUP((TRUNC($AN425*3/13,0)+0.99),'Tax scales - NAT 3539'!$A$127:$C$154,3,1)),0)
*13/3,
0),
""))),
""),
"")</f>
        <v/>
      </c>
      <c r="AZ425" s="118">
        <f>IFERROR(
HLOOKUP(VLOOKUP($C425,'Employee information'!$B:$M,COLUMNS('Employee information'!$B:$M),0),'PAYG worksheet'!$AO$416:$AY$435,COUNTA($C$417:$C425)+1,0),
0)</f>
        <v>0</v>
      </c>
      <c r="BA425" s="118"/>
      <c r="BB425" s="118">
        <f t="shared" si="449"/>
        <v>0</v>
      </c>
      <c r="BC425" s="119">
        <f>IFERROR(
IF(OR($AE425=1,$AE425=""),SUM($P425,$AA425,$AC425,$AK425)*VLOOKUP($C425,'Employee information'!$B:$Q,COLUMNS('Employee information'!$B:$H),0),
IF($AE425=0,SUM($P425,$AA425,$AK425)*VLOOKUP($C425,'Employee information'!$B:$Q,COLUMNS('Employee information'!$B:$H),0),
0)),
0)</f>
        <v>0</v>
      </c>
      <c r="BE425" s="114">
        <f t="shared" si="434"/>
        <v>0</v>
      </c>
      <c r="BF425" s="114">
        <f t="shared" si="435"/>
        <v>0</v>
      </c>
      <c r="BG425" s="114">
        <f t="shared" si="436"/>
        <v>0</v>
      </c>
      <c r="BH425" s="114">
        <f t="shared" si="437"/>
        <v>0</v>
      </c>
      <c r="BI425" s="114">
        <f t="shared" si="438"/>
        <v>0</v>
      </c>
      <c r="BJ425" s="114">
        <f t="shared" si="439"/>
        <v>0</v>
      </c>
      <c r="BK425" s="114">
        <f t="shared" si="440"/>
        <v>0</v>
      </c>
      <c r="BL425" s="114">
        <f t="shared" si="450"/>
        <v>0</v>
      </c>
      <c r="BM425" s="114">
        <f t="shared" si="441"/>
        <v>0</v>
      </c>
    </row>
    <row r="426" spans="1:65" x14ac:dyDescent="0.25">
      <c r="A426" s="228">
        <f t="shared" si="429"/>
        <v>15</v>
      </c>
      <c r="C426" s="278"/>
      <c r="E426" s="103">
        <f>IF($C426="",0,
IF(AND($E$2="Monthly",$A426&gt;12),0,
IF($E$2="Monthly",VLOOKUP($C426,'Employee information'!$B:$AM,COLUMNS('Employee information'!$B:S),0),
IF($E$2="Fortnightly",VLOOKUP($C426,'Employee information'!$B:$AM,COLUMNS('Employee information'!$B:R),0),
0))))</f>
        <v>0</v>
      </c>
      <c r="F426" s="106"/>
      <c r="G426" s="106"/>
      <c r="H426" s="106"/>
      <c r="I426" s="106"/>
      <c r="J426" s="103">
        <f t="shared" si="442"/>
        <v>0</v>
      </c>
      <c r="L426" s="113">
        <f>IF(AND($E$2="Monthly",$A426&gt;12),"",
IFERROR($J426*VLOOKUP($C426,'Employee information'!$B:$AI,COLUMNS('Employee information'!$B:$P),0),0))</f>
        <v>0</v>
      </c>
      <c r="M426" s="114">
        <f t="shared" si="443"/>
        <v>0</v>
      </c>
      <c r="O426" s="103">
        <f>IF($E$2="Monthly",
IF(AND($E$2="Monthly",$H426&lt;&gt;""),$H426,
IF(AND($E$2="Monthly",$E426=0),$F426,
$E426)),
IF($E$2="Fortnightly",
IF(AND($E$2="Fortnightly",$H426&lt;&gt;""),$H426,
IF(AND($E$2="Fortnightly",$F426&lt;&gt;"",$E426&lt;&gt;0),$F426,
IF(AND($E$2="Fortnightly",$E426=0),$F426,
$E426)))))</f>
        <v>0</v>
      </c>
      <c r="P426" s="113">
        <f>IFERROR(
IF(AND($E$2="Monthly",$A426&gt;12),0,
$O426*VLOOKUP($C426,'Employee information'!$B:$AI,COLUMNS('Employee information'!$B:$P),0)),
0)</f>
        <v>0</v>
      </c>
      <c r="R426" s="114">
        <f t="shared" si="430"/>
        <v>0</v>
      </c>
      <c r="T426" s="103"/>
      <c r="U426" s="103"/>
      <c r="V426" s="282" t="str">
        <f>IF($C426="","",
IF(AND($E$2="Monthly",$A426&gt;12),"",
$T426*VLOOKUP($C426,'Employee information'!$B:$P,COLUMNS('Employee information'!$B:$P),0)))</f>
        <v/>
      </c>
      <c r="W426" s="282" t="str">
        <f>IF($C426="","",
IF(AND($E$2="Monthly",$A426&gt;12),"",
$U426*VLOOKUP($C426,'Employee information'!$B:$P,COLUMNS('Employee information'!$B:$P),0)))</f>
        <v/>
      </c>
      <c r="X426" s="114">
        <f t="shared" si="431"/>
        <v>0</v>
      </c>
      <c r="Y426" s="114">
        <f t="shared" si="432"/>
        <v>0</v>
      </c>
      <c r="AA426" s="118">
        <f>IFERROR(
IF(OR('Basic payroll data'!$D$12="",'Basic payroll data'!$D$12="No"),0,
$T426*VLOOKUP($C426,'Employee information'!$B:$P,COLUMNS('Employee information'!$B:$P),0)*AL_loading_perc),
0)</f>
        <v>0</v>
      </c>
      <c r="AC426" s="118"/>
      <c r="AD426" s="118"/>
      <c r="AE426" s="283" t="str">
        <f t="shared" si="445"/>
        <v/>
      </c>
      <c r="AF426" s="283" t="str">
        <f t="shared" si="446"/>
        <v/>
      </c>
      <c r="AG426" s="118"/>
      <c r="AH426" s="118"/>
      <c r="AI426" s="283" t="str">
        <f t="shared" si="447"/>
        <v/>
      </c>
      <c r="AJ426" s="118"/>
      <c r="AK426" s="118"/>
      <c r="AM426" s="118">
        <f t="shared" si="448"/>
        <v>0</v>
      </c>
      <c r="AN426" s="118">
        <f t="shared" si="433"/>
        <v>0</v>
      </c>
      <c r="AO426" s="118" t="str">
        <f>IFERROR(
IF(VLOOKUP($C426,'Employee information'!$B:$M,COLUMNS('Employee information'!$B:$M),0)=1,
IF($E$2="Fortnightly",
ROUND(
ROUND((((TRUNC($AN426/2,0)+0.99))*VLOOKUP((TRUNC($AN426/2,0)+0.99),'Tax scales - NAT 1004'!$A$12:$C$18,2,1)-VLOOKUP((TRUNC($AN426/2,0)+0.99),'Tax scales - NAT 1004'!$A$12:$C$18,3,1)),0)
*2,
0),
IF(AND($E$2="Monthly",ROUND($AN426-TRUNC($AN426),2)=0.33),
ROUND(
ROUND(((TRUNC(($AN426+0.01)*3/13,0)+0.99)*VLOOKUP((TRUNC(($AN426+0.01)*3/13,0)+0.99),'Tax scales - NAT 1004'!$A$12:$C$18,2,1)-VLOOKUP((TRUNC(($AN426+0.01)*3/13,0)+0.99),'Tax scales - NAT 1004'!$A$12:$C$18,3,1)),0)
*13/3,
0),
IF($E$2="Monthly",
ROUND(
ROUND(((TRUNC($AN426*3/13,0)+0.99)*VLOOKUP((TRUNC($AN426*3/13,0)+0.99),'Tax scales - NAT 1004'!$A$12:$C$18,2,1)-VLOOKUP((TRUNC($AN426*3/13,0)+0.99),'Tax scales - NAT 1004'!$A$12:$C$18,3,1)),0)
*13/3,
0),
""))),
""),
"")</f>
        <v/>
      </c>
      <c r="AP426" s="118" t="str">
        <f>IFERROR(
IF(VLOOKUP($C426,'Employee information'!$B:$M,COLUMNS('Employee information'!$B:$M),0)=2,
IF($E$2="Fortnightly",
ROUND(
ROUND((((TRUNC($AN426/2,0)+0.99))*VLOOKUP((TRUNC($AN426/2,0)+0.99),'Tax scales - NAT 1004'!$A$25:$C$33,2,1)-VLOOKUP((TRUNC($AN426/2,0)+0.99),'Tax scales - NAT 1004'!$A$25:$C$33,3,1)),0)
*2,
0),
IF(AND($E$2="Monthly",ROUND($AN426-TRUNC($AN426),2)=0.33),
ROUND(
ROUND(((TRUNC(($AN426+0.01)*3/13,0)+0.99)*VLOOKUP((TRUNC(($AN426+0.01)*3/13,0)+0.99),'Tax scales - NAT 1004'!$A$25:$C$33,2,1)-VLOOKUP((TRUNC(($AN426+0.01)*3/13,0)+0.99),'Tax scales - NAT 1004'!$A$25:$C$33,3,1)),0)
*13/3,
0),
IF($E$2="Monthly",
ROUND(
ROUND(((TRUNC($AN426*3/13,0)+0.99)*VLOOKUP((TRUNC($AN426*3/13,0)+0.99),'Tax scales - NAT 1004'!$A$25:$C$33,2,1)-VLOOKUP((TRUNC($AN426*3/13,0)+0.99),'Tax scales - NAT 1004'!$A$25:$C$33,3,1)),0)
*13/3,
0),
""))),
""),
"")</f>
        <v/>
      </c>
      <c r="AQ426" s="118" t="str">
        <f>IFERROR(
IF(VLOOKUP($C426,'Employee information'!$B:$M,COLUMNS('Employee information'!$B:$M),0)=3,
IF($E$2="Fortnightly",
ROUND(
ROUND((((TRUNC($AN426/2,0)+0.99))*VLOOKUP((TRUNC($AN426/2,0)+0.99),'Tax scales - NAT 1004'!$A$39:$C$41,2,1)-VLOOKUP((TRUNC($AN426/2,0)+0.99),'Tax scales - NAT 1004'!$A$39:$C$41,3,1)),0)
*2,
0),
IF(AND($E$2="Monthly",ROUND($AN426-TRUNC($AN426),2)=0.33),
ROUND(
ROUND(((TRUNC(($AN426+0.01)*3/13,0)+0.99)*VLOOKUP((TRUNC(($AN426+0.01)*3/13,0)+0.99),'Tax scales - NAT 1004'!$A$39:$C$41,2,1)-VLOOKUP((TRUNC(($AN426+0.01)*3/13,0)+0.99),'Tax scales - NAT 1004'!$A$39:$C$41,3,1)),0)
*13/3,
0),
IF($E$2="Monthly",
ROUND(
ROUND(((TRUNC($AN426*3/13,0)+0.99)*VLOOKUP((TRUNC($AN426*3/13,0)+0.99),'Tax scales - NAT 1004'!$A$39:$C$41,2,1)-VLOOKUP((TRUNC($AN426*3/13,0)+0.99),'Tax scales - NAT 1004'!$A$39:$C$41,3,1)),0)
*13/3,
0),
""))),
""),
"")</f>
        <v/>
      </c>
      <c r="AR426" s="118" t="str">
        <f>IFERROR(
IF(AND(VLOOKUP($C426,'Employee information'!$B:$M,COLUMNS('Employee information'!$B:$M),0)=4,
VLOOKUP($C426,'Employee information'!$B:$J,COLUMNS('Employee information'!$B:$J),0)="Resident"),
TRUNC(TRUNC($AN426)*'Tax scales - NAT 1004'!$B$47),
IF(AND(VLOOKUP($C426,'Employee information'!$B:$M,COLUMNS('Employee information'!$B:$M),0)=4,
VLOOKUP($C426,'Employee information'!$B:$J,COLUMNS('Employee information'!$B:$J),0)="Foreign resident"),
TRUNC(TRUNC($AN426)*'Tax scales - NAT 1004'!$B$48),
"")),
"")</f>
        <v/>
      </c>
      <c r="AS426" s="118" t="str">
        <f>IFERROR(
IF(VLOOKUP($C426,'Employee information'!$B:$M,COLUMNS('Employee information'!$B:$M),0)=5,
IF($E$2="Fortnightly",
ROUND(
ROUND((((TRUNC($AN426/2,0)+0.99))*VLOOKUP((TRUNC($AN426/2,0)+0.99),'Tax scales - NAT 1004'!$A$53:$C$59,2,1)-VLOOKUP((TRUNC($AN426/2,0)+0.99),'Tax scales - NAT 1004'!$A$53:$C$59,3,1)),0)
*2,
0),
IF(AND($E$2="Monthly",ROUND($AN426-TRUNC($AN426),2)=0.33),
ROUND(
ROUND(((TRUNC(($AN426+0.01)*3/13,0)+0.99)*VLOOKUP((TRUNC(($AN426+0.01)*3/13,0)+0.99),'Tax scales - NAT 1004'!$A$53:$C$59,2,1)-VLOOKUP((TRUNC(($AN426+0.01)*3/13,0)+0.99),'Tax scales - NAT 1004'!$A$53:$C$59,3,1)),0)
*13/3,
0),
IF($E$2="Monthly",
ROUND(
ROUND(((TRUNC($AN426*3/13,0)+0.99)*VLOOKUP((TRUNC($AN426*3/13,0)+0.99),'Tax scales - NAT 1004'!$A$53:$C$59,2,1)-VLOOKUP((TRUNC($AN426*3/13,0)+0.99),'Tax scales - NAT 1004'!$A$53:$C$59,3,1)),0)
*13/3,
0),
""))),
""),
"")</f>
        <v/>
      </c>
      <c r="AT426" s="118" t="str">
        <f>IFERROR(
IF(VLOOKUP($C426,'Employee information'!$B:$M,COLUMNS('Employee information'!$B:$M),0)=6,
IF($E$2="Fortnightly",
ROUND(
ROUND((((TRUNC($AN426/2,0)+0.99))*VLOOKUP((TRUNC($AN426/2,0)+0.99),'Tax scales - NAT 1004'!$A$65:$C$73,2,1)-VLOOKUP((TRUNC($AN426/2,0)+0.99),'Tax scales - NAT 1004'!$A$65:$C$73,3,1)),0)
*2,
0),
IF(AND($E$2="Monthly",ROUND($AN426-TRUNC($AN426),2)=0.33),
ROUND(
ROUND(((TRUNC(($AN426+0.01)*3/13,0)+0.99)*VLOOKUP((TRUNC(($AN426+0.01)*3/13,0)+0.99),'Tax scales - NAT 1004'!$A$65:$C$73,2,1)-VLOOKUP((TRUNC(($AN426+0.01)*3/13,0)+0.99),'Tax scales - NAT 1004'!$A$65:$C$73,3,1)),0)
*13/3,
0),
IF($E$2="Monthly",
ROUND(
ROUND(((TRUNC($AN426*3/13,0)+0.99)*VLOOKUP((TRUNC($AN426*3/13,0)+0.99),'Tax scales - NAT 1004'!$A$65:$C$73,2,1)-VLOOKUP((TRUNC($AN426*3/13,0)+0.99),'Tax scales - NAT 1004'!$A$65:$C$73,3,1)),0)
*13/3,
0),
""))),
""),
"")</f>
        <v/>
      </c>
      <c r="AU426" s="118" t="str">
        <f>IFERROR(
IF(VLOOKUP($C426,'Employee information'!$B:$M,COLUMNS('Employee information'!$B:$M),0)=11,
IF($E$2="Fortnightly",
ROUND(
ROUND((((TRUNC($AN426/2,0)+0.99))*VLOOKUP((TRUNC($AN426/2,0)+0.99),'Tax scales - NAT 3539'!$A$14:$C$38,2,1)-VLOOKUP((TRUNC($AN426/2,0)+0.99),'Tax scales - NAT 3539'!$A$14:$C$38,3,1)),0)
*2,
0),
IF(AND($E$2="Monthly",ROUND($AN426-TRUNC($AN426),2)=0.33),
ROUND(
ROUND(((TRUNC(($AN426+0.01)*3/13,0)+0.99)*VLOOKUP((TRUNC(($AN426+0.01)*3/13,0)+0.99),'Tax scales - NAT 3539'!$A$14:$C$38,2,1)-VLOOKUP((TRUNC(($AN426+0.01)*3/13,0)+0.99),'Tax scales - NAT 3539'!$A$14:$C$38,3,1)),0)
*13/3,
0),
IF($E$2="Monthly",
ROUND(
ROUND(((TRUNC($AN426*3/13,0)+0.99)*VLOOKUP((TRUNC($AN426*3/13,0)+0.99),'Tax scales - NAT 3539'!$A$14:$C$38,2,1)-VLOOKUP((TRUNC($AN426*3/13,0)+0.99),'Tax scales - NAT 3539'!$A$14:$C$38,3,1)),0)
*13/3,
0),
""))),
""),
"")</f>
        <v/>
      </c>
      <c r="AV426" s="118" t="str">
        <f>IFERROR(
IF(VLOOKUP($C426,'Employee information'!$B:$M,COLUMNS('Employee information'!$B:$M),0)=22,
IF($E$2="Fortnightly",
ROUND(
ROUND((((TRUNC($AN426/2,0)+0.99))*VLOOKUP((TRUNC($AN426/2,0)+0.99),'Tax scales - NAT 3539'!$A$43:$C$69,2,1)-VLOOKUP((TRUNC($AN426/2,0)+0.99),'Tax scales - NAT 3539'!$A$43:$C$69,3,1)),0)
*2,
0),
IF(AND($E$2="Monthly",ROUND($AN426-TRUNC($AN426),2)=0.33),
ROUND(
ROUND(((TRUNC(($AN426+0.01)*3/13,0)+0.99)*VLOOKUP((TRUNC(($AN426+0.01)*3/13,0)+0.99),'Tax scales - NAT 3539'!$A$43:$C$69,2,1)-VLOOKUP((TRUNC(($AN426+0.01)*3/13,0)+0.99),'Tax scales - NAT 3539'!$A$43:$C$69,3,1)),0)
*13/3,
0),
IF($E$2="Monthly",
ROUND(
ROUND(((TRUNC($AN426*3/13,0)+0.99)*VLOOKUP((TRUNC($AN426*3/13,0)+0.99),'Tax scales - NAT 3539'!$A$43:$C$69,2,1)-VLOOKUP((TRUNC($AN426*3/13,0)+0.99),'Tax scales - NAT 3539'!$A$43:$C$69,3,1)),0)
*13/3,
0),
""))),
""),
"")</f>
        <v/>
      </c>
      <c r="AW426" s="118" t="str">
        <f>IFERROR(
IF(VLOOKUP($C426,'Employee information'!$B:$M,COLUMNS('Employee information'!$B:$M),0)=33,
IF($E$2="Fortnightly",
ROUND(
ROUND((((TRUNC($AN426/2,0)+0.99))*VLOOKUP((TRUNC($AN426/2,0)+0.99),'Tax scales - NAT 3539'!$A$74:$C$94,2,1)-VLOOKUP((TRUNC($AN426/2,0)+0.99),'Tax scales - NAT 3539'!$A$74:$C$94,3,1)),0)
*2,
0),
IF(AND($E$2="Monthly",ROUND($AN426-TRUNC($AN426),2)=0.33),
ROUND(
ROUND(((TRUNC(($AN426+0.01)*3/13,0)+0.99)*VLOOKUP((TRUNC(($AN426+0.01)*3/13,0)+0.99),'Tax scales - NAT 3539'!$A$74:$C$94,2,1)-VLOOKUP((TRUNC(($AN426+0.01)*3/13,0)+0.99),'Tax scales - NAT 3539'!$A$74:$C$94,3,1)),0)
*13/3,
0),
IF($E$2="Monthly",
ROUND(
ROUND(((TRUNC($AN426*3/13,0)+0.99)*VLOOKUP((TRUNC($AN426*3/13,0)+0.99),'Tax scales - NAT 3539'!$A$74:$C$94,2,1)-VLOOKUP((TRUNC($AN426*3/13,0)+0.99),'Tax scales - NAT 3539'!$A$74:$C$94,3,1)),0)
*13/3,
0),
""))),
""),
"")</f>
        <v/>
      </c>
      <c r="AX426" s="118" t="str">
        <f>IFERROR(
IF(VLOOKUP($C426,'Employee information'!$B:$M,COLUMNS('Employee information'!$B:$M),0)=55,
IF($E$2="Fortnightly",
ROUND(
ROUND((((TRUNC($AN426/2,0)+0.99))*VLOOKUP((TRUNC($AN426/2,0)+0.99),'Tax scales - NAT 3539'!$A$99:$C$123,2,1)-VLOOKUP((TRUNC($AN426/2,0)+0.99),'Tax scales - NAT 3539'!$A$99:$C$123,3,1)),0)
*2,
0),
IF(AND($E$2="Monthly",ROUND($AN426-TRUNC($AN426),2)=0.33),
ROUND(
ROUND(((TRUNC(($AN426+0.01)*3/13,0)+0.99)*VLOOKUP((TRUNC(($AN426+0.01)*3/13,0)+0.99),'Tax scales - NAT 3539'!$A$99:$C$123,2,1)-VLOOKUP((TRUNC(($AN426+0.01)*3/13,0)+0.99),'Tax scales - NAT 3539'!$A$99:$C$123,3,1)),0)
*13/3,
0),
IF($E$2="Monthly",
ROUND(
ROUND(((TRUNC($AN426*3/13,0)+0.99)*VLOOKUP((TRUNC($AN426*3/13,0)+0.99),'Tax scales - NAT 3539'!$A$99:$C$123,2,1)-VLOOKUP((TRUNC($AN426*3/13,0)+0.99),'Tax scales - NAT 3539'!$A$99:$C$123,3,1)),0)
*13/3,
0),
""))),
""),
"")</f>
        <v/>
      </c>
      <c r="AY426" s="118" t="str">
        <f>IFERROR(
IF(VLOOKUP($C426,'Employee information'!$B:$M,COLUMNS('Employee information'!$B:$M),0)=66,
IF($E$2="Fortnightly",
ROUND(
ROUND((((TRUNC($AN426/2,0)+0.99))*VLOOKUP((TRUNC($AN426/2,0)+0.99),'Tax scales - NAT 3539'!$A$127:$C$154,2,1)-VLOOKUP((TRUNC($AN426/2,0)+0.99),'Tax scales - NAT 3539'!$A$127:$C$154,3,1)),0)
*2,
0),
IF(AND($E$2="Monthly",ROUND($AN426-TRUNC($AN426),2)=0.33),
ROUND(
ROUND(((TRUNC(($AN426+0.01)*3/13,0)+0.99)*VLOOKUP((TRUNC(($AN426+0.01)*3/13,0)+0.99),'Tax scales - NAT 3539'!$A$127:$C$154,2,1)-VLOOKUP((TRUNC(($AN426+0.01)*3/13,0)+0.99),'Tax scales - NAT 3539'!$A$127:$C$154,3,1)),0)
*13/3,
0),
IF($E$2="Monthly",
ROUND(
ROUND(((TRUNC($AN426*3/13,0)+0.99)*VLOOKUP((TRUNC($AN426*3/13,0)+0.99),'Tax scales - NAT 3539'!$A$127:$C$154,2,1)-VLOOKUP((TRUNC($AN426*3/13,0)+0.99),'Tax scales - NAT 3539'!$A$127:$C$154,3,1)),0)
*13/3,
0),
""))),
""),
"")</f>
        <v/>
      </c>
      <c r="AZ426" s="118">
        <f>IFERROR(
HLOOKUP(VLOOKUP($C426,'Employee information'!$B:$M,COLUMNS('Employee information'!$B:$M),0),'PAYG worksheet'!$AO$416:$AY$435,COUNTA($C$417:$C426)+1,0),
0)</f>
        <v>0</v>
      </c>
      <c r="BA426" s="118"/>
      <c r="BB426" s="118">
        <f t="shared" si="449"/>
        <v>0</v>
      </c>
      <c r="BC426" s="119">
        <f>IFERROR(
IF(OR($AE426=1,$AE426=""),SUM($P426,$AA426,$AC426,$AK426)*VLOOKUP($C426,'Employee information'!$B:$Q,COLUMNS('Employee information'!$B:$H),0),
IF($AE426=0,SUM($P426,$AA426,$AK426)*VLOOKUP($C426,'Employee information'!$B:$Q,COLUMNS('Employee information'!$B:$H),0),
0)),
0)</f>
        <v>0</v>
      </c>
      <c r="BE426" s="114">
        <f t="shared" si="434"/>
        <v>0</v>
      </c>
      <c r="BF426" s="114">
        <f t="shared" si="435"/>
        <v>0</v>
      </c>
      <c r="BG426" s="114">
        <f t="shared" si="436"/>
        <v>0</v>
      </c>
      <c r="BH426" s="114">
        <f t="shared" si="437"/>
        <v>0</v>
      </c>
      <c r="BI426" s="114">
        <f t="shared" si="438"/>
        <v>0</v>
      </c>
      <c r="BJ426" s="114">
        <f t="shared" si="439"/>
        <v>0</v>
      </c>
      <c r="BK426" s="114">
        <f t="shared" si="440"/>
        <v>0</v>
      </c>
      <c r="BL426" s="114">
        <f t="shared" si="450"/>
        <v>0</v>
      </c>
      <c r="BM426" s="114">
        <f t="shared" si="441"/>
        <v>0</v>
      </c>
    </row>
    <row r="427" spans="1:65" x14ac:dyDescent="0.25">
      <c r="A427" s="228">
        <f t="shared" si="429"/>
        <v>15</v>
      </c>
      <c r="C427" s="278"/>
      <c r="E427" s="103">
        <f>IF($C427="",0,
IF(AND($E$2="Monthly",$A427&gt;12),0,
IF($E$2="Monthly",VLOOKUP($C427,'Employee information'!$B:$AM,COLUMNS('Employee information'!$B:S),0),
IF($E$2="Fortnightly",VLOOKUP($C427,'Employee information'!$B:$AM,COLUMNS('Employee information'!$B:R),0),
0))))</f>
        <v>0</v>
      </c>
      <c r="F427" s="106"/>
      <c r="G427" s="106"/>
      <c r="H427" s="106"/>
      <c r="I427" s="106"/>
      <c r="J427" s="103">
        <f t="shared" si="442"/>
        <v>0</v>
      </c>
      <c r="L427" s="113">
        <f>IF(AND($E$2="Monthly",$A427&gt;12),"",
IFERROR($J427*VLOOKUP($C427,'Employee information'!$B:$AI,COLUMNS('Employee information'!$B:$P),0),0))</f>
        <v>0</v>
      </c>
      <c r="M427" s="114">
        <f t="shared" si="443"/>
        <v>0</v>
      </c>
      <c r="O427" s="103">
        <f t="shared" si="444"/>
        <v>0</v>
      </c>
      <c r="P427" s="113">
        <f>IFERROR(
IF(AND($E$2="Monthly",$A427&gt;12),0,
$O427*VLOOKUP($C427,'Employee information'!$B:$AI,COLUMNS('Employee information'!$B:$P),0)),
0)</f>
        <v>0</v>
      </c>
      <c r="R427" s="114">
        <f t="shared" si="430"/>
        <v>0</v>
      </c>
      <c r="T427" s="103"/>
      <c r="U427" s="103"/>
      <c r="V427" s="282" t="str">
        <f>IF($C427="","",
IF(AND($E$2="Monthly",$A427&gt;12),"",
$T427*VLOOKUP($C427,'Employee information'!$B:$P,COLUMNS('Employee information'!$B:$P),0)))</f>
        <v/>
      </c>
      <c r="W427" s="282" t="str">
        <f>IF($C427="","",
IF(AND($E$2="Monthly",$A427&gt;12),"",
$U427*VLOOKUP($C427,'Employee information'!$B:$P,COLUMNS('Employee information'!$B:$P),0)))</f>
        <v/>
      </c>
      <c r="X427" s="114">
        <f t="shared" si="431"/>
        <v>0</v>
      </c>
      <c r="Y427" s="114">
        <f t="shared" si="432"/>
        <v>0</v>
      </c>
      <c r="AA427" s="118">
        <f>IFERROR(
IF(OR('Basic payroll data'!$D$12="",'Basic payroll data'!$D$12="No"),0,
$T427*VLOOKUP($C427,'Employee information'!$B:$P,COLUMNS('Employee information'!$B:$P),0)*AL_loading_perc),
0)</f>
        <v>0</v>
      </c>
      <c r="AC427" s="118"/>
      <c r="AD427" s="118"/>
      <c r="AE427" s="283" t="str">
        <f t="shared" si="445"/>
        <v/>
      </c>
      <c r="AF427" s="283" t="str">
        <f t="shared" si="446"/>
        <v/>
      </c>
      <c r="AG427" s="118"/>
      <c r="AH427" s="118"/>
      <c r="AI427" s="283" t="str">
        <f t="shared" si="447"/>
        <v/>
      </c>
      <c r="AJ427" s="118"/>
      <c r="AK427" s="118"/>
      <c r="AM427" s="118">
        <f t="shared" si="448"/>
        <v>0</v>
      </c>
      <c r="AN427" s="118">
        <f t="shared" si="433"/>
        <v>0</v>
      </c>
      <c r="AO427" s="118" t="str">
        <f>IFERROR(
IF(VLOOKUP($C427,'Employee information'!$B:$M,COLUMNS('Employee information'!$B:$M),0)=1,
IF($E$2="Fortnightly",
ROUND(
ROUND((((TRUNC($AN427/2,0)+0.99))*VLOOKUP((TRUNC($AN427/2,0)+0.99),'Tax scales - NAT 1004'!$A$12:$C$18,2,1)-VLOOKUP((TRUNC($AN427/2,0)+0.99),'Tax scales - NAT 1004'!$A$12:$C$18,3,1)),0)
*2,
0),
IF(AND($E$2="Monthly",ROUND($AN427-TRUNC($AN427),2)=0.33),
ROUND(
ROUND(((TRUNC(($AN427+0.01)*3/13,0)+0.99)*VLOOKUP((TRUNC(($AN427+0.01)*3/13,0)+0.99),'Tax scales - NAT 1004'!$A$12:$C$18,2,1)-VLOOKUP((TRUNC(($AN427+0.01)*3/13,0)+0.99),'Tax scales - NAT 1004'!$A$12:$C$18,3,1)),0)
*13/3,
0),
IF($E$2="Monthly",
ROUND(
ROUND(((TRUNC($AN427*3/13,0)+0.99)*VLOOKUP((TRUNC($AN427*3/13,0)+0.99),'Tax scales - NAT 1004'!$A$12:$C$18,2,1)-VLOOKUP((TRUNC($AN427*3/13,0)+0.99),'Tax scales - NAT 1004'!$A$12:$C$18,3,1)),0)
*13/3,
0),
""))),
""),
"")</f>
        <v/>
      </c>
      <c r="AP427" s="118" t="str">
        <f>IFERROR(
IF(VLOOKUP($C427,'Employee information'!$B:$M,COLUMNS('Employee information'!$B:$M),0)=2,
IF($E$2="Fortnightly",
ROUND(
ROUND((((TRUNC($AN427/2,0)+0.99))*VLOOKUP((TRUNC($AN427/2,0)+0.99),'Tax scales - NAT 1004'!$A$25:$C$33,2,1)-VLOOKUP((TRUNC($AN427/2,0)+0.99),'Tax scales - NAT 1004'!$A$25:$C$33,3,1)),0)
*2,
0),
IF(AND($E$2="Monthly",ROUND($AN427-TRUNC($AN427),2)=0.33),
ROUND(
ROUND(((TRUNC(($AN427+0.01)*3/13,0)+0.99)*VLOOKUP((TRUNC(($AN427+0.01)*3/13,0)+0.99),'Tax scales - NAT 1004'!$A$25:$C$33,2,1)-VLOOKUP((TRUNC(($AN427+0.01)*3/13,0)+0.99),'Tax scales - NAT 1004'!$A$25:$C$33,3,1)),0)
*13/3,
0),
IF($E$2="Monthly",
ROUND(
ROUND(((TRUNC($AN427*3/13,0)+0.99)*VLOOKUP((TRUNC($AN427*3/13,0)+0.99),'Tax scales - NAT 1004'!$A$25:$C$33,2,1)-VLOOKUP((TRUNC($AN427*3/13,0)+0.99),'Tax scales - NAT 1004'!$A$25:$C$33,3,1)),0)
*13/3,
0),
""))),
""),
"")</f>
        <v/>
      </c>
      <c r="AQ427" s="118" t="str">
        <f>IFERROR(
IF(VLOOKUP($C427,'Employee information'!$B:$M,COLUMNS('Employee information'!$B:$M),0)=3,
IF($E$2="Fortnightly",
ROUND(
ROUND((((TRUNC($AN427/2,0)+0.99))*VLOOKUP((TRUNC($AN427/2,0)+0.99),'Tax scales - NAT 1004'!$A$39:$C$41,2,1)-VLOOKUP((TRUNC($AN427/2,0)+0.99),'Tax scales - NAT 1004'!$A$39:$C$41,3,1)),0)
*2,
0),
IF(AND($E$2="Monthly",ROUND($AN427-TRUNC($AN427),2)=0.33),
ROUND(
ROUND(((TRUNC(($AN427+0.01)*3/13,0)+0.99)*VLOOKUP((TRUNC(($AN427+0.01)*3/13,0)+0.99),'Tax scales - NAT 1004'!$A$39:$C$41,2,1)-VLOOKUP((TRUNC(($AN427+0.01)*3/13,0)+0.99),'Tax scales - NAT 1004'!$A$39:$C$41,3,1)),0)
*13/3,
0),
IF($E$2="Monthly",
ROUND(
ROUND(((TRUNC($AN427*3/13,0)+0.99)*VLOOKUP((TRUNC($AN427*3/13,0)+0.99),'Tax scales - NAT 1004'!$A$39:$C$41,2,1)-VLOOKUP((TRUNC($AN427*3/13,0)+0.99),'Tax scales - NAT 1004'!$A$39:$C$41,3,1)),0)
*13/3,
0),
""))),
""),
"")</f>
        <v/>
      </c>
      <c r="AR427" s="118" t="str">
        <f>IFERROR(
IF(AND(VLOOKUP($C427,'Employee information'!$B:$M,COLUMNS('Employee information'!$B:$M),0)=4,
VLOOKUP($C427,'Employee information'!$B:$J,COLUMNS('Employee information'!$B:$J),0)="Resident"),
TRUNC(TRUNC($AN427)*'Tax scales - NAT 1004'!$B$47),
IF(AND(VLOOKUP($C427,'Employee information'!$B:$M,COLUMNS('Employee information'!$B:$M),0)=4,
VLOOKUP($C427,'Employee information'!$B:$J,COLUMNS('Employee information'!$B:$J),0)="Foreign resident"),
TRUNC(TRUNC($AN427)*'Tax scales - NAT 1004'!$B$48),
"")),
"")</f>
        <v/>
      </c>
      <c r="AS427" s="118" t="str">
        <f>IFERROR(
IF(VLOOKUP($C427,'Employee information'!$B:$M,COLUMNS('Employee information'!$B:$M),0)=5,
IF($E$2="Fortnightly",
ROUND(
ROUND((((TRUNC($AN427/2,0)+0.99))*VLOOKUP((TRUNC($AN427/2,0)+0.99),'Tax scales - NAT 1004'!$A$53:$C$59,2,1)-VLOOKUP((TRUNC($AN427/2,0)+0.99),'Tax scales - NAT 1004'!$A$53:$C$59,3,1)),0)
*2,
0),
IF(AND($E$2="Monthly",ROUND($AN427-TRUNC($AN427),2)=0.33),
ROUND(
ROUND(((TRUNC(($AN427+0.01)*3/13,0)+0.99)*VLOOKUP((TRUNC(($AN427+0.01)*3/13,0)+0.99),'Tax scales - NAT 1004'!$A$53:$C$59,2,1)-VLOOKUP((TRUNC(($AN427+0.01)*3/13,0)+0.99),'Tax scales - NAT 1004'!$A$53:$C$59,3,1)),0)
*13/3,
0),
IF($E$2="Monthly",
ROUND(
ROUND(((TRUNC($AN427*3/13,0)+0.99)*VLOOKUP((TRUNC($AN427*3/13,0)+0.99),'Tax scales - NAT 1004'!$A$53:$C$59,2,1)-VLOOKUP((TRUNC($AN427*3/13,0)+0.99),'Tax scales - NAT 1004'!$A$53:$C$59,3,1)),0)
*13/3,
0),
""))),
""),
"")</f>
        <v/>
      </c>
      <c r="AT427" s="118" t="str">
        <f>IFERROR(
IF(VLOOKUP($C427,'Employee information'!$B:$M,COLUMNS('Employee information'!$B:$M),0)=6,
IF($E$2="Fortnightly",
ROUND(
ROUND((((TRUNC($AN427/2,0)+0.99))*VLOOKUP((TRUNC($AN427/2,0)+0.99),'Tax scales - NAT 1004'!$A$65:$C$73,2,1)-VLOOKUP((TRUNC($AN427/2,0)+0.99),'Tax scales - NAT 1004'!$A$65:$C$73,3,1)),0)
*2,
0),
IF(AND($E$2="Monthly",ROUND($AN427-TRUNC($AN427),2)=0.33),
ROUND(
ROUND(((TRUNC(($AN427+0.01)*3/13,0)+0.99)*VLOOKUP((TRUNC(($AN427+0.01)*3/13,0)+0.99),'Tax scales - NAT 1004'!$A$65:$C$73,2,1)-VLOOKUP((TRUNC(($AN427+0.01)*3/13,0)+0.99),'Tax scales - NAT 1004'!$A$65:$C$73,3,1)),0)
*13/3,
0),
IF($E$2="Monthly",
ROUND(
ROUND(((TRUNC($AN427*3/13,0)+0.99)*VLOOKUP((TRUNC($AN427*3/13,0)+0.99),'Tax scales - NAT 1004'!$A$65:$C$73,2,1)-VLOOKUP((TRUNC($AN427*3/13,0)+0.99),'Tax scales - NAT 1004'!$A$65:$C$73,3,1)),0)
*13/3,
0),
""))),
""),
"")</f>
        <v/>
      </c>
      <c r="AU427" s="118" t="str">
        <f>IFERROR(
IF(VLOOKUP($C427,'Employee information'!$B:$M,COLUMNS('Employee information'!$B:$M),0)=11,
IF($E$2="Fortnightly",
ROUND(
ROUND((((TRUNC($AN427/2,0)+0.99))*VLOOKUP((TRUNC($AN427/2,0)+0.99),'Tax scales - NAT 3539'!$A$14:$C$38,2,1)-VLOOKUP((TRUNC($AN427/2,0)+0.99),'Tax scales - NAT 3539'!$A$14:$C$38,3,1)),0)
*2,
0),
IF(AND($E$2="Monthly",ROUND($AN427-TRUNC($AN427),2)=0.33),
ROUND(
ROUND(((TRUNC(($AN427+0.01)*3/13,0)+0.99)*VLOOKUP((TRUNC(($AN427+0.01)*3/13,0)+0.99),'Tax scales - NAT 3539'!$A$14:$C$38,2,1)-VLOOKUP((TRUNC(($AN427+0.01)*3/13,0)+0.99),'Tax scales - NAT 3539'!$A$14:$C$38,3,1)),0)
*13/3,
0),
IF($E$2="Monthly",
ROUND(
ROUND(((TRUNC($AN427*3/13,0)+0.99)*VLOOKUP((TRUNC($AN427*3/13,0)+0.99),'Tax scales - NAT 3539'!$A$14:$C$38,2,1)-VLOOKUP((TRUNC($AN427*3/13,0)+0.99),'Tax scales - NAT 3539'!$A$14:$C$38,3,1)),0)
*13/3,
0),
""))),
""),
"")</f>
        <v/>
      </c>
      <c r="AV427" s="118" t="str">
        <f>IFERROR(
IF(VLOOKUP($C427,'Employee information'!$B:$M,COLUMNS('Employee information'!$B:$M),0)=22,
IF($E$2="Fortnightly",
ROUND(
ROUND((((TRUNC($AN427/2,0)+0.99))*VLOOKUP((TRUNC($AN427/2,0)+0.99),'Tax scales - NAT 3539'!$A$43:$C$69,2,1)-VLOOKUP((TRUNC($AN427/2,0)+0.99),'Tax scales - NAT 3539'!$A$43:$C$69,3,1)),0)
*2,
0),
IF(AND($E$2="Monthly",ROUND($AN427-TRUNC($AN427),2)=0.33),
ROUND(
ROUND(((TRUNC(($AN427+0.01)*3/13,0)+0.99)*VLOOKUP((TRUNC(($AN427+0.01)*3/13,0)+0.99),'Tax scales - NAT 3539'!$A$43:$C$69,2,1)-VLOOKUP((TRUNC(($AN427+0.01)*3/13,0)+0.99),'Tax scales - NAT 3539'!$A$43:$C$69,3,1)),0)
*13/3,
0),
IF($E$2="Monthly",
ROUND(
ROUND(((TRUNC($AN427*3/13,0)+0.99)*VLOOKUP((TRUNC($AN427*3/13,0)+0.99),'Tax scales - NAT 3539'!$A$43:$C$69,2,1)-VLOOKUP((TRUNC($AN427*3/13,0)+0.99),'Tax scales - NAT 3539'!$A$43:$C$69,3,1)),0)
*13/3,
0),
""))),
""),
"")</f>
        <v/>
      </c>
      <c r="AW427" s="118" t="str">
        <f>IFERROR(
IF(VLOOKUP($C427,'Employee information'!$B:$M,COLUMNS('Employee information'!$B:$M),0)=33,
IF($E$2="Fortnightly",
ROUND(
ROUND((((TRUNC($AN427/2,0)+0.99))*VLOOKUP((TRUNC($AN427/2,0)+0.99),'Tax scales - NAT 3539'!$A$74:$C$94,2,1)-VLOOKUP((TRUNC($AN427/2,0)+0.99),'Tax scales - NAT 3539'!$A$74:$C$94,3,1)),0)
*2,
0),
IF(AND($E$2="Monthly",ROUND($AN427-TRUNC($AN427),2)=0.33),
ROUND(
ROUND(((TRUNC(($AN427+0.01)*3/13,0)+0.99)*VLOOKUP((TRUNC(($AN427+0.01)*3/13,0)+0.99),'Tax scales - NAT 3539'!$A$74:$C$94,2,1)-VLOOKUP((TRUNC(($AN427+0.01)*3/13,0)+0.99),'Tax scales - NAT 3539'!$A$74:$C$94,3,1)),0)
*13/3,
0),
IF($E$2="Monthly",
ROUND(
ROUND(((TRUNC($AN427*3/13,0)+0.99)*VLOOKUP((TRUNC($AN427*3/13,0)+0.99),'Tax scales - NAT 3539'!$A$74:$C$94,2,1)-VLOOKUP((TRUNC($AN427*3/13,0)+0.99),'Tax scales - NAT 3539'!$A$74:$C$94,3,1)),0)
*13/3,
0),
""))),
""),
"")</f>
        <v/>
      </c>
      <c r="AX427" s="118" t="str">
        <f>IFERROR(
IF(VLOOKUP($C427,'Employee information'!$B:$M,COLUMNS('Employee information'!$B:$M),0)=55,
IF($E$2="Fortnightly",
ROUND(
ROUND((((TRUNC($AN427/2,0)+0.99))*VLOOKUP((TRUNC($AN427/2,0)+0.99),'Tax scales - NAT 3539'!$A$99:$C$123,2,1)-VLOOKUP((TRUNC($AN427/2,0)+0.99),'Tax scales - NAT 3539'!$A$99:$C$123,3,1)),0)
*2,
0),
IF(AND($E$2="Monthly",ROUND($AN427-TRUNC($AN427),2)=0.33),
ROUND(
ROUND(((TRUNC(($AN427+0.01)*3/13,0)+0.99)*VLOOKUP((TRUNC(($AN427+0.01)*3/13,0)+0.99),'Tax scales - NAT 3539'!$A$99:$C$123,2,1)-VLOOKUP((TRUNC(($AN427+0.01)*3/13,0)+0.99),'Tax scales - NAT 3539'!$A$99:$C$123,3,1)),0)
*13/3,
0),
IF($E$2="Monthly",
ROUND(
ROUND(((TRUNC($AN427*3/13,0)+0.99)*VLOOKUP((TRUNC($AN427*3/13,0)+0.99),'Tax scales - NAT 3539'!$A$99:$C$123,2,1)-VLOOKUP((TRUNC($AN427*3/13,0)+0.99),'Tax scales - NAT 3539'!$A$99:$C$123,3,1)),0)
*13/3,
0),
""))),
""),
"")</f>
        <v/>
      </c>
      <c r="AY427" s="118" t="str">
        <f>IFERROR(
IF(VLOOKUP($C427,'Employee information'!$B:$M,COLUMNS('Employee information'!$B:$M),0)=66,
IF($E$2="Fortnightly",
ROUND(
ROUND((((TRUNC($AN427/2,0)+0.99))*VLOOKUP((TRUNC($AN427/2,0)+0.99),'Tax scales - NAT 3539'!$A$127:$C$154,2,1)-VLOOKUP((TRUNC($AN427/2,0)+0.99),'Tax scales - NAT 3539'!$A$127:$C$154,3,1)),0)
*2,
0),
IF(AND($E$2="Monthly",ROUND($AN427-TRUNC($AN427),2)=0.33),
ROUND(
ROUND(((TRUNC(($AN427+0.01)*3/13,0)+0.99)*VLOOKUP((TRUNC(($AN427+0.01)*3/13,0)+0.99),'Tax scales - NAT 3539'!$A$127:$C$154,2,1)-VLOOKUP((TRUNC(($AN427+0.01)*3/13,0)+0.99),'Tax scales - NAT 3539'!$A$127:$C$154,3,1)),0)
*13/3,
0),
IF($E$2="Monthly",
ROUND(
ROUND(((TRUNC($AN427*3/13,0)+0.99)*VLOOKUP((TRUNC($AN427*3/13,0)+0.99),'Tax scales - NAT 3539'!$A$127:$C$154,2,1)-VLOOKUP((TRUNC($AN427*3/13,0)+0.99),'Tax scales - NAT 3539'!$A$127:$C$154,3,1)),0)
*13/3,
0),
""))),
""),
"")</f>
        <v/>
      </c>
      <c r="AZ427" s="118">
        <f>IFERROR(
HLOOKUP(VLOOKUP($C427,'Employee information'!$B:$M,COLUMNS('Employee information'!$B:$M),0),'PAYG worksheet'!$AO$416:$AY$435,COUNTA($C$417:$C427)+1,0),
0)</f>
        <v>0</v>
      </c>
      <c r="BA427" s="118"/>
      <c r="BB427" s="118">
        <f t="shared" si="449"/>
        <v>0</v>
      </c>
      <c r="BC427" s="119">
        <f>IFERROR(
IF(OR($AE427=1,$AE427=""),SUM($P427,$AA427,$AC427,$AK427)*VLOOKUP($C427,'Employee information'!$B:$Q,COLUMNS('Employee information'!$B:$H),0),
IF($AE427=0,SUM($P427,$AA427,$AK427)*VLOOKUP($C427,'Employee information'!$B:$Q,COLUMNS('Employee information'!$B:$H),0),
0)),
0)</f>
        <v>0</v>
      </c>
      <c r="BE427" s="114">
        <f t="shared" si="434"/>
        <v>0</v>
      </c>
      <c r="BF427" s="114">
        <f t="shared" si="435"/>
        <v>0</v>
      </c>
      <c r="BG427" s="114">
        <f t="shared" si="436"/>
        <v>0</v>
      </c>
      <c r="BH427" s="114">
        <f t="shared" si="437"/>
        <v>0</v>
      </c>
      <c r="BI427" s="114">
        <f t="shared" si="438"/>
        <v>0</v>
      </c>
      <c r="BJ427" s="114">
        <f t="shared" si="439"/>
        <v>0</v>
      </c>
      <c r="BK427" s="114">
        <f t="shared" si="440"/>
        <v>0</v>
      </c>
      <c r="BL427" s="114">
        <f t="shared" si="450"/>
        <v>0</v>
      </c>
      <c r="BM427" s="114">
        <f t="shared" si="441"/>
        <v>0</v>
      </c>
    </row>
    <row r="428" spans="1:65" x14ac:dyDescent="0.25">
      <c r="A428" s="228">
        <f t="shared" si="429"/>
        <v>15</v>
      </c>
      <c r="C428" s="278"/>
      <c r="E428" s="103">
        <f>IF($C428="",0,
IF(AND($E$2="Monthly",$A428&gt;12),0,
IF($E$2="Monthly",VLOOKUP($C428,'Employee information'!$B:$AM,COLUMNS('Employee information'!$B:S),0),
IF($E$2="Fortnightly",VLOOKUP($C428,'Employee information'!$B:$AM,COLUMNS('Employee information'!$B:R),0),
0))))</f>
        <v>0</v>
      </c>
      <c r="F428" s="106"/>
      <c r="G428" s="106"/>
      <c r="H428" s="106"/>
      <c r="I428" s="106"/>
      <c r="J428" s="103">
        <f t="shared" si="442"/>
        <v>0</v>
      </c>
      <c r="L428" s="113">
        <f>IF(AND($E$2="Monthly",$A428&gt;12),"",
IFERROR($J428*VLOOKUP($C428,'Employee information'!$B:$AI,COLUMNS('Employee information'!$B:$P),0),0))</f>
        <v>0</v>
      </c>
      <c r="M428" s="114">
        <f t="shared" si="443"/>
        <v>0</v>
      </c>
      <c r="O428" s="103">
        <f t="shared" si="444"/>
        <v>0</v>
      </c>
      <c r="P428" s="113">
        <f>IFERROR(
IF(AND($E$2="Monthly",$A428&gt;12),0,
$O428*VLOOKUP($C428,'Employee information'!$B:$AI,COLUMNS('Employee information'!$B:$P),0)),
0)</f>
        <v>0</v>
      </c>
      <c r="R428" s="114">
        <f t="shared" si="430"/>
        <v>0</v>
      </c>
      <c r="T428" s="103"/>
      <c r="U428" s="103"/>
      <c r="V428" s="282" t="str">
        <f>IF($C428="","",
IF(AND($E$2="Monthly",$A428&gt;12),"",
$T428*VLOOKUP($C428,'Employee information'!$B:$P,COLUMNS('Employee information'!$B:$P),0)))</f>
        <v/>
      </c>
      <c r="W428" s="282" t="str">
        <f>IF($C428="","",
IF(AND($E$2="Monthly",$A428&gt;12),"",
$U428*VLOOKUP($C428,'Employee information'!$B:$P,COLUMNS('Employee information'!$B:$P),0)))</f>
        <v/>
      </c>
      <c r="X428" s="114">
        <f t="shared" si="431"/>
        <v>0</v>
      </c>
      <c r="Y428" s="114">
        <f t="shared" si="432"/>
        <v>0</v>
      </c>
      <c r="AA428" s="118">
        <f>IFERROR(
IF(OR('Basic payroll data'!$D$12="",'Basic payroll data'!$D$12="No"),0,
$T428*VLOOKUP($C428,'Employee information'!$B:$P,COLUMNS('Employee information'!$B:$P),0)*AL_loading_perc),
0)</f>
        <v>0</v>
      </c>
      <c r="AC428" s="118"/>
      <c r="AD428" s="118"/>
      <c r="AE428" s="283" t="str">
        <f t="shared" si="445"/>
        <v/>
      </c>
      <c r="AF428" s="283" t="str">
        <f t="shared" si="446"/>
        <v/>
      </c>
      <c r="AG428" s="118"/>
      <c r="AH428" s="118"/>
      <c r="AI428" s="283" t="str">
        <f t="shared" si="447"/>
        <v/>
      </c>
      <c r="AJ428" s="118"/>
      <c r="AK428" s="118"/>
      <c r="AM428" s="118">
        <f t="shared" si="448"/>
        <v>0</v>
      </c>
      <c r="AN428" s="118">
        <f t="shared" si="433"/>
        <v>0</v>
      </c>
      <c r="AO428" s="118" t="str">
        <f>IFERROR(
IF(VLOOKUP($C428,'Employee information'!$B:$M,COLUMNS('Employee information'!$B:$M),0)=1,
IF($E$2="Fortnightly",
ROUND(
ROUND((((TRUNC($AN428/2,0)+0.99))*VLOOKUP((TRUNC($AN428/2,0)+0.99),'Tax scales - NAT 1004'!$A$12:$C$18,2,1)-VLOOKUP((TRUNC($AN428/2,0)+0.99),'Tax scales - NAT 1004'!$A$12:$C$18,3,1)),0)
*2,
0),
IF(AND($E$2="Monthly",ROUND($AN428-TRUNC($AN428),2)=0.33),
ROUND(
ROUND(((TRUNC(($AN428+0.01)*3/13,0)+0.99)*VLOOKUP((TRUNC(($AN428+0.01)*3/13,0)+0.99),'Tax scales - NAT 1004'!$A$12:$C$18,2,1)-VLOOKUP((TRUNC(($AN428+0.01)*3/13,0)+0.99),'Tax scales - NAT 1004'!$A$12:$C$18,3,1)),0)
*13/3,
0),
IF($E$2="Monthly",
ROUND(
ROUND(((TRUNC($AN428*3/13,0)+0.99)*VLOOKUP((TRUNC($AN428*3/13,0)+0.99),'Tax scales - NAT 1004'!$A$12:$C$18,2,1)-VLOOKUP((TRUNC($AN428*3/13,0)+0.99),'Tax scales - NAT 1004'!$A$12:$C$18,3,1)),0)
*13/3,
0),
""))),
""),
"")</f>
        <v/>
      </c>
      <c r="AP428" s="118" t="str">
        <f>IFERROR(
IF(VLOOKUP($C428,'Employee information'!$B:$M,COLUMNS('Employee information'!$B:$M),0)=2,
IF($E$2="Fortnightly",
ROUND(
ROUND((((TRUNC($AN428/2,0)+0.99))*VLOOKUP((TRUNC($AN428/2,0)+0.99),'Tax scales - NAT 1004'!$A$25:$C$33,2,1)-VLOOKUP((TRUNC($AN428/2,0)+0.99),'Tax scales - NAT 1004'!$A$25:$C$33,3,1)),0)
*2,
0),
IF(AND($E$2="Monthly",ROUND($AN428-TRUNC($AN428),2)=0.33),
ROUND(
ROUND(((TRUNC(($AN428+0.01)*3/13,0)+0.99)*VLOOKUP((TRUNC(($AN428+0.01)*3/13,0)+0.99),'Tax scales - NAT 1004'!$A$25:$C$33,2,1)-VLOOKUP((TRUNC(($AN428+0.01)*3/13,0)+0.99),'Tax scales - NAT 1004'!$A$25:$C$33,3,1)),0)
*13/3,
0),
IF($E$2="Monthly",
ROUND(
ROUND(((TRUNC($AN428*3/13,0)+0.99)*VLOOKUP((TRUNC($AN428*3/13,0)+0.99),'Tax scales - NAT 1004'!$A$25:$C$33,2,1)-VLOOKUP((TRUNC($AN428*3/13,0)+0.99),'Tax scales - NAT 1004'!$A$25:$C$33,3,1)),0)
*13/3,
0),
""))),
""),
"")</f>
        <v/>
      </c>
      <c r="AQ428" s="118" t="str">
        <f>IFERROR(
IF(VLOOKUP($C428,'Employee information'!$B:$M,COLUMNS('Employee information'!$B:$M),0)=3,
IF($E$2="Fortnightly",
ROUND(
ROUND((((TRUNC($AN428/2,0)+0.99))*VLOOKUP((TRUNC($AN428/2,0)+0.99),'Tax scales - NAT 1004'!$A$39:$C$41,2,1)-VLOOKUP((TRUNC($AN428/2,0)+0.99),'Tax scales - NAT 1004'!$A$39:$C$41,3,1)),0)
*2,
0),
IF(AND($E$2="Monthly",ROUND($AN428-TRUNC($AN428),2)=0.33),
ROUND(
ROUND(((TRUNC(($AN428+0.01)*3/13,0)+0.99)*VLOOKUP((TRUNC(($AN428+0.01)*3/13,0)+0.99),'Tax scales - NAT 1004'!$A$39:$C$41,2,1)-VLOOKUP((TRUNC(($AN428+0.01)*3/13,0)+0.99),'Tax scales - NAT 1004'!$A$39:$C$41,3,1)),0)
*13/3,
0),
IF($E$2="Monthly",
ROUND(
ROUND(((TRUNC($AN428*3/13,0)+0.99)*VLOOKUP((TRUNC($AN428*3/13,0)+0.99),'Tax scales - NAT 1004'!$A$39:$C$41,2,1)-VLOOKUP((TRUNC($AN428*3/13,0)+0.99),'Tax scales - NAT 1004'!$A$39:$C$41,3,1)),0)
*13/3,
0),
""))),
""),
"")</f>
        <v/>
      </c>
      <c r="AR428" s="118" t="str">
        <f>IFERROR(
IF(AND(VLOOKUP($C428,'Employee information'!$B:$M,COLUMNS('Employee information'!$B:$M),0)=4,
VLOOKUP($C428,'Employee information'!$B:$J,COLUMNS('Employee information'!$B:$J),0)="Resident"),
TRUNC(TRUNC($AN428)*'Tax scales - NAT 1004'!$B$47),
IF(AND(VLOOKUP($C428,'Employee information'!$B:$M,COLUMNS('Employee information'!$B:$M),0)=4,
VLOOKUP($C428,'Employee information'!$B:$J,COLUMNS('Employee information'!$B:$J),0)="Foreign resident"),
TRUNC(TRUNC($AN428)*'Tax scales - NAT 1004'!$B$48),
"")),
"")</f>
        <v/>
      </c>
      <c r="AS428" s="118" t="str">
        <f>IFERROR(
IF(VLOOKUP($C428,'Employee information'!$B:$M,COLUMNS('Employee information'!$B:$M),0)=5,
IF($E$2="Fortnightly",
ROUND(
ROUND((((TRUNC($AN428/2,0)+0.99))*VLOOKUP((TRUNC($AN428/2,0)+0.99),'Tax scales - NAT 1004'!$A$53:$C$59,2,1)-VLOOKUP((TRUNC($AN428/2,0)+0.99),'Tax scales - NAT 1004'!$A$53:$C$59,3,1)),0)
*2,
0),
IF(AND($E$2="Monthly",ROUND($AN428-TRUNC($AN428),2)=0.33),
ROUND(
ROUND(((TRUNC(($AN428+0.01)*3/13,0)+0.99)*VLOOKUP((TRUNC(($AN428+0.01)*3/13,0)+0.99),'Tax scales - NAT 1004'!$A$53:$C$59,2,1)-VLOOKUP((TRUNC(($AN428+0.01)*3/13,0)+0.99),'Tax scales - NAT 1004'!$A$53:$C$59,3,1)),0)
*13/3,
0),
IF($E$2="Monthly",
ROUND(
ROUND(((TRUNC($AN428*3/13,0)+0.99)*VLOOKUP((TRUNC($AN428*3/13,0)+0.99),'Tax scales - NAT 1004'!$A$53:$C$59,2,1)-VLOOKUP((TRUNC($AN428*3/13,0)+0.99),'Tax scales - NAT 1004'!$A$53:$C$59,3,1)),0)
*13/3,
0),
""))),
""),
"")</f>
        <v/>
      </c>
      <c r="AT428" s="118" t="str">
        <f>IFERROR(
IF(VLOOKUP($C428,'Employee information'!$B:$M,COLUMNS('Employee information'!$B:$M),0)=6,
IF($E$2="Fortnightly",
ROUND(
ROUND((((TRUNC($AN428/2,0)+0.99))*VLOOKUP((TRUNC($AN428/2,0)+0.99),'Tax scales - NAT 1004'!$A$65:$C$73,2,1)-VLOOKUP((TRUNC($AN428/2,0)+0.99),'Tax scales - NAT 1004'!$A$65:$C$73,3,1)),0)
*2,
0),
IF(AND($E$2="Monthly",ROUND($AN428-TRUNC($AN428),2)=0.33),
ROUND(
ROUND(((TRUNC(($AN428+0.01)*3/13,0)+0.99)*VLOOKUP((TRUNC(($AN428+0.01)*3/13,0)+0.99),'Tax scales - NAT 1004'!$A$65:$C$73,2,1)-VLOOKUP((TRUNC(($AN428+0.01)*3/13,0)+0.99),'Tax scales - NAT 1004'!$A$65:$C$73,3,1)),0)
*13/3,
0),
IF($E$2="Monthly",
ROUND(
ROUND(((TRUNC($AN428*3/13,0)+0.99)*VLOOKUP((TRUNC($AN428*3/13,0)+0.99),'Tax scales - NAT 1004'!$A$65:$C$73,2,1)-VLOOKUP((TRUNC($AN428*3/13,0)+0.99),'Tax scales - NAT 1004'!$A$65:$C$73,3,1)),0)
*13/3,
0),
""))),
""),
"")</f>
        <v/>
      </c>
      <c r="AU428" s="118" t="str">
        <f>IFERROR(
IF(VLOOKUP($C428,'Employee information'!$B:$M,COLUMNS('Employee information'!$B:$M),0)=11,
IF($E$2="Fortnightly",
ROUND(
ROUND((((TRUNC($AN428/2,0)+0.99))*VLOOKUP((TRUNC($AN428/2,0)+0.99),'Tax scales - NAT 3539'!$A$14:$C$38,2,1)-VLOOKUP((TRUNC($AN428/2,0)+0.99),'Tax scales - NAT 3539'!$A$14:$C$38,3,1)),0)
*2,
0),
IF(AND($E$2="Monthly",ROUND($AN428-TRUNC($AN428),2)=0.33),
ROUND(
ROUND(((TRUNC(($AN428+0.01)*3/13,0)+0.99)*VLOOKUP((TRUNC(($AN428+0.01)*3/13,0)+0.99),'Tax scales - NAT 3539'!$A$14:$C$38,2,1)-VLOOKUP((TRUNC(($AN428+0.01)*3/13,0)+0.99),'Tax scales - NAT 3539'!$A$14:$C$38,3,1)),0)
*13/3,
0),
IF($E$2="Monthly",
ROUND(
ROUND(((TRUNC($AN428*3/13,0)+0.99)*VLOOKUP((TRUNC($AN428*3/13,0)+0.99),'Tax scales - NAT 3539'!$A$14:$C$38,2,1)-VLOOKUP((TRUNC($AN428*3/13,0)+0.99),'Tax scales - NAT 3539'!$A$14:$C$38,3,1)),0)
*13/3,
0),
""))),
""),
"")</f>
        <v/>
      </c>
      <c r="AV428" s="118" t="str">
        <f>IFERROR(
IF(VLOOKUP($C428,'Employee information'!$B:$M,COLUMNS('Employee information'!$B:$M),0)=22,
IF($E$2="Fortnightly",
ROUND(
ROUND((((TRUNC($AN428/2,0)+0.99))*VLOOKUP((TRUNC($AN428/2,0)+0.99),'Tax scales - NAT 3539'!$A$43:$C$69,2,1)-VLOOKUP((TRUNC($AN428/2,0)+0.99),'Tax scales - NAT 3539'!$A$43:$C$69,3,1)),0)
*2,
0),
IF(AND($E$2="Monthly",ROUND($AN428-TRUNC($AN428),2)=0.33),
ROUND(
ROUND(((TRUNC(($AN428+0.01)*3/13,0)+0.99)*VLOOKUP((TRUNC(($AN428+0.01)*3/13,0)+0.99),'Tax scales - NAT 3539'!$A$43:$C$69,2,1)-VLOOKUP((TRUNC(($AN428+0.01)*3/13,0)+0.99),'Tax scales - NAT 3539'!$A$43:$C$69,3,1)),0)
*13/3,
0),
IF($E$2="Monthly",
ROUND(
ROUND(((TRUNC($AN428*3/13,0)+0.99)*VLOOKUP((TRUNC($AN428*3/13,0)+0.99),'Tax scales - NAT 3539'!$A$43:$C$69,2,1)-VLOOKUP((TRUNC($AN428*3/13,0)+0.99),'Tax scales - NAT 3539'!$A$43:$C$69,3,1)),0)
*13/3,
0),
""))),
""),
"")</f>
        <v/>
      </c>
      <c r="AW428" s="118" t="str">
        <f>IFERROR(
IF(VLOOKUP($C428,'Employee information'!$B:$M,COLUMNS('Employee information'!$B:$M),0)=33,
IF($E$2="Fortnightly",
ROUND(
ROUND((((TRUNC($AN428/2,0)+0.99))*VLOOKUP((TRUNC($AN428/2,0)+0.99),'Tax scales - NAT 3539'!$A$74:$C$94,2,1)-VLOOKUP((TRUNC($AN428/2,0)+0.99),'Tax scales - NAT 3539'!$A$74:$C$94,3,1)),0)
*2,
0),
IF(AND($E$2="Monthly",ROUND($AN428-TRUNC($AN428),2)=0.33),
ROUND(
ROUND(((TRUNC(($AN428+0.01)*3/13,0)+0.99)*VLOOKUP((TRUNC(($AN428+0.01)*3/13,0)+0.99),'Tax scales - NAT 3539'!$A$74:$C$94,2,1)-VLOOKUP((TRUNC(($AN428+0.01)*3/13,0)+0.99),'Tax scales - NAT 3539'!$A$74:$C$94,3,1)),0)
*13/3,
0),
IF($E$2="Monthly",
ROUND(
ROUND(((TRUNC($AN428*3/13,0)+0.99)*VLOOKUP((TRUNC($AN428*3/13,0)+0.99),'Tax scales - NAT 3539'!$A$74:$C$94,2,1)-VLOOKUP((TRUNC($AN428*3/13,0)+0.99),'Tax scales - NAT 3539'!$A$74:$C$94,3,1)),0)
*13/3,
0),
""))),
""),
"")</f>
        <v/>
      </c>
      <c r="AX428" s="118" t="str">
        <f>IFERROR(
IF(VLOOKUP($C428,'Employee information'!$B:$M,COLUMNS('Employee information'!$B:$M),0)=55,
IF($E$2="Fortnightly",
ROUND(
ROUND((((TRUNC($AN428/2,0)+0.99))*VLOOKUP((TRUNC($AN428/2,0)+0.99),'Tax scales - NAT 3539'!$A$99:$C$123,2,1)-VLOOKUP((TRUNC($AN428/2,0)+0.99),'Tax scales - NAT 3539'!$A$99:$C$123,3,1)),0)
*2,
0),
IF(AND($E$2="Monthly",ROUND($AN428-TRUNC($AN428),2)=0.33),
ROUND(
ROUND(((TRUNC(($AN428+0.01)*3/13,0)+0.99)*VLOOKUP((TRUNC(($AN428+0.01)*3/13,0)+0.99),'Tax scales - NAT 3539'!$A$99:$C$123,2,1)-VLOOKUP((TRUNC(($AN428+0.01)*3/13,0)+0.99),'Tax scales - NAT 3539'!$A$99:$C$123,3,1)),0)
*13/3,
0),
IF($E$2="Monthly",
ROUND(
ROUND(((TRUNC($AN428*3/13,0)+0.99)*VLOOKUP((TRUNC($AN428*3/13,0)+0.99),'Tax scales - NAT 3539'!$A$99:$C$123,2,1)-VLOOKUP((TRUNC($AN428*3/13,0)+0.99),'Tax scales - NAT 3539'!$A$99:$C$123,3,1)),0)
*13/3,
0),
""))),
""),
"")</f>
        <v/>
      </c>
      <c r="AY428" s="118" t="str">
        <f>IFERROR(
IF(VLOOKUP($C428,'Employee information'!$B:$M,COLUMNS('Employee information'!$B:$M),0)=66,
IF($E$2="Fortnightly",
ROUND(
ROUND((((TRUNC($AN428/2,0)+0.99))*VLOOKUP((TRUNC($AN428/2,0)+0.99),'Tax scales - NAT 3539'!$A$127:$C$154,2,1)-VLOOKUP((TRUNC($AN428/2,0)+0.99),'Tax scales - NAT 3539'!$A$127:$C$154,3,1)),0)
*2,
0),
IF(AND($E$2="Monthly",ROUND($AN428-TRUNC($AN428),2)=0.33),
ROUND(
ROUND(((TRUNC(($AN428+0.01)*3/13,0)+0.99)*VLOOKUP((TRUNC(($AN428+0.01)*3/13,0)+0.99),'Tax scales - NAT 3539'!$A$127:$C$154,2,1)-VLOOKUP((TRUNC(($AN428+0.01)*3/13,0)+0.99),'Tax scales - NAT 3539'!$A$127:$C$154,3,1)),0)
*13/3,
0),
IF($E$2="Monthly",
ROUND(
ROUND(((TRUNC($AN428*3/13,0)+0.99)*VLOOKUP((TRUNC($AN428*3/13,0)+0.99),'Tax scales - NAT 3539'!$A$127:$C$154,2,1)-VLOOKUP((TRUNC($AN428*3/13,0)+0.99),'Tax scales - NAT 3539'!$A$127:$C$154,3,1)),0)
*13/3,
0),
""))),
""),
"")</f>
        <v/>
      </c>
      <c r="AZ428" s="118">
        <f>IFERROR(
HLOOKUP(VLOOKUP($C428,'Employee information'!$B:$M,COLUMNS('Employee information'!$B:$M),0),'PAYG worksheet'!$AO$416:$AY$435,COUNTA($C$417:$C428)+1,0),
0)</f>
        <v>0</v>
      </c>
      <c r="BA428" s="118"/>
      <c r="BB428" s="118">
        <f t="shared" si="449"/>
        <v>0</v>
      </c>
      <c r="BC428" s="119">
        <f>IFERROR(
IF(OR($AE428=1,$AE428=""),SUM($P428,$AA428,$AC428,$AK428)*VLOOKUP($C428,'Employee information'!$B:$Q,COLUMNS('Employee information'!$B:$H),0),
IF($AE428=0,SUM($P428,$AA428,$AK428)*VLOOKUP($C428,'Employee information'!$B:$Q,COLUMNS('Employee information'!$B:$H),0),
0)),
0)</f>
        <v>0</v>
      </c>
      <c r="BE428" s="114">
        <f t="shared" si="434"/>
        <v>0</v>
      </c>
      <c r="BF428" s="114">
        <f t="shared" si="435"/>
        <v>0</v>
      </c>
      <c r="BG428" s="114">
        <f t="shared" si="436"/>
        <v>0</v>
      </c>
      <c r="BH428" s="114">
        <f t="shared" si="437"/>
        <v>0</v>
      </c>
      <c r="BI428" s="114">
        <f t="shared" si="438"/>
        <v>0</v>
      </c>
      <c r="BJ428" s="114">
        <f t="shared" si="439"/>
        <v>0</v>
      </c>
      <c r="BK428" s="114">
        <f t="shared" si="440"/>
        <v>0</v>
      </c>
      <c r="BL428" s="114">
        <f t="shared" si="450"/>
        <v>0</v>
      </c>
      <c r="BM428" s="114">
        <f t="shared" si="441"/>
        <v>0</v>
      </c>
    </row>
    <row r="429" spans="1:65" x14ac:dyDescent="0.25">
      <c r="A429" s="228">
        <f t="shared" si="429"/>
        <v>15</v>
      </c>
      <c r="C429" s="278"/>
      <c r="E429" s="103">
        <f>IF($C429="",0,
IF(AND($E$2="Monthly",$A429&gt;12),0,
IF($E$2="Monthly",VLOOKUP($C429,'Employee information'!$B:$AM,COLUMNS('Employee information'!$B:S),0),
IF($E$2="Fortnightly",VLOOKUP($C429,'Employee information'!$B:$AM,COLUMNS('Employee information'!$B:R),0),
0))))</f>
        <v>0</v>
      </c>
      <c r="F429" s="106"/>
      <c r="G429" s="106"/>
      <c r="H429" s="106"/>
      <c r="I429" s="106"/>
      <c r="J429" s="103">
        <f t="shared" si="442"/>
        <v>0</v>
      </c>
      <c r="L429" s="113">
        <f>IF(AND($E$2="Monthly",$A429&gt;12),"",
IFERROR($J429*VLOOKUP($C429,'Employee information'!$B:$AI,COLUMNS('Employee information'!$B:$P),0),0))</f>
        <v>0</v>
      </c>
      <c r="M429" s="114">
        <f t="shared" si="443"/>
        <v>0</v>
      </c>
      <c r="O429" s="103">
        <f t="shared" si="444"/>
        <v>0</v>
      </c>
      <c r="P429" s="113">
        <f>IFERROR(
IF(AND($E$2="Monthly",$A429&gt;12),0,
$O429*VLOOKUP($C429,'Employee information'!$B:$AI,COLUMNS('Employee information'!$B:$P),0)),
0)</f>
        <v>0</v>
      </c>
      <c r="R429" s="114">
        <f t="shared" si="430"/>
        <v>0</v>
      </c>
      <c r="T429" s="103"/>
      <c r="U429" s="103"/>
      <c r="V429" s="282" t="str">
        <f>IF($C429="","",
IF(AND($E$2="Monthly",$A429&gt;12),"",
$T429*VLOOKUP($C429,'Employee information'!$B:$P,COLUMNS('Employee information'!$B:$P),0)))</f>
        <v/>
      </c>
      <c r="W429" s="282" t="str">
        <f>IF($C429="","",
IF(AND($E$2="Monthly",$A429&gt;12),"",
$U429*VLOOKUP($C429,'Employee information'!$B:$P,COLUMNS('Employee information'!$B:$P),0)))</f>
        <v/>
      </c>
      <c r="X429" s="114">
        <f t="shared" si="431"/>
        <v>0</v>
      </c>
      <c r="Y429" s="114">
        <f t="shared" si="432"/>
        <v>0</v>
      </c>
      <c r="AA429" s="118">
        <f>IFERROR(
IF(OR('Basic payroll data'!$D$12="",'Basic payroll data'!$D$12="No"),0,
$T429*VLOOKUP($C429,'Employee information'!$B:$P,COLUMNS('Employee information'!$B:$P),0)*AL_loading_perc),
0)</f>
        <v>0</v>
      </c>
      <c r="AC429" s="118"/>
      <c r="AD429" s="118"/>
      <c r="AE429" s="283" t="str">
        <f t="shared" si="445"/>
        <v/>
      </c>
      <c r="AF429" s="283" t="str">
        <f t="shared" si="446"/>
        <v/>
      </c>
      <c r="AG429" s="118"/>
      <c r="AH429" s="118"/>
      <c r="AI429" s="283" t="str">
        <f t="shared" si="447"/>
        <v/>
      </c>
      <c r="AJ429" s="118"/>
      <c r="AK429" s="118"/>
      <c r="AM429" s="118">
        <f t="shared" si="448"/>
        <v>0</v>
      </c>
      <c r="AN429" s="118">
        <f t="shared" si="433"/>
        <v>0</v>
      </c>
      <c r="AO429" s="118" t="str">
        <f>IFERROR(
IF(VLOOKUP($C429,'Employee information'!$B:$M,COLUMNS('Employee information'!$B:$M),0)=1,
IF($E$2="Fortnightly",
ROUND(
ROUND((((TRUNC($AN429/2,0)+0.99))*VLOOKUP((TRUNC($AN429/2,0)+0.99),'Tax scales - NAT 1004'!$A$12:$C$18,2,1)-VLOOKUP((TRUNC($AN429/2,0)+0.99),'Tax scales - NAT 1004'!$A$12:$C$18,3,1)),0)
*2,
0),
IF(AND($E$2="Monthly",ROUND($AN429-TRUNC($AN429),2)=0.33),
ROUND(
ROUND(((TRUNC(($AN429+0.01)*3/13,0)+0.99)*VLOOKUP((TRUNC(($AN429+0.01)*3/13,0)+0.99),'Tax scales - NAT 1004'!$A$12:$C$18,2,1)-VLOOKUP((TRUNC(($AN429+0.01)*3/13,0)+0.99),'Tax scales - NAT 1004'!$A$12:$C$18,3,1)),0)
*13/3,
0),
IF($E$2="Monthly",
ROUND(
ROUND(((TRUNC($AN429*3/13,0)+0.99)*VLOOKUP((TRUNC($AN429*3/13,0)+0.99),'Tax scales - NAT 1004'!$A$12:$C$18,2,1)-VLOOKUP((TRUNC($AN429*3/13,0)+0.99),'Tax scales - NAT 1004'!$A$12:$C$18,3,1)),0)
*13/3,
0),
""))),
""),
"")</f>
        <v/>
      </c>
      <c r="AP429" s="118" t="str">
        <f>IFERROR(
IF(VLOOKUP($C429,'Employee information'!$B:$M,COLUMNS('Employee information'!$B:$M),0)=2,
IF($E$2="Fortnightly",
ROUND(
ROUND((((TRUNC($AN429/2,0)+0.99))*VLOOKUP((TRUNC($AN429/2,0)+0.99),'Tax scales - NAT 1004'!$A$25:$C$33,2,1)-VLOOKUP((TRUNC($AN429/2,0)+0.99),'Tax scales - NAT 1004'!$A$25:$C$33,3,1)),0)
*2,
0),
IF(AND($E$2="Monthly",ROUND($AN429-TRUNC($AN429),2)=0.33),
ROUND(
ROUND(((TRUNC(($AN429+0.01)*3/13,0)+0.99)*VLOOKUP((TRUNC(($AN429+0.01)*3/13,0)+0.99),'Tax scales - NAT 1004'!$A$25:$C$33,2,1)-VLOOKUP((TRUNC(($AN429+0.01)*3/13,0)+0.99),'Tax scales - NAT 1004'!$A$25:$C$33,3,1)),0)
*13/3,
0),
IF($E$2="Monthly",
ROUND(
ROUND(((TRUNC($AN429*3/13,0)+0.99)*VLOOKUP((TRUNC($AN429*3/13,0)+0.99),'Tax scales - NAT 1004'!$A$25:$C$33,2,1)-VLOOKUP((TRUNC($AN429*3/13,0)+0.99),'Tax scales - NAT 1004'!$A$25:$C$33,3,1)),0)
*13/3,
0),
""))),
""),
"")</f>
        <v/>
      </c>
      <c r="AQ429" s="118" t="str">
        <f>IFERROR(
IF(VLOOKUP($C429,'Employee information'!$B:$M,COLUMNS('Employee information'!$B:$M),0)=3,
IF($E$2="Fortnightly",
ROUND(
ROUND((((TRUNC($AN429/2,0)+0.99))*VLOOKUP((TRUNC($AN429/2,0)+0.99),'Tax scales - NAT 1004'!$A$39:$C$41,2,1)-VLOOKUP((TRUNC($AN429/2,0)+0.99),'Tax scales - NAT 1004'!$A$39:$C$41,3,1)),0)
*2,
0),
IF(AND($E$2="Monthly",ROUND($AN429-TRUNC($AN429),2)=0.33),
ROUND(
ROUND(((TRUNC(($AN429+0.01)*3/13,0)+0.99)*VLOOKUP((TRUNC(($AN429+0.01)*3/13,0)+0.99),'Tax scales - NAT 1004'!$A$39:$C$41,2,1)-VLOOKUP((TRUNC(($AN429+0.01)*3/13,0)+0.99),'Tax scales - NAT 1004'!$A$39:$C$41,3,1)),0)
*13/3,
0),
IF($E$2="Monthly",
ROUND(
ROUND(((TRUNC($AN429*3/13,0)+0.99)*VLOOKUP((TRUNC($AN429*3/13,0)+0.99),'Tax scales - NAT 1004'!$A$39:$C$41,2,1)-VLOOKUP((TRUNC($AN429*3/13,0)+0.99),'Tax scales - NAT 1004'!$A$39:$C$41,3,1)),0)
*13/3,
0),
""))),
""),
"")</f>
        <v/>
      </c>
      <c r="AR429" s="118" t="str">
        <f>IFERROR(
IF(AND(VLOOKUP($C429,'Employee information'!$B:$M,COLUMNS('Employee information'!$B:$M),0)=4,
VLOOKUP($C429,'Employee information'!$B:$J,COLUMNS('Employee information'!$B:$J),0)="Resident"),
TRUNC(TRUNC($AN429)*'Tax scales - NAT 1004'!$B$47),
IF(AND(VLOOKUP($C429,'Employee information'!$B:$M,COLUMNS('Employee information'!$B:$M),0)=4,
VLOOKUP($C429,'Employee information'!$B:$J,COLUMNS('Employee information'!$B:$J),0)="Foreign resident"),
TRUNC(TRUNC($AN429)*'Tax scales - NAT 1004'!$B$48),
"")),
"")</f>
        <v/>
      </c>
      <c r="AS429" s="118" t="str">
        <f>IFERROR(
IF(VLOOKUP($C429,'Employee information'!$B:$M,COLUMNS('Employee information'!$B:$M),0)=5,
IF($E$2="Fortnightly",
ROUND(
ROUND((((TRUNC($AN429/2,0)+0.99))*VLOOKUP((TRUNC($AN429/2,0)+0.99),'Tax scales - NAT 1004'!$A$53:$C$59,2,1)-VLOOKUP((TRUNC($AN429/2,0)+0.99),'Tax scales - NAT 1004'!$A$53:$C$59,3,1)),0)
*2,
0),
IF(AND($E$2="Monthly",ROUND($AN429-TRUNC($AN429),2)=0.33),
ROUND(
ROUND(((TRUNC(($AN429+0.01)*3/13,0)+0.99)*VLOOKUP((TRUNC(($AN429+0.01)*3/13,0)+0.99),'Tax scales - NAT 1004'!$A$53:$C$59,2,1)-VLOOKUP((TRUNC(($AN429+0.01)*3/13,0)+0.99),'Tax scales - NAT 1004'!$A$53:$C$59,3,1)),0)
*13/3,
0),
IF($E$2="Monthly",
ROUND(
ROUND(((TRUNC($AN429*3/13,0)+0.99)*VLOOKUP((TRUNC($AN429*3/13,0)+0.99),'Tax scales - NAT 1004'!$A$53:$C$59,2,1)-VLOOKUP((TRUNC($AN429*3/13,0)+0.99),'Tax scales - NAT 1004'!$A$53:$C$59,3,1)),0)
*13/3,
0),
""))),
""),
"")</f>
        <v/>
      </c>
      <c r="AT429" s="118" t="str">
        <f>IFERROR(
IF(VLOOKUP($C429,'Employee information'!$B:$M,COLUMNS('Employee information'!$B:$M),0)=6,
IF($E$2="Fortnightly",
ROUND(
ROUND((((TRUNC($AN429/2,0)+0.99))*VLOOKUP((TRUNC($AN429/2,0)+0.99),'Tax scales - NAT 1004'!$A$65:$C$73,2,1)-VLOOKUP((TRUNC($AN429/2,0)+0.99),'Tax scales - NAT 1004'!$A$65:$C$73,3,1)),0)
*2,
0),
IF(AND($E$2="Monthly",ROUND($AN429-TRUNC($AN429),2)=0.33),
ROUND(
ROUND(((TRUNC(($AN429+0.01)*3/13,0)+0.99)*VLOOKUP((TRUNC(($AN429+0.01)*3/13,0)+0.99),'Tax scales - NAT 1004'!$A$65:$C$73,2,1)-VLOOKUP((TRUNC(($AN429+0.01)*3/13,0)+0.99),'Tax scales - NAT 1004'!$A$65:$C$73,3,1)),0)
*13/3,
0),
IF($E$2="Monthly",
ROUND(
ROUND(((TRUNC($AN429*3/13,0)+0.99)*VLOOKUP((TRUNC($AN429*3/13,0)+0.99),'Tax scales - NAT 1004'!$A$65:$C$73,2,1)-VLOOKUP((TRUNC($AN429*3/13,0)+0.99),'Tax scales - NAT 1004'!$A$65:$C$73,3,1)),0)
*13/3,
0),
""))),
""),
"")</f>
        <v/>
      </c>
      <c r="AU429" s="118" t="str">
        <f>IFERROR(
IF(VLOOKUP($C429,'Employee information'!$B:$M,COLUMNS('Employee information'!$B:$M),0)=11,
IF($E$2="Fortnightly",
ROUND(
ROUND((((TRUNC($AN429/2,0)+0.99))*VLOOKUP((TRUNC($AN429/2,0)+0.99),'Tax scales - NAT 3539'!$A$14:$C$38,2,1)-VLOOKUP((TRUNC($AN429/2,0)+0.99),'Tax scales - NAT 3539'!$A$14:$C$38,3,1)),0)
*2,
0),
IF(AND($E$2="Monthly",ROUND($AN429-TRUNC($AN429),2)=0.33),
ROUND(
ROUND(((TRUNC(($AN429+0.01)*3/13,0)+0.99)*VLOOKUP((TRUNC(($AN429+0.01)*3/13,0)+0.99),'Tax scales - NAT 3539'!$A$14:$C$38,2,1)-VLOOKUP((TRUNC(($AN429+0.01)*3/13,0)+0.99),'Tax scales - NAT 3539'!$A$14:$C$38,3,1)),0)
*13/3,
0),
IF($E$2="Monthly",
ROUND(
ROUND(((TRUNC($AN429*3/13,0)+0.99)*VLOOKUP((TRUNC($AN429*3/13,0)+0.99),'Tax scales - NAT 3539'!$A$14:$C$38,2,1)-VLOOKUP((TRUNC($AN429*3/13,0)+0.99),'Tax scales - NAT 3539'!$A$14:$C$38,3,1)),0)
*13/3,
0),
""))),
""),
"")</f>
        <v/>
      </c>
      <c r="AV429" s="118" t="str">
        <f>IFERROR(
IF(VLOOKUP($C429,'Employee information'!$B:$M,COLUMNS('Employee information'!$B:$M),0)=22,
IF($E$2="Fortnightly",
ROUND(
ROUND((((TRUNC($AN429/2,0)+0.99))*VLOOKUP((TRUNC($AN429/2,0)+0.99),'Tax scales - NAT 3539'!$A$43:$C$69,2,1)-VLOOKUP((TRUNC($AN429/2,0)+0.99),'Tax scales - NAT 3539'!$A$43:$C$69,3,1)),0)
*2,
0),
IF(AND($E$2="Monthly",ROUND($AN429-TRUNC($AN429),2)=0.33),
ROUND(
ROUND(((TRUNC(($AN429+0.01)*3/13,0)+0.99)*VLOOKUP((TRUNC(($AN429+0.01)*3/13,0)+0.99),'Tax scales - NAT 3539'!$A$43:$C$69,2,1)-VLOOKUP((TRUNC(($AN429+0.01)*3/13,0)+0.99),'Tax scales - NAT 3539'!$A$43:$C$69,3,1)),0)
*13/3,
0),
IF($E$2="Monthly",
ROUND(
ROUND(((TRUNC($AN429*3/13,0)+0.99)*VLOOKUP((TRUNC($AN429*3/13,0)+0.99),'Tax scales - NAT 3539'!$A$43:$C$69,2,1)-VLOOKUP((TRUNC($AN429*3/13,0)+0.99),'Tax scales - NAT 3539'!$A$43:$C$69,3,1)),0)
*13/3,
0),
""))),
""),
"")</f>
        <v/>
      </c>
      <c r="AW429" s="118" t="str">
        <f>IFERROR(
IF(VLOOKUP($C429,'Employee information'!$B:$M,COLUMNS('Employee information'!$B:$M),0)=33,
IF($E$2="Fortnightly",
ROUND(
ROUND((((TRUNC($AN429/2,0)+0.99))*VLOOKUP((TRUNC($AN429/2,0)+0.99),'Tax scales - NAT 3539'!$A$74:$C$94,2,1)-VLOOKUP((TRUNC($AN429/2,0)+0.99),'Tax scales - NAT 3539'!$A$74:$C$94,3,1)),0)
*2,
0),
IF(AND($E$2="Monthly",ROUND($AN429-TRUNC($AN429),2)=0.33),
ROUND(
ROUND(((TRUNC(($AN429+0.01)*3/13,0)+0.99)*VLOOKUP((TRUNC(($AN429+0.01)*3/13,0)+0.99),'Tax scales - NAT 3539'!$A$74:$C$94,2,1)-VLOOKUP((TRUNC(($AN429+0.01)*3/13,0)+0.99),'Tax scales - NAT 3539'!$A$74:$C$94,3,1)),0)
*13/3,
0),
IF($E$2="Monthly",
ROUND(
ROUND(((TRUNC($AN429*3/13,0)+0.99)*VLOOKUP((TRUNC($AN429*3/13,0)+0.99),'Tax scales - NAT 3539'!$A$74:$C$94,2,1)-VLOOKUP((TRUNC($AN429*3/13,0)+0.99),'Tax scales - NAT 3539'!$A$74:$C$94,3,1)),0)
*13/3,
0),
""))),
""),
"")</f>
        <v/>
      </c>
      <c r="AX429" s="118" t="str">
        <f>IFERROR(
IF(VLOOKUP($C429,'Employee information'!$B:$M,COLUMNS('Employee information'!$B:$M),0)=55,
IF($E$2="Fortnightly",
ROUND(
ROUND((((TRUNC($AN429/2,0)+0.99))*VLOOKUP((TRUNC($AN429/2,0)+0.99),'Tax scales - NAT 3539'!$A$99:$C$123,2,1)-VLOOKUP((TRUNC($AN429/2,0)+0.99),'Tax scales - NAT 3539'!$A$99:$C$123,3,1)),0)
*2,
0),
IF(AND($E$2="Monthly",ROUND($AN429-TRUNC($AN429),2)=0.33),
ROUND(
ROUND(((TRUNC(($AN429+0.01)*3/13,0)+0.99)*VLOOKUP((TRUNC(($AN429+0.01)*3/13,0)+0.99),'Tax scales - NAT 3539'!$A$99:$C$123,2,1)-VLOOKUP((TRUNC(($AN429+0.01)*3/13,0)+0.99),'Tax scales - NAT 3539'!$A$99:$C$123,3,1)),0)
*13/3,
0),
IF($E$2="Monthly",
ROUND(
ROUND(((TRUNC($AN429*3/13,0)+0.99)*VLOOKUP((TRUNC($AN429*3/13,0)+0.99),'Tax scales - NAT 3539'!$A$99:$C$123,2,1)-VLOOKUP((TRUNC($AN429*3/13,0)+0.99),'Tax scales - NAT 3539'!$A$99:$C$123,3,1)),0)
*13/3,
0),
""))),
""),
"")</f>
        <v/>
      </c>
      <c r="AY429" s="118" t="str">
        <f>IFERROR(
IF(VLOOKUP($C429,'Employee information'!$B:$M,COLUMNS('Employee information'!$B:$M),0)=66,
IF($E$2="Fortnightly",
ROUND(
ROUND((((TRUNC($AN429/2,0)+0.99))*VLOOKUP((TRUNC($AN429/2,0)+0.99),'Tax scales - NAT 3539'!$A$127:$C$154,2,1)-VLOOKUP((TRUNC($AN429/2,0)+0.99),'Tax scales - NAT 3539'!$A$127:$C$154,3,1)),0)
*2,
0),
IF(AND($E$2="Monthly",ROUND($AN429-TRUNC($AN429),2)=0.33),
ROUND(
ROUND(((TRUNC(($AN429+0.01)*3/13,0)+0.99)*VLOOKUP((TRUNC(($AN429+0.01)*3/13,0)+0.99),'Tax scales - NAT 3539'!$A$127:$C$154,2,1)-VLOOKUP((TRUNC(($AN429+0.01)*3/13,0)+0.99),'Tax scales - NAT 3539'!$A$127:$C$154,3,1)),0)
*13/3,
0),
IF($E$2="Monthly",
ROUND(
ROUND(((TRUNC($AN429*3/13,0)+0.99)*VLOOKUP((TRUNC($AN429*3/13,0)+0.99),'Tax scales - NAT 3539'!$A$127:$C$154,2,1)-VLOOKUP((TRUNC($AN429*3/13,0)+0.99),'Tax scales - NAT 3539'!$A$127:$C$154,3,1)),0)
*13/3,
0),
""))),
""),
"")</f>
        <v/>
      </c>
      <c r="AZ429" s="118">
        <f>IFERROR(
HLOOKUP(VLOOKUP($C429,'Employee information'!$B:$M,COLUMNS('Employee information'!$B:$M),0),'PAYG worksheet'!$AO$416:$AY$435,COUNTA($C$417:$C429)+1,0),
0)</f>
        <v>0</v>
      </c>
      <c r="BA429" s="118"/>
      <c r="BB429" s="118">
        <f t="shared" si="449"/>
        <v>0</v>
      </c>
      <c r="BC429" s="119">
        <f>IFERROR(
IF(OR($AE429=1,$AE429=""),SUM($P429,$AA429,$AC429,$AK429)*VLOOKUP($C429,'Employee information'!$B:$Q,COLUMNS('Employee information'!$B:$H),0),
IF($AE429=0,SUM($P429,$AA429,$AK429)*VLOOKUP($C429,'Employee information'!$B:$Q,COLUMNS('Employee information'!$B:$H),0),
0)),
0)</f>
        <v>0</v>
      </c>
      <c r="BE429" s="114">
        <f t="shared" si="434"/>
        <v>0</v>
      </c>
      <c r="BF429" s="114">
        <f t="shared" si="435"/>
        <v>0</v>
      </c>
      <c r="BG429" s="114">
        <f t="shared" si="436"/>
        <v>0</v>
      </c>
      <c r="BH429" s="114">
        <f t="shared" si="437"/>
        <v>0</v>
      </c>
      <c r="BI429" s="114">
        <f t="shared" si="438"/>
        <v>0</v>
      </c>
      <c r="BJ429" s="114">
        <f t="shared" si="439"/>
        <v>0</v>
      </c>
      <c r="BK429" s="114">
        <f t="shared" si="440"/>
        <v>0</v>
      </c>
      <c r="BL429" s="114">
        <f t="shared" si="450"/>
        <v>0</v>
      </c>
      <c r="BM429" s="114">
        <f t="shared" si="441"/>
        <v>0</v>
      </c>
    </row>
    <row r="430" spans="1:65" x14ac:dyDescent="0.25">
      <c r="A430" s="228">
        <f t="shared" si="429"/>
        <v>15</v>
      </c>
      <c r="C430" s="278"/>
      <c r="E430" s="103">
        <f>IF($C430="",0,
IF(AND($E$2="Monthly",$A430&gt;12),0,
IF($E$2="Monthly",VLOOKUP($C430,'Employee information'!$B:$AM,COLUMNS('Employee information'!$B:S),0),
IF($E$2="Fortnightly",VLOOKUP($C430,'Employee information'!$B:$AM,COLUMNS('Employee information'!$B:R),0),
0))))</f>
        <v>0</v>
      </c>
      <c r="F430" s="106"/>
      <c r="G430" s="106"/>
      <c r="H430" s="106"/>
      <c r="I430" s="106"/>
      <c r="J430" s="103">
        <f t="shared" si="442"/>
        <v>0</v>
      </c>
      <c r="L430" s="113">
        <f>IF(AND($E$2="Monthly",$A430&gt;12),"",
IFERROR($J430*VLOOKUP($C430,'Employee information'!$B:$AI,COLUMNS('Employee information'!$B:$P),0),0))</f>
        <v>0</v>
      </c>
      <c r="M430" s="114">
        <f t="shared" si="443"/>
        <v>0</v>
      </c>
      <c r="O430" s="103">
        <f t="shared" si="444"/>
        <v>0</v>
      </c>
      <c r="P430" s="113">
        <f>IFERROR(
IF(AND($E$2="Monthly",$A430&gt;12),0,
$O430*VLOOKUP($C430,'Employee information'!$B:$AI,COLUMNS('Employee information'!$B:$P),0)),
0)</f>
        <v>0</v>
      </c>
      <c r="R430" s="114">
        <f t="shared" si="430"/>
        <v>0</v>
      </c>
      <c r="T430" s="103"/>
      <c r="U430" s="103"/>
      <c r="V430" s="282" t="str">
        <f>IF($C430="","",
IF(AND($E$2="Monthly",$A430&gt;12),"",
$T430*VLOOKUP($C430,'Employee information'!$B:$P,COLUMNS('Employee information'!$B:$P),0)))</f>
        <v/>
      </c>
      <c r="W430" s="282" t="str">
        <f>IF($C430="","",
IF(AND($E$2="Monthly",$A430&gt;12),"",
$U430*VLOOKUP($C430,'Employee information'!$B:$P,COLUMNS('Employee information'!$B:$P),0)))</f>
        <v/>
      </c>
      <c r="X430" s="114">
        <f t="shared" si="431"/>
        <v>0</v>
      </c>
      <c r="Y430" s="114">
        <f t="shared" si="432"/>
        <v>0</v>
      </c>
      <c r="AA430" s="118">
        <f>IFERROR(
IF(OR('Basic payroll data'!$D$12="",'Basic payroll data'!$D$12="No"),0,
$T430*VLOOKUP($C430,'Employee information'!$B:$P,COLUMNS('Employee information'!$B:$P),0)*AL_loading_perc),
0)</f>
        <v>0</v>
      </c>
      <c r="AC430" s="118"/>
      <c r="AD430" s="118"/>
      <c r="AE430" s="283" t="str">
        <f t="shared" si="445"/>
        <v/>
      </c>
      <c r="AF430" s="283" t="str">
        <f t="shared" si="446"/>
        <v/>
      </c>
      <c r="AG430" s="118"/>
      <c r="AH430" s="118"/>
      <c r="AI430" s="283" t="str">
        <f t="shared" si="447"/>
        <v/>
      </c>
      <c r="AJ430" s="118"/>
      <c r="AK430" s="118"/>
      <c r="AM430" s="118">
        <f t="shared" si="448"/>
        <v>0</v>
      </c>
      <c r="AN430" s="118">
        <f t="shared" si="433"/>
        <v>0</v>
      </c>
      <c r="AO430" s="118" t="str">
        <f>IFERROR(
IF(VLOOKUP($C430,'Employee information'!$B:$M,COLUMNS('Employee information'!$B:$M),0)=1,
IF($E$2="Fortnightly",
ROUND(
ROUND((((TRUNC($AN430/2,0)+0.99))*VLOOKUP((TRUNC($AN430/2,0)+0.99),'Tax scales - NAT 1004'!$A$12:$C$18,2,1)-VLOOKUP((TRUNC($AN430/2,0)+0.99),'Tax scales - NAT 1004'!$A$12:$C$18,3,1)),0)
*2,
0),
IF(AND($E$2="Monthly",ROUND($AN430-TRUNC($AN430),2)=0.33),
ROUND(
ROUND(((TRUNC(($AN430+0.01)*3/13,0)+0.99)*VLOOKUP((TRUNC(($AN430+0.01)*3/13,0)+0.99),'Tax scales - NAT 1004'!$A$12:$C$18,2,1)-VLOOKUP((TRUNC(($AN430+0.01)*3/13,0)+0.99),'Tax scales - NAT 1004'!$A$12:$C$18,3,1)),0)
*13/3,
0),
IF($E$2="Monthly",
ROUND(
ROUND(((TRUNC($AN430*3/13,0)+0.99)*VLOOKUP((TRUNC($AN430*3/13,0)+0.99),'Tax scales - NAT 1004'!$A$12:$C$18,2,1)-VLOOKUP((TRUNC($AN430*3/13,0)+0.99),'Tax scales - NAT 1004'!$A$12:$C$18,3,1)),0)
*13/3,
0),
""))),
""),
"")</f>
        <v/>
      </c>
      <c r="AP430" s="118" t="str">
        <f>IFERROR(
IF(VLOOKUP($C430,'Employee information'!$B:$M,COLUMNS('Employee information'!$B:$M),0)=2,
IF($E$2="Fortnightly",
ROUND(
ROUND((((TRUNC($AN430/2,0)+0.99))*VLOOKUP((TRUNC($AN430/2,0)+0.99),'Tax scales - NAT 1004'!$A$25:$C$33,2,1)-VLOOKUP((TRUNC($AN430/2,0)+0.99),'Tax scales - NAT 1004'!$A$25:$C$33,3,1)),0)
*2,
0),
IF(AND($E$2="Monthly",ROUND($AN430-TRUNC($AN430),2)=0.33),
ROUND(
ROUND(((TRUNC(($AN430+0.01)*3/13,0)+0.99)*VLOOKUP((TRUNC(($AN430+0.01)*3/13,0)+0.99),'Tax scales - NAT 1004'!$A$25:$C$33,2,1)-VLOOKUP((TRUNC(($AN430+0.01)*3/13,0)+0.99),'Tax scales - NAT 1004'!$A$25:$C$33,3,1)),0)
*13/3,
0),
IF($E$2="Monthly",
ROUND(
ROUND(((TRUNC($AN430*3/13,0)+0.99)*VLOOKUP((TRUNC($AN430*3/13,0)+0.99),'Tax scales - NAT 1004'!$A$25:$C$33,2,1)-VLOOKUP((TRUNC($AN430*3/13,0)+0.99),'Tax scales - NAT 1004'!$A$25:$C$33,3,1)),0)
*13/3,
0),
""))),
""),
"")</f>
        <v/>
      </c>
      <c r="AQ430" s="118" t="str">
        <f>IFERROR(
IF(VLOOKUP($C430,'Employee information'!$B:$M,COLUMNS('Employee information'!$B:$M),0)=3,
IF($E$2="Fortnightly",
ROUND(
ROUND((((TRUNC($AN430/2,0)+0.99))*VLOOKUP((TRUNC($AN430/2,0)+0.99),'Tax scales - NAT 1004'!$A$39:$C$41,2,1)-VLOOKUP((TRUNC($AN430/2,0)+0.99),'Tax scales - NAT 1004'!$A$39:$C$41,3,1)),0)
*2,
0),
IF(AND($E$2="Monthly",ROUND($AN430-TRUNC($AN430),2)=0.33),
ROUND(
ROUND(((TRUNC(($AN430+0.01)*3/13,0)+0.99)*VLOOKUP((TRUNC(($AN430+0.01)*3/13,0)+0.99),'Tax scales - NAT 1004'!$A$39:$C$41,2,1)-VLOOKUP((TRUNC(($AN430+0.01)*3/13,0)+0.99),'Tax scales - NAT 1004'!$A$39:$C$41,3,1)),0)
*13/3,
0),
IF($E$2="Monthly",
ROUND(
ROUND(((TRUNC($AN430*3/13,0)+0.99)*VLOOKUP((TRUNC($AN430*3/13,0)+0.99),'Tax scales - NAT 1004'!$A$39:$C$41,2,1)-VLOOKUP((TRUNC($AN430*3/13,0)+0.99),'Tax scales - NAT 1004'!$A$39:$C$41,3,1)),0)
*13/3,
0),
""))),
""),
"")</f>
        <v/>
      </c>
      <c r="AR430" s="118" t="str">
        <f>IFERROR(
IF(AND(VLOOKUP($C430,'Employee information'!$B:$M,COLUMNS('Employee information'!$B:$M),0)=4,
VLOOKUP($C430,'Employee information'!$B:$J,COLUMNS('Employee information'!$B:$J),0)="Resident"),
TRUNC(TRUNC($AN430)*'Tax scales - NAT 1004'!$B$47),
IF(AND(VLOOKUP($C430,'Employee information'!$B:$M,COLUMNS('Employee information'!$B:$M),0)=4,
VLOOKUP($C430,'Employee information'!$B:$J,COLUMNS('Employee information'!$B:$J),0)="Foreign resident"),
TRUNC(TRUNC($AN430)*'Tax scales - NAT 1004'!$B$48),
"")),
"")</f>
        <v/>
      </c>
      <c r="AS430" s="118" t="str">
        <f>IFERROR(
IF(VLOOKUP($C430,'Employee information'!$B:$M,COLUMNS('Employee information'!$B:$M),0)=5,
IF($E$2="Fortnightly",
ROUND(
ROUND((((TRUNC($AN430/2,0)+0.99))*VLOOKUP((TRUNC($AN430/2,0)+0.99),'Tax scales - NAT 1004'!$A$53:$C$59,2,1)-VLOOKUP((TRUNC($AN430/2,0)+0.99),'Tax scales - NAT 1004'!$A$53:$C$59,3,1)),0)
*2,
0),
IF(AND($E$2="Monthly",ROUND($AN430-TRUNC($AN430),2)=0.33),
ROUND(
ROUND(((TRUNC(($AN430+0.01)*3/13,0)+0.99)*VLOOKUP((TRUNC(($AN430+0.01)*3/13,0)+0.99),'Tax scales - NAT 1004'!$A$53:$C$59,2,1)-VLOOKUP((TRUNC(($AN430+0.01)*3/13,0)+0.99),'Tax scales - NAT 1004'!$A$53:$C$59,3,1)),0)
*13/3,
0),
IF($E$2="Monthly",
ROUND(
ROUND(((TRUNC($AN430*3/13,0)+0.99)*VLOOKUP((TRUNC($AN430*3/13,0)+0.99),'Tax scales - NAT 1004'!$A$53:$C$59,2,1)-VLOOKUP((TRUNC($AN430*3/13,0)+0.99),'Tax scales - NAT 1004'!$A$53:$C$59,3,1)),0)
*13/3,
0),
""))),
""),
"")</f>
        <v/>
      </c>
      <c r="AT430" s="118" t="str">
        <f>IFERROR(
IF(VLOOKUP($C430,'Employee information'!$B:$M,COLUMNS('Employee information'!$B:$M),0)=6,
IF($E$2="Fortnightly",
ROUND(
ROUND((((TRUNC($AN430/2,0)+0.99))*VLOOKUP((TRUNC($AN430/2,0)+0.99),'Tax scales - NAT 1004'!$A$65:$C$73,2,1)-VLOOKUP((TRUNC($AN430/2,0)+0.99),'Tax scales - NAT 1004'!$A$65:$C$73,3,1)),0)
*2,
0),
IF(AND($E$2="Monthly",ROUND($AN430-TRUNC($AN430),2)=0.33),
ROUND(
ROUND(((TRUNC(($AN430+0.01)*3/13,0)+0.99)*VLOOKUP((TRUNC(($AN430+0.01)*3/13,0)+0.99),'Tax scales - NAT 1004'!$A$65:$C$73,2,1)-VLOOKUP((TRUNC(($AN430+0.01)*3/13,0)+0.99),'Tax scales - NAT 1004'!$A$65:$C$73,3,1)),0)
*13/3,
0),
IF($E$2="Monthly",
ROUND(
ROUND(((TRUNC($AN430*3/13,0)+0.99)*VLOOKUP((TRUNC($AN430*3/13,0)+0.99),'Tax scales - NAT 1004'!$A$65:$C$73,2,1)-VLOOKUP((TRUNC($AN430*3/13,0)+0.99),'Tax scales - NAT 1004'!$A$65:$C$73,3,1)),0)
*13/3,
0),
""))),
""),
"")</f>
        <v/>
      </c>
      <c r="AU430" s="118" t="str">
        <f>IFERROR(
IF(VLOOKUP($C430,'Employee information'!$B:$M,COLUMNS('Employee information'!$B:$M),0)=11,
IF($E$2="Fortnightly",
ROUND(
ROUND((((TRUNC($AN430/2,0)+0.99))*VLOOKUP((TRUNC($AN430/2,0)+0.99),'Tax scales - NAT 3539'!$A$14:$C$38,2,1)-VLOOKUP((TRUNC($AN430/2,0)+0.99),'Tax scales - NAT 3539'!$A$14:$C$38,3,1)),0)
*2,
0),
IF(AND($E$2="Monthly",ROUND($AN430-TRUNC($AN430),2)=0.33),
ROUND(
ROUND(((TRUNC(($AN430+0.01)*3/13,0)+0.99)*VLOOKUP((TRUNC(($AN430+0.01)*3/13,0)+0.99),'Tax scales - NAT 3539'!$A$14:$C$38,2,1)-VLOOKUP((TRUNC(($AN430+0.01)*3/13,0)+0.99),'Tax scales - NAT 3539'!$A$14:$C$38,3,1)),0)
*13/3,
0),
IF($E$2="Monthly",
ROUND(
ROUND(((TRUNC($AN430*3/13,0)+0.99)*VLOOKUP((TRUNC($AN430*3/13,0)+0.99),'Tax scales - NAT 3539'!$A$14:$C$38,2,1)-VLOOKUP((TRUNC($AN430*3/13,0)+0.99),'Tax scales - NAT 3539'!$A$14:$C$38,3,1)),0)
*13/3,
0),
""))),
""),
"")</f>
        <v/>
      </c>
      <c r="AV430" s="118" t="str">
        <f>IFERROR(
IF(VLOOKUP($C430,'Employee information'!$B:$M,COLUMNS('Employee information'!$B:$M),0)=22,
IF($E$2="Fortnightly",
ROUND(
ROUND((((TRUNC($AN430/2,0)+0.99))*VLOOKUP((TRUNC($AN430/2,0)+0.99),'Tax scales - NAT 3539'!$A$43:$C$69,2,1)-VLOOKUP((TRUNC($AN430/2,0)+0.99),'Tax scales - NAT 3539'!$A$43:$C$69,3,1)),0)
*2,
0),
IF(AND($E$2="Monthly",ROUND($AN430-TRUNC($AN430),2)=0.33),
ROUND(
ROUND(((TRUNC(($AN430+0.01)*3/13,0)+0.99)*VLOOKUP((TRUNC(($AN430+0.01)*3/13,0)+0.99),'Tax scales - NAT 3539'!$A$43:$C$69,2,1)-VLOOKUP((TRUNC(($AN430+0.01)*3/13,0)+0.99),'Tax scales - NAT 3539'!$A$43:$C$69,3,1)),0)
*13/3,
0),
IF($E$2="Monthly",
ROUND(
ROUND(((TRUNC($AN430*3/13,0)+0.99)*VLOOKUP((TRUNC($AN430*3/13,0)+0.99),'Tax scales - NAT 3539'!$A$43:$C$69,2,1)-VLOOKUP((TRUNC($AN430*3/13,0)+0.99),'Tax scales - NAT 3539'!$A$43:$C$69,3,1)),0)
*13/3,
0),
""))),
""),
"")</f>
        <v/>
      </c>
      <c r="AW430" s="118" t="str">
        <f>IFERROR(
IF(VLOOKUP($C430,'Employee information'!$B:$M,COLUMNS('Employee information'!$B:$M),0)=33,
IF($E$2="Fortnightly",
ROUND(
ROUND((((TRUNC($AN430/2,0)+0.99))*VLOOKUP((TRUNC($AN430/2,0)+0.99),'Tax scales - NAT 3539'!$A$74:$C$94,2,1)-VLOOKUP((TRUNC($AN430/2,0)+0.99),'Tax scales - NAT 3539'!$A$74:$C$94,3,1)),0)
*2,
0),
IF(AND($E$2="Monthly",ROUND($AN430-TRUNC($AN430),2)=0.33),
ROUND(
ROUND(((TRUNC(($AN430+0.01)*3/13,0)+0.99)*VLOOKUP((TRUNC(($AN430+0.01)*3/13,0)+0.99),'Tax scales - NAT 3539'!$A$74:$C$94,2,1)-VLOOKUP((TRUNC(($AN430+0.01)*3/13,0)+0.99),'Tax scales - NAT 3539'!$A$74:$C$94,3,1)),0)
*13/3,
0),
IF($E$2="Monthly",
ROUND(
ROUND(((TRUNC($AN430*3/13,0)+0.99)*VLOOKUP((TRUNC($AN430*3/13,0)+0.99),'Tax scales - NAT 3539'!$A$74:$C$94,2,1)-VLOOKUP((TRUNC($AN430*3/13,0)+0.99),'Tax scales - NAT 3539'!$A$74:$C$94,3,1)),0)
*13/3,
0),
""))),
""),
"")</f>
        <v/>
      </c>
      <c r="AX430" s="118" t="str">
        <f>IFERROR(
IF(VLOOKUP($C430,'Employee information'!$B:$M,COLUMNS('Employee information'!$B:$M),0)=55,
IF($E$2="Fortnightly",
ROUND(
ROUND((((TRUNC($AN430/2,0)+0.99))*VLOOKUP((TRUNC($AN430/2,0)+0.99),'Tax scales - NAT 3539'!$A$99:$C$123,2,1)-VLOOKUP((TRUNC($AN430/2,0)+0.99),'Tax scales - NAT 3539'!$A$99:$C$123,3,1)),0)
*2,
0),
IF(AND($E$2="Monthly",ROUND($AN430-TRUNC($AN430),2)=0.33),
ROUND(
ROUND(((TRUNC(($AN430+0.01)*3/13,0)+0.99)*VLOOKUP((TRUNC(($AN430+0.01)*3/13,0)+0.99),'Tax scales - NAT 3539'!$A$99:$C$123,2,1)-VLOOKUP((TRUNC(($AN430+0.01)*3/13,0)+0.99),'Tax scales - NAT 3539'!$A$99:$C$123,3,1)),0)
*13/3,
0),
IF($E$2="Monthly",
ROUND(
ROUND(((TRUNC($AN430*3/13,0)+0.99)*VLOOKUP((TRUNC($AN430*3/13,0)+0.99),'Tax scales - NAT 3539'!$A$99:$C$123,2,1)-VLOOKUP((TRUNC($AN430*3/13,0)+0.99),'Tax scales - NAT 3539'!$A$99:$C$123,3,1)),0)
*13/3,
0),
""))),
""),
"")</f>
        <v/>
      </c>
      <c r="AY430" s="118" t="str">
        <f>IFERROR(
IF(VLOOKUP($C430,'Employee information'!$B:$M,COLUMNS('Employee information'!$B:$M),0)=66,
IF($E$2="Fortnightly",
ROUND(
ROUND((((TRUNC($AN430/2,0)+0.99))*VLOOKUP((TRUNC($AN430/2,0)+0.99),'Tax scales - NAT 3539'!$A$127:$C$154,2,1)-VLOOKUP((TRUNC($AN430/2,0)+0.99),'Tax scales - NAT 3539'!$A$127:$C$154,3,1)),0)
*2,
0),
IF(AND($E$2="Monthly",ROUND($AN430-TRUNC($AN430),2)=0.33),
ROUND(
ROUND(((TRUNC(($AN430+0.01)*3/13,0)+0.99)*VLOOKUP((TRUNC(($AN430+0.01)*3/13,0)+0.99),'Tax scales - NAT 3539'!$A$127:$C$154,2,1)-VLOOKUP((TRUNC(($AN430+0.01)*3/13,0)+0.99),'Tax scales - NAT 3539'!$A$127:$C$154,3,1)),0)
*13/3,
0),
IF($E$2="Monthly",
ROUND(
ROUND(((TRUNC($AN430*3/13,0)+0.99)*VLOOKUP((TRUNC($AN430*3/13,0)+0.99),'Tax scales - NAT 3539'!$A$127:$C$154,2,1)-VLOOKUP((TRUNC($AN430*3/13,0)+0.99),'Tax scales - NAT 3539'!$A$127:$C$154,3,1)),0)
*13/3,
0),
""))),
""),
"")</f>
        <v/>
      </c>
      <c r="AZ430" s="118">
        <f>IFERROR(
HLOOKUP(VLOOKUP($C430,'Employee information'!$B:$M,COLUMNS('Employee information'!$B:$M),0),'PAYG worksheet'!$AO$416:$AY$435,COUNTA($C$417:$C430)+1,0),
0)</f>
        <v>0</v>
      </c>
      <c r="BA430" s="118"/>
      <c r="BB430" s="118">
        <f t="shared" si="449"/>
        <v>0</v>
      </c>
      <c r="BC430" s="119">
        <f>IFERROR(
IF(OR($AE430=1,$AE430=""),SUM($P430,$AA430,$AC430,$AK430)*VLOOKUP($C430,'Employee information'!$B:$Q,COLUMNS('Employee information'!$B:$H),0),
IF($AE430=0,SUM($P430,$AA430,$AK430)*VLOOKUP($C430,'Employee information'!$B:$Q,COLUMNS('Employee information'!$B:$H),0),
0)),
0)</f>
        <v>0</v>
      </c>
      <c r="BE430" s="114">
        <f t="shared" si="434"/>
        <v>0</v>
      </c>
      <c r="BF430" s="114">
        <f t="shared" si="435"/>
        <v>0</v>
      </c>
      <c r="BG430" s="114">
        <f t="shared" si="436"/>
        <v>0</v>
      </c>
      <c r="BH430" s="114">
        <f t="shared" si="437"/>
        <v>0</v>
      </c>
      <c r="BI430" s="114">
        <f t="shared" si="438"/>
        <v>0</v>
      </c>
      <c r="BJ430" s="114">
        <f t="shared" si="439"/>
        <v>0</v>
      </c>
      <c r="BK430" s="114">
        <f t="shared" si="440"/>
        <v>0</v>
      </c>
      <c r="BL430" s="114">
        <f t="shared" si="450"/>
        <v>0</v>
      </c>
      <c r="BM430" s="114">
        <f t="shared" si="441"/>
        <v>0</v>
      </c>
    </row>
    <row r="431" spans="1:65" x14ac:dyDescent="0.25">
      <c r="A431" s="228">
        <f t="shared" si="429"/>
        <v>15</v>
      </c>
      <c r="C431" s="278"/>
      <c r="E431" s="103">
        <f>IF($C431="",0,
IF(AND($E$2="Monthly",$A431&gt;12),0,
IF($E$2="Monthly",VLOOKUP($C431,'Employee information'!$B:$AM,COLUMNS('Employee information'!$B:S),0),
IF($E$2="Fortnightly",VLOOKUP($C431,'Employee information'!$B:$AM,COLUMNS('Employee information'!$B:R),0),
0))))</f>
        <v>0</v>
      </c>
      <c r="F431" s="106"/>
      <c r="G431" s="106"/>
      <c r="H431" s="106"/>
      <c r="I431" s="106"/>
      <c r="J431" s="103">
        <f t="shared" si="442"/>
        <v>0</v>
      </c>
      <c r="L431" s="113">
        <f>IF(AND($E$2="Monthly",$A431&gt;12),"",
IFERROR($J431*VLOOKUP($C431,'Employee information'!$B:$AI,COLUMNS('Employee information'!$B:$P),0),0))</f>
        <v>0</v>
      </c>
      <c r="M431" s="114">
        <f t="shared" si="443"/>
        <v>0</v>
      </c>
      <c r="O431" s="103">
        <f t="shared" si="444"/>
        <v>0</v>
      </c>
      <c r="P431" s="113">
        <f>IFERROR(
IF(AND($E$2="Monthly",$A431&gt;12),0,
$O431*VLOOKUP($C431,'Employee information'!$B:$AI,COLUMNS('Employee information'!$B:$P),0)),
0)</f>
        <v>0</v>
      </c>
      <c r="R431" s="114">
        <f t="shared" si="430"/>
        <v>0</v>
      </c>
      <c r="T431" s="103"/>
      <c r="U431" s="103"/>
      <c r="V431" s="282" t="str">
        <f>IF($C431="","",
IF(AND($E$2="Monthly",$A431&gt;12),"",
$T431*VLOOKUP($C431,'Employee information'!$B:$P,COLUMNS('Employee information'!$B:$P),0)))</f>
        <v/>
      </c>
      <c r="W431" s="282" t="str">
        <f>IF($C431="","",
IF(AND($E$2="Monthly",$A431&gt;12),"",
$U431*VLOOKUP($C431,'Employee information'!$B:$P,COLUMNS('Employee information'!$B:$P),0)))</f>
        <v/>
      </c>
      <c r="X431" s="114">
        <f t="shared" si="431"/>
        <v>0</v>
      </c>
      <c r="Y431" s="114">
        <f t="shared" si="432"/>
        <v>0</v>
      </c>
      <c r="AA431" s="118">
        <f>IFERROR(
IF(OR('Basic payroll data'!$D$12="",'Basic payroll data'!$D$12="No"),0,
$T431*VLOOKUP($C431,'Employee information'!$B:$P,COLUMNS('Employee information'!$B:$P),0)*AL_loading_perc),
0)</f>
        <v>0</v>
      </c>
      <c r="AC431" s="118"/>
      <c r="AD431" s="118"/>
      <c r="AE431" s="283" t="str">
        <f t="shared" si="445"/>
        <v/>
      </c>
      <c r="AF431" s="283" t="str">
        <f t="shared" si="446"/>
        <v/>
      </c>
      <c r="AG431" s="118"/>
      <c r="AH431" s="118"/>
      <c r="AI431" s="283" t="str">
        <f t="shared" si="447"/>
        <v/>
      </c>
      <c r="AJ431" s="118"/>
      <c r="AK431" s="118"/>
      <c r="AM431" s="118">
        <f t="shared" si="448"/>
        <v>0</v>
      </c>
      <c r="AN431" s="118">
        <f t="shared" si="433"/>
        <v>0</v>
      </c>
      <c r="AO431" s="118" t="str">
        <f>IFERROR(
IF(VLOOKUP($C431,'Employee information'!$B:$M,COLUMNS('Employee information'!$B:$M),0)=1,
IF($E$2="Fortnightly",
ROUND(
ROUND((((TRUNC($AN431/2,0)+0.99))*VLOOKUP((TRUNC($AN431/2,0)+0.99),'Tax scales - NAT 1004'!$A$12:$C$18,2,1)-VLOOKUP((TRUNC($AN431/2,0)+0.99),'Tax scales - NAT 1004'!$A$12:$C$18,3,1)),0)
*2,
0),
IF(AND($E$2="Monthly",ROUND($AN431-TRUNC($AN431),2)=0.33),
ROUND(
ROUND(((TRUNC(($AN431+0.01)*3/13,0)+0.99)*VLOOKUP((TRUNC(($AN431+0.01)*3/13,0)+0.99),'Tax scales - NAT 1004'!$A$12:$C$18,2,1)-VLOOKUP((TRUNC(($AN431+0.01)*3/13,0)+0.99),'Tax scales - NAT 1004'!$A$12:$C$18,3,1)),0)
*13/3,
0),
IF($E$2="Monthly",
ROUND(
ROUND(((TRUNC($AN431*3/13,0)+0.99)*VLOOKUP((TRUNC($AN431*3/13,0)+0.99),'Tax scales - NAT 1004'!$A$12:$C$18,2,1)-VLOOKUP((TRUNC($AN431*3/13,0)+0.99),'Tax scales - NAT 1004'!$A$12:$C$18,3,1)),0)
*13/3,
0),
""))),
""),
"")</f>
        <v/>
      </c>
      <c r="AP431" s="118" t="str">
        <f>IFERROR(
IF(VLOOKUP($C431,'Employee information'!$B:$M,COLUMNS('Employee information'!$B:$M),0)=2,
IF($E$2="Fortnightly",
ROUND(
ROUND((((TRUNC($AN431/2,0)+0.99))*VLOOKUP((TRUNC($AN431/2,0)+0.99),'Tax scales - NAT 1004'!$A$25:$C$33,2,1)-VLOOKUP((TRUNC($AN431/2,0)+0.99),'Tax scales - NAT 1004'!$A$25:$C$33,3,1)),0)
*2,
0),
IF(AND($E$2="Monthly",ROUND($AN431-TRUNC($AN431),2)=0.33),
ROUND(
ROUND(((TRUNC(($AN431+0.01)*3/13,0)+0.99)*VLOOKUP((TRUNC(($AN431+0.01)*3/13,0)+0.99),'Tax scales - NAT 1004'!$A$25:$C$33,2,1)-VLOOKUP((TRUNC(($AN431+0.01)*3/13,0)+0.99),'Tax scales - NAT 1004'!$A$25:$C$33,3,1)),0)
*13/3,
0),
IF($E$2="Monthly",
ROUND(
ROUND(((TRUNC($AN431*3/13,0)+0.99)*VLOOKUP((TRUNC($AN431*3/13,0)+0.99),'Tax scales - NAT 1004'!$A$25:$C$33,2,1)-VLOOKUP((TRUNC($AN431*3/13,0)+0.99),'Tax scales - NAT 1004'!$A$25:$C$33,3,1)),0)
*13/3,
0),
""))),
""),
"")</f>
        <v/>
      </c>
      <c r="AQ431" s="118" t="str">
        <f>IFERROR(
IF(VLOOKUP($C431,'Employee information'!$B:$M,COLUMNS('Employee information'!$B:$M),0)=3,
IF($E$2="Fortnightly",
ROUND(
ROUND((((TRUNC($AN431/2,0)+0.99))*VLOOKUP((TRUNC($AN431/2,0)+0.99),'Tax scales - NAT 1004'!$A$39:$C$41,2,1)-VLOOKUP((TRUNC($AN431/2,0)+0.99),'Tax scales - NAT 1004'!$A$39:$C$41,3,1)),0)
*2,
0),
IF(AND($E$2="Monthly",ROUND($AN431-TRUNC($AN431),2)=0.33),
ROUND(
ROUND(((TRUNC(($AN431+0.01)*3/13,0)+0.99)*VLOOKUP((TRUNC(($AN431+0.01)*3/13,0)+0.99),'Tax scales - NAT 1004'!$A$39:$C$41,2,1)-VLOOKUP((TRUNC(($AN431+0.01)*3/13,0)+0.99),'Tax scales - NAT 1004'!$A$39:$C$41,3,1)),0)
*13/3,
0),
IF($E$2="Monthly",
ROUND(
ROUND(((TRUNC($AN431*3/13,0)+0.99)*VLOOKUP((TRUNC($AN431*3/13,0)+0.99),'Tax scales - NAT 1004'!$A$39:$C$41,2,1)-VLOOKUP((TRUNC($AN431*3/13,0)+0.99),'Tax scales - NAT 1004'!$A$39:$C$41,3,1)),0)
*13/3,
0),
""))),
""),
"")</f>
        <v/>
      </c>
      <c r="AR431" s="118" t="str">
        <f>IFERROR(
IF(AND(VLOOKUP($C431,'Employee information'!$B:$M,COLUMNS('Employee information'!$B:$M),0)=4,
VLOOKUP($C431,'Employee information'!$B:$J,COLUMNS('Employee information'!$B:$J),0)="Resident"),
TRUNC(TRUNC($AN431)*'Tax scales - NAT 1004'!$B$47),
IF(AND(VLOOKUP($C431,'Employee information'!$B:$M,COLUMNS('Employee information'!$B:$M),0)=4,
VLOOKUP($C431,'Employee information'!$B:$J,COLUMNS('Employee information'!$B:$J),0)="Foreign resident"),
TRUNC(TRUNC($AN431)*'Tax scales - NAT 1004'!$B$48),
"")),
"")</f>
        <v/>
      </c>
      <c r="AS431" s="118" t="str">
        <f>IFERROR(
IF(VLOOKUP($C431,'Employee information'!$B:$M,COLUMNS('Employee information'!$B:$M),0)=5,
IF($E$2="Fortnightly",
ROUND(
ROUND((((TRUNC($AN431/2,0)+0.99))*VLOOKUP((TRUNC($AN431/2,0)+0.99),'Tax scales - NAT 1004'!$A$53:$C$59,2,1)-VLOOKUP((TRUNC($AN431/2,0)+0.99),'Tax scales - NAT 1004'!$A$53:$C$59,3,1)),0)
*2,
0),
IF(AND($E$2="Monthly",ROUND($AN431-TRUNC($AN431),2)=0.33),
ROUND(
ROUND(((TRUNC(($AN431+0.01)*3/13,0)+0.99)*VLOOKUP((TRUNC(($AN431+0.01)*3/13,0)+0.99),'Tax scales - NAT 1004'!$A$53:$C$59,2,1)-VLOOKUP((TRUNC(($AN431+0.01)*3/13,0)+0.99),'Tax scales - NAT 1004'!$A$53:$C$59,3,1)),0)
*13/3,
0),
IF($E$2="Monthly",
ROUND(
ROUND(((TRUNC($AN431*3/13,0)+0.99)*VLOOKUP((TRUNC($AN431*3/13,0)+0.99),'Tax scales - NAT 1004'!$A$53:$C$59,2,1)-VLOOKUP((TRUNC($AN431*3/13,0)+0.99),'Tax scales - NAT 1004'!$A$53:$C$59,3,1)),0)
*13/3,
0),
""))),
""),
"")</f>
        <v/>
      </c>
      <c r="AT431" s="118" t="str">
        <f>IFERROR(
IF(VLOOKUP($C431,'Employee information'!$B:$M,COLUMNS('Employee information'!$B:$M),0)=6,
IF($E$2="Fortnightly",
ROUND(
ROUND((((TRUNC($AN431/2,0)+0.99))*VLOOKUP((TRUNC($AN431/2,0)+0.99),'Tax scales - NAT 1004'!$A$65:$C$73,2,1)-VLOOKUP((TRUNC($AN431/2,0)+0.99),'Tax scales - NAT 1004'!$A$65:$C$73,3,1)),0)
*2,
0),
IF(AND($E$2="Monthly",ROUND($AN431-TRUNC($AN431),2)=0.33),
ROUND(
ROUND(((TRUNC(($AN431+0.01)*3/13,0)+0.99)*VLOOKUP((TRUNC(($AN431+0.01)*3/13,0)+0.99),'Tax scales - NAT 1004'!$A$65:$C$73,2,1)-VLOOKUP((TRUNC(($AN431+0.01)*3/13,0)+0.99),'Tax scales - NAT 1004'!$A$65:$C$73,3,1)),0)
*13/3,
0),
IF($E$2="Monthly",
ROUND(
ROUND(((TRUNC($AN431*3/13,0)+0.99)*VLOOKUP((TRUNC($AN431*3/13,0)+0.99),'Tax scales - NAT 1004'!$A$65:$C$73,2,1)-VLOOKUP((TRUNC($AN431*3/13,0)+0.99),'Tax scales - NAT 1004'!$A$65:$C$73,3,1)),0)
*13/3,
0),
""))),
""),
"")</f>
        <v/>
      </c>
      <c r="AU431" s="118" t="str">
        <f>IFERROR(
IF(VLOOKUP($C431,'Employee information'!$B:$M,COLUMNS('Employee information'!$B:$M),0)=11,
IF($E$2="Fortnightly",
ROUND(
ROUND((((TRUNC($AN431/2,0)+0.99))*VLOOKUP((TRUNC($AN431/2,0)+0.99),'Tax scales - NAT 3539'!$A$14:$C$38,2,1)-VLOOKUP((TRUNC($AN431/2,0)+0.99),'Tax scales - NAT 3539'!$A$14:$C$38,3,1)),0)
*2,
0),
IF(AND($E$2="Monthly",ROUND($AN431-TRUNC($AN431),2)=0.33),
ROUND(
ROUND(((TRUNC(($AN431+0.01)*3/13,0)+0.99)*VLOOKUP((TRUNC(($AN431+0.01)*3/13,0)+0.99),'Tax scales - NAT 3539'!$A$14:$C$38,2,1)-VLOOKUP((TRUNC(($AN431+0.01)*3/13,0)+0.99),'Tax scales - NAT 3539'!$A$14:$C$38,3,1)),0)
*13/3,
0),
IF($E$2="Monthly",
ROUND(
ROUND(((TRUNC($AN431*3/13,0)+0.99)*VLOOKUP((TRUNC($AN431*3/13,0)+0.99),'Tax scales - NAT 3539'!$A$14:$C$38,2,1)-VLOOKUP((TRUNC($AN431*3/13,0)+0.99),'Tax scales - NAT 3539'!$A$14:$C$38,3,1)),0)
*13/3,
0),
""))),
""),
"")</f>
        <v/>
      </c>
      <c r="AV431" s="118" t="str">
        <f>IFERROR(
IF(VLOOKUP($C431,'Employee information'!$B:$M,COLUMNS('Employee information'!$B:$M),0)=22,
IF($E$2="Fortnightly",
ROUND(
ROUND((((TRUNC($AN431/2,0)+0.99))*VLOOKUP((TRUNC($AN431/2,0)+0.99),'Tax scales - NAT 3539'!$A$43:$C$69,2,1)-VLOOKUP((TRUNC($AN431/2,0)+0.99),'Tax scales - NAT 3539'!$A$43:$C$69,3,1)),0)
*2,
0),
IF(AND($E$2="Monthly",ROUND($AN431-TRUNC($AN431),2)=0.33),
ROUND(
ROUND(((TRUNC(($AN431+0.01)*3/13,0)+0.99)*VLOOKUP((TRUNC(($AN431+0.01)*3/13,0)+0.99),'Tax scales - NAT 3539'!$A$43:$C$69,2,1)-VLOOKUP((TRUNC(($AN431+0.01)*3/13,0)+0.99),'Tax scales - NAT 3539'!$A$43:$C$69,3,1)),0)
*13/3,
0),
IF($E$2="Monthly",
ROUND(
ROUND(((TRUNC($AN431*3/13,0)+0.99)*VLOOKUP((TRUNC($AN431*3/13,0)+0.99),'Tax scales - NAT 3539'!$A$43:$C$69,2,1)-VLOOKUP((TRUNC($AN431*3/13,0)+0.99),'Tax scales - NAT 3539'!$A$43:$C$69,3,1)),0)
*13/3,
0),
""))),
""),
"")</f>
        <v/>
      </c>
      <c r="AW431" s="118" t="str">
        <f>IFERROR(
IF(VLOOKUP($C431,'Employee information'!$B:$M,COLUMNS('Employee information'!$B:$M),0)=33,
IF($E$2="Fortnightly",
ROUND(
ROUND((((TRUNC($AN431/2,0)+0.99))*VLOOKUP((TRUNC($AN431/2,0)+0.99),'Tax scales - NAT 3539'!$A$74:$C$94,2,1)-VLOOKUP((TRUNC($AN431/2,0)+0.99),'Tax scales - NAT 3539'!$A$74:$C$94,3,1)),0)
*2,
0),
IF(AND($E$2="Monthly",ROUND($AN431-TRUNC($AN431),2)=0.33),
ROUND(
ROUND(((TRUNC(($AN431+0.01)*3/13,0)+0.99)*VLOOKUP((TRUNC(($AN431+0.01)*3/13,0)+0.99),'Tax scales - NAT 3539'!$A$74:$C$94,2,1)-VLOOKUP((TRUNC(($AN431+0.01)*3/13,0)+0.99),'Tax scales - NAT 3539'!$A$74:$C$94,3,1)),0)
*13/3,
0),
IF($E$2="Monthly",
ROUND(
ROUND(((TRUNC($AN431*3/13,0)+0.99)*VLOOKUP((TRUNC($AN431*3/13,0)+0.99),'Tax scales - NAT 3539'!$A$74:$C$94,2,1)-VLOOKUP((TRUNC($AN431*3/13,0)+0.99),'Tax scales - NAT 3539'!$A$74:$C$94,3,1)),0)
*13/3,
0),
""))),
""),
"")</f>
        <v/>
      </c>
      <c r="AX431" s="118" t="str">
        <f>IFERROR(
IF(VLOOKUP($C431,'Employee information'!$B:$M,COLUMNS('Employee information'!$B:$M),0)=55,
IF($E$2="Fortnightly",
ROUND(
ROUND((((TRUNC($AN431/2,0)+0.99))*VLOOKUP((TRUNC($AN431/2,0)+0.99),'Tax scales - NAT 3539'!$A$99:$C$123,2,1)-VLOOKUP((TRUNC($AN431/2,0)+0.99),'Tax scales - NAT 3539'!$A$99:$C$123,3,1)),0)
*2,
0),
IF(AND($E$2="Monthly",ROUND($AN431-TRUNC($AN431),2)=0.33),
ROUND(
ROUND(((TRUNC(($AN431+0.01)*3/13,0)+0.99)*VLOOKUP((TRUNC(($AN431+0.01)*3/13,0)+0.99),'Tax scales - NAT 3539'!$A$99:$C$123,2,1)-VLOOKUP((TRUNC(($AN431+0.01)*3/13,0)+0.99),'Tax scales - NAT 3539'!$A$99:$C$123,3,1)),0)
*13/3,
0),
IF($E$2="Monthly",
ROUND(
ROUND(((TRUNC($AN431*3/13,0)+0.99)*VLOOKUP((TRUNC($AN431*3/13,0)+0.99),'Tax scales - NAT 3539'!$A$99:$C$123,2,1)-VLOOKUP((TRUNC($AN431*3/13,0)+0.99),'Tax scales - NAT 3539'!$A$99:$C$123,3,1)),0)
*13/3,
0),
""))),
""),
"")</f>
        <v/>
      </c>
      <c r="AY431" s="118" t="str">
        <f>IFERROR(
IF(VLOOKUP($C431,'Employee information'!$B:$M,COLUMNS('Employee information'!$B:$M),0)=66,
IF($E$2="Fortnightly",
ROUND(
ROUND((((TRUNC($AN431/2,0)+0.99))*VLOOKUP((TRUNC($AN431/2,0)+0.99),'Tax scales - NAT 3539'!$A$127:$C$154,2,1)-VLOOKUP((TRUNC($AN431/2,0)+0.99),'Tax scales - NAT 3539'!$A$127:$C$154,3,1)),0)
*2,
0),
IF(AND($E$2="Monthly",ROUND($AN431-TRUNC($AN431),2)=0.33),
ROUND(
ROUND(((TRUNC(($AN431+0.01)*3/13,0)+0.99)*VLOOKUP((TRUNC(($AN431+0.01)*3/13,0)+0.99),'Tax scales - NAT 3539'!$A$127:$C$154,2,1)-VLOOKUP((TRUNC(($AN431+0.01)*3/13,0)+0.99),'Tax scales - NAT 3539'!$A$127:$C$154,3,1)),0)
*13/3,
0),
IF($E$2="Monthly",
ROUND(
ROUND(((TRUNC($AN431*3/13,0)+0.99)*VLOOKUP((TRUNC($AN431*3/13,0)+0.99),'Tax scales - NAT 3539'!$A$127:$C$154,2,1)-VLOOKUP((TRUNC($AN431*3/13,0)+0.99),'Tax scales - NAT 3539'!$A$127:$C$154,3,1)),0)
*13/3,
0),
""))),
""),
"")</f>
        <v/>
      </c>
      <c r="AZ431" s="118">
        <f>IFERROR(
HLOOKUP(VLOOKUP($C431,'Employee information'!$B:$M,COLUMNS('Employee information'!$B:$M),0),'PAYG worksheet'!$AO$416:$AY$435,COUNTA($C$417:$C431)+1,0),
0)</f>
        <v>0</v>
      </c>
      <c r="BA431" s="118"/>
      <c r="BB431" s="118">
        <f t="shared" si="449"/>
        <v>0</v>
      </c>
      <c r="BC431" s="119">
        <f>IFERROR(
IF(OR($AE431=1,$AE431=""),SUM($P431,$AA431,$AC431,$AK431)*VLOOKUP($C431,'Employee information'!$B:$Q,COLUMNS('Employee information'!$B:$H),0),
IF($AE431=0,SUM($P431,$AA431,$AK431)*VLOOKUP($C431,'Employee information'!$B:$Q,COLUMNS('Employee information'!$B:$H),0),
0)),
0)</f>
        <v>0</v>
      </c>
      <c r="BE431" s="114">
        <f t="shared" si="434"/>
        <v>0</v>
      </c>
      <c r="BF431" s="114">
        <f t="shared" si="435"/>
        <v>0</v>
      </c>
      <c r="BG431" s="114">
        <f t="shared" si="436"/>
        <v>0</v>
      </c>
      <c r="BH431" s="114">
        <f t="shared" si="437"/>
        <v>0</v>
      </c>
      <c r="BI431" s="114">
        <f t="shared" si="438"/>
        <v>0</v>
      </c>
      <c r="BJ431" s="114">
        <f t="shared" si="439"/>
        <v>0</v>
      </c>
      <c r="BK431" s="114">
        <f t="shared" si="440"/>
        <v>0</v>
      </c>
      <c r="BL431" s="114">
        <f t="shared" si="450"/>
        <v>0</v>
      </c>
      <c r="BM431" s="114">
        <f t="shared" si="441"/>
        <v>0</v>
      </c>
    </row>
    <row r="432" spans="1:65" x14ac:dyDescent="0.25">
      <c r="A432" s="228">
        <f t="shared" si="429"/>
        <v>15</v>
      </c>
      <c r="C432" s="278"/>
      <c r="E432" s="103">
        <f>IF($C432="",0,
IF(AND($E$2="Monthly",$A432&gt;12),0,
IF($E$2="Monthly",VLOOKUP($C432,'Employee information'!$B:$AM,COLUMNS('Employee information'!$B:S),0),
IF($E$2="Fortnightly",VLOOKUP($C432,'Employee information'!$B:$AM,COLUMNS('Employee information'!$B:R),0),
0))))</f>
        <v>0</v>
      </c>
      <c r="F432" s="106"/>
      <c r="G432" s="106"/>
      <c r="H432" s="106"/>
      <c r="I432" s="106"/>
      <c r="J432" s="103">
        <f t="shared" si="442"/>
        <v>0</v>
      </c>
      <c r="L432" s="113">
        <f>IF(AND($E$2="Monthly",$A432&gt;12),"",
IFERROR($J432*VLOOKUP($C432,'Employee information'!$B:$AI,COLUMNS('Employee information'!$B:$P),0),0))</f>
        <v>0</v>
      </c>
      <c r="M432" s="114">
        <f t="shared" si="443"/>
        <v>0</v>
      </c>
      <c r="O432" s="103">
        <f t="shared" si="444"/>
        <v>0</v>
      </c>
      <c r="P432" s="113">
        <f>IFERROR(
IF(AND($E$2="Monthly",$A432&gt;12),0,
$O432*VLOOKUP($C432,'Employee information'!$B:$AI,COLUMNS('Employee information'!$B:$P),0)),
0)</f>
        <v>0</v>
      </c>
      <c r="R432" s="114">
        <f t="shared" si="430"/>
        <v>0</v>
      </c>
      <c r="T432" s="103"/>
      <c r="U432" s="103"/>
      <c r="V432" s="282" t="str">
        <f>IF($C432="","",
IF(AND($E$2="Monthly",$A432&gt;12),"",
$T432*VLOOKUP($C432,'Employee information'!$B:$P,COLUMNS('Employee information'!$B:$P),0)))</f>
        <v/>
      </c>
      <c r="W432" s="282" t="str">
        <f>IF($C432="","",
IF(AND($E$2="Monthly",$A432&gt;12),"",
$U432*VLOOKUP($C432,'Employee information'!$B:$P,COLUMNS('Employee information'!$B:$P),0)))</f>
        <v/>
      </c>
      <c r="X432" s="114">
        <f t="shared" si="431"/>
        <v>0</v>
      </c>
      <c r="Y432" s="114">
        <f t="shared" si="432"/>
        <v>0</v>
      </c>
      <c r="AA432" s="118">
        <f>IFERROR(
IF(OR('Basic payroll data'!$D$12="",'Basic payroll data'!$D$12="No"),0,
$T432*VLOOKUP($C432,'Employee information'!$B:$P,COLUMNS('Employee information'!$B:$P),0)*AL_loading_perc),
0)</f>
        <v>0</v>
      </c>
      <c r="AC432" s="118"/>
      <c r="AD432" s="118"/>
      <c r="AE432" s="283" t="str">
        <f t="shared" si="445"/>
        <v/>
      </c>
      <c r="AF432" s="283" t="str">
        <f t="shared" si="446"/>
        <v/>
      </c>
      <c r="AG432" s="118"/>
      <c r="AH432" s="118"/>
      <c r="AI432" s="283" t="str">
        <f t="shared" si="447"/>
        <v/>
      </c>
      <c r="AJ432" s="118"/>
      <c r="AK432" s="118"/>
      <c r="AM432" s="118">
        <f t="shared" si="448"/>
        <v>0</v>
      </c>
      <c r="AN432" s="118">
        <f t="shared" si="433"/>
        <v>0</v>
      </c>
      <c r="AO432" s="118" t="str">
        <f>IFERROR(
IF(VLOOKUP($C432,'Employee information'!$B:$M,COLUMNS('Employee information'!$B:$M),0)=1,
IF($E$2="Fortnightly",
ROUND(
ROUND((((TRUNC($AN432/2,0)+0.99))*VLOOKUP((TRUNC($AN432/2,0)+0.99),'Tax scales - NAT 1004'!$A$12:$C$18,2,1)-VLOOKUP((TRUNC($AN432/2,0)+0.99),'Tax scales - NAT 1004'!$A$12:$C$18,3,1)),0)
*2,
0),
IF(AND($E$2="Monthly",ROUND($AN432-TRUNC($AN432),2)=0.33),
ROUND(
ROUND(((TRUNC(($AN432+0.01)*3/13,0)+0.99)*VLOOKUP((TRUNC(($AN432+0.01)*3/13,0)+0.99),'Tax scales - NAT 1004'!$A$12:$C$18,2,1)-VLOOKUP((TRUNC(($AN432+0.01)*3/13,0)+0.99),'Tax scales - NAT 1004'!$A$12:$C$18,3,1)),0)
*13/3,
0),
IF($E$2="Monthly",
ROUND(
ROUND(((TRUNC($AN432*3/13,0)+0.99)*VLOOKUP((TRUNC($AN432*3/13,0)+0.99),'Tax scales - NAT 1004'!$A$12:$C$18,2,1)-VLOOKUP((TRUNC($AN432*3/13,0)+0.99),'Tax scales - NAT 1004'!$A$12:$C$18,3,1)),0)
*13/3,
0),
""))),
""),
"")</f>
        <v/>
      </c>
      <c r="AP432" s="118" t="str">
        <f>IFERROR(
IF(VLOOKUP($C432,'Employee information'!$B:$M,COLUMNS('Employee information'!$B:$M),0)=2,
IF($E$2="Fortnightly",
ROUND(
ROUND((((TRUNC($AN432/2,0)+0.99))*VLOOKUP((TRUNC($AN432/2,0)+0.99),'Tax scales - NAT 1004'!$A$25:$C$33,2,1)-VLOOKUP((TRUNC($AN432/2,0)+0.99),'Tax scales - NAT 1004'!$A$25:$C$33,3,1)),0)
*2,
0),
IF(AND($E$2="Monthly",ROUND($AN432-TRUNC($AN432),2)=0.33),
ROUND(
ROUND(((TRUNC(($AN432+0.01)*3/13,0)+0.99)*VLOOKUP((TRUNC(($AN432+0.01)*3/13,0)+0.99),'Tax scales - NAT 1004'!$A$25:$C$33,2,1)-VLOOKUP((TRUNC(($AN432+0.01)*3/13,0)+0.99),'Tax scales - NAT 1004'!$A$25:$C$33,3,1)),0)
*13/3,
0),
IF($E$2="Monthly",
ROUND(
ROUND(((TRUNC($AN432*3/13,0)+0.99)*VLOOKUP((TRUNC($AN432*3/13,0)+0.99),'Tax scales - NAT 1004'!$A$25:$C$33,2,1)-VLOOKUP((TRUNC($AN432*3/13,0)+0.99),'Tax scales - NAT 1004'!$A$25:$C$33,3,1)),0)
*13/3,
0),
""))),
""),
"")</f>
        <v/>
      </c>
      <c r="AQ432" s="118" t="str">
        <f>IFERROR(
IF(VLOOKUP($C432,'Employee information'!$B:$M,COLUMNS('Employee information'!$B:$M),0)=3,
IF($E$2="Fortnightly",
ROUND(
ROUND((((TRUNC($AN432/2,0)+0.99))*VLOOKUP((TRUNC($AN432/2,0)+0.99),'Tax scales - NAT 1004'!$A$39:$C$41,2,1)-VLOOKUP((TRUNC($AN432/2,0)+0.99),'Tax scales - NAT 1004'!$A$39:$C$41,3,1)),0)
*2,
0),
IF(AND($E$2="Monthly",ROUND($AN432-TRUNC($AN432),2)=0.33),
ROUND(
ROUND(((TRUNC(($AN432+0.01)*3/13,0)+0.99)*VLOOKUP((TRUNC(($AN432+0.01)*3/13,0)+0.99),'Tax scales - NAT 1004'!$A$39:$C$41,2,1)-VLOOKUP((TRUNC(($AN432+0.01)*3/13,0)+0.99),'Tax scales - NAT 1004'!$A$39:$C$41,3,1)),0)
*13/3,
0),
IF($E$2="Monthly",
ROUND(
ROUND(((TRUNC($AN432*3/13,0)+0.99)*VLOOKUP((TRUNC($AN432*3/13,0)+0.99),'Tax scales - NAT 1004'!$A$39:$C$41,2,1)-VLOOKUP((TRUNC($AN432*3/13,0)+0.99),'Tax scales - NAT 1004'!$A$39:$C$41,3,1)),0)
*13/3,
0),
""))),
""),
"")</f>
        <v/>
      </c>
      <c r="AR432" s="118" t="str">
        <f>IFERROR(
IF(AND(VLOOKUP($C432,'Employee information'!$B:$M,COLUMNS('Employee information'!$B:$M),0)=4,
VLOOKUP($C432,'Employee information'!$B:$J,COLUMNS('Employee information'!$B:$J),0)="Resident"),
TRUNC(TRUNC($AN432)*'Tax scales - NAT 1004'!$B$47),
IF(AND(VLOOKUP($C432,'Employee information'!$B:$M,COLUMNS('Employee information'!$B:$M),0)=4,
VLOOKUP($C432,'Employee information'!$B:$J,COLUMNS('Employee information'!$B:$J),0)="Foreign resident"),
TRUNC(TRUNC($AN432)*'Tax scales - NAT 1004'!$B$48),
"")),
"")</f>
        <v/>
      </c>
      <c r="AS432" s="118" t="str">
        <f>IFERROR(
IF(VLOOKUP($C432,'Employee information'!$B:$M,COLUMNS('Employee information'!$B:$M),0)=5,
IF($E$2="Fortnightly",
ROUND(
ROUND((((TRUNC($AN432/2,0)+0.99))*VLOOKUP((TRUNC($AN432/2,0)+0.99),'Tax scales - NAT 1004'!$A$53:$C$59,2,1)-VLOOKUP((TRUNC($AN432/2,0)+0.99),'Tax scales - NAT 1004'!$A$53:$C$59,3,1)),0)
*2,
0),
IF(AND($E$2="Monthly",ROUND($AN432-TRUNC($AN432),2)=0.33),
ROUND(
ROUND(((TRUNC(($AN432+0.01)*3/13,0)+0.99)*VLOOKUP((TRUNC(($AN432+0.01)*3/13,0)+0.99),'Tax scales - NAT 1004'!$A$53:$C$59,2,1)-VLOOKUP((TRUNC(($AN432+0.01)*3/13,0)+0.99),'Tax scales - NAT 1004'!$A$53:$C$59,3,1)),0)
*13/3,
0),
IF($E$2="Monthly",
ROUND(
ROUND(((TRUNC($AN432*3/13,0)+0.99)*VLOOKUP((TRUNC($AN432*3/13,0)+0.99),'Tax scales - NAT 1004'!$A$53:$C$59,2,1)-VLOOKUP((TRUNC($AN432*3/13,0)+0.99),'Tax scales - NAT 1004'!$A$53:$C$59,3,1)),0)
*13/3,
0),
""))),
""),
"")</f>
        <v/>
      </c>
      <c r="AT432" s="118" t="str">
        <f>IFERROR(
IF(VLOOKUP($C432,'Employee information'!$B:$M,COLUMNS('Employee information'!$B:$M),0)=6,
IF($E$2="Fortnightly",
ROUND(
ROUND((((TRUNC($AN432/2,0)+0.99))*VLOOKUP((TRUNC($AN432/2,0)+0.99),'Tax scales - NAT 1004'!$A$65:$C$73,2,1)-VLOOKUP((TRUNC($AN432/2,0)+0.99),'Tax scales - NAT 1004'!$A$65:$C$73,3,1)),0)
*2,
0),
IF(AND($E$2="Monthly",ROUND($AN432-TRUNC($AN432),2)=0.33),
ROUND(
ROUND(((TRUNC(($AN432+0.01)*3/13,0)+0.99)*VLOOKUP((TRUNC(($AN432+0.01)*3/13,0)+0.99),'Tax scales - NAT 1004'!$A$65:$C$73,2,1)-VLOOKUP((TRUNC(($AN432+0.01)*3/13,0)+0.99),'Tax scales - NAT 1004'!$A$65:$C$73,3,1)),0)
*13/3,
0),
IF($E$2="Monthly",
ROUND(
ROUND(((TRUNC($AN432*3/13,0)+0.99)*VLOOKUP((TRUNC($AN432*3/13,0)+0.99),'Tax scales - NAT 1004'!$A$65:$C$73,2,1)-VLOOKUP((TRUNC($AN432*3/13,0)+0.99),'Tax scales - NAT 1004'!$A$65:$C$73,3,1)),0)
*13/3,
0),
""))),
""),
"")</f>
        <v/>
      </c>
      <c r="AU432" s="118" t="str">
        <f>IFERROR(
IF(VLOOKUP($C432,'Employee information'!$B:$M,COLUMNS('Employee information'!$B:$M),0)=11,
IF($E$2="Fortnightly",
ROUND(
ROUND((((TRUNC($AN432/2,0)+0.99))*VLOOKUP((TRUNC($AN432/2,0)+0.99),'Tax scales - NAT 3539'!$A$14:$C$38,2,1)-VLOOKUP((TRUNC($AN432/2,0)+0.99),'Tax scales - NAT 3539'!$A$14:$C$38,3,1)),0)
*2,
0),
IF(AND($E$2="Monthly",ROUND($AN432-TRUNC($AN432),2)=0.33),
ROUND(
ROUND(((TRUNC(($AN432+0.01)*3/13,0)+0.99)*VLOOKUP((TRUNC(($AN432+0.01)*3/13,0)+0.99),'Tax scales - NAT 3539'!$A$14:$C$38,2,1)-VLOOKUP((TRUNC(($AN432+0.01)*3/13,0)+0.99),'Tax scales - NAT 3539'!$A$14:$C$38,3,1)),0)
*13/3,
0),
IF($E$2="Monthly",
ROUND(
ROUND(((TRUNC($AN432*3/13,0)+0.99)*VLOOKUP((TRUNC($AN432*3/13,0)+0.99),'Tax scales - NAT 3539'!$A$14:$C$38,2,1)-VLOOKUP((TRUNC($AN432*3/13,0)+0.99),'Tax scales - NAT 3539'!$A$14:$C$38,3,1)),0)
*13/3,
0),
""))),
""),
"")</f>
        <v/>
      </c>
      <c r="AV432" s="118" t="str">
        <f>IFERROR(
IF(VLOOKUP($C432,'Employee information'!$B:$M,COLUMNS('Employee information'!$B:$M),0)=22,
IF($E$2="Fortnightly",
ROUND(
ROUND((((TRUNC($AN432/2,0)+0.99))*VLOOKUP((TRUNC($AN432/2,0)+0.99),'Tax scales - NAT 3539'!$A$43:$C$69,2,1)-VLOOKUP((TRUNC($AN432/2,0)+0.99),'Tax scales - NAT 3539'!$A$43:$C$69,3,1)),0)
*2,
0),
IF(AND($E$2="Monthly",ROUND($AN432-TRUNC($AN432),2)=0.33),
ROUND(
ROUND(((TRUNC(($AN432+0.01)*3/13,0)+0.99)*VLOOKUP((TRUNC(($AN432+0.01)*3/13,0)+0.99),'Tax scales - NAT 3539'!$A$43:$C$69,2,1)-VLOOKUP((TRUNC(($AN432+0.01)*3/13,0)+0.99),'Tax scales - NAT 3539'!$A$43:$C$69,3,1)),0)
*13/3,
0),
IF($E$2="Monthly",
ROUND(
ROUND(((TRUNC($AN432*3/13,0)+0.99)*VLOOKUP((TRUNC($AN432*3/13,0)+0.99),'Tax scales - NAT 3539'!$A$43:$C$69,2,1)-VLOOKUP((TRUNC($AN432*3/13,0)+0.99),'Tax scales - NAT 3539'!$A$43:$C$69,3,1)),0)
*13/3,
0),
""))),
""),
"")</f>
        <v/>
      </c>
      <c r="AW432" s="118" t="str">
        <f>IFERROR(
IF(VLOOKUP($C432,'Employee information'!$B:$M,COLUMNS('Employee information'!$B:$M),0)=33,
IF($E$2="Fortnightly",
ROUND(
ROUND((((TRUNC($AN432/2,0)+0.99))*VLOOKUP((TRUNC($AN432/2,0)+0.99),'Tax scales - NAT 3539'!$A$74:$C$94,2,1)-VLOOKUP((TRUNC($AN432/2,0)+0.99),'Tax scales - NAT 3539'!$A$74:$C$94,3,1)),0)
*2,
0),
IF(AND($E$2="Monthly",ROUND($AN432-TRUNC($AN432),2)=0.33),
ROUND(
ROUND(((TRUNC(($AN432+0.01)*3/13,0)+0.99)*VLOOKUP((TRUNC(($AN432+0.01)*3/13,0)+0.99),'Tax scales - NAT 3539'!$A$74:$C$94,2,1)-VLOOKUP((TRUNC(($AN432+0.01)*3/13,0)+0.99),'Tax scales - NAT 3539'!$A$74:$C$94,3,1)),0)
*13/3,
0),
IF($E$2="Monthly",
ROUND(
ROUND(((TRUNC($AN432*3/13,0)+0.99)*VLOOKUP((TRUNC($AN432*3/13,0)+0.99),'Tax scales - NAT 3539'!$A$74:$C$94,2,1)-VLOOKUP((TRUNC($AN432*3/13,0)+0.99),'Tax scales - NAT 3539'!$A$74:$C$94,3,1)),0)
*13/3,
0),
""))),
""),
"")</f>
        <v/>
      </c>
      <c r="AX432" s="118" t="str">
        <f>IFERROR(
IF(VLOOKUP($C432,'Employee information'!$B:$M,COLUMNS('Employee information'!$B:$M),0)=55,
IF($E$2="Fortnightly",
ROUND(
ROUND((((TRUNC($AN432/2,0)+0.99))*VLOOKUP((TRUNC($AN432/2,0)+0.99),'Tax scales - NAT 3539'!$A$99:$C$123,2,1)-VLOOKUP((TRUNC($AN432/2,0)+0.99),'Tax scales - NAT 3539'!$A$99:$C$123,3,1)),0)
*2,
0),
IF(AND($E$2="Monthly",ROUND($AN432-TRUNC($AN432),2)=0.33),
ROUND(
ROUND(((TRUNC(($AN432+0.01)*3/13,0)+0.99)*VLOOKUP((TRUNC(($AN432+0.01)*3/13,0)+0.99),'Tax scales - NAT 3539'!$A$99:$C$123,2,1)-VLOOKUP((TRUNC(($AN432+0.01)*3/13,0)+0.99),'Tax scales - NAT 3539'!$A$99:$C$123,3,1)),0)
*13/3,
0),
IF($E$2="Monthly",
ROUND(
ROUND(((TRUNC($AN432*3/13,0)+0.99)*VLOOKUP((TRUNC($AN432*3/13,0)+0.99),'Tax scales - NAT 3539'!$A$99:$C$123,2,1)-VLOOKUP((TRUNC($AN432*3/13,0)+0.99),'Tax scales - NAT 3539'!$A$99:$C$123,3,1)),0)
*13/3,
0),
""))),
""),
"")</f>
        <v/>
      </c>
      <c r="AY432" s="118" t="str">
        <f>IFERROR(
IF(VLOOKUP($C432,'Employee information'!$B:$M,COLUMNS('Employee information'!$B:$M),0)=66,
IF($E$2="Fortnightly",
ROUND(
ROUND((((TRUNC($AN432/2,0)+0.99))*VLOOKUP((TRUNC($AN432/2,0)+0.99),'Tax scales - NAT 3539'!$A$127:$C$154,2,1)-VLOOKUP((TRUNC($AN432/2,0)+0.99),'Tax scales - NAT 3539'!$A$127:$C$154,3,1)),0)
*2,
0),
IF(AND($E$2="Monthly",ROUND($AN432-TRUNC($AN432),2)=0.33),
ROUND(
ROUND(((TRUNC(($AN432+0.01)*3/13,0)+0.99)*VLOOKUP((TRUNC(($AN432+0.01)*3/13,0)+0.99),'Tax scales - NAT 3539'!$A$127:$C$154,2,1)-VLOOKUP((TRUNC(($AN432+0.01)*3/13,0)+0.99),'Tax scales - NAT 3539'!$A$127:$C$154,3,1)),0)
*13/3,
0),
IF($E$2="Monthly",
ROUND(
ROUND(((TRUNC($AN432*3/13,0)+0.99)*VLOOKUP((TRUNC($AN432*3/13,0)+0.99),'Tax scales - NAT 3539'!$A$127:$C$154,2,1)-VLOOKUP((TRUNC($AN432*3/13,0)+0.99),'Tax scales - NAT 3539'!$A$127:$C$154,3,1)),0)
*13/3,
0),
""))),
""),
"")</f>
        <v/>
      </c>
      <c r="AZ432" s="118">
        <f>IFERROR(
HLOOKUP(VLOOKUP($C432,'Employee information'!$B:$M,COLUMNS('Employee information'!$B:$M),0),'PAYG worksheet'!$AO$416:$AY$435,COUNTA($C$417:$C432)+1,0),
0)</f>
        <v>0</v>
      </c>
      <c r="BA432" s="118"/>
      <c r="BB432" s="118">
        <f t="shared" si="449"/>
        <v>0</v>
      </c>
      <c r="BC432" s="119">
        <f>IFERROR(
IF(OR($AE432=1,$AE432=""),SUM($P432,$AA432,$AC432,$AK432)*VLOOKUP($C432,'Employee information'!$B:$Q,COLUMNS('Employee information'!$B:$H),0),
IF($AE432=0,SUM($P432,$AA432,$AK432)*VLOOKUP($C432,'Employee information'!$B:$Q,COLUMNS('Employee information'!$B:$H),0),
0)),
0)</f>
        <v>0</v>
      </c>
      <c r="BE432" s="114">
        <f t="shared" si="434"/>
        <v>0</v>
      </c>
      <c r="BF432" s="114">
        <f t="shared" si="435"/>
        <v>0</v>
      </c>
      <c r="BG432" s="114">
        <f t="shared" si="436"/>
        <v>0</v>
      </c>
      <c r="BH432" s="114">
        <f t="shared" si="437"/>
        <v>0</v>
      </c>
      <c r="BI432" s="114">
        <f t="shared" si="438"/>
        <v>0</v>
      </c>
      <c r="BJ432" s="114">
        <f t="shared" si="439"/>
        <v>0</v>
      </c>
      <c r="BK432" s="114">
        <f t="shared" si="440"/>
        <v>0</v>
      </c>
      <c r="BL432" s="114">
        <f t="shared" si="450"/>
        <v>0</v>
      </c>
      <c r="BM432" s="114">
        <f t="shared" si="441"/>
        <v>0</v>
      </c>
    </row>
    <row r="433" spans="1:65" x14ac:dyDescent="0.25">
      <c r="A433" s="228">
        <f t="shared" si="429"/>
        <v>15</v>
      </c>
      <c r="C433" s="278"/>
      <c r="E433" s="103">
        <f>IF($C433="",0,
IF(AND($E$2="Monthly",$A433&gt;12),0,
IF($E$2="Monthly",VLOOKUP($C433,'Employee information'!$B:$AM,COLUMNS('Employee information'!$B:S),0),
IF($E$2="Fortnightly",VLOOKUP($C433,'Employee information'!$B:$AM,COLUMNS('Employee information'!$B:R),0),
0))))</f>
        <v>0</v>
      </c>
      <c r="F433" s="106"/>
      <c r="G433" s="106"/>
      <c r="H433" s="106"/>
      <c r="I433" s="106"/>
      <c r="J433" s="103">
        <f t="shared" si="442"/>
        <v>0</v>
      </c>
      <c r="L433" s="113">
        <f>IF(AND($E$2="Monthly",$A433&gt;12),"",
IFERROR($J433*VLOOKUP($C433,'Employee information'!$B:$AI,COLUMNS('Employee information'!$B:$P),0),0))</f>
        <v>0</v>
      </c>
      <c r="M433" s="114">
        <f t="shared" si="443"/>
        <v>0</v>
      </c>
      <c r="O433" s="103">
        <f t="shared" si="444"/>
        <v>0</v>
      </c>
      <c r="P433" s="113">
        <f>IFERROR(
IF(AND($E$2="Monthly",$A433&gt;12),0,
$O433*VLOOKUP($C433,'Employee information'!$B:$AI,COLUMNS('Employee information'!$B:$P),0)),
0)</f>
        <v>0</v>
      </c>
      <c r="R433" s="114">
        <f t="shared" si="430"/>
        <v>0</v>
      </c>
      <c r="T433" s="103"/>
      <c r="U433" s="103"/>
      <c r="V433" s="282" t="str">
        <f>IF($C433="","",
IF(AND($E$2="Monthly",$A433&gt;12),"",
$T433*VLOOKUP($C433,'Employee information'!$B:$P,COLUMNS('Employee information'!$B:$P),0)))</f>
        <v/>
      </c>
      <c r="W433" s="282" t="str">
        <f>IF($C433="","",
IF(AND($E$2="Monthly",$A433&gt;12),"",
$U433*VLOOKUP($C433,'Employee information'!$B:$P,COLUMNS('Employee information'!$B:$P),0)))</f>
        <v/>
      </c>
      <c r="X433" s="114">
        <f t="shared" si="431"/>
        <v>0</v>
      </c>
      <c r="Y433" s="114">
        <f t="shared" si="432"/>
        <v>0</v>
      </c>
      <c r="AA433" s="118">
        <f>IFERROR(
IF(OR('Basic payroll data'!$D$12="",'Basic payroll data'!$D$12="No"),0,
$T433*VLOOKUP($C433,'Employee information'!$B:$P,COLUMNS('Employee information'!$B:$P),0)*AL_loading_perc),
0)</f>
        <v>0</v>
      </c>
      <c r="AC433" s="118"/>
      <c r="AD433" s="118"/>
      <c r="AE433" s="283" t="str">
        <f t="shared" si="445"/>
        <v/>
      </c>
      <c r="AF433" s="283" t="str">
        <f t="shared" si="446"/>
        <v/>
      </c>
      <c r="AG433" s="118"/>
      <c r="AH433" s="118"/>
      <c r="AI433" s="283" t="str">
        <f t="shared" si="447"/>
        <v/>
      </c>
      <c r="AJ433" s="118"/>
      <c r="AK433" s="118"/>
      <c r="AM433" s="118">
        <f t="shared" si="448"/>
        <v>0</v>
      </c>
      <c r="AN433" s="118">
        <f t="shared" si="433"/>
        <v>0</v>
      </c>
      <c r="AO433" s="118" t="str">
        <f>IFERROR(
IF(VLOOKUP($C433,'Employee information'!$B:$M,COLUMNS('Employee information'!$B:$M),0)=1,
IF($E$2="Fortnightly",
ROUND(
ROUND((((TRUNC($AN433/2,0)+0.99))*VLOOKUP((TRUNC($AN433/2,0)+0.99),'Tax scales - NAT 1004'!$A$12:$C$18,2,1)-VLOOKUP((TRUNC($AN433/2,0)+0.99),'Tax scales - NAT 1004'!$A$12:$C$18,3,1)),0)
*2,
0),
IF(AND($E$2="Monthly",ROUND($AN433-TRUNC($AN433),2)=0.33),
ROUND(
ROUND(((TRUNC(($AN433+0.01)*3/13,0)+0.99)*VLOOKUP((TRUNC(($AN433+0.01)*3/13,0)+0.99),'Tax scales - NAT 1004'!$A$12:$C$18,2,1)-VLOOKUP((TRUNC(($AN433+0.01)*3/13,0)+0.99),'Tax scales - NAT 1004'!$A$12:$C$18,3,1)),0)
*13/3,
0),
IF($E$2="Monthly",
ROUND(
ROUND(((TRUNC($AN433*3/13,0)+0.99)*VLOOKUP((TRUNC($AN433*3/13,0)+0.99),'Tax scales - NAT 1004'!$A$12:$C$18,2,1)-VLOOKUP((TRUNC($AN433*3/13,0)+0.99),'Tax scales - NAT 1004'!$A$12:$C$18,3,1)),0)
*13/3,
0),
""))),
""),
"")</f>
        <v/>
      </c>
      <c r="AP433" s="118" t="str">
        <f>IFERROR(
IF(VLOOKUP($C433,'Employee information'!$B:$M,COLUMNS('Employee information'!$B:$M),0)=2,
IF($E$2="Fortnightly",
ROUND(
ROUND((((TRUNC($AN433/2,0)+0.99))*VLOOKUP((TRUNC($AN433/2,0)+0.99),'Tax scales - NAT 1004'!$A$25:$C$33,2,1)-VLOOKUP((TRUNC($AN433/2,0)+0.99),'Tax scales - NAT 1004'!$A$25:$C$33,3,1)),0)
*2,
0),
IF(AND($E$2="Monthly",ROUND($AN433-TRUNC($AN433),2)=0.33),
ROUND(
ROUND(((TRUNC(($AN433+0.01)*3/13,0)+0.99)*VLOOKUP((TRUNC(($AN433+0.01)*3/13,0)+0.99),'Tax scales - NAT 1004'!$A$25:$C$33,2,1)-VLOOKUP((TRUNC(($AN433+0.01)*3/13,0)+0.99),'Tax scales - NAT 1004'!$A$25:$C$33,3,1)),0)
*13/3,
0),
IF($E$2="Monthly",
ROUND(
ROUND(((TRUNC($AN433*3/13,0)+0.99)*VLOOKUP((TRUNC($AN433*3/13,0)+0.99),'Tax scales - NAT 1004'!$A$25:$C$33,2,1)-VLOOKUP((TRUNC($AN433*3/13,0)+0.99),'Tax scales - NAT 1004'!$A$25:$C$33,3,1)),0)
*13/3,
0),
""))),
""),
"")</f>
        <v/>
      </c>
      <c r="AQ433" s="118" t="str">
        <f>IFERROR(
IF(VLOOKUP($C433,'Employee information'!$B:$M,COLUMNS('Employee information'!$B:$M),0)=3,
IF($E$2="Fortnightly",
ROUND(
ROUND((((TRUNC($AN433/2,0)+0.99))*VLOOKUP((TRUNC($AN433/2,0)+0.99),'Tax scales - NAT 1004'!$A$39:$C$41,2,1)-VLOOKUP((TRUNC($AN433/2,0)+0.99),'Tax scales - NAT 1004'!$A$39:$C$41,3,1)),0)
*2,
0),
IF(AND($E$2="Monthly",ROUND($AN433-TRUNC($AN433),2)=0.33),
ROUND(
ROUND(((TRUNC(($AN433+0.01)*3/13,0)+0.99)*VLOOKUP((TRUNC(($AN433+0.01)*3/13,0)+0.99),'Tax scales - NAT 1004'!$A$39:$C$41,2,1)-VLOOKUP((TRUNC(($AN433+0.01)*3/13,0)+0.99),'Tax scales - NAT 1004'!$A$39:$C$41,3,1)),0)
*13/3,
0),
IF($E$2="Monthly",
ROUND(
ROUND(((TRUNC($AN433*3/13,0)+0.99)*VLOOKUP((TRUNC($AN433*3/13,0)+0.99),'Tax scales - NAT 1004'!$A$39:$C$41,2,1)-VLOOKUP((TRUNC($AN433*3/13,0)+0.99),'Tax scales - NAT 1004'!$A$39:$C$41,3,1)),0)
*13/3,
0),
""))),
""),
"")</f>
        <v/>
      </c>
      <c r="AR433" s="118" t="str">
        <f>IFERROR(
IF(AND(VLOOKUP($C433,'Employee information'!$B:$M,COLUMNS('Employee information'!$B:$M),0)=4,
VLOOKUP($C433,'Employee information'!$B:$J,COLUMNS('Employee information'!$B:$J),0)="Resident"),
TRUNC(TRUNC($AN433)*'Tax scales - NAT 1004'!$B$47),
IF(AND(VLOOKUP($C433,'Employee information'!$B:$M,COLUMNS('Employee information'!$B:$M),0)=4,
VLOOKUP($C433,'Employee information'!$B:$J,COLUMNS('Employee information'!$B:$J),0)="Foreign resident"),
TRUNC(TRUNC($AN433)*'Tax scales - NAT 1004'!$B$48),
"")),
"")</f>
        <v/>
      </c>
      <c r="AS433" s="118" t="str">
        <f>IFERROR(
IF(VLOOKUP($C433,'Employee information'!$B:$M,COLUMNS('Employee information'!$B:$M),0)=5,
IF($E$2="Fortnightly",
ROUND(
ROUND((((TRUNC($AN433/2,0)+0.99))*VLOOKUP((TRUNC($AN433/2,0)+0.99),'Tax scales - NAT 1004'!$A$53:$C$59,2,1)-VLOOKUP((TRUNC($AN433/2,0)+0.99),'Tax scales - NAT 1004'!$A$53:$C$59,3,1)),0)
*2,
0),
IF(AND($E$2="Monthly",ROUND($AN433-TRUNC($AN433),2)=0.33),
ROUND(
ROUND(((TRUNC(($AN433+0.01)*3/13,0)+0.99)*VLOOKUP((TRUNC(($AN433+0.01)*3/13,0)+0.99),'Tax scales - NAT 1004'!$A$53:$C$59,2,1)-VLOOKUP((TRUNC(($AN433+0.01)*3/13,0)+0.99),'Tax scales - NAT 1004'!$A$53:$C$59,3,1)),0)
*13/3,
0),
IF($E$2="Monthly",
ROUND(
ROUND(((TRUNC($AN433*3/13,0)+0.99)*VLOOKUP((TRUNC($AN433*3/13,0)+0.99),'Tax scales - NAT 1004'!$A$53:$C$59,2,1)-VLOOKUP((TRUNC($AN433*3/13,0)+0.99),'Tax scales - NAT 1004'!$A$53:$C$59,3,1)),0)
*13/3,
0),
""))),
""),
"")</f>
        <v/>
      </c>
      <c r="AT433" s="118" t="str">
        <f>IFERROR(
IF(VLOOKUP($C433,'Employee information'!$B:$M,COLUMNS('Employee information'!$B:$M),0)=6,
IF($E$2="Fortnightly",
ROUND(
ROUND((((TRUNC($AN433/2,0)+0.99))*VLOOKUP((TRUNC($AN433/2,0)+0.99),'Tax scales - NAT 1004'!$A$65:$C$73,2,1)-VLOOKUP((TRUNC($AN433/2,0)+0.99),'Tax scales - NAT 1004'!$A$65:$C$73,3,1)),0)
*2,
0),
IF(AND($E$2="Monthly",ROUND($AN433-TRUNC($AN433),2)=0.33),
ROUND(
ROUND(((TRUNC(($AN433+0.01)*3/13,0)+0.99)*VLOOKUP((TRUNC(($AN433+0.01)*3/13,0)+0.99),'Tax scales - NAT 1004'!$A$65:$C$73,2,1)-VLOOKUP((TRUNC(($AN433+0.01)*3/13,0)+0.99),'Tax scales - NAT 1004'!$A$65:$C$73,3,1)),0)
*13/3,
0),
IF($E$2="Monthly",
ROUND(
ROUND(((TRUNC($AN433*3/13,0)+0.99)*VLOOKUP((TRUNC($AN433*3/13,0)+0.99),'Tax scales - NAT 1004'!$A$65:$C$73,2,1)-VLOOKUP((TRUNC($AN433*3/13,0)+0.99),'Tax scales - NAT 1004'!$A$65:$C$73,3,1)),0)
*13/3,
0),
""))),
""),
"")</f>
        <v/>
      </c>
      <c r="AU433" s="118" t="str">
        <f>IFERROR(
IF(VLOOKUP($C433,'Employee information'!$B:$M,COLUMNS('Employee information'!$B:$M),0)=11,
IF($E$2="Fortnightly",
ROUND(
ROUND((((TRUNC($AN433/2,0)+0.99))*VLOOKUP((TRUNC($AN433/2,0)+0.99),'Tax scales - NAT 3539'!$A$14:$C$38,2,1)-VLOOKUP((TRUNC($AN433/2,0)+0.99),'Tax scales - NAT 3539'!$A$14:$C$38,3,1)),0)
*2,
0),
IF(AND($E$2="Monthly",ROUND($AN433-TRUNC($AN433),2)=0.33),
ROUND(
ROUND(((TRUNC(($AN433+0.01)*3/13,0)+0.99)*VLOOKUP((TRUNC(($AN433+0.01)*3/13,0)+0.99),'Tax scales - NAT 3539'!$A$14:$C$38,2,1)-VLOOKUP((TRUNC(($AN433+0.01)*3/13,0)+0.99),'Tax scales - NAT 3539'!$A$14:$C$38,3,1)),0)
*13/3,
0),
IF($E$2="Monthly",
ROUND(
ROUND(((TRUNC($AN433*3/13,0)+0.99)*VLOOKUP((TRUNC($AN433*3/13,0)+0.99),'Tax scales - NAT 3539'!$A$14:$C$38,2,1)-VLOOKUP((TRUNC($AN433*3/13,0)+0.99),'Tax scales - NAT 3539'!$A$14:$C$38,3,1)),0)
*13/3,
0),
""))),
""),
"")</f>
        <v/>
      </c>
      <c r="AV433" s="118" t="str">
        <f>IFERROR(
IF(VLOOKUP($C433,'Employee information'!$B:$M,COLUMNS('Employee information'!$B:$M),0)=22,
IF($E$2="Fortnightly",
ROUND(
ROUND((((TRUNC($AN433/2,0)+0.99))*VLOOKUP((TRUNC($AN433/2,0)+0.99),'Tax scales - NAT 3539'!$A$43:$C$69,2,1)-VLOOKUP((TRUNC($AN433/2,0)+0.99),'Tax scales - NAT 3539'!$A$43:$C$69,3,1)),0)
*2,
0),
IF(AND($E$2="Monthly",ROUND($AN433-TRUNC($AN433),2)=0.33),
ROUND(
ROUND(((TRUNC(($AN433+0.01)*3/13,0)+0.99)*VLOOKUP((TRUNC(($AN433+0.01)*3/13,0)+0.99),'Tax scales - NAT 3539'!$A$43:$C$69,2,1)-VLOOKUP((TRUNC(($AN433+0.01)*3/13,0)+0.99),'Tax scales - NAT 3539'!$A$43:$C$69,3,1)),0)
*13/3,
0),
IF($E$2="Monthly",
ROUND(
ROUND(((TRUNC($AN433*3/13,0)+0.99)*VLOOKUP((TRUNC($AN433*3/13,0)+0.99),'Tax scales - NAT 3539'!$A$43:$C$69,2,1)-VLOOKUP((TRUNC($AN433*3/13,0)+0.99),'Tax scales - NAT 3539'!$A$43:$C$69,3,1)),0)
*13/3,
0),
""))),
""),
"")</f>
        <v/>
      </c>
      <c r="AW433" s="118" t="str">
        <f>IFERROR(
IF(VLOOKUP($C433,'Employee information'!$B:$M,COLUMNS('Employee information'!$B:$M),0)=33,
IF($E$2="Fortnightly",
ROUND(
ROUND((((TRUNC($AN433/2,0)+0.99))*VLOOKUP((TRUNC($AN433/2,0)+0.99),'Tax scales - NAT 3539'!$A$74:$C$94,2,1)-VLOOKUP((TRUNC($AN433/2,0)+0.99),'Tax scales - NAT 3539'!$A$74:$C$94,3,1)),0)
*2,
0),
IF(AND($E$2="Monthly",ROUND($AN433-TRUNC($AN433),2)=0.33),
ROUND(
ROUND(((TRUNC(($AN433+0.01)*3/13,0)+0.99)*VLOOKUP((TRUNC(($AN433+0.01)*3/13,0)+0.99),'Tax scales - NAT 3539'!$A$74:$C$94,2,1)-VLOOKUP((TRUNC(($AN433+0.01)*3/13,0)+0.99),'Tax scales - NAT 3539'!$A$74:$C$94,3,1)),0)
*13/3,
0),
IF($E$2="Monthly",
ROUND(
ROUND(((TRUNC($AN433*3/13,0)+0.99)*VLOOKUP((TRUNC($AN433*3/13,0)+0.99),'Tax scales - NAT 3539'!$A$74:$C$94,2,1)-VLOOKUP((TRUNC($AN433*3/13,0)+0.99),'Tax scales - NAT 3539'!$A$74:$C$94,3,1)),0)
*13/3,
0),
""))),
""),
"")</f>
        <v/>
      </c>
      <c r="AX433" s="118" t="str">
        <f>IFERROR(
IF(VLOOKUP($C433,'Employee information'!$B:$M,COLUMNS('Employee information'!$B:$M),0)=55,
IF($E$2="Fortnightly",
ROUND(
ROUND((((TRUNC($AN433/2,0)+0.99))*VLOOKUP((TRUNC($AN433/2,0)+0.99),'Tax scales - NAT 3539'!$A$99:$C$123,2,1)-VLOOKUP((TRUNC($AN433/2,0)+0.99),'Tax scales - NAT 3539'!$A$99:$C$123,3,1)),0)
*2,
0),
IF(AND($E$2="Monthly",ROUND($AN433-TRUNC($AN433),2)=0.33),
ROUND(
ROUND(((TRUNC(($AN433+0.01)*3/13,0)+0.99)*VLOOKUP((TRUNC(($AN433+0.01)*3/13,0)+0.99),'Tax scales - NAT 3539'!$A$99:$C$123,2,1)-VLOOKUP((TRUNC(($AN433+0.01)*3/13,0)+0.99),'Tax scales - NAT 3539'!$A$99:$C$123,3,1)),0)
*13/3,
0),
IF($E$2="Monthly",
ROUND(
ROUND(((TRUNC($AN433*3/13,0)+0.99)*VLOOKUP((TRUNC($AN433*3/13,0)+0.99),'Tax scales - NAT 3539'!$A$99:$C$123,2,1)-VLOOKUP((TRUNC($AN433*3/13,0)+0.99),'Tax scales - NAT 3539'!$A$99:$C$123,3,1)),0)
*13/3,
0),
""))),
""),
"")</f>
        <v/>
      </c>
      <c r="AY433" s="118" t="str">
        <f>IFERROR(
IF(VLOOKUP($C433,'Employee information'!$B:$M,COLUMNS('Employee information'!$B:$M),0)=66,
IF($E$2="Fortnightly",
ROUND(
ROUND((((TRUNC($AN433/2,0)+0.99))*VLOOKUP((TRUNC($AN433/2,0)+0.99),'Tax scales - NAT 3539'!$A$127:$C$154,2,1)-VLOOKUP((TRUNC($AN433/2,0)+0.99),'Tax scales - NAT 3539'!$A$127:$C$154,3,1)),0)
*2,
0),
IF(AND($E$2="Monthly",ROUND($AN433-TRUNC($AN433),2)=0.33),
ROUND(
ROUND(((TRUNC(($AN433+0.01)*3/13,0)+0.99)*VLOOKUP((TRUNC(($AN433+0.01)*3/13,0)+0.99),'Tax scales - NAT 3539'!$A$127:$C$154,2,1)-VLOOKUP((TRUNC(($AN433+0.01)*3/13,0)+0.99),'Tax scales - NAT 3539'!$A$127:$C$154,3,1)),0)
*13/3,
0),
IF($E$2="Monthly",
ROUND(
ROUND(((TRUNC($AN433*3/13,0)+0.99)*VLOOKUP((TRUNC($AN433*3/13,0)+0.99),'Tax scales - NAT 3539'!$A$127:$C$154,2,1)-VLOOKUP((TRUNC($AN433*3/13,0)+0.99),'Tax scales - NAT 3539'!$A$127:$C$154,3,1)),0)
*13/3,
0),
""))),
""),
"")</f>
        <v/>
      </c>
      <c r="AZ433" s="118">
        <f>IFERROR(
HLOOKUP(VLOOKUP($C433,'Employee information'!$B:$M,COLUMNS('Employee information'!$B:$M),0),'PAYG worksheet'!$AO$416:$AY$435,COUNTA($C$417:$C433)+1,0),
0)</f>
        <v>0</v>
      </c>
      <c r="BA433" s="118"/>
      <c r="BB433" s="118">
        <f t="shared" si="449"/>
        <v>0</v>
      </c>
      <c r="BC433" s="119">
        <f>IFERROR(
IF(OR($AE433=1,$AE433=""),SUM($P433,$AA433,$AC433,$AK433)*VLOOKUP($C433,'Employee information'!$B:$Q,COLUMNS('Employee information'!$B:$H),0),
IF($AE433=0,SUM($P433,$AA433,$AK433)*VLOOKUP($C433,'Employee information'!$B:$Q,COLUMNS('Employee information'!$B:$H),0),
0)),
0)</f>
        <v>0</v>
      </c>
      <c r="BE433" s="114">
        <f t="shared" si="434"/>
        <v>0</v>
      </c>
      <c r="BF433" s="114">
        <f t="shared" si="435"/>
        <v>0</v>
      </c>
      <c r="BG433" s="114">
        <f t="shared" si="436"/>
        <v>0</v>
      </c>
      <c r="BH433" s="114">
        <f t="shared" si="437"/>
        <v>0</v>
      </c>
      <c r="BI433" s="114">
        <f t="shared" si="438"/>
        <v>0</v>
      </c>
      <c r="BJ433" s="114">
        <f t="shared" si="439"/>
        <v>0</v>
      </c>
      <c r="BK433" s="114">
        <f t="shared" si="440"/>
        <v>0</v>
      </c>
      <c r="BL433" s="114">
        <f t="shared" si="450"/>
        <v>0</v>
      </c>
      <c r="BM433" s="114">
        <f t="shared" si="441"/>
        <v>0</v>
      </c>
    </row>
    <row r="434" spans="1:65" x14ac:dyDescent="0.25">
      <c r="A434" s="228">
        <f t="shared" si="429"/>
        <v>15</v>
      </c>
      <c r="C434" s="278"/>
      <c r="E434" s="103">
        <f>IF($C434="",0,
IF(AND($E$2="Monthly",$A434&gt;12),0,
IF($E$2="Monthly",VLOOKUP($C434,'Employee information'!$B:$AM,COLUMNS('Employee information'!$B:S),0),
IF($E$2="Fortnightly",VLOOKUP($C434,'Employee information'!$B:$AM,COLUMNS('Employee information'!$B:R),0),
0))))</f>
        <v>0</v>
      </c>
      <c r="F434" s="106"/>
      <c r="G434" s="106"/>
      <c r="H434" s="106"/>
      <c r="I434" s="106"/>
      <c r="J434" s="103">
        <f t="shared" si="442"/>
        <v>0</v>
      </c>
      <c r="L434" s="113">
        <f>IF(AND($E$2="Monthly",$A434&gt;12),"",
IFERROR($J434*VLOOKUP($C434,'Employee information'!$B:$AI,COLUMNS('Employee information'!$B:$P),0),0))</f>
        <v>0</v>
      </c>
      <c r="M434" s="114">
        <f t="shared" si="443"/>
        <v>0</v>
      </c>
      <c r="O434" s="103">
        <f t="shared" si="444"/>
        <v>0</v>
      </c>
      <c r="P434" s="113">
        <f>IFERROR(
IF(AND($E$2="Monthly",$A434&gt;12),0,
$O434*VLOOKUP($C434,'Employee information'!$B:$AI,COLUMNS('Employee information'!$B:$P),0)),
0)</f>
        <v>0</v>
      </c>
      <c r="R434" s="114">
        <f t="shared" si="430"/>
        <v>0</v>
      </c>
      <c r="T434" s="103"/>
      <c r="U434" s="103"/>
      <c r="V434" s="282" t="str">
        <f>IF($C434="","",
IF(AND($E$2="Monthly",$A434&gt;12),"",
$T434*VLOOKUP($C434,'Employee information'!$B:$P,COLUMNS('Employee information'!$B:$P),0)))</f>
        <v/>
      </c>
      <c r="W434" s="282" t="str">
        <f>IF($C434="","",
IF(AND($E$2="Monthly",$A434&gt;12),"",
$U434*VLOOKUP($C434,'Employee information'!$B:$P,COLUMNS('Employee information'!$B:$P),0)))</f>
        <v/>
      </c>
      <c r="X434" s="114">
        <f t="shared" si="431"/>
        <v>0</v>
      </c>
      <c r="Y434" s="114">
        <f t="shared" si="432"/>
        <v>0</v>
      </c>
      <c r="AA434" s="118">
        <f>IFERROR(
IF(OR('Basic payroll data'!$D$12="",'Basic payroll data'!$D$12="No"),0,
$T434*VLOOKUP($C434,'Employee information'!$B:$P,COLUMNS('Employee information'!$B:$P),0)*AL_loading_perc),
0)</f>
        <v>0</v>
      </c>
      <c r="AC434" s="118"/>
      <c r="AD434" s="118"/>
      <c r="AE434" s="283" t="str">
        <f t="shared" si="445"/>
        <v/>
      </c>
      <c r="AF434" s="283" t="str">
        <f t="shared" si="446"/>
        <v/>
      </c>
      <c r="AG434" s="118"/>
      <c r="AH434" s="118"/>
      <c r="AI434" s="283" t="str">
        <f t="shared" si="447"/>
        <v/>
      </c>
      <c r="AJ434" s="118"/>
      <c r="AK434" s="118"/>
      <c r="AM434" s="118">
        <f t="shared" si="448"/>
        <v>0</v>
      </c>
      <c r="AN434" s="118">
        <f t="shared" si="433"/>
        <v>0</v>
      </c>
      <c r="AO434" s="118" t="str">
        <f>IFERROR(
IF(VLOOKUP($C434,'Employee information'!$B:$M,COLUMNS('Employee information'!$B:$M),0)=1,
IF($E$2="Fortnightly",
ROUND(
ROUND((((TRUNC($AN434/2,0)+0.99))*VLOOKUP((TRUNC($AN434/2,0)+0.99),'Tax scales - NAT 1004'!$A$12:$C$18,2,1)-VLOOKUP((TRUNC($AN434/2,0)+0.99),'Tax scales - NAT 1004'!$A$12:$C$18,3,1)),0)
*2,
0),
IF(AND($E$2="Monthly",ROUND($AN434-TRUNC($AN434),2)=0.33),
ROUND(
ROUND(((TRUNC(($AN434+0.01)*3/13,0)+0.99)*VLOOKUP((TRUNC(($AN434+0.01)*3/13,0)+0.99),'Tax scales - NAT 1004'!$A$12:$C$18,2,1)-VLOOKUP((TRUNC(($AN434+0.01)*3/13,0)+0.99),'Tax scales - NAT 1004'!$A$12:$C$18,3,1)),0)
*13/3,
0),
IF($E$2="Monthly",
ROUND(
ROUND(((TRUNC($AN434*3/13,0)+0.99)*VLOOKUP((TRUNC($AN434*3/13,0)+0.99),'Tax scales - NAT 1004'!$A$12:$C$18,2,1)-VLOOKUP((TRUNC($AN434*3/13,0)+0.99),'Tax scales - NAT 1004'!$A$12:$C$18,3,1)),0)
*13/3,
0),
""))),
""),
"")</f>
        <v/>
      </c>
      <c r="AP434" s="118" t="str">
        <f>IFERROR(
IF(VLOOKUP($C434,'Employee information'!$B:$M,COLUMNS('Employee information'!$B:$M),0)=2,
IF($E$2="Fortnightly",
ROUND(
ROUND((((TRUNC($AN434/2,0)+0.99))*VLOOKUP((TRUNC($AN434/2,0)+0.99),'Tax scales - NAT 1004'!$A$25:$C$33,2,1)-VLOOKUP((TRUNC($AN434/2,0)+0.99),'Tax scales - NAT 1004'!$A$25:$C$33,3,1)),0)
*2,
0),
IF(AND($E$2="Monthly",ROUND($AN434-TRUNC($AN434),2)=0.33),
ROUND(
ROUND(((TRUNC(($AN434+0.01)*3/13,0)+0.99)*VLOOKUP((TRUNC(($AN434+0.01)*3/13,0)+0.99),'Tax scales - NAT 1004'!$A$25:$C$33,2,1)-VLOOKUP((TRUNC(($AN434+0.01)*3/13,0)+0.99),'Tax scales - NAT 1004'!$A$25:$C$33,3,1)),0)
*13/3,
0),
IF($E$2="Monthly",
ROUND(
ROUND(((TRUNC($AN434*3/13,0)+0.99)*VLOOKUP((TRUNC($AN434*3/13,0)+0.99),'Tax scales - NAT 1004'!$A$25:$C$33,2,1)-VLOOKUP((TRUNC($AN434*3/13,0)+0.99),'Tax scales - NAT 1004'!$A$25:$C$33,3,1)),0)
*13/3,
0),
""))),
""),
"")</f>
        <v/>
      </c>
      <c r="AQ434" s="118" t="str">
        <f>IFERROR(
IF(VLOOKUP($C434,'Employee information'!$B:$M,COLUMNS('Employee information'!$B:$M),0)=3,
IF($E$2="Fortnightly",
ROUND(
ROUND((((TRUNC($AN434/2,0)+0.99))*VLOOKUP((TRUNC($AN434/2,0)+0.99),'Tax scales - NAT 1004'!$A$39:$C$41,2,1)-VLOOKUP((TRUNC($AN434/2,0)+0.99),'Tax scales - NAT 1004'!$A$39:$C$41,3,1)),0)
*2,
0),
IF(AND($E$2="Monthly",ROUND($AN434-TRUNC($AN434),2)=0.33),
ROUND(
ROUND(((TRUNC(($AN434+0.01)*3/13,0)+0.99)*VLOOKUP((TRUNC(($AN434+0.01)*3/13,0)+0.99),'Tax scales - NAT 1004'!$A$39:$C$41,2,1)-VLOOKUP((TRUNC(($AN434+0.01)*3/13,0)+0.99),'Tax scales - NAT 1004'!$A$39:$C$41,3,1)),0)
*13/3,
0),
IF($E$2="Monthly",
ROUND(
ROUND(((TRUNC($AN434*3/13,0)+0.99)*VLOOKUP((TRUNC($AN434*3/13,0)+0.99),'Tax scales - NAT 1004'!$A$39:$C$41,2,1)-VLOOKUP((TRUNC($AN434*3/13,0)+0.99),'Tax scales - NAT 1004'!$A$39:$C$41,3,1)),0)
*13/3,
0),
""))),
""),
"")</f>
        <v/>
      </c>
      <c r="AR434" s="118" t="str">
        <f>IFERROR(
IF(AND(VLOOKUP($C434,'Employee information'!$B:$M,COLUMNS('Employee information'!$B:$M),0)=4,
VLOOKUP($C434,'Employee information'!$B:$J,COLUMNS('Employee information'!$B:$J),0)="Resident"),
TRUNC(TRUNC($AN434)*'Tax scales - NAT 1004'!$B$47),
IF(AND(VLOOKUP($C434,'Employee information'!$B:$M,COLUMNS('Employee information'!$B:$M),0)=4,
VLOOKUP($C434,'Employee information'!$B:$J,COLUMNS('Employee information'!$B:$J),0)="Foreign resident"),
TRUNC(TRUNC($AN434)*'Tax scales - NAT 1004'!$B$48),
"")),
"")</f>
        <v/>
      </c>
      <c r="AS434" s="118" t="str">
        <f>IFERROR(
IF(VLOOKUP($C434,'Employee information'!$B:$M,COLUMNS('Employee information'!$B:$M),0)=5,
IF($E$2="Fortnightly",
ROUND(
ROUND((((TRUNC($AN434/2,0)+0.99))*VLOOKUP((TRUNC($AN434/2,0)+0.99),'Tax scales - NAT 1004'!$A$53:$C$59,2,1)-VLOOKUP((TRUNC($AN434/2,0)+0.99),'Tax scales - NAT 1004'!$A$53:$C$59,3,1)),0)
*2,
0),
IF(AND($E$2="Monthly",ROUND($AN434-TRUNC($AN434),2)=0.33),
ROUND(
ROUND(((TRUNC(($AN434+0.01)*3/13,0)+0.99)*VLOOKUP((TRUNC(($AN434+0.01)*3/13,0)+0.99),'Tax scales - NAT 1004'!$A$53:$C$59,2,1)-VLOOKUP((TRUNC(($AN434+0.01)*3/13,0)+0.99),'Tax scales - NAT 1004'!$A$53:$C$59,3,1)),0)
*13/3,
0),
IF($E$2="Monthly",
ROUND(
ROUND(((TRUNC($AN434*3/13,0)+0.99)*VLOOKUP((TRUNC($AN434*3/13,0)+0.99),'Tax scales - NAT 1004'!$A$53:$C$59,2,1)-VLOOKUP((TRUNC($AN434*3/13,0)+0.99),'Tax scales - NAT 1004'!$A$53:$C$59,3,1)),0)
*13/3,
0),
""))),
""),
"")</f>
        <v/>
      </c>
      <c r="AT434" s="118" t="str">
        <f>IFERROR(
IF(VLOOKUP($C434,'Employee information'!$B:$M,COLUMNS('Employee information'!$B:$M),0)=6,
IF($E$2="Fortnightly",
ROUND(
ROUND((((TRUNC($AN434/2,0)+0.99))*VLOOKUP((TRUNC($AN434/2,0)+0.99),'Tax scales - NAT 1004'!$A$65:$C$73,2,1)-VLOOKUP((TRUNC($AN434/2,0)+0.99),'Tax scales - NAT 1004'!$A$65:$C$73,3,1)),0)
*2,
0),
IF(AND($E$2="Monthly",ROUND($AN434-TRUNC($AN434),2)=0.33),
ROUND(
ROUND(((TRUNC(($AN434+0.01)*3/13,0)+0.99)*VLOOKUP((TRUNC(($AN434+0.01)*3/13,0)+0.99),'Tax scales - NAT 1004'!$A$65:$C$73,2,1)-VLOOKUP((TRUNC(($AN434+0.01)*3/13,0)+0.99),'Tax scales - NAT 1004'!$A$65:$C$73,3,1)),0)
*13/3,
0),
IF($E$2="Monthly",
ROUND(
ROUND(((TRUNC($AN434*3/13,0)+0.99)*VLOOKUP((TRUNC($AN434*3/13,0)+0.99),'Tax scales - NAT 1004'!$A$65:$C$73,2,1)-VLOOKUP((TRUNC($AN434*3/13,0)+0.99),'Tax scales - NAT 1004'!$A$65:$C$73,3,1)),0)
*13/3,
0),
""))),
""),
"")</f>
        <v/>
      </c>
      <c r="AU434" s="118" t="str">
        <f>IFERROR(
IF(VLOOKUP($C434,'Employee information'!$B:$M,COLUMNS('Employee information'!$B:$M),0)=11,
IF($E$2="Fortnightly",
ROUND(
ROUND((((TRUNC($AN434/2,0)+0.99))*VLOOKUP((TRUNC($AN434/2,0)+0.99),'Tax scales - NAT 3539'!$A$14:$C$38,2,1)-VLOOKUP((TRUNC($AN434/2,0)+0.99),'Tax scales - NAT 3539'!$A$14:$C$38,3,1)),0)
*2,
0),
IF(AND($E$2="Monthly",ROUND($AN434-TRUNC($AN434),2)=0.33),
ROUND(
ROUND(((TRUNC(($AN434+0.01)*3/13,0)+0.99)*VLOOKUP((TRUNC(($AN434+0.01)*3/13,0)+0.99),'Tax scales - NAT 3539'!$A$14:$C$38,2,1)-VLOOKUP((TRUNC(($AN434+0.01)*3/13,0)+0.99),'Tax scales - NAT 3539'!$A$14:$C$38,3,1)),0)
*13/3,
0),
IF($E$2="Monthly",
ROUND(
ROUND(((TRUNC($AN434*3/13,0)+0.99)*VLOOKUP((TRUNC($AN434*3/13,0)+0.99),'Tax scales - NAT 3539'!$A$14:$C$38,2,1)-VLOOKUP((TRUNC($AN434*3/13,0)+0.99),'Tax scales - NAT 3539'!$A$14:$C$38,3,1)),0)
*13/3,
0),
""))),
""),
"")</f>
        <v/>
      </c>
      <c r="AV434" s="118" t="str">
        <f>IFERROR(
IF(VLOOKUP($C434,'Employee information'!$B:$M,COLUMNS('Employee information'!$B:$M),0)=22,
IF($E$2="Fortnightly",
ROUND(
ROUND((((TRUNC($AN434/2,0)+0.99))*VLOOKUP((TRUNC($AN434/2,0)+0.99),'Tax scales - NAT 3539'!$A$43:$C$69,2,1)-VLOOKUP((TRUNC($AN434/2,0)+0.99),'Tax scales - NAT 3539'!$A$43:$C$69,3,1)),0)
*2,
0),
IF(AND($E$2="Monthly",ROUND($AN434-TRUNC($AN434),2)=0.33),
ROUND(
ROUND(((TRUNC(($AN434+0.01)*3/13,0)+0.99)*VLOOKUP((TRUNC(($AN434+0.01)*3/13,0)+0.99),'Tax scales - NAT 3539'!$A$43:$C$69,2,1)-VLOOKUP((TRUNC(($AN434+0.01)*3/13,0)+0.99),'Tax scales - NAT 3539'!$A$43:$C$69,3,1)),0)
*13/3,
0),
IF($E$2="Monthly",
ROUND(
ROUND(((TRUNC($AN434*3/13,0)+0.99)*VLOOKUP((TRUNC($AN434*3/13,0)+0.99),'Tax scales - NAT 3539'!$A$43:$C$69,2,1)-VLOOKUP((TRUNC($AN434*3/13,0)+0.99),'Tax scales - NAT 3539'!$A$43:$C$69,3,1)),0)
*13/3,
0),
""))),
""),
"")</f>
        <v/>
      </c>
      <c r="AW434" s="118" t="str">
        <f>IFERROR(
IF(VLOOKUP($C434,'Employee information'!$B:$M,COLUMNS('Employee information'!$B:$M),0)=33,
IF($E$2="Fortnightly",
ROUND(
ROUND((((TRUNC($AN434/2,0)+0.99))*VLOOKUP((TRUNC($AN434/2,0)+0.99),'Tax scales - NAT 3539'!$A$74:$C$94,2,1)-VLOOKUP((TRUNC($AN434/2,0)+0.99),'Tax scales - NAT 3539'!$A$74:$C$94,3,1)),0)
*2,
0),
IF(AND($E$2="Monthly",ROUND($AN434-TRUNC($AN434),2)=0.33),
ROUND(
ROUND(((TRUNC(($AN434+0.01)*3/13,0)+0.99)*VLOOKUP((TRUNC(($AN434+0.01)*3/13,0)+0.99),'Tax scales - NAT 3539'!$A$74:$C$94,2,1)-VLOOKUP((TRUNC(($AN434+0.01)*3/13,0)+0.99),'Tax scales - NAT 3539'!$A$74:$C$94,3,1)),0)
*13/3,
0),
IF($E$2="Monthly",
ROUND(
ROUND(((TRUNC($AN434*3/13,0)+0.99)*VLOOKUP((TRUNC($AN434*3/13,0)+0.99),'Tax scales - NAT 3539'!$A$74:$C$94,2,1)-VLOOKUP((TRUNC($AN434*3/13,0)+0.99),'Tax scales - NAT 3539'!$A$74:$C$94,3,1)),0)
*13/3,
0),
""))),
""),
"")</f>
        <v/>
      </c>
      <c r="AX434" s="118" t="str">
        <f>IFERROR(
IF(VLOOKUP($C434,'Employee information'!$B:$M,COLUMNS('Employee information'!$B:$M),0)=55,
IF($E$2="Fortnightly",
ROUND(
ROUND((((TRUNC($AN434/2,0)+0.99))*VLOOKUP((TRUNC($AN434/2,0)+0.99),'Tax scales - NAT 3539'!$A$99:$C$123,2,1)-VLOOKUP((TRUNC($AN434/2,0)+0.99),'Tax scales - NAT 3539'!$A$99:$C$123,3,1)),0)
*2,
0),
IF(AND($E$2="Monthly",ROUND($AN434-TRUNC($AN434),2)=0.33),
ROUND(
ROUND(((TRUNC(($AN434+0.01)*3/13,0)+0.99)*VLOOKUP((TRUNC(($AN434+0.01)*3/13,0)+0.99),'Tax scales - NAT 3539'!$A$99:$C$123,2,1)-VLOOKUP((TRUNC(($AN434+0.01)*3/13,0)+0.99),'Tax scales - NAT 3539'!$A$99:$C$123,3,1)),0)
*13/3,
0),
IF($E$2="Monthly",
ROUND(
ROUND(((TRUNC($AN434*3/13,0)+0.99)*VLOOKUP((TRUNC($AN434*3/13,0)+0.99),'Tax scales - NAT 3539'!$A$99:$C$123,2,1)-VLOOKUP((TRUNC($AN434*3/13,0)+0.99),'Tax scales - NAT 3539'!$A$99:$C$123,3,1)),0)
*13/3,
0),
""))),
""),
"")</f>
        <v/>
      </c>
      <c r="AY434" s="118" t="str">
        <f>IFERROR(
IF(VLOOKUP($C434,'Employee information'!$B:$M,COLUMNS('Employee information'!$B:$M),0)=66,
IF($E$2="Fortnightly",
ROUND(
ROUND((((TRUNC($AN434/2,0)+0.99))*VLOOKUP((TRUNC($AN434/2,0)+0.99),'Tax scales - NAT 3539'!$A$127:$C$154,2,1)-VLOOKUP((TRUNC($AN434/2,0)+0.99),'Tax scales - NAT 3539'!$A$127:$C$154,3,1)),0)
*2,
0),
IF(AND($E$2="Monthly",ROUND($AN434-TRUNC($AN434),2)=0.33),
ROUND(
ROUND(((TRUNC(($AN434+0.01)*3/13,0)+0.99)*VLOOKUP((TRUNC(($AN434+0.01)*3/13,0)+0.99),'Tax scales - NAT 3539'!$A$127:$C$154,2,1)-VLOOKUP((TRUNC(($AN434+0.01)*3/13,0)+0.99),'Tax scales - NAT 3539'!$A$127:$C$154,3,1)),0)
*13/3,
0),
IF($E$2="Monthly",
ROUND(
ROUND(((TRUNC($AN434*3/13,0)+0.99)*VLOOKUP((TRUNC($AN434*3/13,0)+0.99),'Tax scales - NAT 3539'!$A$127:$C$154,2,1)-VLOOKUP((TRUNC($AN434*3/13,0)+0.99),'Tax scales - NAT 3539'!$A$127:$C$154,3,1)),0)
*13/3,
0),
""))),
""),
"")</f>
        <v/>
      </c>
      <c r="AZ434" s="118">
        <f>IFERROR(
HLOOKUP(VLOOKUP($C434,'Employee information'!$B:$M,COLUMNS('Employee information'!$B:$M),0),'PAYG worksheet'!$AO$416:$AY$435,COUNTA($C$417:$C434)+1,0),
0)</f>
        <v>0</v>
      </c>
      <c r="BA434" s="118"/>
      <c r="BB434" s="118">
        <f t="shared" si="449"/>
        <v>0</v>
      </c>
      <c r="BC434" s="119">
        <f>IFERROR(
IF(OR($AE434=1,$AE434=""),SUM($P434,$AA434,$AC434,$AK434)*VLOOKUP($C434,'Employee information'!$B:$Q,COLUMNS('Employee information'!$B:$H),0),
IF($AE434=0,SUM($P434,$AA434,$AK434)*VLOOKUP($C434,'Employee information'!$B:$Q,COLUMNS('Employee information'!$B:$H),0),
0)),
0)</f>
        <v>0</v>
      </c>
      <c r="BE434" s="114">
        <f t="shared" si="434"/>
        <v>0</v>
      </c>
      <c r="BF434" s="114">
        <f t="shared" si="435"/>
        <v>0</v>
      </c>
      <c r="BG434" s="114">
        <f t="shared" si="436"/>
        <v>0</v>
      </c>
      <c r="BH434" s="114">
        <f t="shared" si="437"/>
        <v>0</v>
      </c>
      <c r="BI434" s="114">
        <f t="shared" si="438"/>
        <v>0</v>
      </c>
      <c r="BJ434" s="114">
        <f t="shared" si="439"/>
        <v>0</v>
      </c>
      <c r="BK434" s="114">
        <f t="shared" si="440"/>
        <v>0</v>
      </c>
      <c r="BL434" s="114">
        <f t="shared" si="450"/>
        <v>0</v>
      </c>
      <c r="BM434" s="114">
        <f t="shared" si="441"/>
        <v>0</v>
      </c>
    </row>
    <row r="435" spans="1:65" x14ac:dyDescent="0.25">
      <c r="A435" s="228">
        <f t="shared" si="429"/>
        <v>15</v>
      </c>
      <c r="C435" s="278"/>
      <c r="E435" s="103">
        <f>IF($C435="",0,
IF(AND($E$2="Monthly",$A435&gt;12),0,
IF($E$2="Monthly",VLOOKUP($C435,'Employee information'!$B:$AM,COLUMNS('Employee information'!$B:S),0),
IF($E$2="Fortnightly",VLOOKUP($C435,'Employee information'!$B:$AM,COLUMNS('Employee information'!$B:R),0),
0))))</f>
        <v>0</v>
      </c>
      <c r="F435" s="106"/>
      <c r="G435" s="106"/>
      <c r="H435" s="106"/>
      <c r="I435" s="106"/>
      <c r="J435" s="103">
        <f t="shared" si="442"/>
        <v>0</v>
      </c>
      <c r="L435" s="113">
        <f>IF(AND($E$2="Monthly",$A435&gt;12),"",
IFERROR($J435*VLOOKUP($C435,'Employee information'!$B:$AI,COLUMNS('Employee information'!$B:$P),0),0))</f>
        <v>0</v>
      </c>
      <c r="M435" s="114">
        <f t="shared" si="443"/>
        <v>0</v>
      </c>
      <c r="O435" s="103">
        <f t="shared" si="444"/>
        <v>0</v>
      </c>
      <c r="P435" s="113">
        <f>IFERROR(
IF(AND($E$2="Monthly",$A435&gt;12),0,
$O435*VLOOKUP($C435,'Employee information'!$B:$AI,COLUMNS('Employee information'!$B:$P),0)),
0)</f>
        <v>0</v>
      </c>
      <c r="R435" s="114">
        <f t="shared" si="430"/>
        <v>0</v>
      </c>
      <c r="T435" s="103"/>
      <c r="U435" s="103"/>
      <c r="V435" s="282" t="str">
        <f>IF($C435="","",
IF(AND($E$2="Monthly",$A435&gt;12),"",
$T435*VLOOKUP($C435,'Employee information'!$B:$P,COLUMNS('Employee information'!$B:$P),0)))</f>
        <v/>
      </c>
      <c r="W435" s="282" t="str">
        <f>IF($C435="","",
IF(AND($E$2="Monthly",$A435&gt;12),"",
$U435*VLOOKUP($C435,'Employee information'!$B:$P,COLUMNS('Employee information'!$B:$P),0)))</f>
        <v/>
      </c>
      <c r="X435" s="114">
        <f t="shared" si="431"/>
        <v>0</v>
      </c>
      <c r="Y435" s="114">
        <f t="shared" si="432"/>
        <v>0</v>
      </c>
      <c r="AA435" s="118">
        <f>IFERROR(
IF(OR('Basic payroll data'!$D$12="",'Basic payroll data'!$D$12="No"),0,
$T435*VLOOKUP($C435,'Employee information'!$B:$P,COLUMNS('Employee information'!$B:$P),0)*AL_loading_perc),
0)</f>
        <v>0</v>
      </c>
      <c r="AC435" s="118"/>
      <c r="AD435" s="118"/>
      <c r="AE435" s="283" t="str">
        <f t="shared" si="445"/>
        <v/>
      </c>
      <c r="AF435" s="283" t="str">
        <f t="shared" si="446"/>
        <v/>
      </c>
      <c r="AG435" s="118"/>
      <c r="AH435" s="118"/>
      <c r="AI435" s="283" t="str">
        <f t="shared" si="447"/>
        <v/>
      </c>
      <c r="AJ435" s="118"/>
      <c r="AK435" s="118"/>
      <c r="AM435" s="118">
        <f t="shared" si="448"/>
        <v>0</v>
      </c>
      <c r="AN435" s="118">
        <f t="shared" si="433"/>
        <v>0</v>
      </c>
      <c r="AO435" s="118" t="str">
        <f>IFERROR(
IF(VLOOKUP($C435,'Employee information'!$B:$M,COLUMNS('Employee information'!$B:$M),0)=1,
IF($E$2="Fortnightly",
ROUND(
ROUND((((TRUNC($AN435/2,0)+0.99))*VLOOKUP((TRUNC($AN435/2,0)+0.99),'Tax scales - NAT 1004'!$A$12:$C$18,2,1)-VLOOKUP((TRUNC($AN435/2,0)+0.99),'Tax scales - NAT 1004'!$A$12:$C$18,3,1)),0)
*2,
0),
IF(AND($E$2="Monthly",ROUND($AN435-TRUNC($AN435),2)=0.33),
ROUND(
ROUND(((TRUNC(($AN435+0.01)*3/13,0)+0.99)*VLOOKUP((TRUNC(($AN435+0.01)*3/13,0)+0.99),'Tax scales - NAT 1004'!$A$12:$C$18,2,1)-VLOOKUP((TRUNC(($AN435+0.01)*3/13,0)+0.99),'Tax scales - NAT 1004'!$A$12:$C$18,3,1)),0)
*13/3,
0),
IF($E$2="Monthly",
ROUND(
ROUND(((TRUNC($AN435*3/13,0)+0.99)*VLOOKUP((TRUNC($AN435*3/13,0)+0.99),'Tax scales - NAT 1004'!$A$12:$C$18,2,1)-VLOOKUP((TRUNC($AN435*3/13,0)+0.99),'Tax scales - NAT 1004'!$A$12:$C$18,3,1)),0)
*13/3,
0),
""))),
""),
"")</f>
        <v/>
      </c>
      <c r="AP435" s="118" t="str">
        <f>IFERROR(
IF(VLOOKUP($C435,'Employee information'!$B:$M,COLUMNS('Employee information'!$B:$M),0)=2,
IF($E$2="Fortnightly",
ROUND(
ROUND((((TRUNC($AN435/2,0)+0.99))*VLOOKUP((TRUNC($AN435/2,0)+0.99),'Tax scales - NAT 1004'!$A$25:$C$33,2,1)-VLOOKUP((TRUNC($AN435/2,0)+0.99),'Tax scales - NAT 1004'!$A$25:$C$33,3,1)),0)
*2,
0),
IF(AND($E$2="Monthly",ROUND($AN435-TRUNC($AN435),2)=0.33),
ROUND(
ROUND(((TRUNC(($AN435+0.01)*3/13,0)+0.99)*VLOOKUP((TRUNC(($AN435+0.01)*3/13,0)+0.99),'Tax scales - NAT 1004'!$A$25:$C$33,2,1)-VLOOKUP((TRUNC(($AN435+0.01)*3/13,0)+0.99),'Tax scales - NAT 1004'!$A$25:$C$33,3,1)),0)
*13/3,
0),
IF($E$2="Monthly",
ROUND(
ROUND(((TRUNC($AN435*3/13,0)+0.99)*VLOOKUP((TRUNC($AN435*3/13,0)+0.99),'Tax scales - NAT 1004'!$A$25:$C$33,2,1)-VLOOKUP((TRUNC($AN435*3/13,0)+0.99),'Tax scales - NAT 1004'!$A$25:$C$33,3,1)),0)
*13/3,
0),
""))),
""),
"")</f>
        <v/>
      </c>
      <c r="AQ435" s="118" t="str">
        <f>IFERROR(
IF(VLOOKUP($C435,'Employee information'!$B:$M,COLUMNS('Employee information'!$B:$M),0)=3,
IF($E$2="Fortnightly",
ROUND(
ROUND((((TRUNC($AN435/2,0)+0.99))*VLOOKUP((TRUNC($AN435/2,0)+0.99),'Tax scales - NAT 1004'!$A$39:$C$41,2,1)-VLOOKUP((TRUNC($AN435/2,0)+0.99),'Tax scales - NAT 1004'!$A$39:$C$41,3,1)),0)
*2,
0),
IF(AND($E$2="Monthly",ROUND($AN435-TRUNC($AN435),2)=0.33),
ROUND(
ROUND(((TRUNC(($AN435+0.01)*3/13,0)+0.99)*VLOOKUP((TRUNC(($AN435+0.01)*3/13,0)+0.99),'Tax scales - NAT 1004'!$A$39:$C$41,2,1)-VLOOKUP((TRUNC(($AN435+0.01)*3/13,0)+0.99),'Tax scales - NAT 1004'!$A$39:$C$41,3,1)),0)
*13/3,
0),
IF($E$2="Monthly",
ROUND(
ROUND(((TRUNC($AN435*3/13,0)+0.99)*VLOOKUP((TRUNC($AN435*3/13,0)+0.99),'Tax scales - NAT 1004'!$A$39:$C$41,2,1)-VLOOKUP((TRUNC($AN435*3/13,0)+0.99),'Tax scales - NAT 1004'!$A$39:$C$41,3,1)),0)
*13/3,
0),
""))),
""),
"")</f>
        <v/>
      </c>
      <c r="AR435" s="118" t="str">
        <f>IFERROR(
IF(AND(VLOOKUP($C435,'Employee information'!$B:$M,COLUMNS('Employee information'!$B:$M),0)=4,
VLOOKUP($C435,'Employee information'!$B:$J,COLUMNS('Employee information'!$B:$J),0)="Resident"),
TRUNC(TRUNC($AN435)*'Tax scales - NAT 1004'!$B$47),
IF(AND(VLOOKUP($C435,'Employee information'!$B:$M,COLUMNS('Employee information'!$B:$M),0)=4,
VLOOKUP($C435,'Employee information'!$B:$J,COLUMNS('Employee information'!$B:$J),0)="Foreign resident"),
TRUNC(TRUNC($AN435)*'Tax scales - NAT 1004'!$B$48),
"")),
"")</f>
        <v/>
      </c>
      <c r="AS435" s="118" t="str">
        <f>IFERROR(
IF(VLOOKUP($C435,'Employee information'!$B:$M,COLUMNS('Employee information'!$B:$M),0)=5,
IF($E$2="Fortnightly",
ROUND(
ROUND((((TRUNC($AN435/2,0)+0.99))*VLOOKUP((TRUNC($AN435/2,0)+0.99),'Tax scales - NAT 1004'!$A$53:$C$59,2,1)-VLOOKUP((TRUNC($AN435/2,0)+0.99),'Tax scales - NAT 1004'!$A$53:$C$59,3,1)),0)
*2,
0),
IF(AND($E$2="Monthly",ROUND($AN435-TRUNC($AN435),2)=0.33),
ROUND(
ROUND(((TRUNC(($AN435+0.01)*3/13,0)+0.99)*VLOOKUP((TRUNC(($AN435+0.01)*3/13,0)+0.99),'Tax scales - NAT 1004'!$A$53:$C$59,2,1)-VLOOKUP((TRUNC(($AN435+0.01)*3/13,0)+0.99),'Tax scales - NAT 1004'!$A$53:$C$59,3,1)),0)
*13/3,
0),
IF($E$2="Monthly",
ROUND(
ROUND(((TRUNC($AN435*3/13,0)+0.99)*VLOOKUP((TRUNC($AN435*3/13,0)+0.99),'Tax scales - NAT 1004'!$A$53:$C$59,2,1)-VLOOKUP((TRUNC($AN435*3/13,0)+0.99),'Tax scales - NAT 1004'!$A$53:$C$59,3,1)),0)
*13/3,
0),
""))),
""),
"")</f>
        <v/>
      </c>
      <c r="AT435" s="118" t="str">
        <f>IFERROR(
IF(VLOOKUP($C435,'Employee information'!$B:$M,COLUMNS('Employee information'!$B:$M),0)=6,
IF($E$2="Fortnightly",
ROUND(
ROUND((((TRUNC($AN435/2,0)+0.99))*VLOOKUP((TRUNC($AN435/2,0)+0.99),'Tax scales - NAT 1004'!$A$65:$C$73,2,1)-VLOOKUP((TRUNC($AN435/2,0)+0.99),'Tax scales - NAT 1004'!$A$65:$C$73,3,1)),0)
*2,
0),
IF(AND($E$2="Monthly",ROUND($AN435-TRUNC($AN435),2)=0.33),
ROUND(
ROUND(((TRUNC(($AN435+0.01)*3/13,0)+0.99)*VLOOKUP((TRUNC(($AN435+0.01)*3/13,0)+0.99),'Tax scales - NAT 1004'!$A$65:$C$73,2,1)-VLOOKUP((TRUNC(($AN435+0.01)*3/13,0)+0.99),'Tax scales - NAT 1004'!$A$65:$C$73,3,1)),0)
*13/3,
0),
IF($E$2="Monthly",
ROUND(
ROUND(((TRUNC($AN435*3/13,0)+0.99)*VLOOKUP((TRUNC($AN435*3/13,0)+0.99),'Tax scales - NAT 1004'!$A$65:$C$73,2,1)-VLOOKUP((TRUNC($AN435*3/13,0)+0.99),'Tax scales - NAT 1004'!$A$65:$C$73,3,1)),0)
*13/3,
0),
""))),
""),
"")</f>
        <v/>
      </c>
      <c r="AU435" s="118" t="str">
        <f>IFERROR(
IF(VLOOKUP($C435,'Employee information'!$B:$M,COLUMNS('Employee information'!$B:$M),0)=11,
IF($E$2="Fortnightly",
ROUND(
ROUND((((TRUNC($AN435/2,0)+0.99))*VLOOKUP((TRUNC($AN435/2,0)+0.99),'Tax scales - NAT 3539'!$A$14:$C$38,2,1)-VLOOKUP((TRUNC($AN435/2,0)+0.99),'Tax scales - NAT 3539'!$A$14:$C$38,3,1)),0)
*2,
0),
IF(AND($E$2="Monthly",ROUND($AN435-TRUNC($AN435),2)=0.33),
ROUND(
ROUND(((TRUNC(($AN435+0.01)*3/13,0)+0.99)*VLOOKUP((TRUNC(($AN435+0.01)*3/13,0)+0.99),'Tax scales - NAT 3539'!$A$14:$C$38,2,1)-VLOOKUP((TRUNC(($AN435+0.01)*3/13,0)+0.99),'Tax scales - NAT 3539'!$A$14:$C$38,3,1)),0)
*13/3,
0),
IF($E$2="Monthly",
ROUND(
ROUND(((TRUNC($AN435*3/13,0)+0.99)*VLOOKUP((TRUNC($AN435*3/13,0)+0.99),'Tax scales - NAT 3539'!$A$14:$C$38,2,1)-VLOOKUP((TRUNC($AN435*3/13,0)+0.99),'Tax scales - NAT 3539'!$A$14:$C$38,3,1)),0)
*13/3,
0),
""))),
""),
"")</f>
        <v/>
      </c>
      <c r="AV435" s="118" t="str">
        <f>IFERROR(
IF(VLOOKUP($C435,'Employee information'!$B:$M,COLUMNS('Employee information'!$B:$M),0)=22,
IF($E$2="Fortnightly",
ROUND(
ROUND((((TRUNC($AN435/2,0)+0.99))*VLOOKUP((TRUNC($AN435/2,0)+0.99),'Tax scales - NAT 3539'!$A$43:$C$69,2,1)-VLOOKUP((TRUNC($AN435/2,0)+0.99),'Tax scales - NAT 3539'!$A$43:$C$69,3,1)),0)
*2,
0),
IF(AND($E$2="Monthly",ROUND($AN435-TRUNC($AN435),2)=0.33),
ROUND(
ROUND(((TRUNC(($AN435+0.01)*3/13,0)+0.99)*VLOOKUP((TRUNC(($AN435+0.01)*3/13,0)+0.99),'Tax scales - NAT 3539'!$A$43:$C$69,2,1)-VLOOKUP((TRUNC(($AN435+0.01)*3/13,0)+0.99),'Tax scales - NAT 3539'!$A$43:$C$69,3,1)),0)
*13/3,
0),
IF($E$2="Monthly",
ROUND(
ROUND(((TRUNC($AN435*3/13,0)+0.99)*VLOOKUP((TRUNC($AN435*3/13,0)+0.99),'Tax scales - NAT 3539'!$A$43:$C$69,2,1)-VLOOKUP((TRUNC($AN435*3/13,0)+0.99),'Tax scales - NAT 3539'!$A$43:$C$69,3,1)),0)
*13/3,
0),
""))),
""),
"")</f>
        <v/>
      </c>
      <c r="AW435" s="118" t="str">
        <f>IFERROR(
IF(VLOOKUP($C435,'Employee information'!$B:$M,COLUMNS('Employee information'!$B:$M),0)=33,
IF($E$2="Fortnightly",
ROUND(
ROUND((((TRUNC($AN435/2,0)+0.99))*VLOOKUP((TRUNC($AN435/2,0)+0.99),'Tax scales - NAT 3539'!$A$74:$C$94,2,1)-VLOOKUP((TRUNC($AN435/2,0)+0.99),'Tax scales - NAT 3539'!$A$74:$C$94,3,1)),0)
*2,
0),
IF(AND($E$2="Monthly",ROUND($AN435-TRUNC($AN435),2)=0.33),
ROUND(
ROUND(((TRUNC(($AN435+0.01)*3/13,0)+0.99)*VLOOKUP((TRUNC(($AN435+0.01)*3/13,0)+0.99),'Tax scales - NAT 3539'!$A$74:$C$94,2,1)-VLOOKUP((TRUNC(($AN435+0.01)*3/13,0)+0.99),'Tax scales - NAT 3539'!$A$74:$C$94,3,1)),0)
*13/3,
0),
IF($E$2="Monthly",
ROUND(
ROUND(((TRUNC($AN435*3/13,0)+0.99)*VLOOKUP((TRUNC($AN435*3/13,0)+0.99),'Tax scales - NAT 3539'!$A$74:$C$94,2,1)-VLOOKUP((TRUNC($AN435*3/13,0)+0.99),'Tax scales - NAT 3539'!$A$74:$C$94,3,1)),0)
*13/3,
0),
""))),
""),
"")</f>
        <v/>
      </c>
      <c r="AX435" s="118" t="str">
        <f>IFERROR(
IF(VLOOKUP($C435,'Employee information'!$B:$M,COLUMNS('Employee information'!$B:$M),0)=55,
IF($E$2="Fortnightly",
ROUND(
ROUND((((TRUNC($AN435/2,0)+0.99))*VLOOKUP((TRUNC($AN435/2,0)+0.99),'Tax scales - NAT 3539'!$A$99:$C$123,2,1)-VLOOKUP((TRUNC($AN435/2,0)+0.99),'Tax scales - NAT 3539'!$A$99:$C$123,3,1)),0)
*2,
0),
IF(AND($E$2="Monthly",ROUND($AN435-TRUNC($AN435),2)=0.33),
ROUND(
ROUND(((TRUNC(($AN435+0.01)*3/13,0)+0.99)*VLOOKUP((TRUNC(($AN435+0.01)*3/13,0)+0.99),'Tax scales - NAT 3539'!$A$99:$C$123,2,1)-VLOOKUP((TRUNC(($AN435+0.01)*3/13,0)+0.99),'Tax scales - NAT 3539'!$A$99:$C$123,3,1)),0)
*13/3,
0),
IF($E$2="Monthly",
ROUND(
ROUND(((TRUNC($AN435*3/13,0)+0.99)*VLOOKUP((TRUNC($AN435*3/13,0)+0.99),'Tax scales - NAT 3539'!$A$99:$C$123,2,1)-VLOOKUP((TRUNC($AN435*3/13,0)+0.99),'Tax scales - NAT 3539'!$A$99:$C$123,3,1)),0)
*13/3,
0),
""))),
""),
"")</f>
        <v/>
      </c>
      <c r="AY435" s="118" t="str">
        <f>IFERROR(
IF(VLOOKUP($C435,'Employee information'!$B:$M,COLUMNS('Employee information'!$B:$M),0)=66,
IF($E$2="Fortnightly",
ROUND(
ROUND((((TRUNC($AN435/2,0)+0.99))*VLOOKUP((TRUNC($AN435/2,0)+0.99),'Tax scales - NAT 3539'!$A$127:$C$154,2,1)-VLOOKUP((TRUNC($AN435/2,0)+0.99),'Tax scales - NAT 3539'!$A$127:$C$154,3,1)),0)
*2,
0),
IF(AND($E$2="Monthly",ROUND($AN435-TRUNC($AN435),2)=0.33),
ROUND(
ROUND(((TRUNC(($AN435+0.01)*3/13,0)+0.99)*VLOOKUP((TRUNC(($AN435+0.01)*3/13,0)+0.99),'Tax scales - NAT 3539'!$A$127:$C$154,2,1)-VLOOKUP((TRUNC(($AN435+0.01)*3/13,0)+0.99),'Tax scales - NAT 3539'!$A$127:$C$154,3,1)),0)
*13/3,
0),
IF($E$2="Monthly",
ROUND(
ROUND(((TRUNC($AN435*3/13,0)+0.99)*VLOOKUP((TRUNC($AN435*3/13,0)+0.99),'Tax scales - NAT 3539'!$A$127:$C$154,2,1)-VLOOKUP((TRUNC($AN435*3/13,0)+0.99),'Tax scales - NAT 3539'!$A$127:$C$154,3,1)),0)
*13/3,
0),
""))),
""),
"")</f>
        <v/>
      </c>
      <c r="AZ435" s="118">
        <f>IFERROR(
HLOOKUP(VLOOKUP($C435,'Employee information'!$B:$M,COLUMNS('Employee information'!$B:$M),0),'PAYG worksheet'!$AO$416:$AY$435,COUNTA($C$417:$C435)+1,0),
0)</f>
        <v>0</v>
      </c>
      <c r="BA435" s="118"/>
      <c r="BB435" s="118">
        <f t="shared" si="449"/>
        <v>0</v>
      </c>
      <c r="BC435" s="119">
        <f>IFERROR(
IF(OR($AE435=1,$AE435=""),SUM($P435,$AA435,$AC435,$AK435)*VLOOKUP($C435,'Employee information'!$B:$Q,COLUMNS('Employee information'!$B:$H),0),
IF($AE435=0,SUM($P435,$AA435,$AK435)*VLOOKUP($C435,'Employee information'!$B:$Q,COLUMNS('Employee information'!$B:$H),0),
0)),
0)</f>
        <v>0</v>
      </c>
      <c r="BE435" s="114">
        <f t="shared" si="434"/>
        <v>0</v>
      </c>
      <c r="BF435" s="114">
        <f t="shared" si="435"/>
        <v>0</v>
      </c>
      <c r="BG435" s="114">
        <f t="shared" si="436"/>
        <v>0</v>
      </c>
      <c r="BH435" s="114">
        <f t="shared" si="437"/>
        <v>0</v>
      </c>
      <c r="BI435" s="114">
        <f t="shared" si="438"/>
        <v>0</v>
      </c>
      <c r="BJ435" s="114">
        <f t="shared" si="439"/>
        <v>0</v>
      </c>
      <c r="BK435" s="114">
        <f t="shared" si="440"/>
        <v>0</v>
      </c>
      <c r="BL435" s="114">
        <f t="shared" si="450"/>
        <v>0</v>
      </c>
      <c r="BM435" s="114">
        <f t="shared" si="441"/>
        <v>0</v>
      </c>
    </row>
    <row r="436" spans="1:65" x14ac:dyDescent="0.25">
      <c r="C436" s="284" t="s">
        <v>39</v>
      </c>
      <c r="D436" s="223"/>
      <c r="E436" s="111">
        <f>SUM(E417:E435)</f>
        <v>345</v>
      </c>
      <c r="F436" s="112">
        <f t="shared" ref="F436:H436" si="451">SUM(F417:F435)</f>
        <v>0</v>
      </c>
      <c r="G436" s="112">
        <f t="shared" si="451"/>
        <v>0</v>
      </c>
      <c r="H436" s="112">
        <f t="shared" si="451"/>
        <v>0</v>
      </c>
      <c r="I436" s="112"/>
      <c r="J436" s="111">
        <f t="shared" ref="J436" si="452">SUM(J417:J435)</f>
        <v>345</v>
      </c>
      <c r="K436" s="223"/>
      <c r="L436" s="115">
        <f>SUM(L417:L435)</f>
        <v>19122.576396206536</v>
      </c>
      <c r="M436" s="115">
        <f>SUM(M417:M435)</f>
        <v>289354.03055848263</v>
      </c>
      <c r="N436" s="223"/>
      <c r="O436" s="116">
        <f>SUM(O417:O435)</f>
        <v>345</v>
      </c>
      <c r="P436" s="117">
        <f>SUM(P417:P435)</f>
        <v>19122.576396206536</v>
      </c>
      <c r="R436" s="117">
        <f>SUM(R417:R435)</f>
        <v>289354.03055848263</v>
      </c>
      <c r="S436" s="223"/>
      <c r="T436" s="116">
        <f>SUM(T417:T435)</f>
        <v>0</v>
      </c>
      <c r="U436" s="116">
        <f t="shared" ref="U436:Y436" si="453">SUM(U417:U435)</f>
        <v>0</v>
      </c>
      <c r="V436" s="285">
        <f t="shared" si="453"/>
        <v>0</v>
      </c>
      <c r="W436" s="285">
        <f t="shared" si="453"/>
        <v>0</v>
      </c>
      <c r="X436" s="285">
        <f t="shared" si="453"/>
        <v>1538.4615384615386</v>
      </c>
      <c r="Y436" s="285">
        <f t="shared" si="453"/>
        <v>801.28205128205127</v>
      </c>
      <c r="Z436" s="223"/>
      <c r="AA436" s="117">
        <f t="shared" ref="AA436" si="454">SUM(AA417:AA435)</f>
        <v>0</v>
      </c>
      <c r="AC436" s="117">
        <f t="shared" ref="AC436" si="455">SUM(AC417:AC435)</f>
        <v>0</v>
      </c>
      <c r="AD436" s="117"/>
      <c r="AE436" s="117"/>
      <c r="AF436" s="117"/>
      <c r="AG436" s="117">
        <f t="shared" ref="AG436" si="456">SUM(AG417:AG435)</f>
        <v>0</v>
      </c>
      <c r="AH436" s="117"/>
      <c r="AI436" s="117"/>
      <c r="AJ436" s="117">
        <f>SUM(AJ417:AJ435)</f>
        <v>0</v>
      </c>
      <c r="AK436" s="117">
        <f>SUM(AK417:AK435)</f>
        <v>0</v>
      </c>
      <c r="AM436" s="117">
        <f t="shared" ref="AM436:AN436" si="457">SUM(AM417:AM435)</f>
        <v>19122.576396206536</v>
      </c>
      <c r="AN436" s="117">
        <f t="shared" si="457"/>
        <v>19122.576396206536</v>
      </c>
      <c r="AO436" s="117"/>
      <c r="AP436" s="117"/>
      <c r="AQ436" s="117"/>
      <c r="AR436" s="117"/>
      <c r="AS436" s="117"/>
      <c r="AT436" s="117"/>
      <c r="AU436" s="117"/>
      <c r="AV436" s="117"/>
      <c r="AW436" s="117"/>
      <c r="AX436" s="117"/>
      <c r="AY436" s="117"/>
      <c r="AZ436" s="117">
        <f>SUM(AZ417:AZ435)</f>
        <v>7481</v>
      </c>
      <c r="BA436" s="117">
        <f>SUM(BA417:BA435)</f>
        <v>0</v>
      </c>
      <c r="BB436" s="117">
        <f>SUM(BB417:BB435)</f>
        <v>11641.576396206534</v>
      </c>
      <c r="BC436" s="117">
        <f t="shared" ref="BC436" si="458">SUM(BC417:BC435)</f>
        <v>1816.6447576396208</v>
      </c>
      <c r="BD436" s="136"/>
      <c r="BE436" s="117">
        <f t="shared" ref="BE436:BM436" si="459">SUM(BE417:BE435)</f>
        <v>289594.03055848263</v>
      </c>
      <c r="BF436" s="117">
        <f t="shared" si="459"/>
        <v>289454.03055848263</v>
      </c>
      <c r="BG436" s="117">
        <f t="shared" si="459"/>
        <v>0</v>
      </c>
      <c r="BH436" s="117">
        <f t="shared" si="459"/>
        <v>140</v>
      </c>
      <c r="BI436" s="117">
        <f t="shared" si="459"/>
        <v>113029</v>
      </c>
      <c r="BJ436" s="117">
        <f t="shared" si="459"/>
        <v>0</v>
      </c>
      <c r="BK436" s="117">
        <f t="shared" si="459"/>
        <v>0</v>
      </c>
      <c r="BL436" s="117">
        <f t="shared" si="459"/>
        <v>100</v>
      </c>
      <c r="BM436" s="117">
        <f t="shared" si="459"/>
        <v>27498.132903055848</v>
      </c>
    </row>
    <row r="438" spans="1:65" x14ac:dyDescent="0.25">
      <c r="B438" s="228">
        <v>16</v>
      </c>
      <c r="C438" s="230" t="s">
        <v>2</v>
      </c>
      <c r="E438" s="232">
        <v>44116</v>
      </c>
      <c r="F438" s="148" t="s">
        <v>91</v>
      </c>
      <c r="L438" s="286"/>
      <c r="T438" s="127"/>
      <c r="U438" s="127"/>
      <c r="V438" s="127"/>
      <c r="W438" s="127"/>
      <c r="X438" s="127"/>
      <c r="Y438" s="127"/>
    </row>
    <row r="439" spans="1:65" x14ac:dyDescent="0.25">
      <c r="C439" s="230" t="s">
        <v>3</v>
      </c>
      <c r="E439" s="232">
        <v>44127</v>
      </c>
      <c r="F439" s="148" t="s">
        <v>90</v>
      </c>
      <c r="G439" s="229"/>
      <c r="H439" s="229"/>
      <c r="I439" s="229"/>
      <c r="J439" s="229"/>
      <c r="L439" s="164"/>
      <c r="T439" s="127"/>
      <c r="U439" s="127"/>
      <c r="V439" s="127"/>
      <c r="W439" s="127"/>
      <c r="X439" s="127"/>
      <c r="Y439" s="127"/>
    </row>
    <row r="440" spans="1:65" x14ac:dyDescent="0.25">
      <c r="C440" s="233"/>
    </row>
    <row r="441" spans="1:65" ht="34.5" customHeight="1" x14ac:dyDescent="0.25">
      <c r="C441" s="234"/>
      <c r="D441" s="235"/>
      <c r="E441" s="441" t="s">
        <v>4</v>
      </c>
      <c r="F441" s="442"/>
      <c r="G441" s="442"/>
      <c r="H441" s="442"/>
      <c r="I441" s="442"/>
      <c r="J441" s="443"/>
      <c r="L441" s="444" t="s">
        <v>253</v>
      </c>
      <c r="M441" s="445"/>
      <c r="N441" s="235"/>
      <c r="O441" s="444" t="s">
        <v>148</v>
      </c>
      <c r="P441" s="445"/>
      <c r="R441" s="235"/>
      <c r="T441" s="446" t="s">
        <v>269</v>
      </c>
      <c r="U441" s="447"/>
      <c r="V441" s="447"/>
      <c r="W441" s="447"/>
      <c r="X441" s="447"/>
      <c r="Y441" s="447"/>
      <c r="Z441" s="447"/>
      <c r="AA441" s="447"/>
      <c r="AC441" s="438" t="s">
        <v>274</v>
      </c>
      <c r="AD441" s="438"/>
      <c r="AE441" s="438"/>
      <c r="AF441" s="438"/>
      <c r="AG441" s="438"/>
      <c r="AH441" s="438"/>
      <c r="AI441" s="438"/>
      <c r="AJ441" s="438"/>
      <c r="AK441" s="438"/>
      <c r="AM441" s="439" t="s">
        <v>270</v>
      </c>
      <c r="AN441" s="439"/>
      <c r="AO441" s="439"/>
      <c r="AP441" s="439"/>
      <c r="AQ441" s="439"/>
      <c r="AR441" s="439"/>
      <c r="AS441" s="439"/>
      <c r="AT441" s="439"/>
      <c r="AU441" s="439"/>
      <c r="AV441" s="439"/>
      <c r="AW441" s="439"/>
      <c r="AX441" s="439"/>
      <c r="AY441" s="439"/>
      <c r="AZ441" s="439"/>
      <c r="BA441" s="439"/>
      <c r="BB441" s="439"/>
      <c r="BC441" s="440"/>
      <c r="BE441" s="439" t="s">
        <v>246</v>
      </c>
      <c r="BF441" s="439"/>
      <c r="BG441" s="439"/>
      <c r="BH441" s="439"/>
      <c r="BI441" s="439"/>
      <c r="BJ441" s="439"/>
      <c r="BK441" s="439"/>
      <c r="BL441" s="439"/>
      <c r="BM441" s="439"/>
    </row>
    <row r="442" spans="1:65" x14ac:dyDescent="0.25">
      <c r="C442" s="236"/>
      <c r="E442" s="229"/>
      <c r="F442" s="229"/>
      <c r="G442" s="229"/>
      <c r="H442" s="229"/>
      <c r="I442" s="229"/>
      <c r="J442" s="229"/>
      <c r="L442" s="164"/>
      <c r="O442" s="229"/>
      <c r="P442" s="164"/>
      <c r="T442" s="127"/>
      <c r="U442" s="127"/>
      <c r="V442" s="127"/>
      <c r="W442" s="127"/>
      <c r="X442" s="127"/>
      <c r="Y442" s="127"/>
      <c r="AA442" s="229"/>
      <c r="AC442" s="229"/>
      <c r="AD442" s="229"/>
      <c r="AE442" s="229"/>
      <c r="AF442" s="229"/>
      <c r="AG442" s="229"/>
      <c r="AH442" s="229"/>
      <c r="AI442" s="229"/>
      <c r="AJ442" s="229"/>
      <c r="AK442" s="127"/>
      <c r="AM442" s="229"/>
      <c r="AN442" s="229"/>
      <c r="AO442" s="229"/>
      <c r="AP442" s="229"/>
      <c r="AQ442" s="229"/>
      <c r="AR442" s="229"/>
      <c r="AS442" s="229"/>
      <c r="AT442" s="229"/>
      <c r="AU442" s="229"/>
      <c r="AV442" s="229"/>
      <c r="AW442" s="229"/>
      <c r="AX442" s="229"/>
      <c r="AY442" s="229"/>
      <c r="AZ442" s="229"/>
      <c r="BA442" s="229"/>
      <c r="BB442" s="229"/>
      <c r="BC442" s="229"/>
    </row>
    <row r="443" spans="1:65" ht="60" x14ac:dyDescent="0.25">
      <c r="C443" s="238" t="s">
        <v>5</v>
      </c>
      <c r="D443" s="239"/>
      <c r="E443" s="240" t="s">
        <v>268</v>
      </c>
      <c r="F443" s="241" t="s">
        <v>271</v>
      </c>
      <c r="G443" s="242" t="s">
        <v>267</v>
      </c>
      <c r="H443" s="243" t="s">
        <v>266</v>
      </c>
      <c r="I443" s="242" t="s">
        <v>265</v>
      </c>
      <c r="J443" s="244" t="s">
        <v>6</v>
      </c>
      <c r="L443" s="245" t="s">
        <v>7</v>
      </c>
      <c r="M443" s="246" t="s">
        <v>254</v>
      </c>
      <c r="N443" s="247"/>
      <c r="O443" s="248" t="s">
        <v>272</v>
      </c>
      <c r="P443" s="249" t="s">
        <v>200</v>
      </c>
      <c r="R443" s="250" t="s">
        <v>151</v>
      </c>
      <c r="T443" s="251" t="s">
        <v>8</v>
      </c>
      <c r="U443" s="252" t="s">
        <v>9</v>
      </c>
      <c r="V443" s="252" t="s">
        <v>120</v>
      </c>
      <c r="W443" s="252" t="s">
        <v>121</v>
      </c>
      <c r="X443" s="253" t="s">
        <v>118</v>
      </c>
      <c r="Y443" s="254" t="s">
        <v>119</v>
      </c>
      <c r="AA443" s="255" t="s">
        <v>84</v>
      </c>
      <c r="AC443" s="256" t="s">
        <v>142</v>
      </c>
      <c r="AD443" s="256" t="s">
        <v>138</v>
      </c>
      <c r="AE443" s="257" t="s">
        <v>147</v>
      </c>
      <c r="AF443" s="257" t="s">
        <v>149</v>
      </c>
      <c r="AG443" s="256" t="s">
        <v>305</v>
      </c>
      <c r="AH443" s="256" t="s">
        <v>306</v>
      </c>
      <c r="AI443" s="257" t="s">
        <v>150</v>
      </c>
      <c r="AJ443" s="258" t="s">
        <v>250</v>
      </c>
      <c r="AK443" s="259" t="s">
        <v>373</v>
      </c>
      <c r="AM443" s="260" t="s">
        <v>256</v>
      </c>
      <c r="AN443" s="261" t="s">
        <v>372</v>
      </c>
      <c r="AO443" s="253" t="s">
        <v>170</v>
      </c>
      <c r="AP443" s="253" t="s">
        <v>171</v>
      </c>
      <c r="AQ443" s="253" t="s">
        <v>172</v>
      </c>
      <c r="AR443" s="253" t="s">
        <v>173</v>
      </c>
      <c r="AS443" s="253" t="s">
        <v>174</v>
      </c>
      <c r="AT443" s="253" t="s">
        <v>175</v>
      </c>
      <c r="AU443" s="262" t="s">
        <v>210</v>
      </c>
      <c r="AV443" s="262" t="s">
        <v>211</v>
      </c>
      <c r="AW443" s="262" t="s">
        <v>212</v>
      </c>
      <c r="AX443" s="262" t="s">
        <v>213</v>
      </c>
      <c r="AY443" s="263" t="s">
        <v>214</v>
      </c>
      <c r="AZ443" s="264" t="s">
        <v>111</v>
      </c>
      <c r="BA443" s="265" t="s">
        <v>199</v>
      </c>
      <c r="BB443" s="252" t="s">
        <v>223</v>
      </c>
      <c r="BC443" s="260" t="s">
        <v>112</v>
      </c>
      <c r="BE443" s="260" t="s">
        <v>257</v>
      </c>
      <c r="BF443" s="266" t="s">
        <v>255</v>
      </c>
      <c r="BG443" s="262" t="s">
        <v>247</v>
      </c>
      <c r="BH443" s="262" t="s">
        <v>248</v>
      </c>
      <c r="BI443" s="260" t="s">
        <v>249</v>
      </c>
      <c r="BJ443" s="253" t="s">
        <v>199</v>
      </c>
      <c r="BK443" s="262" t="s">
        <v>251</v>
      </c>
      <c r="BL443" s="259" t="s">
        <v>373</v>
      </c>
      <c r="BM443" s="260" t="s">
        <v>252</v>
      </c>
    </row>
    <row r="444" spans="1:65" x14ac:dyDescent="0.25">
      <c r="T444" s="120"/>
      <c r="U444" s="120"/>
      <c r="V444" s="120"/>
      <c r="W444" s="120"/>
      <c r="X444" s="120"/>
      <c r="Y444" s="120"/>
      <c r="AM444" s="267" t="s">
        <v>322</v>
      </c>
      <c r="AN444" s="237"/>
      <c r="AO444" s="237"/>
      <c r="AP444" s="237"/>
      <c r="AQ444" s="237"/>
      <c r="AR444" s="237"/>
      <c r="AS444" s="237"/>
      <c r="AT444" s="237"/>
      <c r="AU444" s="237"/>
      <c r="AV444" s="237"/>
      <c r="AW444" s="237"/>
      <c r="AX444" s="237"/>
      <c r="AY444" s="237"/>
      <c r="AZ444" s="436" t="s">
        <v>320</v>
      </c>
      <c r="BA444" s="437"/>
      <c r="BB444" s="237"/>
      <c r="BC444" s="267" t="s">
        <v>321</v>
      </c>
    </row>
    <row r="445" spans="1:65" x14ac:dyDescent="0.25">
      <c r="A445" s="228">
        <f t="shared" ref="A445:A464" si="460">IF($E$439="","",$B$438)</f>
        <v>16</v>
      </c>
      <c r="C445" s="268"/>
      <c r="D445" s="239"/>
      <c r="E445" s="269"/>
      <c r="F445" s="270"/>
      <c r="G445" s="271"/>
      <c r="H445" s="272"/>
      <c r="I445" s="271"/>
      <c r="J445" s="273"/>
      <c r="O445" s="274"/>
      <c r="P445" s="247"/>
      <c r="T445" s="271"/>
      <c r="U445" s="271"/>
      <c r="V445" s="275"/>
      <c r="W445" s="269"/>
      <c r="X445" s="269"/>
      <c r="Y445" s="269"/>
      <c r="AA445" s="271"/>
      <c r="AC445" s="271"/>
      <c r="AD445" s="271"/>
      <c r="AE445" s="271"/>
      <c r="AF445" s="271"/>
      <c r="AG445" s="271"/>
      <c r="AH445" s="271"/>
      <c r="AI445" s="271"/>
      <c r="AJ445" s="271"/>
      <c r="AK445" s="275"/>
      <c r="AM445" s="271"/>
      <c r="AN445" s="271"/>
      <c r="AO445" s="276">
        <v>1</v>
      </c>
      <c r="AP445" s="276">
        <v>2</v>
      </c>
      <c r="AQ445" s="276">
        <v>3</v>
      </c>
      <c r="AR445" s="277">
        <v>4</v>
      </c>
      <c r="AS445" s="276">
        <v>5</v>
      </c>
      <c r="AT445" s="276">
        <v>6</v>
      </c>
      <c r="AU445" s="276">
        <v>11</v>
      </c>
      <c r="AV445" s="276">
        <v>22</v>
      </c>
      <c r="AW445" s="276">
        <v>33</v>
      </c>
      <c r="AX445" s="276">
        <v>55</v>
      </c>
      <c r="AY445" s="276">
        <v>66</v>
      </c>
      <c r="AZ445" s="271"/>
      <c r="BA445" s="271"/>
      <c r="BB445" s="271"/>
      <c r="BC445" s="273"/>
    </row>
    <row r="446" spans="1:65" x14ac:dyDescent="0.25">
      <c r="A446" s="228">
        <f t="shared" si="460"/>
        <v>16</v>
      </c>
      <c r="C446" s="278" t="s">
        <v>12</v>
      </c>
      <c r="E446" s="103">
        <f>IF($C446="",0,
IF(AND($E$2="Monthly",$A446&gt;12),0,
IF($E$2="Monthly",VLOOKUP($C446,'Employee information'!$B:$AM,COLUMNS('Employee information'!$B:S),0),
IF($E$2="Fortnightly",VLOOKUP($C446,'Employee information'!$B:$AM,COLUMNS('Employee information'!$B:R),0),
0))))</f>
        <v>75</v>
      </c>
      <c r="F446" s="279"/>
      <c r="G446" s="106"/>
      <c r="H446" s="280"/>
      <c r="I446" s="106"/>
      <c r="J446" s="103">
        <f>IF($E$2="Monthly",
IF(AND($E$2="Monthly",$H446&lt;&gt;""),$H446,
IF(AND($E$2="Monthly",$E446=0),SUM($F446:$G446),
$E446)),
IF($E$2="Fortnightly",
IF(AND($E$2="Fortnightly",$H446&lt;&gt;""),$H446,
IF(AND($E$2="Fortnightly",$F446&lt;&gt;"",$E446&lt;&gt;0),$F446,
IF(AND($E$2="Fortnightly",$E446=0),SUM($F446:$G446),
$E446)))))</f>
        <v>75</v>
      </c>
      <c r="L446" s="113">
        <f>IF(AND($E$2="Monthly",$A446&gt;12),"",
IFERROR($J446*VLOOKUP($C446,'Employee information'!$B:$AI,COLUMNS('Employee information'!$B:$P),0),0))</f>
        <v>3697.576396206533</v>
      </c>
      <c r="M446" s="114">
        <f>IF(AND($E$2="Monthly",$A446&gt;12),"",
SUMIFS($L:$L,$C:$C,$C446,$A:$A,"&lt;="&amp;$A446)
)</f>
        <v>59161.222339304521</v>
      </c>
      <c r="O446" s="103">
        <f>IF($E$2="Monthly",
IF(AND($E$2="Monthly",$H446&lt;&gt;""),$H446,
IF(AND($E$2="Monthly",$E446=0),$F446,
$E446)),
IF($E$2="Fortnightly",
IF(AND($E$2="Fortnightly",$H446&lt;&gt;""),$H446,
IF(AND($E$2="Fortnightly",$F446&lt;&gt;"",$E446&lt;&gt;0),$F446,
IF(AND($E$2="Fortnightly",$E446=0),$F446,
$E446)))))</f>
        <v>75</v>
      </c>
      <c r="P446" s="113">
        <f>IFERROR(
IF(AND($E$2="Monthly",$A446&gt;12),0,
$O446*VLOOKUP($C446,'Employee information'!$B:$AI,COLUMNS('Employee information'!$B:$P),0)),
0)</f>
        <v>3697.576396206533</v>
      </c>
      <c r="R446" s="114">
        <f t="shared" ref="R446:R464" si="461">IF(AND($E$2="Monthly",$A446&gt;12),"",
SUMIFS($P:$P,$C:$C,$C446,$A:$A,"&lt;="&amp;$A446)
)</f>
        <v>59161.222339304521</v>
      </c>
      <c r="T446" s="281"/>
      <c r="U446" s="103"/>
      <c r="V446" s="282">
        <f>IF($C446="","",
IF(AND($E$2="Monthly",$A446&gt;12),"",
$T446*VLOOKUP($C446,'Employee information'!$B:$P,COLUMNS('Employee information'!$B:$P),0)))</f>
        <v>0</v>
      </c>
      <c r="W446" s="282">
        <f>IF($C446="","",
IF(AND($E$2="Monthly",$A446&gt;12),"",
$U446*VLOOKUP($C446,'Employee information'!$B:$P,COLUMNS('Employee information'!$B:$P),0)))</f>
        <v>0</v>
      </c>
      <c r="X446" s="114">
        <f t="shared" ref="X446:X464" si="462">IF(AND($E$2="Monthly",$A446&gt;12),"",
SUMIFS($V:$V,$C:$C,$C446,$A:$A,"&lt;="&amp;$A446)
)</f>
        <v>0</v>
      </c>
      <c r="Y446" s="114">
        <f t="shared" ref="Y446:Y464" si="463">IF(AND($E$2="Monthly",$A446&gt;12),"",
SUMIFS($W:$W,$C:$C,$C446,$A:$A,"&lt;="&amp;$A446)
)</f>
        <v>0</v>
      </c>
      <c r="AA446" s="118">
        <f>IFERROR(
IF(OR('Basic payroll data'!$D$12="",'Basic payroll data'!$D$12="No"),0,
$T446*VLOOKUP($C446,'Employee information'!$B:$P,COLUMNS('Employee information'!$B:$P),0)*AL_loading_perc),
0)</f>
        <v>0</v>
      </c>
      <c r="AC446" s="118"/>
      <c r="AD446" s="118"/>
      <c r="AE446" s="283" t="str">
        <f>IF(LEFT($AD446,6)="Is OTE",1,
IF(LEFT($AD446,10)="Is not OTE",0,
""))</f>
        <v/>
      </c>
      <c r="AF446" s="283" t="str">
        <f>IF(RIGHT($AD446,12)="tax withheld",1,
IF(RIGHT($AD446,16)="tax not withheld",0,
""))</f>
        <v/>
      </c>
      <c r="AG446" s="118"/>
      <c r="AH446" s="118"/>
      <c r="AI446" s="283" t="str">
        <f>IF($AH446="FBT",0,
IF($AH446="Not FBT",1,
""))</f>
        <v/>
      </c>
      <c r="AJ446" s="118"/>
      <c r="AK446" s="118"/>
      <c r="AM446" s="118">
        <f>SUM($L446,$AA446,$AC446,$AG446,$AK446)-$AJ446</f>
        <v>3697.576396206533</v>
      </c>
      <c r="AN446" s="118">
        <f t="shared" ref="AN446:AN464" si="464">IF(AND(OR($AF446=1,$AF446=""),OR($AI446=1,$AI446="")),SUM($L446,$AA446,$AC446,$AG446,$AK446)-$AJ446,
IF(AND(OR($AF446=1,$AF446=""),$AI446=0),SUM($L446,$AA446,$AC446,$AK446)-$AJ446,
IF(AND($AF446=0,OR($AI446=1,$AI446="")),SUM($L446,$AA446,$AG446,$AK446)-$AJ446,
IF(AND($AF446=0,$AI446=0),SUM($L446,$AA446,$AK446)-$AJ446,
""))))</f>
        <v>3697.576396206533</v>
      </c>
      <c r="AO446" s="118" t="str">
        <f>IFERROR(
IF(VLOOKUP($C446,'Employee information'!$B:$M,COLUMNS('Employee information'!$B:$M),0)=1,
IF($E$2="Fortnightly",
ROUND(
ROUND((((TRUNC($AN446/2,0)+0.99))*VLOOKUP((TRUNC($AN446/2,0)+0.99),'Tax scales - NAT 1004'!$A$12:$C$18,2,1)-VLOOKUP((TRUNC($AN446/2,0)+0.99),'Tax scales - NAT 1004'!$A$12:$C$18,3,1)),0)
*2,
0),
IF(AND($E$2="Monthly",ROUND($AN446-TRUNC($AN446),2)=0.33),
ROUND(
ROUND(((TRUNC(($AN446+0.01)*3/13,0)+0.99)*VLOOKUP((TRUNC(($AN446+0.01)*3/13,0)+0.99),'Tax scales - NAT 1004'!$A$12:$C$18,2,1)-VLOOKUP((TRUNC(($AN446+0.01)*3/13,0)+0.99),'Tax scales - NAT 1004'!$A$12:$C$18,3,1)),0)
*13/3,
0),
IF($E$2="Monthly",
ROUND(
ROUND(((TRUNC($AN446*3/13,0)+0.99)*VLOOKUP((TRUNC($AN446*3/13,0)+0.99),'Tax scales - NAT 1004'!$A$12:$C$18,2,1)-VLOOKUP((TRUNC($AN446*3/13,0)+0.99),'Tax scales - NAT 1004'!$A$12:$C$18,3,1)),0)
*13/3,
0),
""))),
""),
"")</f>
        <v/>
      </c>
      <c r="AP446" s="118" t="str">
        <f>IFERROR(
IF(VLOOKUP($C446,'Employee information'!$B:$M,COLUMNS('Employee information'!$B:$M),0)=2,
IF($E$2="Fortnightly",
ROUND(
ROUND((((TRUNC($AN446/2,0)+0.99))*VLOOKUP((TRUNC($AN446/2,0)+0.99),'Tax scales - NAT 1004'!$A$25:$C$33,2,1)-VLOOKUP((TRUNC($AN446/2,0)+0.99),'Tax scales - NAT 1004'!$A$25:$C$33,3,1)),0)
*2,
0),
IF(AND($E$2="Monthly",ROUND($AN446-TRUNC($AN446),2)=0.33),
ROUND(
ROUND(((TRUNC(($AN446+0.01)*3/13,0)+0.99)*VLOOKUP((TRUNC(($AN446+0.01)*3/13,0)+0.99),'Tax scales - NAT 1004'!$A$25:$C$33,2,1)-VLOOKUP((TRUNC(($AN446+0.01)*3/13,0)+0.99),'Tax scales - NAT 1004'!$A$25:$C$33,3,1)),0)
*13/3,
0),
IF($E$2="Monthly",
ROUND(
ROUND(((TRUNC($AN446*3/13,0)+0.99)*VLOOKUP((TRUNC($AN446*3/13,0)+0.99),'Tax scales - NAT 1004'!$A$25:$C$33,2,1)-VLOOKUP((TRUNC($AN446*3/13,0)+0.99),'Tax scales - NAT 1004'!$A$25:$C$33,3,1)),0)
*13/3,
0),
""))),
""),
"")</f>
        <v/>
      </c>
      <c r="AQ446" s="118" t="str">
        <f>IFERROR(
IF(VLOOKUP($C446,'Employee information'!$B:$M,COLUMNS('Employee information'!$B:$M),0)=3,
IF($E$2="Fortnightly",
ROUND(
ROUND((((TRUNC($AN446/2,0)+0.99))*VLOOKUP((TRUNC($AN446/2,0)+0.99),'Tax scales - NAT 1004'!$A$39:$C$41,2,1)-VLOOKUP((TRUNC($AN446/2,0)+0.99),'Tax scales - NAT 1004'!$A$39:$C$41,3,1)),0)
*2,
0),
IF(AND($E$2="Monthly",ROUND($AN446-TRUNC($AN446),2)=0.33),
ROUND(
ROUND(((TRUNC(($AN446+0.01)*3/13,0)+0.99)*VLOOKUP((TRUNC(($AN446+0.01)*3/13,0)+0.99),'Tax scales - NAT 1004'!$A$39:$C$41,2,1)-VLOOKUP((TRUNC(($AN446+0.01)*3/13,0)+0.99),'Tax scales - NAT 1004'!$A$39:$C$41,3,1)),0)
*13/3,
0),
IF($E$2="Monthly",
ROUND(
ROUND(((TRUNC($AN446*3/13,0)+0.99)*VLOOKUP((TRUNC($AN446*3/13,0)+0.99),'Tax scales - NAT 1004'!$A$39:$C$41,2,1)-VLOOKUP((TRUNC($AN446*3/13,0)+0.99),'Tax scales - NAT 1004'!$A$39:$C$41,3,1)),0)
*13/3,
0),
""))),
""),
"")</f>
        <v/>
      </c>
      <c r="AR446" s="118" t="str">
        <f>IFERROR(
IF(AND(VLOOKUP($C446,'Employee information'!$B:$M,COLUMNS('Employee information'!$B:$M),0)=4,
VLOOKUP($C446,'Employee information'!$B:$J,COLUMNS('Employee information'!$B:$J),0)="Resident"),
TRUNC(TRUNC($AN446)*'Tax scales - NAT 1004'!$B$47),
IF(AND(VLOOKUP($C446,'Employee information'!$B:$M,COLUMNS('Employee information'!$B:$M),0)=4,
VLOOKUP($C446,'Employee information'!$B:$J,COLUMNS('Employee information'!$B:$J),0)="Foreign resident"),
TRUNC(TRUNC($AN446)*'Tax scales - NAT 1004'!$B$48),
"")),
"")</f>
        <v/>
      </c>
      <c r="AS446" s="118" t="str">
        <f>IFERROR(
IF(VLOOKUP($C446,'Employee information'!$B:$M,COLUMNS('Employee information'!$B:$M),0)=5,
IF($E$2="Fortnightly",
ROUND(
ROUND((((TRUNC($AN446/2,0)+0.99))*VLOOKUP((TRUNC($AN446/2,0)+0.99),'Tax scales - NAT 1004'!$A$53:$C$59,2,1)-VLOOKUP((TRUNC($AN446/2,0)+0.99),'Tax scales - NAT 1004'!$A$53:$C$59,3,1)),0)
*2,
0),
IF(AND($E$2="Monthly",ROUND($AN446-TRUNC($AN446),2)=0.33),
ROUND(
ROUND(((TRUNC(($AN446+0.01)*3/13,0)+0.99)*VLOOKUP((TRUNC(($AN446+0.01)*3/13,0)+0.99),'Tax scales - NAT 1004'!$A$53:$C$59,2,1)-VLOOKUP((TRUNC(($AN446+0.01)*3/13,0)+0.99),'Tax scales - NAT 1004'!$A$53:$C$59,3,1)),0)
*13/3,
0),
IF($E$2="Monthly",
ROUND(
ROUND(((TRUNC($AN446*3/13,0)+0.99)*VLOOKUP((TRUNC($AN446*3/13,0)+0.99),'Tax scales - NAT 1004'!$A$53:$C$59,2,1)-VLOOKUP((TRUNC($AN446*3/13,0)+0.99),'Tax scales - NAT 1004'!$A$53:$C$59,3,1)),0)
*13/3,
0),
""))),
""),
"")</f>
        <v/>
      </c>
      <c r="AT446" s="118" t="str">
        <f>IFERROR(
IF(VLOOKUP($C446,'Employee information'!$B:$M,COLUMNS('Employee information'!$B:$M),0)=6,
IF($E$2="Fortnightly",
ROUND(
ROUND((((TRUNC($AN446/2,0)+0.99))*VLOOKUP((TRUNC($AN446/2,0)+0.99),'Tax scales - NAT 1004'!$A$65:$C$73,2,1)-VLOOKUP((TRUNC($AN446/2,0)+0.99),'Tax scales - NAT 1004'!$A$65:$C$73,3,1)),0)
*2,
0),
IF(AND($E$2="Monthly",ROUND($AN446-TRUNC($AN446),2)=0.33),
ROUND(
ROUND(((TRUNC(($AN446+0.01)*3/13,0)+0.99)*VLOOKUP((TRUNC(($AN446+0.01)*3/13,0)+0.99),'Tax scales - NAT 1004'!$A$65:$C$73,2,1)-VLOOKUP((TRUNC(($AN446+0.01)*3/13,0)+0.99),'Tax scales - NAT 1004'!$A$65:$C$73,3,1)),0)
*13/3,
0),
IF($E$2="Monthly",
ROUND(
ROUND(((TRUNC($AN446*3/13,0)+0.99)*VLOOKUP((TRUNC($AN446*3/13,0)+0.99),'Tax scales - NAT 1004'!$A$65:$C$73,2,1)-VLOOKUP((TRUNC($AN446*3/13,0)+0.99),'Tax scales - NAT 1004'!$A$65:$C$73,3,1)),0)
*13/3,
0),
""))),
""),
"")</f>
        <v/>
      </c>
      <c r="AU446" s="118">
        <f>IFERROR(
IF(VLOOKUP($C446,'Employee information'!$B:$M,COLUMNS('Employee information'!$B:$M),0)=11,
IF($E$2="Fortnightly",
ROUND(
ROUND((((TRUNC($AN446/2,0)+0.99))*VLOOKUP((TRUNC($AN446/2,0)+0.99),'Tax scales - NAT 3539'!$A$14:$C$38,2,1)-VLOOKUP((TRUNC($AN446/2,0)+0.99),'Tax scales - NAT 3539'!$A$14:$C$38,3,1)),0)
*2,
0),
IF(AND($E$2="Monthly",ROUND($AN446-TRUNC($AN446),2)=0.33),
ROUND(
ROUND(((TRUNC(($AN446+0.01)*3/13,0)+0.99)*VLOOKUP((TRUNC(($AN446+0.01)*3/13,0)+0.99),'Tax scales - NAT 3539'!$A$14:$C$38,2,1)-VLOOKUP((TRUNC(($AN446+0.01)*3/13,0)+0.99),'Tax scales - NAT 3539'!$A$14:$C$38,3,1)),0)
*13/3,
0),
IF($E$2="Monthly",
ROUND(
ROUND(((TRUNC($AN446*3/13,0)+0.99)*VLOOKUP((TRUNC($AN446*3/13,0)+0.99),'Tax scales - NAT 3539'!$A$14:$C$38,2,1)-VLOOKUP((TRUNC($AN446*3/13,0)+0.99),'Tax scales - NAT 3539'!$A$14:$C$38,3,1)),0)
*13/3,
0),
""))),
""),
"")</f>
        <v>1448</v>
      </c>
      <c r="AV446" s="118" t="str">
        <f>IFERROR(
IF(VLOOKUP($C446,'Employee information'!$B:$M,COLUMNS('Employee information'!$B:$M),0)=22,
IF($E$2="Fortnightly",
ROUND(
ROUND((((TRUNC($AN446/2,0)+0.99))*VLOOKUP((TRUNC($AN446/2,0)+0.99),'Tax scales - NAT 3539'!$A$43:$C$69,2,1)-VLOOKUP((TRUNC($AN446/2,0)+0.99),'Tax scales - NAT 3539'!$A$43:$C$69,3,1)),0)
*2,
0),
IF(AND($E$2="Monthly",ROUND($AN446-TRUNC($AN446),2)=0.33),
ROUND(
ROUND(((TRUNC(($AN446+0.01)*3/13,0)+0.99)*VLOOKUP((TRUNC(($AN446+0.01)*3/13,0)+0.99),'Tax scales - NAT 3539'!$A$43:$C$69,2,1)-VLOOKUP((TRUNC(($AN446+0.01)*3/13,0)+0.99),'Tax scales - NAT 3539'!$A$43:$C$69,3,1)),0)
*13/3,
0),
IF($E$2="Monthly",
ROUND(
ROUND(((TRUNC($AN446*3/13,0)+0.99)*VLOOKUP((TRUNC($AN446*3/13,0)+0.99),'Tax scales - NAT 3539'!$A$43:$C$69,2,1)-VLOOKUP((TRUNC($AN446*3/13,0)+0.99),'Tax scales - NAT 3539'!$A$43:$C$69,3,1)),0)
*13/3,
0),
""))),
""),
"")</f>
        <v/>
      </c>
      <c r="AW446" s="118" t="str">
        <f>IFERROR(
IF(VLOOKUP($C446,'Employee information'!$B:$M,COLUMNS('Employee information'!$B:$M),0)=33,
IF($E$2="Fortnightly",
ROUND(
ROUND((((TRUNC($AN446/2,0)+0.99))*VLOOKUP((TRUNC($AN446/2,0)+0.99),'Tax scales - NAT 3539'!$A$74:$C$94,2,1)-VLOOKUP((TRUNC($AN446/2,0)+0.99),'Tax scales - NAT 3539'!$A$74:$C$94,3,1)),0)
*2,
0),
IF(AND($E$2="Monthly",ROUND($AN446-TRUNC($AN446),2)=0.33),
ROUND(
ROUND(((TRUNC(($AN446+0.01)*3/13,0)+0.99)*VLOOKUP((TRUNC(($AN446+0.01)*3/13,0)+0.99),'Tax scales - NAT 3539'!$A$74:$C$94,2,1)-VLOOKUP((TRUNC(($AN446+0.01)*3/13,0)+0.99),'Tax scales - NAT 3539'!$A$74:$C$94,3,1)),0)
*13/3,
0),
IF($E$2="Monthly",
ROUND(
ROUND(((TRUNC($AN446*3/13,0)+0.99)*VLOOKUP((TRUNC($AN446*3/13,0)+0.99),'Tax scales - NAT 3539'!$A$74:$C$94,2,1)-VLOOKUP((TRUNC($AN446*3/13,0)+0.99),'Tax scales - NAT 3539'!$A$74:$C$94,3,1)),0)
*13/3,
0),
""))),
""),
"")</f>
        <v/>
      </c>
      <c r="AX446" s="118" t="str">
        <f>IFERROR(
IF(VLOOKUP($C446,'Employee information'!$B:$M,COLUMNS('Employee information'!$B:$M),0)=55,
IF($E$2="Fortnightly",
ROUND(
ROUND((((TRUNC($AN446/2,0)+0.99))*VLOOKUP((TRUNC($AN446/2,0)+0.99),'Tax scales - NAT 3539'!$A$99:$C$123,2,1)-VLOOKUP((TRUNC($AN446/2,0)+0.99),'Tax scales - NAT 3539'!$A$99:$C$123,3,1)),0)
*2,
0),
IF(AND($E$2="Monthly",ROUND($AN446-TRUNC($AN446),2)=0.33),
ROUND(
ROUND(((TRUNC(($AN446+0.01)*3/13,0)+0.99)*VLOOKUP((TRUNC(($AN446+0.01)*3/13,0)+0.99),'Tax scales - NAT 3539'!$A$99:$C$123,2,1)-VLOOKUP((TRUNC(($AN446+0.01)*3/13,0)+0.99),'Tax scales - NAT 3539'!$A$99:$C$123,3,1)),0)
*13/3,
0),
IF($E$2="Monthly",
ROUND(
ROUND(((TRUNC($AN446*3/13,0)+0.99)*VLOOKUP((TRUNC($AN446*3/13,0)+0.99),'Tax scales - NAT 3539'!$A$99:$C$123,2,1)-VLOOKUP((TRUNC($AN446*3/13,0)+0.99),'Tax scales - NAT 3539'!$A$99:$C$123,3,1)),0)
*13/3,
0),
""))),
""),
"")</f>
        <v/>
      </c>
      <c r="AY446" s="118" t="str">
        <f>IFERROR(
IF(VLOOKUP($C446,'Employee information'!$B:$M,COLUMNS('Employee information'!$B:$M),0)=66,
IF($E$2="Fortnightly",
ROUND(
ROUND((((TRUNC($AN446/2,0)+0.99))*VLOOKUP((TRUNC($AN446/2,0)+0.99),'Tax scales - NAT 3539'!$A$127:$C$154,2,1)-VLOOKUP((TRUNC($AN446/2,0)+0.99),'Tax scales - NAT 3539'!$A$127:$C$154,3,1)),0)
*2,
0),
IF(AND($E$2="Monthly",ROUND($AN446-TRUNC($AN446),2)=0.33),
ROUND(
ROUND(((TRUNC(($AN446+0.01)*3/13,0)+0.99)*VLOOKUP((TRUNC(($AN446+0.01)*3/13,0)+0.99),'Tax scales - NAT 3539'!$A$127:$C$154,2,1)-VLOOKUP((TRUNC(($AN446+0.01)*3/13,0)+0.99),'Tax scales - NAT 3539'!$A$127:$C$154,3,1)),0)
*13/3,
0),
IF($E$2="Monthly",
ROUND(
ROUND(((TRUNC($AN446*3/13,0)+0.99)*VLOOKUP((TRUNC($AN446*3/13,0)+0.99),'Tax scales - NAT 3539'!$A$127:$C$154,2,1)-VLOOKUP((TRUNC($AN446*3/13,0)+0.99),'Tax scales - NAT 3539'!$A$127:$C$154,3,1)),0)
*13/3,
0),
""))),
""),
"")</f>
        <v/>
      </c>
      <c r="AZ446" s="118">
        <f>IFERROR(
HLOOKUP(VLOOKUP($C446,'Employee information'!$B:$M,COLUMNS('Employee information'!$B:$M),0),'PAYG worksheet'!$AO$445:$AY$464,COUNTA($C$446:$C446)+1,0),
0)</f>
        <v>1448</v>
      </c>
      <c r="BA446" s="118"/>
      <c r="BB446" s="118">
        <f>IFERROR($AM446-$AZ446-$BA446,"")</f>
        <v>2249.576396206533</v>
      </c>
      <c r="BC446" s="119">
        <f>IFERROR(
IF(OR($AE446=1,$AE446=""),SUM($P446,$AA446,$AC446,$AK446)*VLOOKUP($C446,'Employee information'!$B:$Q,COLUMNS('Employee information'!$B:$H),0),
IF($AE446=0,SUM($P446,$AA446,$AK446)*VLOOKUP($C446,'Employee information'!$B:$Q,COLUMNS('Employee information'!$B:$H),0),
0)),
0)</f>
        <v>351.26975763962065</v>
      </c>
      <c r="BE446" s="114">
        <f t="shared" ref="BE446:BE464" si="465">IF(AND($E$2="Monthly",$A446&gt;12),"",
SUMIFS($AM:$AM,$C:$C,$C446,$A:$A,"&lt;="&amp;$A446)
)</f>
        <v>59161.222339304521</v>
      </c>
      <c r="BF446" s="114">
        <f t="shared" ref="BF446:BF464" si="466">IF(AND($E$2="Monthly",$A446&gt;12),"",
SUMIFS($AN:$AN,$C:$C,$C446,$A:$A,"&lt;="&amp;$A446)
)</f>
        <v>59161.222339304521</v>
      </c>
      <c r="BG446" s="114">
        <f t="shared" ref="BG446:BG464" si="467">IF(AND($E$2="Monthly",$A446&gt;12),"",
SUMIFS($AC:$AC,$C:$C,$C446,$A:$A,"&lt;="&amp;$A446)
)</f>
        <v>0</v>
      </c>
      <c r="BH446" s="114">
        <f t="shared" ref="BH446:BH464" si="468">IF(AND($E$2="Monthly",$A446&gt;12),"",
SUMIFS($AG:$AG,$C:$C,$C446,$A:$A,"&lt;="&amp;$A446)
)</f>
        <v>0</v>
      </c>
      <c r="BI446" s="114">
        <f t="shared" ref="BI446:BI464" si="469">IF(AND($E$2="Monthly",$A446&gt;12),"",
SUMIFS($AZ:$AZ,$C:$C,$C446,$A:$A,"&lt;="&amp;$A446)
)</f>
        <v>23168</v>
      </c>
      <c r="BJ446" s="114">
        <f t="shared" ref="BJ446:BJ464" si="470">IF(AND($E$2="Monthly",$A446&gt;12),"",
SUMIFS($BA:$BA,$C:$C,$C446,$A:$A,"&lt;="&amp;$A446)
)</f>
        <v>0</v>
      </c>
      <c r="BK446" s="114">
        <f t="shared" ref="BK446:BK464" si="471">IF(AND($E$2="Monthly",$A446&gt;12),"",
SUMIFS($AJ:$AJ,$C:$C,$C446,$A:$A,"&lt;="&amp;$A446)
)</f>
        <v>0</v>
      </c>
      <c r="BL446" s="114">
        <f>IF(AND($E$2="Monthly",$A446&gt;12),"",
SUMIFS($AK:$AK,$C:$C,$C446,$A:$A,"&lt;="&amp;$A446)
)</f>
        <v>0</v>
      </c>
      <c r="BM446" s="114">
        <f t="shared" ref="BM446:BM464" si="472">IF(AND($E$2="Monthly",$A446&gt;12),"",
SUMIFS($BC:$BC,$C:$C,$C446,$A:$A,"&lt;="&amp;$A446)
)</f>
        <v>5620.3161222339304</v>
      </c>
    </row>
    <row r="447" spans="1:65" x14ac:dyDescent="0.25">
      <c r="A447" s="228">
        <f t="shared" si="460"/>
        <v>16</v>
      </c>
      <c r="C447" s="278" t="s">
        <v>13</v>
      </c>
      <c r="E447" s="103">
        <f>IF($C447="",0,
IF(AND($E$2="Monthly",$A447&gt;12),0,
IF($E$2="Monthly",VLOOKUP($C447,'Employee information'!$B:$AM,COLUMNS('Employee information'!$B:S),0),
IF($E$2="Fortnightly",VLOOKUP($C447,'Employee information'!$B:$AM,COLUMNS('Employee information'!$B:R),0),
0))))</f>
        <v>0</v>
      </c>
      <c r="F447" s="106"/>
      <c r="G447" s="106"/>
      <c r="H447" s="106"/>
      <c r="I447" s="106"/>
      <c r="J447" s="103">
        <f t="shared" ref="J447:J464" si="473">IF($E$2="Monthly",
IF(AND($E$2="Monthly",$H447&lt;&gt;""),$H447,
IF(AND($E$2="Monthly",$E447=0),SUM($F447:$G447),
$E447)),
IF($E$2="Fortnightly",
IF(AND($E$2="Fortnightly",$H447&lt;&gt;""),$H447,
IF(AND($E$2="Fortnightly",$F447&lt;&gt;"",$E447&lt;&gt;0),$F447,
IF(AND($E$2="Fortnightly",$E447=0),SUM($F447:$G447),
$E447)))))</f>
        <v>0</v>
      </c>
      <c r="L447" s="113">
        <f>IF(AND($E$2="Monthly",$A447&gt;12),"",
IFERROR($J447*VLOOKUP($C447,'Employee information'!$B:$AI,COLUMNS('Employee information'!$B:$P),0),0))</f>
        <v>0</v>
      </c>
      <c r="M447" s="114">
        <f t="shared" ref="M447:M464" si="474">IF(AND($E$2="Monthly",$A447&gt;12),"",
SUMIFS($L:$L,$C:$C,$C447,$A:$A,"&lt;="&amp;$A447)
)</f>
        <v>1615.3846153846152</v>
      </c>
      <c r="O447" s="103">
        <f t="shared" ref="O447:O464" si="475">IF($E$2="Monthly",
IF(AND($E$2="Monthly",$H447&lt;&gt;""),$H447,
IF(AND($E$2="Monthly",$E447=0),$F447,
$E447)),
IF($E$2="Fortnightly",
IF(AND($E$2="Fortnightly",$H447&lt;&gt;""),$H447,
IF(AND($E$2="Fortnightly",$F447&lt;&gt;"",$E447&lt;&gt;0),$F447,
IF(AND($E$2="Fortnightly",$E447=0),$F447,
$E447)))))</f>
        <v>0</v>
      </c>
      <c r="P447" s="113">
        <f>IFERROR(
IF(AND($E$2="Monthly",$A447&gt;12),0,
$O447*VLOOKUP($C447,'Employee information'!$B:$AI,COLUMNS('Employee information'!$B:$P),0)),
0)</f>
        <v>0</v>
      </c>
      <c r="R447" s="114">
        <f t="shared" si="461"/>
        <v>1615.3846153846152</v>
      </c>
      <c r="T447" s="103"/>
      <c r="U447" s="103"/>
      <c r="V447" s="282">
        <f>IF($C447="","",
IF(AND($E$2="Monthly",$A447&gt;12),"",
$T447*VLOOKUP($C447,'Employee information'!$B:$P,COLUMNS('Employee information'!$B:$P),0)))</f>
        <v>0</v>
      </c>
      <c r="W447" s="282">
        <f>IF($C447="","",
IF(AND($E$2="Monthly",$A447&gt;12),"",
$U447*VLOOKUP($C447,'Employee information'!$B:$P,COLUMNS('Employee information'!$B:$P),0)))</f>
        <v>0</v>
      </c>
      <c r="X447" s="114">
        <f t="shared" si="462"/>
        <v>0</v>
      </c>
      <c r="Y447" s="114">
        <f t="shared" si="463"/>
        <v>288.46153846153845</v>
      </c>
      <c r="AA447" s="118">
        <f>IFERROR(
IF(OR('Basic payroll data'!$D$12="",'Basic payroll data'!$D$12="No"),0,
$T447*VLOOKUP($C447,'Employee information'!$B:$P,COLUMNS('Employee information'!$B:$P),0)*AL_loading_perc),
0)</f>
        <v>0</v>
      </c>
      <c r="AC447" s="118"/>
      <c r="AD447" s="118"/>
      <c r="AE447" s="283" t="str">
        <f t="shared" ref="AE447:AE464" si="476">IF(LEFT($AD447,6)="Is OTE",1,
IF(LEFT($AD447,10)="Is not OTE",0,
""))</f>
        <v/>
      </c>
      <c r="AF447" s="283" t="str">
        <f t="shared" ref="AF447:AF464" si="477">IF(RIGHT($AD447,12)="tax withheld",1,
IF(RIGHT($AD447,16)="tax not withheld",0,
""))</f>
        <v/>
      </c>
      <c r="AG447" s="118"/>
      <c r="AH447" s="118"/>
      <c r="AI447" s="283" t="str">
        <f t="shared" ref="AI447:AI464" si="478">IF($AH447="FBT",0,
IF($AH447="Not FBT",1,
""))</f>
        <v/>
      </c>
      <c r="AJ447" s="118"/>
      <c r="AK447" s="118"/>
      <c r="AM447" s="118">
        <f t="shared" ref="AM447:AM464" si="479">SUM($L447,$AA447,$AC447,$AG447,$AK447)-$AJ447</f>
        <v>0</v>
      </c>
      <c r="AN447" s="118">
        <f t="shared" si="464"/>
        <v>0</v>
      </c>
      <c r="AO447" s="118" t="str">
        <f>IFERROR(
IF(VLOOKUP($C447,'Employee information'!$B:$M,COLUMNS('Employee information'!$B:$M),0)=1,
IF($E$2="Fortnightly",
ROUND(
ROUND((((TRUNC($AN447/2,0)+0.99))*VLOOKUP((TRUNC($AN447/2,0)+0.99),'Tax scales - NAT 1004'!$A$12:$C$18,2,1)-VLOOKUP((TRUNC($AN447/2,0)+0.99),'Tax scales - NAT 1004'!$A$12:$C$18,3,1)),0)
*2,
0),
IF(AND($E$2="Monthly",ROUND($AN447-TRUNC($AN447),2)=0.33),
ROUND(
ROUND(((TRUNC(($AN447+0.01)*3/13,0)+0.99)*VLOOKUP((TRUNC(($AN447+0.01)*3/13,0)+0.99),'Tax scales - NAT 1004'!$A$12:$C$18,2,1)-VLOOKUP((TRUNC(($AN447+0.01)*3/13,0)+0.99),'Tax scales - NAT 1004'!$A$12:$C$18,3,1)),0)
*13/3,
0),
IF($E$2="Monthly",
ROUND(
ROUND(((TRUNC($AN447*3/13,0)+0.99)*VLOOKUP((TRUNC($AN447*3/13,0)+0.99),'Tax scales - NAT 1004'!$A$12:$C$18,2,1)-VLOOKUP((TRUNC($AN447*3/13,0)+0.99),'Tax scales - NAT 1004'!$A$12:$C$18,3,1)),0)
*13/3,
0),
""))),
""),
"")</f>
        <v/>
      </c>
      <c r="AP447" s="118" t="str">
        <f>IFERROR(
IF(VLOOKUP($C447,'Employee information'!$B:$M,COLUMNS('Employee information'!$B:$M),0)=2,
IF($E$2="Fortnightly",
ROUND(
ROUND((((TRUNC($AN447/2,0)+0.99))*VLOOKUP((TRUNC($AN447/2,0)+0.99),'Tax scales - NAT 1004'!$A$25:$C$33,2,1)-VLOOKUP((TRUNC($AN447/2,0)+0.99),'Tax scales - NAT 1004'!$A$25:$C$33,3,1)),0)
*2,
0),
IF(AND($E$2="Monthly",ROUND($AN447-TRUNC($AN447),2)=0.33),
ROUND(
ROUND(((TRUNC(($AN447+0.01)*3/13,0)+0.99)*VLOOKUP((TRUNC(($AN447+0.01)*3/13,0)+0.99),'Tax scales - NAT 1004'!$A$25:$C$33,2,1)-VLOOKUP((TRUNC(($AN447+0.01)*3/13,0)+0.99),'Tax scales - NAT 1004'!$A$25:$C$33,3,1)),0)
*13/3,
0),
IF($E$2="Monthly",
ROUND(
ROUND(((TRUNC($AN447*3/13,0)+0.99)*VLOOKUP((TRUNC($AN447*3/13,0)+0.99),'Tax scales - NAT 1004'!$A$25:$C$33,2,1)-VLOOKUP((TRUNC($AN447*3/13,0)+0.99),'Tax scales - NAT 1004'!$A$25:$C$33,3,1)),0)
*13/3,
0),
""))),
""),
"")</f>
        <v/>
      </c>
      <c r="AQ447" s="118" t="str">
        <f>IFERROR(
IF(VLOOKUP($C447,'Employee information'!$B:$M,COLUMNS('Employee information'!$B:$M),0)=3,
IF($E$2="Fortnightly",
ROUND(
ROUND((((TRUNC($AN447/2,0)+0.99))*VLOOKUP((TRUNC($AN447/2,0)+0.99),'Tax scales - NAT 1004'!$A$39:$C$41,2,1)-VLOOKUP((TRUNC($AN447/2,0)+0.99),'Tax scales - NAT 1004'!$A$39:$C$41,3,1)),0)
*2,
0),
IF(AND($E$2="Monthly",ROUND($AN447-TRUNC($AN447),2)=0.33),
ROUND(
ROUND(((TRUNC(($AN447+0.01)*3/13,0)+0.99)*VLOOKUP((TRUNC(($AN447+0.01)*3/13,0)+0.99),'Tax scales - NAT 1004'!$A$39:$C$41,2,1)-VLOOKUP((TRUNC(($AN447+0.01)*3/13,0)+0.99),'Tax scales - NAT 1004'!$A$39:$C$41,3,1)),0)
*13/3,
0),
IF($E$2="Monthly",
ROUND(
ROUND(((TRUNC($AN447*3/13,0)+0.99)*VLOOKUP((TRUNC($AN447*3/13,0)+0.99),'Tax scales - NAT 1004'!$A$39:$C$41,2,1)-VLOOKUP((TRUNC($AN447*3/13,0)+0.99),'Tax scales - NAT 1004'!$A$39:$C$41,3,1)),0)
*13/3,
0),
""))),
""),
"")</f>
        <v/>
      </c>
      <c r="AR447" s="118" t="str">
        <f>IFERROR(
IF(AND(VLOOKUP($C447,'Employee information'!$B:$M,COLUMNS('Employee information'!$B:$M),0)=4,
VLOOKUP($C447,'Employee information'!$B:$J,COLUMNS('Employee information'!$B:$J),0)="Resident"),
TRUNC(TRUNC($AN447)*'Tax scales - NAT 1004'!$B$47),
IF(AND(VLOOKUP($C447,'Employee information'!$B:$M,COLUMNS('Employee information'!$B:$M),0)=4,
VLOOKUP($C447,'Employee information'!$B:$J,COLUMNS('Employee information'!$B:$J),0)="Foreign resident"),
TRUNC(TRUNC($AN447)*'Tax scales - NAT 1004'!$B$48),
"")),
"")</f>
        <v/>
      </c>
      <c r="AS447" s="118" t="str">
        <f>IFERROR(
IF(VLOOKUP($C447,'Employee information'!$B:$M,COLUMNS('Employee information'!$B:$M),0)=5,
IF($E$2="Fortnightly",
ROUND(
ROUND((((TRUNC($AN447/2,0)+0.99))*VLOOKUP((TRUNC($AN447/2,0)+0.99),'Tax scales - NAT 1004'!$A$53:$C$59,2,1)-VLOOKUP((TRUNC($AN447/2,0)+0.99),'Tax scales - NAT 1004'!$A$53:$C$59,3,1)),0)
*2,
0),
IF(AND($E$2="Monthly",ROUND($AN447-TRUNC($AN447),2)=0.33),
ROUND(
ROUND(((TRUNC(($AN447+0.01)*3/13,0)+0.99)*VLOOKUP((TRUNC(($AN447+0.01)*3/13,0)+0.99),'Tax scales - NAT 1004'!$A$53:$C$59,2,1)-VLOOKUP((TRUNC(($AN447+0.01)*3/13,0)+0.99),'Tax scales - NAT 1004'!$A$53:$C$59,3,1)),0)
*13/3,
0),
IF($E$2="Monthly",
ROUND(
ROUND(((TRUNC($AN447*3/13,0)+0.99)*VLOOKUP((TRUNC($AN447*3/13,0)+0.99),'Tax scales - NAT 1004'!$A$53:$C$59,2,1)-VLOOKUP((TRUNC($AN447*3/13,0)+0.99),'Tax scales - NAT 1004'!$A$53:$C$59,3,1)),0)
*13/3,
0),
""))),
""),
"")</f>
        <v/>
      </c>
      <c r="AT447" s="118" t="str">
        <f>IFERROR(
IF(VLOOKUP($C447,'Employee information'!$B:$M,COLUMNS('Employee information'!$B:$M),0)=6,
IF($E$2="Fortnightly",
ROUND(
ROUND((((TRUNC($AN447/2,0)+0.99))*VLOOKUP((TRUNC($AN447/2,0)+0.99),'Tax scales - NAT 1004'!$A$65:$C$73,2,1)-VLOOKUP((TRUNC($AN447/2,0)+0.99),'Tax scales - NAT 1004'!$A$65:$C$73,3,1)),0)
*2,
0),
IF(AND($E$2="Monthly",ROUND($AN447-TRUNC($AN447),2)=0.33),
ROUND(
ROUND(((TRUNC(($AN447+0.01)*3/13,0)+0.99)*VLOOKUP((TRUNC(($AN447+0.01)*3/13,0)+0.99),'Tax scales - NAT 1004'!$A$65:$C$73,2,1)-VLOOKUP((TRUNC(($AN447+0.01)*3/13,0)+0.99),'Tax scales - NAT 1004'!$A$65:$C$73,3,1)),0)
*13/3,
0),
IF($E$2="Monthly",
ROUND(
ROUND(((TRUNC($AN447*3/13,0)+0.99)*VLOOKUP((TRUNC($AN447*3/13,0)+0.99),'Tax scales - NAT 1004'!$A$65:$C$73,2,1)-VLOOKUP((TRUNC($AN447*3/13,0)+0.99),'Tax scales - NAT 1004'!$A$65:$C$73,3,1)),0)
*13/3,
0),
""))),
""),
"")</f>
        <v/>
      </c>
      <c r="AU447" s="118">
        <f>IFERROR(
IF(VLOOKUP($C447,'Employee information'!$B:$M,COLUMNS('Employee information'!$B:$M),0)=11,
IF($E$2="Fortnightly",
ROUND(
ROUND((((TRUNC($AN447/2,0)+0.99))*VLOOKUP((TRUNC($AN447/2,0)+0.99),'Tax scales - NAT 3539'!$A$14:$C$38,2,1)-VLOOKUP((TRUNC($AN447/2,0)+0.99),'Tax scales - NAT 3539'!$A$14:$C$38,3,1)),0)
*2,
0),
IF(AND($E$2="Monthly",ROUND($AN447-TRUNC($AN447),2)=0.33),
ROUND(
ROUND(((TRUNC(($AN447+0.01)*3/13,0)+0.99)*VLOOKUP((TRUNC(($AN447+0.01)*3/13,0)+0.99),'Tax scales - NAT 3539'!$A$14:$C$38,2,1)-VLOOKUP((TRUNC(($AN447+0.01)*3/13,0)+0.99),'Tax scales - NAT 3539'!$A$14:$C$38,3,1)),0)
*13/3,
0),
IF($E$2="Monthly",
ROUND(
ROUND(((TRUNC($AN447*3/13,0)+0.99)*VLOOKUP((TRUNC($AN447*3/13,0)+0.99),'Tax scales - NAT 3539'!$A$14:$C$38,2,1)-VLOOKUP((TRUNC($AN447*3/13,0)+0.99),'Tax scales - NAT 3539'!$A$14:$C$38,3,1)),0)
*13/3,
0),
""))),
""),
"")</f>
        <v>0</v>
      </c>
      <c r="AV447" s="118" t="str">
        <f>IFERROR(
IF(VLOOKUP($C447,'Employee information'!$B:$M,COLUMNS('Employee information'!$B:$M),0)=22,
IF($E$2="Fortnightly",
ROUND(
ROUND((((TRUNC($AN447/2,0)+0.99))*VLOOKUP((TRUNC($AN447/2,0)+0.99),'Tax scales - NAT 3539'!$A$43:$C$69,2,1)-VLOOKUP((TRUNC($AN447/2,0)+0.99),'Tax scales - NAT 3539'!$A$43:$C$69,3,1)),0)
*2,
0),
IF(AND($E$2="Monthly",ROUND($AN447-TRUNC($AN447),2)=0.33),
ROUND(
ROUND(((TRUNC(($AN447+0.01)*3/13,0)+0.99)*VLOOKUP((TRUNC(($AN447+0.01)*3/13,0)+0.99),'Tax scales - NAT 3539'!$A$43:$C$69,2,1)-VLOOKUP((TRUNC(($AN447+0.01)*3/13,0)+0.99),'Tax scales - NAT 3539'!$A$43:$C$69,3,1)),0)
*13/3,
0),
IF($E$2="Monthly",
ROUND(
ROUND(((TRUNC($AN447*3/13,0)+0.99)*VLOOKUP((TRUNC($AN447*3/13,0)+0.99),'Tax scales - NAT 3539'!$A$43:$C$69,2,1)-VLOOKUP((TRUNC($AN447*3/13,0)+0.99),'Tax scales - NAT 3539'!$A$43:$C$69,3,1)),0)
*13/3,
0),
""))),
""),
"")</f>
        <v/>
      </c>
      <c r="AW447" s="118" t="str">
        <f>IFERROR(
IF(VLOOKUP($C447,'Employee information'!$B:$M,COLUMNS('Employee information'!$B:$M),0)=33,
IF($E$2="Fortnightly",
ROUND(
ROUND((((TRUNC($AN447/2,0)+0.99))*VLOOKUP((TRUNC($AN447/2,0)+0.99),'Tax scales - NAT 3539'!$A$74:$C$94,2,1)-VLOOKUP((TRUNC($AN447/2,0)+0.99),'Tax scales - NAT 3539'!$A$74:$C$94,3,1)),0)
*2,
0),
IF(AND($E$2="Monthly",ROUND($AN447-TRUNC($AN447),2)=0.33),
ROUND(
ROUND(((TRUNC(($AN447+0.01)*3/13,0)+0.99)*VLOOKUP((TRUNC(($AN447+0.01)*3/13,0)+0.99),'Tax scales - NAT 3539'!$A$74:$C$94,2,1)-VLOOKUP((TRUNC(($AN447+0.01)*3/13,0)+0.99),'Tax scales - NAT 3539'!$A$74:$C$94,3,1)),0)
*13/3,
0),
IF($E$2="Monthly",
ROUND(
ROUND(((TRUNC($AN447*3/13,0)+0.99)*VLOOKUP((TRUNC($AN447*3/13,0)+0.99),'Tax scales - NAT 3539'!$A$74:$C$94,2,1)-VLOOKUP((TRUNC($AN447*3/13,0)+0.99),'Tax scales - NAT 3539'!$A$74:$C$94,3,1)),0)
*13/3,
0),
""))),
""),
"")</f>
        <v/>
      </c>
      <c r="AX447" s="118" t="str">
        <f>IFERROR(
IF(VLOOKUP($C447,'Employee information'!$B:$M,COLUMNS('Employee information'!$B:$M),0)=55,
IF($E$2="Fortnightly",
ROUND(
ROUND((((TRUNC($AN447/2,0)+0.99))*VLOOKUP((TRUNC($AN447/2,0)+0.99),'Tax scales - NAT 3539'!$A$99:$C$123,2,1)-VLOOKUP((TRUNC($AN447/2,0)+0.99),'Tax scales - NAT 3539'!$A$99:$C$123,3,1)),0)
*2,
0),
IF(AND($E$2="Monthly",ROUND($AN447-TRUNC($AN447),2)=0.33),
ROUND(
ROUND(((TRUNC(($AN447+0.01)*3/13,0)+0.99)*VLOOKUP((TRUNC(($AN447+0.01)*3/13,0)+0.99),'Tax scales - NAT 3539'!$A$99:$C$123,2,1)-VLOOKUP((TRUNC(($AN447+0.01)*3/13,0)+0.99),'Tax scales - NAT 3539'!$A$99:$C$123,3,1)),0)
*13/3,
0),
IF($E$2="Monthly",
ROUND(
ROUND(((TRUNC($AN447*3/13,0)+0.99)*VLOOKUP((TRUNC($AN447*3/13,0)+0.99),'Tax scales - NAT 3539'!$A$99:$C$123,2,1)-VLOOKUP((TRUNC($AN447*3/13,0)+0.99),'Tax scales - NAT 3539'!$A$99:$C$123,3,1)),0)
*13/3,
0),
""))),
""),
"")</f>
        <v/>
      </c>
      <c r="AY447" s="118" t="str">
        <f>IFERROR(
IF(VLOOKUP($C447,'Employee information'!$B:$M,COLUMNS('Employee information'!$B:$M),0)=66,
IF($E$2="Fortnightly",
ROUND(
ROUND((((TRUNC($AN447/2,0)+0.99))*VLOOKUP((TRUNC($AN447/2,0)+0.99),'Tax scales - NAT 3539'!$A$127:$C$154,2,1)-VLOOKUP((TRUNC($AN447/2,0)+0.99),'Tax scales - NAT 3539'!$A$127:$C$154,3,1)),0)
*2,
0),
IF(AND($E$2="Monthly",ROUND($AN447-TRUNC($AN447),2)=0.33),
ROUND(
ROUND(((TRUNC(($AN447+0.01)*3/13,0)+0.99)*VLOOKUP((TRUNC(($AN447+0.01)*3/13,0)+0.99),'Tax scales - NAT 3539'!$A$127:$C$154,2,1)-VLOOKUP((TRUNC(($AN447+0.01)*3/13,0)+0.99),'Tax scales - NAT 3539'!$A$127:$C$154,3,1)),0)
*13/3,
0),
IF($E$2="Monthly",
ROUND(
ROUND(((TRUNC($AN447*3/13,0)+0.99)*VLOOKUP((TRUNC($AN447*3/13,0)+0.99),'Tax scales - NAT 3539'!$A$127:$C$154,2,1)-VLOOKUP((TRUNC($AN447*3/13,0)+0.99),'Tax scales - NAT 3539'!$A$127:$C$154,3,1)),0)
*13/3,
0),
""))),
""),
"")</f>
        <v/>
      </c>
      <c r="AZ447" s="118">
        <f>IFERROR(
HLOOKUP(VLOOKUP($C447,'Employee information'!$B:$M,COLUMNS('Employee information'!$B:$M),0),'PAYG worksheet'!$AO$445:$AY$464,COUNTA($C$446:$C447)+1,0),
0)</f>
        <v>0</v>
      </c>
      <c r="BA447" s="118"/>
      <c r="BB447" s="118">
        <f t="shared" ref="BB447:BB464" si="480">IFERROR($AM447-$AZ447-$BA447,"")</f>
        <v>0</v>
      </c>
      <c r="BC447" s="119">
        <f>IFERROR(
IF(OR($AE447=1,$AE447=""),SUM($P447,$AA447,$AC447,$AK447)*VLOOKUP($C447,'Employee information'!$B:$Q,COLUMNS('Employee information'!$B:$H),0),
IF($AE447=0,SUM($P447,$AA447,$AK447)*VLOOKUP($C447,'Employee information'!$B:$Q,COLUMNS('Employee information'!$B:$H),0),
0)),
0)</f>
        <v>0</v>
      </c>
      <c r="BE447" s="114">
        <f t="shared" si="465"/>
        <v>1615.3846153846152</v>
      </c>
      <c r="BF447" s="114">
        <f t="shared" si="466"/>
        <v>1615.3846153846152</v>
      </c>
      <c r="BG447" s="114">
        <f t="shared" si="467"/>
        <v>0</v>
      </c>
      <c r="BH447" s="114">
        <f t="shared" si="468"/>
        <v>0</v>
      </c>
      <c r="BI447" s="114">
        <f t="shared" si="469"/>
        <v>474</v>
      </c>
      <c r="BJ447" s="114">
        <f t="shared" si="470"/>
        <v>0</v>
      </c>
      <c r="BK447" s="114">
        <f t="shared" si="471"/>
        <v>0</v>
      </c>
      <c r="BL447" s="114">
        <f t="shared" ref="BL447:BL464" si="481">IF(AND($E$2="Monthly",$A447&gt;12),"",
SUMIFS($AK:$AK,$C:$C,$C447,$A:$A,"&lt;="&amp;$A447)
)</f>
        <v>0</v>
      </c>
      <c r="BM447" s="114">
        <f t="shared" si="472"/>
        <v>153.46153846153845</v>
      </c>
    </row>
    <row r="448" spans="1:65" x14ac:dyDescent="0.25">
      <c r="A448" s="228">
        <f t="shared" si="460"/>
        <v>16</v>
      </c>
      <c r="C448" s="278" t="s">
        <v>14</v>
      </c>
      <c r="E448" s="103">
        <f>IF($C448="",0,
IF(AND($E$2="Monthly",$A448&gt;12),0,
IF($E$2="Monthly",VLOOKUP($C448,'Employee information'!$B:$AM,COLUMNS('Employee information'!$B:S),0),
IF($E$2="Fortnightly",VLOOKUP($C448,'Employee information'!$B:$AM,COLUMNS('Employee information'!$B:R),0),
0))))</f>
        <v>0</v>
      </c>
      <c r="F448" s="106"/>
      <c r="G448" s="106"/>
      <c r="H448" s="106"/>
      <c r="I448" s="106"/>
      <c r="J448" s="103">
        <f t="shared" si="473"/>
        <v>0</v>
      </c>
      <c r="L448" s="113">
        <f>IF(AND($E$2="Monthly",$A448&gt;12),"",
IFERROR($J448*VLOOKUP($C448,'Employee information'!$B:$AI,COLUMNS('Employee information'!$B:$P),0),0))</f>
        <v>0</v>
      </c>
      <c r="M448" s="114">
        <f t="shared" si="474"/>
        <v>900</v>
      </c>
      <c r="O448" s="103">
        <f t="shared" si="475"/>
        <v>0</v>
      </c>
      <c r="P448" s="113">
        <f>IFERROR(
IF(AND($E$2="Monthly",$A448&gt;12),0,
$O448*VLOOKUP($C448,'Employee information'!$B:$AI,COLUMNS('Employee information'!$B:$P),0)),
0)</f>
        <v>0</v>
      </c>
      <c r="R448" s="114">
        <f t="shared" si="461"/>
        <v>900</v>
      </c>
      <c r="T448" s="103"/>
      <c r="U448" s="103"/>
      <c r="V448" s="282">
        <f>IF($C448="","",
IF(AND($E$2="Monthly",$A448&gt;12),"",
$T448*VLOOKUP($C448,'Employee information'!$B:$P,COLUMNS('Employee information'!$B:$P),0)))</f>
        <v>0</v>
      </c>
      <c r="W448" s="282">
        <f>IF($C448="","",
IF(AND($E$2="Monthly",$A448&gt;12),"",
$U448*VLOOKUP($C448,'Employee information'!$B:$P,COLUMNS('Employee information'!$B:$P),0)))</f>
        <v>0</v>
      </c>
      <c r="X448" s="114">
        <f t="shared" si="462"/>
        <v>0</v>
      </c>
      <c r="Y448" s="114">
        <f t="shared" si="463"/>
        <v>0</v>
      </c>
      <c r="AA448" s="118">
        <f>IFERROR(
IF(OR('Basic payroll data'!$D$12="",'Basic payroll data'!$D$12="No"),0,
$T448*VLOOKUP($C448,'Employee information'!$B:$P,COLUMNS('Employee information'!$B:$P),0)*AL_loading_perc),
0)</f>
        <v>0</v>
      </c>
      <c r="AC448" s="118"/>
      <c r="AD448" s="118"/>
      <c r="AE448" s="283" t="str">
        <f t="shared" si="476"/>
        <v/>
      </c>
      <c r="AF448" s="283" t="str">
        <f t="shared" si="477"/>
        <v/>
      </c>
      <c r="AG448" s="118"/>
      <c r="AH448" s="118"/>
      <c r="AI448" s="283" t="str">
        <f t="shared" si="478"/>
        <v/>
      </c>
      <c r="AJ448" s="118"/>
      <c r="AK448" s="118"/>
      <c r="AM448" s="118">
        <f t="shared" si="479"/>
        <v>0</v>
      </c>
      <c r="AN448" s="118">
        <f t="shared" si="464"/>
        <v>0</v>
      </c>
      <c r="AO448" s="118" t="str">
        <f>IFERROR(
IF(VLOOKUP($C448,'Employee information'!$B:$M,COLUMNS('Employee information'!$B:$M),0)=1,
IF($E$2="Fortnightly",
ROUND(
ROUND((((TRUNC($AN448/2,0)+0.99))*VLOOKUP((TRUNC($AN448/2,0)+0.99),'Tax scales - NAT 1004'!$A$12:$C$18,2,1)-VLOOKUP((TRUNC($AN448/2,0)+0.99),'Tax scales - NAT 1004'!$A$12:$C$18,3,1)),0)
*2,
0),
IF(AND($E$2="Monthly",ROUND($AN448-TRUNC($AN448),2)=0.33),
ROUND(
ROUND(((TRUNC(($AN448+0.01)*3/13,0)+0.99)*VLOOKUP((TRUNC(($AN448+0.01)*3/13,0)+0.99),'Tax scales - NAT 1004'!$A$12:$C$18,2,1)-VLOOKUP((TRUNC(($AN448+0.01)*3/13,0)+0.99),'Tax scales - NAT 1004'!$A$12:$C$18,3,1)),0)
*13/3,
0),
IF($E$2="Monthly",
ROUND(
ROUND(((TRUNC($AN448*3/13,0)+0.99)*VLOOKUP((TRUNC($AN448*3/13,0)+0.99),'Tax scales - NAT 1004'!$A$12:$C$18,2,1)-VLOOKUP((TRUNC($AN448*3/13,0)+0.99),'Tax scales - NAT 1004'!$A$12:$C$18,3,1)),0)
*13/3,
0),
""))),
""),
"")</f>
        <v/>
      </c>
      <c r="AP448" s="118" t="str">
        <f>IFERROR(
IF(VLOOKUP($C448,'Employee information'!$B:$M,COLUMNS('Employee information'!$B:$M),0)=2,
IF($E$2="Fortnightly",
ROUND(
ROUND((((TRUNC($AN448/2,0)+0.99))*VLOOKUP((TRUNC($AN448/2,0)+0.99),'Tax scales - NAT 1004'!$A$25:$C$33,2,1)-VLOOKUP((TRUNC($AN448/2,0)+0.99),'Tax scales - NAT 1004'!$A$25:$C$33,3,1)),0)
*2,
0),
IF(AND($E$2="Monthly",ROUND($AN448-TRUNC($AN448),2)=0.33),
ROUND(
ROUND(((TRUNC(($AN448+0.01)*3/13,0)+0.99)*VLOOKUP((TRUNC(($AN448+0.01)*3/13,0)+0.99),'Tax scales - NAT 1004'!$A$25:$C$33,2,1)-VLOOKUP((TRUNC(($AN448+0.01)*3/13,0)+0.99),'Tax scales - NAT 1004'!$A$25:$C$33,3,1)),0)
*13/3,
0),
IF($E$2="Monthly",
ROUND(
ROUND(((TRUNC($AN448*3/13,0)+0.99)*VLOOKUP((TRUNC($AN448*3/13,0)+0.99),'Tax scales - NAT 1004'!$A$25:$C$33,2,1)-VLOOKUP((TRUNC($AN448*3/13,0)+0.99),'Tax scales - NAT 1004'!$A$25:$C$33,3,1)),0)
*13/3,
0),
""))),
""),
"")</f>
        <v/>
      </c>
      <c r="AQ448" s="118" t="str">
        <f>IFERROR(
IF(VLOOKUP($C448,'Employee information'!$B:$M,COLUMNS('Employee information'!$B:$M),0)=3,
IF($E$2="Fortnightly",
ROUND(
ROUND((((TRUNC($AN448/2,0)+0.99))*VLOOKUP((TRUNC($AN448/2,0)+0.99),'Tax scales - NAT 1004'!$A$39:$C$41,2,1)-VLOOKUP((TRUNC($AN448/2,0)+0.99),'Tax scales - NAT 1004'!$A$39:$C$41,3,1)),0)
*2,
0),
IF(AND($E$2="Monthly",ROUND($AN448-TRUNC($AN448),2)=0.33),
ROUND(
ROUND(((TRUNC(($AN448+0.01)*3/13,0)+0.99)*VLOOKUP((TRUNC(($AN448+0.01)*3/13,0)+0.99),'Tax scales - NAT 1004'!$A$39:$C$41,2,1)-VLOOKUP((TRUNC(($AN448+0.01)*3/13,0)+0.99),'Tax scales - NAT 1004'!$A$39:$C$41,3,1)),0)
*13/3,
0),
IF($E$2="Monthly",
ROUND(
ROUND(((TRUNC($AN448*3/13,0)+0.99)*VLOOKUP((TRUNC($AN448*3/13,0)+0.99),'Tax scales - NAT 1004'!$A$39:$C$41,2,1)-VLOOKUP((TRUNC($AN448*3/13,0)+0.99),'Tax scales - NAT 1004'!$A$39:$C$41,3,1)),0)
*13/3,
0),
""))),
""),
"")</f>
        <v/>
      </c>
      <c r="AR448" s="118" t="str">
        <f>IFERROR(
IF(AND(VLOOKUP($C448,'Employee information'!$B:$M,COLUMNS('Employee information'!$B:$M),0)=4,
VLOOKUP($C448,'Employee information'!$B:$J,COLUMNS('Employee information'!$B:$J),0)="Resident"),
TRUNC(TRUNC($AN448)*'Tax scales - NAT 1004'!$B$47),
IF(AND(VLOOKUP($C448,'Employee information'!$B:$M,COLUMNS('Employee information'!$B:$M),0)=4,
VLOOKUP($C448,'Employee information'!$B:$J,COLUMNS('Employee information'!$B:$J),0)="Foreign resident"),
TRUNC(TRUNC($AN448)*'Tax scales - NAT 1004'!$B$48),
"")),
"")</f>
        <v/>
      </c>
      <c r="AS448" s="118" t="str">
        <f>IFERROR(
IF(VLOOKUP($C448,'Employee information'!$B:$M,COLUMNS('Employee information'!$B:$M),0)=5,
IF($E$2="Fortnightly",
ROUND(
ROUND((((TRUNC($AN448/2,0)+0.99))*VLOOKUP((TRUNC($AN448/2,0)+0.99),'Tax scales - NAT 1004'!$A$53:$C$59,2,1)-VLOOKUP((TRUNC($AN448/2,0)+0.99),'Tax scales - NAT 1004'!$A$53:$C$59,3,1)),0)
*2,
0),
IF(AND($E$2="Monthly",ROUND($AN448-TRUNC($AN448),2)=0.33),
ROUND(
ROUND(((TRUNC(($AN448+0.01)*3/13,0)+0.99)*VLOOKUP((TRUNC(($AN448+0.01)*3/13,0)+0.99),'Tax scales - NAT 1004'!$A$53:$C$59,2,1)-VLOOKUP((TRUNC(($AN448+0.01)*3/13,0)+0.99),'Tax scales - NAT 1004'!$A$53:$C$59,3,1)),0)
*13/3,
0),
IF($E$2="Monthly",
ROUND(
ROUND(((TRUNC($AN448*3/13,0)+0.99)*VLOOKUP((TRUNC($AN448*3/13,0)+0.99),'Tax scales - NAT 1004'!$A$53:$C$59,2,1)-VLOOKUP((TRUNC($AN448*3/13,0)+0.99),'Tax scales - NAT 1004'!$A$53:$C$59,3,1)),0)
*13/3,
0),
""))),
""),
"")</f>
        <v/>
      </c>
      <c r="AT448" s="118" t="str">
        <f>IFERROR(
IF(VLOOKUP($C448,'Employee information'!$B:$M,COLUMNS('Employee information'!$B:$M),0)=6,
IF($E$2="Fortnightly",
ROUND(
ROUND((((TRUNC($AN448/2,0)+0.99))*VLOOKUP((TRUNC($AN448/2,0)+0.99),'Tax scales - NAT 1004'!$A$65:$C$73,2,1)-VLOOKUP((TRUNC($AN448/2,0)+0.99),'Tax scales - NAT 1004'!$A$65:$C$73,3,1)),0)
*2,
0),
IF(AND($E$2="Monthly",ROUND($AN448-TRUNC($AN448),2)=0.33),
ROUND(
ROUND(((TRUNC(($AN448+0.01)*3/13,0)+0.99)*VLOOKUP((TRUNC(($AN448+0.01)*3/13,0)+0.99),'Tax scales - NAT 1004'!$A$65:$C$73,2,1)-VLOOKUP((TRUNC(($AN448+0.01)*3/13,0)+0.99),'Tax scales - NAT 1004'!$A$65:$C$73,3,1)),0)
*13/3,
0),
IF($E$2="Monthly",
ROUND(
ROUND(((TRUNC($AN448*3/13,0)+0.99)*VLOOKUP((TRUNC($AN448*3/13,0)+0.99),'Tax scales - NAT 1004'!$A$65:$C$73,2,1)-VLOOKUP((TRUNC($AN448*3/13,0)+0.99),'Tax scales - NAT 1004'!$A$65:$C$73,3,1)),0)
*13/3,
0),
""))),
""),
"")</f>
        <v/>
      </c>
      <c r="AU448" s="118" t="str">
        <f>IFERROR(
IF(VLOOKUP($C448,'Employee information'!$B:$M,COLUMNS('Employee information'!$B:$M),0)=11,
IF($E$2="Fortnightly",
ROUND(
ROUND((((TRUNC($AN448/2,0)+0.99))*VLOOKUP((TRUNC($AN448/2,0)+0.99),'Tax scales - NAT 3539'!$A$14:$C$38,2,1)-VLOOKUP((TRUNC($AN448/2,0)+0.99),'Tax scales - NAT 3539'!$A$14:$C$38,3,1)),0)
*2,
0),
IF(AND($E$2="Monthly",ROUND($AN448-TRUNC($AN448),2)=0.33),
ROUND(
ROUND(((TRUNC(($AN448+0.01)*3/13,0)+0.99)*VLOOKUP((TRUNC(($AN448+0.01)*3/13,0)+0.99),'Tax scales - NAT 3539'!$A$14:$C$38,2,1)-VLOOKUP((TRUNC(($AN448+0.01)*3/13,0)+0.99),'Tax scales - NAT 3539'!$A$14:$C$38,3,1)),0)
*13/3,
0),
IF($E$2="Monthly",
ROUND(
ROUND(((TRUNC($AN448*3/13,0)+0.99)*VLOOKUP((TRUNC($AN448*3/13,0)+0.99),'Tax scales - NAT 3539'!$A$14:$C$38,2,1)-VLOOKUP((TRUNC($AN448*3/13,0)+0.99),'Tax scales - NAT 3539'!$A$14:$C$38,3,1)),0)
*13/3,
0),
""))),
""),
"")</f>
        <v/>
      </c>
      <c r="AV448" s="118" t="str">
        <f>IFERROR(
IF(VLOOKUP($C448,'Employee information'!$B:$M,COLUMNS('Employee information'!$B:$M),0)=22,
IF($E$2="Fortnightly",
ROUND(
ROUND((((TRUNC($AN448/2,0)+0.99))*VLOOKUP((TRUNC($AN448/2,0)+0.99),'Tax scales - NAT 3539'!$A$43:$C$69,2,1)-VLOOKUP((TRUNC($AN448/2,0)+0.99),'Tax scales - NAT 3539'!$A$43:$C$69,3,1)),0)
*2,
0),
IF(AND($E$2="Monthly",ROUND($AN448-TRUNC($AN448),2)=0.33),
ROUND(
ROUND(((TRUNC(($AN448+0.01)*3/13,0)+0.99)*VLOOKUP((TRUNC(($AN448+0.01)*3/13,0)+0.99),'Tax scales - NAT 3539'!$A$43:$C$69,2,1)-VLOOKUP((TRUNC(($AN448+0.01)*3/13,0)+0.99),'Tax scales - NAT 3539'!$A$43:$C$69,3,1)),0)
*13/3,
0),
IF($E$2="Monthly",
ROUND(
ROUND(((TRUNC($AN448*3/13,0)+0.99)*VLOOKUP((TRUNC($AN448*3/13,0)+0.99),'Tax scales - NAT 3539'!$A$43:$C$69,2,1)-VLOOKUP((TRUNC($AN448*3/13,0)+0.99),'Tax scales - NAT 3539'!$A$43:$C$69,3,1)),0)
*13/3,
0),
""))),
""),
"")</f>
        <v/>
      </c>
      <c r="AW448" s="118">
        <f>IFERROR(
IF(VLOOKUP($C448,'Employee information'!$B:$M,COLUMNS('Employee information'!$B:$M),0)=33,
IF($E$2="Fortnightly",
ROUND(
ROUND((((TRUNC($AN448/2,0)+0.99))*VLOOKUP((TRUNC($AN448/2,0)+0.99),'Tax scales - NAT 3539'!$A$74:$C$94,2,1)-VLOOKUP((TRUNC($AN448/2,0)+0.99),'Tax scales - NAT 3539'!$A$74:$C$94,3,1)),0)
*2,
0),
IF(AND($E$2="Monthly",ROUND($AN448-TRUNC($AN448),2)=0.33),
ROUND(
ROUND(((TRUNC(($AN448+0.01)*3/13,0)+0.99)*VLOOKUP((TRUNC(($AN448+0.01)*3/13,0)+0.99),'Tax scales - NAT 3539'!$A$74:$C$94,2,1)-VLOOKUP((TRUNC(($AN448+0.01)*3/13,0)+0.99),'Tax scales - NAT 3539'!$A$74:$C$94,3,1)),0)
*13/3,
0),
IF($E$2="Monthly",
ROUND(
ROUND(((TRUNC($AN448*3/13,0)+0.99)*VLOOKUP((TRUNC($AN448*3/13,0)+0.99),'Tax scales - NAT 3539'!$A$74:$C$94,2,1)-VLOOKUP((TRUNC($AN448*3/13,0)+0.99),'Tax scales - NAT 3539'!$A$74:$C$94,3,1)),0)
*13/3,
0),
""))),
""),
"")</f>
        <v>0</v>
      </c>
      <c r="AX448" s="118" t="str">
        <f>IFERROR(
IF(VLOOKUP($C448,'Employee information'!$B:$M,COLUMNS('Employee information'!$B:$M),0)=55,
IF($E$2="Fortnightly",
ROUND(
ROUND((((TRUNC($AN448/2,0)+0.99))*VLOOKUP((TRUNC($AN448/2,0)+0.99),'Tax scales - NAT 3539'!$A$99:$C$123,2,1)-VLOOKUP((TRUNC($AN448/2,0)+0.99),'Tax scales - NAT 3539'!$A$99:$C$123,3,1)),0)
*2,
0),
IF(AND($E$2="Monthly",ROUND($AN448-TRUNC($AN448),2)=0.33),
ROUND(
ROUND(((TRUNC(($AN448+0.01)*3/13,0)+0.99)*VLOOKUP((TRUNC(($AN448+0.01)*3/13,0)+0.99),'Tax scales - NAT 3539'!$A$99:$C$123,2,1)-VLOOKUP((TRUNC(($AN448+0.01)*3/13,0)+0.99),'Tax scales - NAT 3539'!$A$99:$C$123,3,1)),0)
*13/3,
0),
IF($E$2="Monthly",
ROUND(
ROUND(((TRUNC($AN448*3/13,0)+0.99)*VLOOKUP((TRUNC($AN448*3/13,0)+0.99),'Tax scales - NAT 3539'!$A$99:$C$123,2,1)-VLOOKUP((TRUNC($AN448*3/13,0)+0.99),'Tax scales - NAT 3539'!$A$99:$C$123,3,1)),0)
*13/3,
0),
""))),
""),
"")</f>
        <v/>
      </c>
      <c r="AY448" s="118" t="str">
        <f>IFERROR(
IF(VLOOKUP($C448,'Employee information'!$B:$M,COLUMNS('Employee information'!$B:$M),0)=66,
IF($E$2="Fortnightly",
ROUND(
ROUND((((TRUNC($AN448/2,0)+0.99))*VLOOKUP((TRUNC($AN448/2,0)+0.99),'Tax scales - NAT 3539'!$A$127:$C$154,2,1)-VLOOKUP((TRUNC($AN448/2,0)+0.99),'Tax scales - NAT 3539'!$A$127:$C$154,3,1)),0)
*2,
0),
IF(AND($E$2="Monthly",ROUND($AN448-TRUNC($AN448),2)=0.33),
ROUND(
ROUND(((TRUNC(($AN448+0.01)*3/13,0)+0.99)*VLOOKUP((TRUNC(($AN448+0.01)*3/13,0)+0.99),'Tax scales - NAT 3539'!$A$127:$C$154,2,1)-VLOOKUP((TRUNC(($AN448+0.01)*3/13,0)+0.99),'Tax scales - NAT 3539'!$A$127:$C$154,3,1)),0)
*13/3,
0),
IF($E$2="Monthly",
ROUND(
ROUND(((TRUNC($AN448*3/13,0)+0.99)*VLOOKUP((TRUNC($AN448*3/13,0)+0.99),'Tax scales - NAT 3539'!$A$127:$C$154,2,1)-VLOOKUP((TRUNC($AN448*3/13,0)+0.99),'Tax scales - NAT 3539'!$A$127:$C$154,3,1)),0)
*13/3,
0),
""))),
""),
"")</f>
        <v/>
      </c>
      <c r="AZ448" s="118">
        <f>IFERROR(
HLOOKUP(VLOOKUP($C448,'Employee information'!$B:$M,COLUMNS('Employee information'!$B:$M),0),'PAYG worksheet'!$AO$445:$AY$464,COUNTA($C$446:$C448)+1,0),
0)</f>
        <v>0</v>
      </c>
      <c r="BA448" s="118"/>
      <c r="BB448" s="118">
        <f t="shared" si="480"/>
        <v>0</v>
      </c>
      <c r="BC448" s="119">
        <f>IFERROR(
IF(OR($AE448=1,$AE448=""),SUM($P448,$AA448,$AC448,$AK448)*VLOOKUP($C448,'Employee information'!$B:$Q,COLUMNS('Employee information'!$B:$H),0),
IF($AE448=0,SUM($P448,$AA448,$AK448)*VLOOKUP($C448,'Employee information'!$B:$Q,COLUMNS('Employee information'!$B:$H),0),
0)),
0)</f>
        <v>0</v>
      </c>
      <c r="BE448" s="114">
        <f t="shared" si="465"/>
        <v>900</v>
      </c>
      <c r="BF448" s="114">
        <f t="shared" si="466"/>
        <v>900</v>
      </c>
      <c r="BG448" s="114">
        <f t="shared" si="467"/>
        <v>0</v>
      </c>
      <c r="BH448" s="114">
        <f t="shared" si="468"/>
        <v>0</v>
      </c>
      <c r="BI448" s="114">
        <f t="shared" si="469"/>
        <v>292</v>
      </c>
      <c r="BJ448" s="114">
        <f t="shared" si="470"/>
        <v>0</v>
      </c>
      <c r="BK448" s="114">
        <f t="shared" si="471"/>
        <v>0</v>
      </c>
      <c r="BL448" s="114">
        <f t="shared" si="481"/>
        <v>0</v>
      </c>
      <c r="BM448" s="114">
        <f t="shared" si="472"/>
        <v>85.5</v>
      </c>
    </row>
    <row r="449" spans="1:65" x14ac:dyDescent="0.25">
      <c r="A449" s="228">
        <f t="shared" si="460"/>
        <v>16</v>
      </c>
      <c r="C449" s="278" t="s">
        <v>15</v>
      </c>
      <c r="E449" s="103">
        <f>IF($C449="",0,
IF(AND($E$2="Monthly",$A449&gt;12),0,
IF($E$2="Monthly",VLOOKUP($C449,'Employee information'!$B:$AM,COLUMNS('Employee information'!$B:S),0),
IF($E$2="Fortnightly",VLOOKUP($C449,'Employee information'!$B:$AM,COLUMNS('Employee information'!$B:R),0),
0))))</f>
        <v>75</v>
      </c>
      <c r="F449" s="106"/>
      <c r="G449" s="106"/>
      <c r="H449" s="106"/>
      <c r="I449" s="106"/>
      <c r="J449" s="103">
        <f t="shared" si="473"/>
        <v>75</v>
      </c>
      <c r="L449" s="113">
        <f>IF(AND($E$2="Monthly",$A449&gt;12),"",
IFERROR($J449*VLOOKUP($C449,'Employee information'!$B:$AI,COLUMNS('Employee information'!$B:$P),0),0))</f>
        <v>7692.3076923076924</v>
      </c>
      <c r="M449" s="114">
        <f t="shared" si="474"/>
        <v>123076.92307692305</v>
      </c>
      <c r="O449" s="103">
        <f t="shared" si="475"/>
        <v>75</v>
      </c>
      <c r="P449" s="113">
        <f>IFERROR(
IF(AND($E$2="Monthly",$A449&gt;12),0,
$O449*VLOOKUP($C449,'Employee information'!$B:$AI,COLUMNS('Employee information'!$B:$P),0)),
0)</f>
        <v>7692.3076923076924</v>
      </c>
      <c r="R449" s="114">
        <f t="shared" si="461"/>
        <v>123076.92307692305</v>
      </c>
      <c r="T449" s="103"/>
      <c r="U449" s="103"/>
      <c r="V449" s="282">
        <f>IF($C449="","",
IF(AND($E$2="Monthly",$A449&gt;12),"",
$T449*VLOOKUP($C449,'Employee information'!$B:$P,COLUMNS('Employee information'!$B:$P),0)))</f>
        <v>0</v>
      </c>
      <c r="W449" s="282">
        <f>IF($C449="","",
IF(AND($E$2="Monthly",$A449&gt;12),"",
$U449*VLOOKUP($C449,'Employee information'!$B:$P,COLUMNS('Employee information'!$B:$P),0)))</f>
        <v>0</v>
      </c>
      <c r="X449" s="114">
        <f t="shared" si="462"/>
        <v>1538.4615384615386</v>
      </c>
      <c r="Y449" s="114">
        <f t="shared" si="463"/>
        <v>512.82051282051282</v>
      </c>
      <c r="AA449" s="118">
        <f>IFERROR(
IF(OR('Basic payroll data'!$D$12="",'Basic payroll data'!$D$12="No"),0,
$T449*VLOOKUP($C449,'Employee information'!$B:$P,COLUMNS('Employee information'!$B:$P),0)*AL_loading_perc),
0)</f>
        <v>0</v>
      </c>
      <c r="AC449" s="118"/>
      <c r="AD449" s="118"/>
      <c r="AE449" s="283" t="str">
        <f t="shared" si="476"/>
        <v/>
      </c>
      <c r="AF449" s="283" t="str">
        <f t="shared" si="477"/>
        <v/>
      </c>
      <c r="AG449" s="118"/>
      <c r="AH449" s="118"/>
      <c r="AI449" s="283" t="str">
        <f t="shared" si="478"/>
        <v/>
      </c>
      <c r="AJ449" s="118"/>
      <c r="AK449" s="118"/>
      <c r="AM449" s="118">
        <f t="shared" si="479"/>
        <v>7692.3076923076924</v>
      </c>
      <c r="AN449" s="118">
        <f t="shared" si="464"/>
        <v>7692.3076923076924</v>
      </c>
      <c r="AO449" s="118" t="str">
        <f>IFERROR(
IF(VLOOKUP($C449,'Employee information'!$B:$M,COLUMNS('Employee information'!$B:$M),0)=1,
IF($E$2="Fortnightly",
ROUND(
ROUND((((TRUNC($AN449/2,0)+0.99))*VLOOKUP((TRUNC($AN449/2,0)+0.99),'Tax scales - NAT 1004'!$A$12:$C$18,2,1)-VLOOKUP((TRUNC($AN449/2,0)+0.99),'Tax scales - NAT 1004'!$A$12:$C$18,3,1)),0)
*2,
0),
IF(AND($E$2="Monthly",ROUND($AN449-TRUNC($AN449),2)=0.33),
ROUND(
ROUND(((TRUNC(($AN449+0.01)*3/13,0)+0.99)*VLOOKUP((TRUNC(($AN449+0.01)*3/13,0)+0.99),'Tax scales - NAT 1004'!$A$12:$C$18,2,1)-VLOOKUP((TRUNC(($AN449+0.01)*3/13,0)+0.99),'Tax scales - NAT 1004'!$A$12:$C$18,3,1)),0)
*13/3,
0),
IF($E$2="Monthly",
ROUND(
ROUND(((TRUNC($AN449*3/13,0)+0.99)*VLOOKUP((TRUNC($AN449*3/13,0)+0.99),'Tax scales - NAT 1004'!$A$12:$C$18,2,1)-VLOOKUP((TRUNC($AN449*3/13,0)+0.99),'Tax scales - NAT 1004'!$A$12:$C$18,3,1)),0)
*13/3,
0),
""))),
""),
"")</f>
        <v/>
      </c>
      <c r="AP449" s="118" t="str">
        <f>IFERROR(
IF(VLOOKUP($C449,'Employee information'!$B:$M,COLUMNS('Employee information'!$B:$M),0)=2,
IF($E$2="Fortnightly",
ROUND(
ROUND((((TRUNC($AN449/2,0)+0.99))*VLOOKUP((TRUNC($AN449/2,0)+0.99),'Tax scales - NAT 1004'!$A$25:$C$33,2,1)-VLOOKUP((TRUNC($AN449/2,0)+0.99),'Tax scales - NAT 1004'!$A$25:$C$33,3,1)),0)
*2,
0),
IF(AND($E$2="Monthly",ROUND($AN449-TRUNC($AN449),2)=0.33),
ROUND(
ROUND(((TRUNC(($AN449+0.01)*3/13,0)+0.99)*VLOOKUP((TRUNC(($AN449+0.01)*3/13,0)+0.99),'Tax scales - NAT 1004'!$A$25:$C$33,2,1)-VLOOKUP((TRUNC(($AN449+0.01)*3/13,0)+0.99),'Tax scales - NAT 1004'!$A$25:$C$33,3,1)),0)
*13/3,
0),
IF($E$2="Monthly",
ROUND(
ROUND(((TRUNC($AN449*3/13,0)+0.99)*VLOOKUP((TRUNC($AN449*3/13,0)+0.99),'Tax scales - NAT 1004'!$A$25:$C$33,2,1)-VLOOKUP((TRUNC($AN449*3/13,0)+0.99),'Tax scales - NAT 1004'!$A$25:$C$33,3,1)),0)
*13/3,
0),
""))),
""),
"")</f>
        <v/>
      </c>
      <c r="AQ449" s="118" t="str">
        <f>IFERROR(
IF(VLOOKUP($C449,'Employee information'!$B:$M,COLUMNS('Employee information'!$B:$M),0)=3,
IF($E$2="Fortnightly",
ROUND(
ROUND((((TRUNC($AN449/2,0)+0.99))*VLOOKUP((TRUNC($AN449/2,0)+0.99),'Tax scales - NAT 1004'!$A$39:$C$41,2,1)-VLOOKUP((TRUNC($AN449/2,0)+0.99),'Tax scales - NAT 1004'!$A$39:$C$41,3,1)),0)
*2,
0),
IF(AND($E$2="Monthly",ROUND($AN449-TRUNC($AN449),2)=0.33),
ROUND(
ROUND(((TRUNC(($AN449+0.01)*3/13,0)+0.99)*VLOOKUP((TRUNC(($AN449+0.01)*3/13,0)+0.99),'Tax scales - NAT 1004'!$A$39:$C$41,2,1)-VLOOKUP((TRUNC(($AN449+0.01)*3/13,0)+0.99),'Tax scales - NAT 1004'!$A$39:$C$41,3,1)),0)
*13/3,
0),
IF($E$2="Monthly",
ROUND(
ROUND(((TRUNC($AN449*3/13,0)+0.99)*VLOOKUP((TRUNC($AN449*3/13,0)+0.99),'Tax scales - NAT 1004'!$A$39:$C$41,2,1)-VLOOKUP((TRUNC($AN449*3/13,0)+0.99),'Tax scales - NAT 1004'!$A$39:$C$41,3,1)),0)
*13/3,
0),
""))),
""),
"")</f>
        <v/>
      </c>
      <c r="AR449" s="118" t="str">
        <f>IFERROR(
IF(AND(VLOOKUP($C449,'Employee information'!$B:$M,COLUMNS('Employee information'!$B:$M),0)=4,
VLOOKUP($C449,'Employee information'!$B:$J,COLUMNS('Employee information'!$B:$J),0)="Resident"),
TRUNC(TRUNC($AN449)*'Tax scales - NAT 1004'!$B$47),
IF(AND(VLOOKUP($C449,'Employee information'!$B:$M,COLUMNS('Employee information'!$B:$M),0)=4,
VLOOKUP($C449,'Employee information'!$B:$J,COLUMNS('Employee information'!$B:$J),0)="Foreign resident"),
TRUNC(TRUNC($AN449)*'Tax scales - NAT 1004'!$B$48),
"")),
"")</f>
        <v/>
      </c>
      <c r="AS449" s="118" t="str">
        <f>IFERROR(
IF(VLOOKUP($C449,'Employee information'!$B:$M,COLUMNS('Employee information'!$B:$M),0)=5,
IF($E$2="Fortnightly",
ROUND(
ROUND((((TRUNC($AN449/2,0)+0.99))*VLOOKUP((TRUNC($AN449/2,0)+0.99),'Tax scales - NAT 1004'!$A$53:$C$59,2,1)-VLOOKUP((TRUNC($AN449/2,0)+0.99),'Tax scales - NAT 1004'!$A$53:$C$59,3,1)),0)
*2,
0),
IF(AND($E$2="Monthly",ROUND($AN449-TRUNC($AN449),2)=0.33),
ROUND(
ROUND(((TRUNC(($AN449+0.01)*3/13,0)+0.99)*VLOOKUP((TRUNC(($AN449+0.01)*3/13,0)+0.99),'Tax scales - NAT 1004'!$A$53:$C$59,2,1)-VLOOKUP((TRUNC(($AN449+0.01)*3/13,0)+0.99),'Tax scales - NAT 1004'!$A$53:$C$59,3,1)),0)
*13/3,
0),
IF($E$2="Monthly",
ROUND(
ROUND(((TRUNC($AN449*3/13,0)+0.99)*VLOOKUP((TRUNC($AN449*3/13,0)+0.99),'Tax scales - NAT 1004'!$A$53:$C$59,2,1)-VLOOKUP((TRUNC($AN449*3/13,0)+0.99),'Tax scales - NAT 1004'!$A$53:$C$59,3,1)),0)
*13/3,
0),
""))),
""),
"")</f>
        <v/>
      </c>
      <c r="AT449" s="118" t="str">
        <f>IFERROR(
IF(VLOOKUP($C449,'Employee information'!$B:$M,COLUMNS('Employee information'!$B:$M),0)=6,
IF($E$2="Fortnightly",
ROUND(
ROUND((((TRUNC($AN449/2,0)+0.99))*VLOOKUP((TRUNC($AN449/2,0)+0.99),'Tax scales - NAT 1004'!$A$65:$C$73,2,1)-VLOOKUP((TRUNC($AN449/2,0)+0.99),'Tax scales - NAT 1004'!$A$65:$C$73,3,1)),0)
*2,
0),
IF(AND($E$2="Monthly",ROUND($AN449-TRUNC($AN449),2)=0.33),
ROUND(
ROUND(((TRUNC(($AN449+0.01)*3/13,0)+0.99)*VLOOKUP((TRUNC(($AN449+0.01)*3/13,0)+0.99),'Tax scales - NAT 1004'!$A$65:$C$73,2,1)-VLOOKUP((TRUNC(($AN449+0.01)*3/13,0)+0.99),'Tax scales - NAT 1004'!$A$65:$C$73,3,1)),0)
*13/3,
0),
IF($E$2="Monthly",
ROUND(
ROUND(((TRUNC($AN449*3/13,0)+0.99)*VLOOKUP((TRUNC($AN449*3/13,0)+0.99),'Tax scales - NAT 1004'!$A$65:$C$73,2,1)-VLOOKUP((TRUNC($AN449*3/13,0)+0.99),'Tax scales - NAT 1004'!$A$65:$C$73,3,1)),0)
*13/3,
0),
""))),
""),
"")</f>
        <v/>
      </c>
      <c r="AU449" s="118" t="str">
        <f>IFERROR(
IF(VLOOKUP($C449,'Employee information'!$B:$M,COLUMNS('Employee information'!$B:$M),0)=11,
IF($E$2="Fortnightly",
ROUND(
ROUND((((TRUNC($AN449/2,0)+0.99))*VLOOKUP((TRUNC($AN449/2,0)+0.99),'Tax scales - NAT 3539'!$A$14:$C$38,2,1)-VLOOKUP((TRUNC($AN449/2,0)+0.99),'Tax scales - NAT 3539'!$A$14:$C$38,3,1)),0)
*2,
0),
IF(AND($E$2="Monthly",ROUND($AN449-TRUNC($AN449),2)=0.33),
ROUND(
ROUND(((TRUNC(($AN449+0.01)*3/13,0)+0.99)*VLOOKUP((TRUNC(($AN449+0.01)*3/13,0)+0.99),'Tax scales - NAT 3539'!$A$14:$C$38,2,1)-VLOOKUP((TRUNC(($AN449+0.01)*3/13,0)+0.99),'Tax scales - NAT 3539'!$A$14:$C$38,3,1)),0)
*13/3,
0),
IF($E$2="Monthly",
ROUND(
ROUND(((TRUNC($AN449*3/13,0)+0.99)*VLOOKUP((TRUNC($AN449*3/13,0)+0.99),'Tax scales - NAT 3539'!$A$14:$C$38,2,1)-VLOOKUP((TRUNC($AN449*3/13,0)+0.99),'Tax scales - NAT 3539'!$A$14:$C$38,3,1)),0)
*13/3,
0),
""))),
""),
"")</f>
        <v/>
      </c>
      <c r="AV449" s="118" t="str">
        <f>IFERROR(
IF(VLOOKUP($C449,'Employee information'!$B:$M,COLUMNS('Employee information'!$B:$M),0)=22,
IF($E$2="Fortnightly",
ROUND(
ROUND((((TRUNC($AN449/2,0)+0.99))*VLOOKUP((TRUNC($AN449/2,0)+0.99),'Tax scales - NAT 3539'!$A$43:$C$69,2,1)-VLOOKUP((TRUNC($AN449/2,0)+0.99),'Tax scales - NAT 3539'!$A$43:$C$69,3,1)),0)
*2,
0),
IF(AND($E$2="Monthly",ROUND($AN449-TRUNC($AN449),2)=0.33),
ROUND(
ROUND(((TRUNC(($AN449+0.01)*3/13,0)+0.99)*VLOOKUP((TRUNC(($AN449+0.01)*3/13,0)+0.99),'Tax scales - NAT 3539'!$A$43:$C$69,2,1)-VLOOKUP((TRUNC(($AN449+0.01)*3/13,0)+0.99),'Tax scales - NAT 3539'!$A$43:$C$69,3,1)),0)
*13/3,
0),
IF($E$2="Monthly",
ROUND(
ROUND(((TRUNC($AN449*3/13,0)+0.99)*VLOOKUP((TRUNC($AN449*3/13,0)+0.99),'Tax scales - NAT 3539'!$A$43:$C$69,2,1)-VLOOKUP((TRUNC($AN449*3/13,0)+0.99),'Tax scales - NAT 3539'!$A$43:$C$69,3,1)),0)
*13/3,
0),
""))),
""),
"")</f>
        <v/>
      </c>
      <c r="AW449" s="118" t="str">
        <f>IFERROR(
IF(VLOOKUP($C449,'Employee information'!$B:$M,COLUMNS('Employee information'!$B:$M),0)=33,
IF($E$2="Fortnightly",
ROUND(
ROUND((((TRUNC($AN449/2,0)+0.99))*VLOOKUP((TRUNC($AN449/2,0)+0.99),'Tax scales - NAT 3539'!$A$74:$C$94,2,1)-VLOOKUP((TRUNC($AN449/2,0)+0.99),'Tax scales - NAT 3539'!$A$74:$C$94,3,1)),0)
*2,
0),
IF(AND($E$2="Monthly",ROUND($AN449-TRUNC($AN449),2)=0.33),
ROUND(
ROUND(((TRUNC(($AN449+0.01)*3/13,0)+0.99)*VLOOKUP((TRUNC(($AN449+0.01)*3/13,0)+0.99),'Tax scales - NAT 3539'!$A$74:$C$94,2,1)-VLOOKUP((TRUNC(($AN449+0.01)*3/13,0)+0.99),'Tax scales - NAT 3539'!$A$74:$C$94,3,1)),0)
*13/3,
0),
IF($E$2="Monthly",
ROUND(
ROUND(((TRUNC($AN449*3/13,0)+0.99)*VLOOKUP((TRUNC($AN449*3/13,0)+0.99),'Tax scales - NAT 3539'!$A$74:$C$94,2,1)-VLOOKUP((TRUNC($AN449*3/13,0)+0.99),'Tax scales - NAT 3539'!$A$74:$C$94,3,1)),0)
*13/3,
0),
""))),
""),
"")</f>
        <v/>
      </c>
      <c r="AX449" s="118">
        <f>IFERROR(
IF(VLOOKUP($C449,'Employee information'!$B:$M,COLUMNS('Employee information'!$B:$M),0)=55,
IF($E$2="Fortnightly",
ROUND(
ROUND((((TRUNC($AN449/2,0)+0.99))*VLOOKUP((TRUNC($AN449/2,0)+0.99),'Tax scales - NAT 3539'!$A$99:$C$123,2,1)-VLOOKUP((TRUNC($AN449/2,0)+0.99),'Tax scales - NAT 3539'!$A$99:$C$123,3,1)),0)
*2,
0),
IF(AND($E$2="Monthly",ROUND($AN449-TRUNC($AN449),2)=0.33),
ROUND(
ROUND(((TRUNC(($AN449+0.01)*3/13,0)+0.99)*VLOOKUP((TRUNC(($AN449+0.01)*3/13,0)+0.99),'Tax scales - NAT 3539'!$A$99:$C$123,2,1)-VLOOKUP((TRUNC(($AN449+0.01)*3/13,0)+0.99),'Tax scales - NAT 3539'!$A$99:$C$123,3,1)),0)
*13/3,
0),
IF($E$2="Monthly",
ROUND(
ROUND(((TRUNC($AN449*3/13,0)+0.99)*VLOOKUP((TRUNC($AN449*3/13,0)+0.99),'Tax scales - NAT 3539'!$A$99:$C$123,2,1)-VLOOKUP((TRUNC($AN449*3/13,0)+0.99),'Tax scales - NAT 3539'!$A$99:$C$123,3,1)),0)
*13/3,
0),
""))),
""),
"")</f>
        <v>3104</v>
      </c>
      <c r="AY449" s="118" t="str">
        <f>IFERROR(
IF(VLOOKUP($C449,'Employee information'!$B:$M,COLUMNS('Employee information'!$B:$M),0)=66,
IF($E$2="Fortnightly",
ROUND(
ROUND((((TRUNC($AN449/2,0)+0.99))*VLOOKUP((TRUNC($AN449/2,0)+0.99),'Tax scales - NAT 3539'!$A$127:$C$154,2,1)-VLOOKUP((TRUNC($AN449/2,0)+0.99),'Tax scales - NAT 3539'!$A$127:$C$154,3,1)),0)
*2,
0),
IF(AND($E$2="Monthly",ROUND($AN449-TRUNC($AN449),2)=0.33),
ROUND(
ROUND(((TRUNC(($AN449+0.01)*3/13,0)+0.99)*VLOOKUP((TRUNC(($AN449+0.01)*3/13,0)+0.99),'Tax scales - NAT 3539'!$A$127:$C$154,2,1)-VLOOKUP((TRUNC(($AN449+0.01)*3/13,0)+0.99),'Tax scales - NAT 3539'!$A$127:$C$154,3,1)),0)
*13/3,
0),
IF($E$2="Monthly",
ROUND(
ROUND(((TRUNC($AN449*3/13,0)+0.99)*VLOOKUP((TRUNC($AN449*3/13,0)+0.99),'Tax scales - NAT 3539'!$A$127:$C$154,2,1)-VLOOKUP((TRUNC($AN449*3/13,0)+0.99),'Tax scales - NAT 3539'!$A$127:$C$154,3,1)),0)
*13/3,
0),
""))),
""),
"")</f>
        <v/>
      </c>
      <c r="AZ449" s="118">
        <f>IFERROR(
HLOOKUP(VLOOKUP($C449,'Employee information'!$B:$M,COLUMNS('Employee information'!$B:$M),0),'PAYG worksheet'!$AO$445:$AY$464,COUNTA($C$446:$C449)+1,0),
0)</f>
        <v>3104</v>
      </c>
      <c r="BA449" s="118"/>
      <c r="BB449" s="118">
        <f t="shared" si="480"/>
        <v>4588.3076923076924</v>
      </c>
      <c r="BC449" s="119">
        <f>IFERROR(
IF(OR($AE449=1,$AE449=""),SUM($P449,$AA449,$AC449,$AK449)*VLOOKUP($C449,'Employee information'!$B:$Q,COLUMNS('Employee information'!$B:$H),0),
IF($AE449=0,SUM($P449,$AA449,$AK449)*VLOOKUP($C449,'Employee information'!$B:$Q,COLUMNS('Employee information'!$B:$H),0),
0)),
0)</f>
        <v>730.76923076923083</v>
      </c>
      <c r="BE449" s="114">
        <f t="shared" si="465"/>
        <v>123216.92307692305</v>
      </c>
      <c r="BF449" s="114">
        <f t="shared" si="466"/>
        <v>123076.92307692305</v>
      </c>
      <c r="BG449" s="114">
        <f t="shared" si="467"/>
        <v>0</v>
      </c>
      <c r="BH449" s="114">
        <f t="shared" si="468"/>
        <v>140</v>
      </c>
      <c r="BI449" s="114">
        <f t="shared" si="469"/>
        <v>49664</v>
      </c>
      <c r="BJ449" s="114">
        <f t="shared" si="470"/>
        <v>0</v>
      </c>
      <c r="BK449" s="114">
        <f t="shared" si="471"/>
        <v>0</v>
      </c>
      <c r="BL449" s="114">
        <f t="shared" si="481"/>
        <v>0</v>
      </c>
      <c r="BM449" s="114">
        <f t="shared" si="472"/>
        <v>11692.30769230769</v>
      </c>
    </row>
    <row r="450" spans="1:65" x14ac:dyDescent="0.25">
      <c r="A450" s="228">
        <f t="shared" si="460"/>
        <v>16</v>
      </c>
      <c r="C450" s="278" t="s">
        <v>16</v>
      </c>
      <c r="E450" s="103">
        <f>IF($C450="",0,
IF(AND($E$2="Monthly",$A450&gt;12),0,
IF($E$2="Monthly",VLOOKUP($C450,'Employee information'!$B:$AM,COLUMNS('Employee information'!$B:S),0),
IF($E$2="Fortnightly",VLOOKUP($C450,'Employee information'!$B:$AM,COLUMNS('Employee information'!$B:R),0),
0))))</f>
        <v>75</v>
      </c>
      <c r="F450" s="106"/>
      <c r="G450" s="106"/>
      <c r="H450" s="106"/>
      <c r="I450" s="106"/>
      <c r="J450" s="103">
        <f t="shared" si="473"/>
        <v>75</v>
      </c>
      <c r="L450" s="113">
        <f>IF(AND($E$2="Monthly",$A450&gt;12),"",
IFERROR($J450*VLOOKUP($C450,'Employee information'!$B:$AI,COLUMNS('Employee information'!$B:$P),0),0))</f>
        <v>4125</v>
      </c>
      <c r="M450" s="114">
        <f t="shared" si="474"/>
        <v>66000</v>
      </c>
      <c r="O450" s="103">
        <f t="shared" si="475"/>
        <v>75</v>
      </c>
      <c r="P450" s="113">
        <f>IFERROR(
IF(AND($E$2="Monthly",$A450&gt;12),0,
$O450*VLOOKUP($C450,'Employee information'!$B:$AI,COLUMNS('Employee information'!$B:$P),0)),
0)</f>
        <v>4125</v>
      </c>
      <c r="R450" s="114">
        <f t="shared" si="461"/>
        <v>66000</v>
      </c>
      <c r="T450" s="103"/>
      <c r="U450" s="103"/>
      <c r="V450" s="282">
        <f>IF($C450="","",
IF(AND($E$2="Monthly",$A450&gt;12),"",
$T450*VLOOKUP($C450,'Employee information'!$B:$P,COLUMNS('Employee information'!$B:$P),0)))</f>
        <v>0</v>
      </c>
      <c r="W450" s="282">
        <f>IF($C450="","",
IF(AND($E$2="Monthly",$A450&gt;12),"",
$U450*VLOOKUP($C450,'Employee information'!$B:$P,COLUMNS('Employee information'!$B:$P),0)))</f>
        <v>0</v>
      </c>
      <c r="X450" s="114">
        <f t="shared" si="462"/>
        <v>0</v>
      </c>
      <c r="Y450" s="114">
        <f t="shared" si="463"/>
        <v>0</v>
      </c>
      <c r="AA450" s="118">
        <f>IFERROR(
IF(OR('Basic payroll data'!$D$12="",'Basic payroll data'!$D$12="No"),0,
$T450*VLOOKUP($C450,'Employee information'!$B:$P,COLUMNS('Employee information'!$B:$P),0)*AL_loading_perc),
0)</f>
        <v>0</v>
      </c>
      <c r="AC450" s="118"/>
      <c r="AD450" s="118"/>
      <c r="AE450" s="283" t="str">
        <f t="shared" si="476"/>
        <v/>
      </c>
      <c r="AF450" s="283" t="str">
        <f t="shared" si="477"/>
        <v/>
      </c>
      <c r="AG450" s="118"/>
      <c r="AH450" s="118"/>
      <c r="AI450" s="283" t="str">
        <f t="shared" si="478"/>
        <v/>
      </c>
      <c r="AJ450" s="118"/>
      <c r="AK450" s="118"/>
      <c r="AM450" s="118">
        <f t="shared" si="479"/>
        <v>4125</v>
      </c>
      <c r="AN450" s="118">
        <f t="shared" si="464"/>
        <v>4125</v>
      </c>
      <c r="AO450" s="118" t="str">
        <f>IFERROR(
IF(VLOOKUP($C450,'Employee information'!$B:$M,COLUMNS('Employee information'!$B:$M),0)=1,
IF($E$2="Fortnightly",
ROUND(
ROUND((((TRUNC($AN450/2,0)+0.99))*VLOOKUP((TRUNC($AN450/2,0)+0.99),'Tax scales - NAT 1004'!$A$12:$C$18,2,1)-VLOOKUP((TRUNC($AN450/2,0)+0.99),'Tax scales - NAT 1004'!$A$12:$C$18,3,1)),0)
*2,
0),
IF(AND($E$2="Monthly",ROUND($AN450-TRUNC($AN450),2)=0.33),
ROUND(
ROUND(((TRUNC(($AN450+0.01)*3/13,0)+0.99)*VLOOKUP((TRUNC(($AN450+0.01)*3/13,0)+0.99),'Tax scales - NAT 1004'!$A$12:$C$18,2,1)-VLOOKUP((TRUNC(($AN450+0.01)*3/13,0)+0.99),'Tax scales - NAT 1004'!$A$12:$C$18,3,1)),0)
*13/3,
0),
IF($E$2="Monthly",
ROUND(
ROUND(((TRUNC($AN450*3/13,0)+0.99)*VLOOKUP((TRUNC($AN450*3/13,0)+0.99),'Tax scales - NAT 1004'!$A$12:$C$18,2,1)-VLOOKUP((TRUNC($AN450*3/13,0)+0.99),'Tax scales - NAT 1004'!$A$12:$C$18,3,1)),0)
*13/3,
0),
""))),
""),
"")</f>
        <v/>
      </c>
      <c r="AP450" s="118" t="str">
        <f>IFERROR(
IF(VLOOKUP($C450,'Employee information'!$B:$M,COLUMNS('Employee information'!$B:$M),0)=2,
IF($E$2="Fortnightly",
ROUND(
ROUND((((TRUNC($AN450/2,0)+0.99))*VLOOKUP((TRUNC($AN450/2,0)+0.99),'Tax scales - NAT 1004'!$A$25:$C$33,2,1)-VLOOKUP((TRUNC($AN450/2,0)+0.99),'Tax scales - NAT 1004'!$A$25:$C$33,3,1)),0)
*2,
0),
IF(AND($E$2="Monthly",ROUND($AN450-TRUNC($AN450),2)=0.33),
ROUND(
ROUND(((TRUNC(($AN450+0.01)*3/13,0)+0.99)*VLOOKUP((TRUNC(($AN450+0.01)*3/13,0)+0.99),'Tax scales - NAT 1004'!$A$25:$C$33,2,1)-VLOOKUP((TRUNC(($AN450+0.01)*3/13,0)+0.99),'Tax scales - NAT 1004'!$A$25:$C$33,3,1)),0)
*13/3,
0),
IF($E$2="Monthly",
ROUND(
ROUND(((TRUNC($AN450*3/13,0)+0.99)*VLOOKUP((TRUNC($AN450*3/13,0)+0.99),'Tax scales - NAT 1004'!$A$25:$C$33,2,1)-VLOOKUP((TRUNC($AN450*3/13,0)+0.99),'Tax scales - NAT 1004'!$A$25:$C$33,3,1)),0)
*13/3,
0),
""))),
""),
"")</f>
        <v/>
      </c>
      <c r="AQ450" s="118" t="str">
        <f>IFERROR(
IF(VLOOKUP($C450,'Employee information'!$B:$M,COLUMNS('Employee information'!$B:$M),0)=3,
IF($E$2="Fortnightly",
ROUND(
ROUND((((TRUNC($AN450/2,0)+0.99))*VLOOKUP((TRUNC($AN450/2,0)+0.99),'Tax scales - NAT 1004'!$A$39:$C$41,2,1)-VLOOKUP((TRUNC($AN450/2,0)+0.99),'Tax scales - NAT 1004'!$A$39:$C$41,3,1)),0)
*2,
0),
IF(AND($E$2="Monthly",ROUND($AN450-TRUNC($AN450),2)=0.33),
ROUND(
ROUND(((TRUNC(($AN450+0.01)*3/13,0)+0.99)*VLOOKUP((TRUNC(($AN450+0.01)*3/13,0)+0.99),'Tax scales - NAT 1004'!$A$39:$C$41,2,1)-VLOOKUP((TRUNC(($AN450+0.01)*3/13,0)+0.99),'Tax scales - NAT 1004'!$A$39:$C$41,3,1)),0)
*13/3,
0),
IF($E$2="Monthly",
ROUND(
ROUND(((TRUNC($AN450*3/13,0)+0.99)*VLOOKUP((TRUNC($AN450*3/13,0)+0.99),'Tax scales - NAT 1004'!$A$39:$C$41,2,1)-VLOOKUP((TRUNC($AN450*3/13,0)+0.99),'Tax scales - NAT 1004'!$A$39:$C$41,3,1)),0)
*13/3,
0),
""))),
""),
"")</f>
        <v/>
      </c>
      <c r="AR450" s="118" t="str">
        <f>IFERROR(
IF(AND(VLOOKUP($C450,'Employee information'!$B:$M,COLUMNS('Employee information'!$B:$M),0)=4,
VLOOKUP($C450,'Employee information'!$B:$J,COLUMNS('Employee information'!$B:$J),0)="Resident"),
TRUNC(TRUNC($AN450)*'Tax scales - NAT 1004'!$B$47),
IF(AND(VLOOKUP($C450,'Employee information'!$B:$M,COLUMNS('Employee information'!$B:$M),0)=4,
VLOOKUP($C450,'Employee information'!$B:$J,COLUMNS('Employee information'!$B:$J),0)="Foreign resident"),
TRUNC(TRUNC($AN450)*'Tax scales - NAT 1004'!$B$48),
"")),
"")</f>
        <v/>
      </c>
      <c r="AS450" s="118" t="str">
        <f>IFERROR(
IF(VLOOKUP($C450,'Employee information'!$B:$M,COLUMNS('Employee information'!$B:$M),0)=5,
IF($E$2="Fortnightly",
ROUND(
ROUND((((TRUNC($AN450/2,0)+0.99))*VLOOKUP((TRUNC($AN450/2,0)+0.99),'Tax scales - NAT 1004'!$A$53:$C$59,2,1)-VLOOKUP((TRUNC($AN450/2,0)+0.99),'Tax scales - NAT 1004'!$A$53:$C$59,3,1)),0)
*2,
0),
IF(AND($E$2="Monthly",ROUND($AN450-TRUNC($AN450),2)=0.33),
ROUND(
ROUND(((TRUNC(($AN450+0.01)*3/13,0)+0.99)*VLOOKUP((TRUNC(($AN450+0.01)*3/13,0)+0.99),'Tax scales - NAT 1004'!$A$53:$C$59,2,1)-VLOOKUP((TRUNC(($AN450+0.01)*3/13,0)+0.99),'Tax scales - NAT 1004'!$A$53:$C$59,3,1)),0)
*13/3,
0),
IF($E$2="Monthly",
ROUND(
ROUND(((TRUNC($AN450*3/13,0)+0.99)*VLOOKUP((TRUNC($AN450*3/13,0)+0.99),'Tax scales - NAT 1004'!$A$53:$C$59,2,1)-VLOOKUP((TRUNC($AN450*3/13,0)+0.99),'Tax scales - NAT 1004'!$A$53:$C$59,3,1)),0)
*13/3,
0),
""))),
""),
"")</f>
        <v/>
      </c>
      <c r="AT450" s="118" t="str">
        <f>IFERROR(
IF(VLOOKUP($C450,'Employee information'!$B:$M,COLUMNS('Employee information'!$B:$M),0)=6,
IF($E$2="Fortnightly",
ROUND(
ROUND((((TRUNC($AN450/2,0)+0.99))*VLOOKUP((TRUNC($AN450/2,0)+0.99),'Tax scales - NAT 1004'!$A$65:$C$73,2,1)-VLOOKUP((TRUNC($AN450/2,0)+0.99),'Tax scales - NAT 1004'!$A$65:$C$73,3,1)),0)
*2,
0),
IF(AND($E$2="Monthly",ROUND($AN450-TRUNC($AN450),2)=0.33),
ROUND(
ROUND(((TRUNC(($AN450+0.01)*3/13,0)+0.99)*VLOOKUP((TRUNC(($AN450+0.01)*3/13,0)+0.99),'Tax scales - NAT 1004'!$A$65:$C$73,2,1)-VLOOKUP((TRUNC(($AN450+0.01)*3/13,0)+0.99),'Tax scales - NAT 1004'!$A$65:$C$73,3,1)),0)
*13/3,
0),
IF($E$2="Monthly",
ROUND(
ROUND(((TRUNC($AN450*3/13,0)+0.99)*VLOOKUP((TRUNC($AN450*3/13,0)+0.99),'Tax scales - NAT 1004'!$A$65:$C$73,2,1)-VLOOKUP((TRUNC($AN450*3/13,0)+0.99),'Tax scales - NAT 1004'!$A$65:$C$73,3,1)),0)
*13/3,
0),
""))),
""),
"")</f>
        <v/>
      </c>
      <c r="AU450" s="118">
        <f>IFERROR(
IF(VLOOKUP($C450,'Employee information'!$B:$M,COLUMNS('Employee information'!$B:$M),0)=11,
IF($E$2="Fortnightly",
ROUND(
ROUND((((TRUNC($AN450/2,0)+0.99))*VLOOKUP((TRUNC($AN450/2,0)+0.99),'Tax scales - NAT 3539'!$A$14:$C$38,2,1)-VLOOKUP((TRUNC($AN450/2,0)+0.99),'Tax scales - NAT 3539'!$A$14:$C$38,3,1)),0)
*2,
0),
IF(AND($E$2="Monthly",ROUND($AN450-TRUNC($AN450),2)=0.33),
ROUND(
ROUND(((TRUNC(($AN450+0.01)*3/13,0)+0.99)*VLOOKUP((TRUNC(($AN450+0.01)*3/13,0)+0.99),'Tax scales - NAT 3539'!$A$14:$C$38,2,1)-VLOOKUP((TRUNC(($AN450+0.01)*3/13,0)+0.99),'Tax scales - NAT 3539'!$A$14:$C$38,3,1)),0)
*13/3,
0),
IF($E$2="Monthly",
ROUND(
ROUND(((TRUNC($AN450*3/13,0)+0.99)*VLOOKUP((TRUNC($AN450*3/13,0)+0.99),'Tax scales - NAT 3539'!$A$14:$C$38,2,1)-VLOOKUP((TRUNC($AN450*3/13,0)+0.99),'Tax scales - NAT 3539'!$A$14:$C$38,3,1)),0)
*13/3,
0),
""))),
""),
"")</f>
        <v>1680</v>
      </c>
      <c r="AV450" s="118" t="str">
        <f>IFERROR(
IF(VLOOKUP($C450,'Employee information'!$B:$M,COLUMNS('Employee information'!$B:$M),0)=22,
IF($E$2="Fortnightly",
ROUND(
ROUND((((TRUNC($AN450/2,0)+0.99))*VLOOKUP((TRUNC($AN450/2,0)+0.99),'Tax scales - NAT 3539'!$A$43:$C$69,2,1)-VLOOKUP((TRUNC($AN450/2,0)+0.99),'Tax scales - NAT 3539'!$A$43:$C$69,3,1)),0)
*2,
0),
IF(AND($E$2="Monthly",ROUND($AN450-TRUNC($AN450),2)=0.33),
ROUND(
ROUND(((TRUNC(($AN450+0.01)*3/13,0)+0.99)*VLOOKUP((TRUNC(($AN450+0.01)*3/13,0)+0.99),'Tax scales - NAT 3539'!$A$43:$C$69,2,1)-VLOOKUP((TRUNC(($AN450+0.01)*3/13,0)+0.99),'Tax scales - NAT 3539'!$A$43:$C$69,3,1)),0)
*13/3,
0),
IF($E$2="Monthly",
ROUND(
ROUND(((TRUNC($AN450*3/13,0)+0.99)*VLOOKUP((TRUNC($AN450*3/13,0)+0.99),'Tax scales - NAT 3539'!$A$43:$C$69,2,1)-VLOOKUP((TRUNC($AN450*3/13,0)+0.99),'Tax scales - NAT 3539'!$A$43:$C$69,3,1)),0)
*13/3,
0),
""))),
""),
"")</f>
        <v/>
      </c>
      <c r="AW450" s="118" t="str">
        <f>IFERROR(
IF(VLOOKUP($C450,'Employee information'!$B:$M,COLUMNS('Employee information'!$B:$M),0)=33,
IF($E$2="Fortnightly",
ROUND(
ROUND((((TRUNC($AN450/2,0)+0.99))*VLOOKUP((TRUNC($AN450/2,0)+0.99),'Tax scales - NAT 3539'!$A$74:$C$94,2,1)-VLOOKUP((TRUNC($AN450/2,0)+0.99),'Tax scales - NAT 3539'!$A$74:$C$94,3,1)),0)
*2,
0),
IF(AND($E$2="Monthly",ROUND($AN450-TRUNC($AN450),2)=0.33),
ROUND(
ROUND(((TRUNC(($AN450+0.01)*3/13,0)+0.99)*VLOOKUP((TRUNC(($AN450+0.01)*3/13,0)+0.99),'Tax scales - NAT 3539'!$A$74:$C$94,2,1)-VLOOKUP((TRUNC(($AN450+0.01)*3/13,0)+0.99),'Tax scales - NAT 3539'!$A$74:$C$94,3,1)),0)
*13/3,
0),
IF($E$2="Monthly",
ROUND(
ROUND(((TRUNC($AN450*3/13,0)+0.99)*VLOOKUP((TRUNC($AN450*3/13,0)+0.99),'Tax scales - NAT 3539'!$A$74:$C$94,2,1)-VLOOKUP((TRUNC($AN450*3/13,0)+0.99),'Tax scales - NAT 3539'!$A$74:$C$94,3,1)),0)
*13/3,
0),
""))),
""),
"")</f>
        <v/>
      </c>
      <c r="AX450" s="118" t="str">
        <f>IFERROR(
IF(VLOOKUP($C450,'Employee information'!$B:$M,COLUMNS('Employee information'!$B:$M),0)=55,
IF($E$2="Fortnightly",
ROUND(
ROUND((((TRUNC($AN450/2,0)+0.99))*VLOOKUP((TRUNC($AN450/2,0)+0.99),'Tax scales - NAT 3539'!$A$99:$C$123,2,1)-VLOOKUP((TRUNC($AN450/2,0)+0.99),'Tax scales - NAT 3539'!$A$99:$C$123,3,1)),0)
*2,
0),
IF(AND($E$2="Monthly",ROUND($AN450-TRUNC($AN450),2)=0.33),
ROUND(
ROUND(((TRUNC(($AN450+0.01)*3/13,0)+0.99)*VLOOKUP((TRUNC(($AN450+0.01)*3/13,0)+0.99),'Tax scales - NAT 3539'!$A$99:$C$123,2,1)-VLOOKUP((TRUNC(($AN450+0.01)*3/13,0)+0.99),'Tax scales - NAT 3539'!$A$99:$C$123,3,1)),0)
*13/3,
0),
IF($E$2="Monthly",
ROUND(
ROUND(((TRUNC($AN450*3/13,0)+0.99)*VLOOKUP((TRUNC($AN450*3/13,0)+0.99),'Tax scales - NAT 3539'!$A$99:$C$123,2,1)-VLOOKUP((TRUNC($AN450*3/13,0)+0.99),'Tax scales - NAT 3539'!$A$99:$C$123,3,1)),0)
*13/3,
0),
""))),
""),
"")</f>
        <v/>
      </c>
      <c r="AY450" s="118" t="str">
        <f>IFERROR(
IF(VLOOKUP($C450,'Employee information'!$B:$M,COLUMNS('Employee information'!$B:$M),0)=66,
IF($E$2="Fortnightly",
ROUND(
ROUND((((TRUNC($AN450/2,0)+0.99))*VLOOKUP((TRUNC($AN450/2,0)+0.99),'Tax scales - NAT 3539'!$A$127:$C$154,2,1)-VLOOKUP((TRUNC($AN450/2,0)+0.99),'Tax scales - NAT 3539'!$A$127:$C$154,3,1)),0)
*2,
0),
IF(AND($E$2="Monthly",ROUND($AN450-TRUNC($AN450),2)=0.33),
ROUND(
ROUND(((TRUNC(($AN450+0.01)*3/13,0)+0.99)*VLOOKUP((TRUNC(($AN450+0.01)*3/13,0)+0.99),'Tax scales - NAT 3539'!$A$127:$C$154,2,1)-VLOOKUP((TRUNC(($AN450+0.01)*3/13,0)+0.99),'Tax scales - NAT 3539'!$A$127:$C$154,3,1)),0)
*13/3,
0),
IF($E$2="Monthly",
ROUND(
ROUND(((TRUNC($AN450*3/13,0)+0.99)*VLOOKUP((TRUNC($AN450*3/13,0)+0.99),'Tax scales - NAT 3539'!$A$127:$C$154,2,1)-VLOOKUP((TRUNC($AN450*3/13,0)+0.99),'Tax scales - NAT 3539'!$A$127:$C$154,3,1)),0)
*13/3,
0),
""))),
""),
"")</f>
        <v/>
      </c>
      <c r="AZ450" s="118">
        <f>IFERROR(
HLOOKUP(VLOOKUP($C450,'Employee information'!$B:$M,COLUMNS('Employee information'!$B:$M),0),'PAYG worksheet'!$AO$445:$AY$464,COUNTA($C$446:$C450)+1,0),
0)</f>
        <v>1680</v>
      </c>
      <c r="BA450" s="118"/>
      <c r="BB450" s="118">
        <f t="shared" si="480"/>
        <v>2445</v>
      </c>
      <c r="BC450" s="119">
        <f>IFERROR(
IF(OR($AE450=1,$AE450=""),SUM($P450,$AA450,$AC450,$AK450)*VLOOKUP($C450,'Employee information'!$B:$Q,COLUMNS('Employee information'!$B:$H),0),
IF($AE450=0,SUM($P450,$AA450,$AK450)*VLOOKUP($C450,'Employee information'!$B:$Q,COLUMNS('Employee information'!$B:$H),0),
0)),
0)</f>
        <v>391.875</v>
      </c>
      <c r="BE450" s="114">
        <f t="shared" si="465"/>
        <v>66100</v>
      </c>
      <c r="BF450" s="114">
        <f t="shared" si="466"/>
        <v>66100</v>
      </c>
      <c r="BG450" s="114">
        <f t="shared" si="467"/>
        <v>0</v>
      </c>
      <c r="BH450" s="114">
        <f t="shared" si="468"/>
        <v>0</v>
      </c>
      <c r="BI450" s="114">
        <f t="shared" si="469"/>
        <v>26928</v>
      </c>
      <c r="BJ450" s="114">
        <f t="shared" si="470"/>
        <v>0</v>
      </c>
      <c r="BK450" s="114">
        <f t="shared" si="471"/>
        <v>0</v>
      </c>
      <c r="BL450" s="114">
        <f t="shared" si="481"/>
        <v>100</v>
      </c>
      <c r="BM450" s="114">
        <f t="shared" si="472"/>
        <v>6279.5</v>
      </c>
    </row>
    <row r="451" spans="1:65" x14ac:dyDescent="0.25">
      <c r="A451" s="228">
        <f t="shared" si="460"/>
        <v>16</v>
      </c>
      <c r="C451" s="278" t="s">
        <v>17</v>
      </c>
      <c r="E451" s="103">
        <f>IF($C451="",0,
IF(AND($E$2="Monthly",$A451&gt;12),0,
IF($E$2="Monthly",VLOOKUP($C451,'Employee information'!$B:$AM,COLUMNS('Employee information'!$B:S),0),
IF($E$2="Fortnightly",VLOOKUP($C451,'Employee information'!$B:$AM,COLUMNS('Employee information'!$B:R),0),
0))))</f>
        <v>75</v>
      </c>
      <c r="F451" s="106"/>
      <c r="G451" s="106"/>
      <c r="H451" s="106"/>
      <c r="I451" s="106"/>
      <c r="J451" s="103">
        <f t="shared" si="473"/>
        <v>75</v>
      </c>
      <c r="L451" s="113">
        <f>IF(AND($E$2="Monthly",$A451&gt;12),"",
IFERROR($J451*VLOOKUP($C451,'Employee information'!$B:$AI,COLUMNS('Employee information'!$B:$P),0),0))</f>
        <v>2500</v>
      </c>
      <c r="M451" s="114">
        <f t="shared" si="474"/>
        <v>40000</v>
      </c>
      <c r="O451" s="103">
        <f t="shared" si="475"/>
        <v>75</v>
      </c>
      <c r="P451" s="113">
        <f>IFERROR(
IF(AND($E$2="Monthly",$A451&gt;12),0,
$O451*VLOOKUP($C451,'Employee information'!$B:$AI,COLUMNS('Employee information'!$B:$P),0)),
0)</f>
        <v>2500</v>
      </c>
      <c r="R451" s="114">
        <f t="shared" si="461"/>
        <v>40000</v>
      </c>
      <c r="T451" s="103"/>
      <c r="U451" s="103"/>
      <c r="V451" s="282">
        <f>IF($C451="","",
IF(AND($E$2="Monthly",$A451&gt;12),"",
$T451*VLOOKUP($C451,'Employee information'!$B:$P,COLUMNS('Employee information'!$B:$P),0)))</f>
        <v>0</v>
      </c>
      <c r="W451" s="282">
        <f>IF($C451="","",
IF(AND($E$2="Monthly",$A451&gt;12),"",
$U451*VLOOKUP($C451,'Employee information'!$B:$P,COLUMNS('Employee information'!$B:$P),0)))</f>
        <v>0</v>
      </c>
      <c r="X451" s="114">
        <f t="shared" si="462"/>
        <v>0</v>
      </c>
      <c r="Y451" s="114">
        <f t="shared" si="463"/>
        <v>0</v>
      </c>
      <c r="AA451" s="118">
        <f>IFERROR(
IF(OR('Basic payroll data'!$D$12="",'Basic payroll data'!$D$12="No"),0,
$T451*VLOOKUP($C451,'Employee information'!$B:$P,COLUMNS('Employee information'!$B:$P),0)*AL_loading_perc),
0)</f>
        <v>0</v>
      </c>
      <c r="AC451" s="118"/>
      <c r="AD451" s="118"/>
      <c r="AE451" s="283" t="str">
        <f t="shared" si="476"/>
        <v/>
      </c>
      <c r="AF451" s="283" t="str">
        <f t="shared" si="477"/>
        <v/>
      </c>
      <c r="AG451" s="118"/>
      <c r="AH451" s="118"/>
      <c r="AI451" s="283" t="str">
        <f t="shared" si="478"/>
        <v/>
      </c>
      <c r="AJ451" s="118"/>
      <c r="AK451" s="118"/>
      <c r="AM451" s="118">
        <f t="shared" si="479"/>
        <v>2500</v>
      </c>
      <c r="AN451" s="118">
        <f t="shared" si="464"/>
        <v>2500</v>
      </c>
      <c r="AO451" s="118" t="str">
        <f>IFERROR(
IF(VLOOKUP($C451,'Employee information'!$B:$M,COLUMNS('Employee information'!$B:$M),0)=1,
IF($E$2="Fortnightly",
ROUND(
ROUND((((TRUNC($AN451/2,0)+0.99))*VLOOKUP((TRUNC($AN451/2,0)+0.99),'Tax scales - NAT 1004'!$A$12:$C$18,2,1)-VLOOKUP((TRUNC($AN451/2,0)+0.99),'Tax scales - NAT 1004'!$A$12:$C$18,3,1)),0)
*2,
0),
IF(AND($E$2="Monthly",ROUND($AN451-TRUNC($AN451),2)=0.33),
ROUND(
ROUND(((TRUNC(($AN451+0.01)*3/13,0)+0.99)*VLOOKUP((TRUNC(($AN451+0.01)*3/13,0)+0.99),'Tax scales - NAT 1004'!$A$12:$C$18,2,1)-VLOOKUP((TRUNC(($AN451+0.01)*3/13,0)+0.99),'Tax scales - NAT 1004'!$A$12:$C$18,3,1)),0)
*13/3,
0),
IF($E$2="Monthly",
ROUND(
ROUND(((TRUNC($AN451*3/13,0)+0.99)*VLOOKUP((TRUNC($AN451*3/13,0)+0.99),'Tax scales - NAT 1004'!$A$12:$C$18,2,1)-VLOOKUP((TRUNC($AN451*3/13,0)+0.99),'Tax scales - NAT 1004'!$A$12:$C$18,3,1)),0)
*13/3,
0),
""))),
""),
"")</f>
        <v/>
      </c>
      <c r="AP451" s="118" t="str">
        <f>IFERROR(
IF(VLOOKUP($C451,'Employee information'!$B:$M,COLUMNS('Employee information'!$B:$M),0)=2,
IF($E$2="Fortnightly",
ROUND(
ROUND((((TRUNC($AN451/2,0)+0.99))*VLOOKUP((TRUNC($AN451/2,0)+0.99),'Tax scales - NAT 1004'!$A$25:$C$33,2,1)-VLOOKUP((TRUNC($AN451/2,0)+0.99),'Tax scales - NAT 1004'!$A$25:$C$33,3,1)),0)
*2,
0),
IF(AND($E$2="Monthly",ROUND($AN451-TRUNC($AN451),2)=0.33),
ROUND(
ROUND(((TRUNC(($AN451+0.01)*3/13,0)+0.99)*VLOOKUP((TRUNC(($AN451+0.01)*3/13,0)+0.99),'Tax scales - NAT 1004'!$A$25:$C$33,2,1)-VLOOKUP((TRUNC(($AN451+0.01)*3/13,0)+0.99),'Tax scales - NAT 1004'!$A$25:$C$33,3,1)),0)
*13/3,
0),
IF($E$2="Monthly",
ROUND(
ROUND(((TRUNC($AN451*3/13,0)+0.99)*VLOOKUP((TRUNC($AN451*3/13,0)+0.99),'Tax scales - NAT 1004'!$A$25:$C$33,2,1)-VLOOKUP((TRUNC($AN451*3/13,0)+0.99),'Tax scales - NAT 1004'!$A$25:$C$33,3,1)),0)
*13/3,
0),
""))),
""),
"")</f>
        <v/>
      </c>
      <c r="AQ451" s="118" t="str">
        <f>IFERROR(
IF(VLOOKUP($C451,'Employee information'!$B:$M,COLUMNS('Employee information'!$B:$M),0)=3,
IF($E$2="Fortnightly",
ROUND(
ROUND((((TRUNC($AN451/2,0)+0.99))*VLOOKUP((TRUNC($AN451/2,0)+0.99),'Tax scales - NAT 1004'!$A$39:$C$41,2,1)-VLOOKUP((TRUNC($AN451/2,0)+0.99),'Tax scales - NAT 1004'!$A$39:$C$41,3,1)),0)
*2,
0),
IF(AND($E$2="Monthly",ROUND($AN451-TRUNC($AN451),2)=0.33),
ROUND(
ROUND(((TRUNC(($AN451+0.01)*3/13,0)+0.99)*VLOOKUP((TRUNC(($AN451+0.01)*3/13,0)+0.99),'Tax scales - NAT 1004'!$A$39:$C$41,2,1)-VLOOKUP((TRUNC(($AN451+0.01)*3/13,0)+0.99),'Tax scales - NAT 1004'!$A$39:$C$41,3,1)),0)
*13/3,
0),
IF($E$2="Monthly",
ROUND(
ROUND(((TRUNC($AN451*3/13,0)+0.99)*VLOOKUP((TRUNC($AN451*3/13,0)+0.99),'Tax scales - NAT 1004'!$A$39:$C$41,2,1)-VLOOKUP((TRUNC($AN451*3/13,0)+0.99),'Tax scales - NAT 1004'!$A$39:$C$41,3,1)),0)
*13/3,
0),
""))),
""),
"")</f>
        <v/>
      </c>
      <c r="AR451" s="118">
        <f>IFERROR(
IF(AND(VLOOKUP($C451,'Employee information'!$B:$M,COLUMNS('Employee information'!$B:$M),0)=4,
VLOOKUP($C451,'Employee information'!$B:$J,COLUMNS('Employee information'!$B:$J),0)="Resident"),
TRUNC(TRUNC($AN451)*'Tax scales - NAT 1004'!$B$47),
IF(AND(VLOOKUP($C451,'Employee information'!$B:$M,COLUMNS('Employee information'!$B:$M),0)=4,
VLOOKUP($C451,'Employee information'!$B:$J,COLUMNS('Employee information'!$B:$J),0)="Foreign resident"),
TRUNC(TRUNC($AN451)*'Tax scales - NAT 1004'!$B$48),
"")),
"")</f>
        <v>1175</v>
      </c>
      <c r="AS451" s="118" t="str">
        <f>IFERROR(
IF(VLOOKUP($C451,'Employee information'!$B:$M,COLUMNS('Employee information'!$B:$M),0)=5,
IF($E$2="Fortnightly",
ROUND(
ROUND((((TRUNC($AN451/2,0)+0.99))*VLOOKUP((TRUNC($AN451/2,0)+0.99),'Tax scales - NAT 1004'!$A$53:$C$59,2,1)-VLOOKUP((TRUNC($AN451/2,0)+0.99),'Tax scales - NAT 1004'!$A$53:$C$59,3,1)),0)
*2,
0),
IF(AND($E$2="Monthly",ROUND($AN451-TRUNC($AN451),2)=0.33),
ROUND(
ROUND(((TRUNC(($AN451+0.01)*3/13,0)+0.99)*VLOOKUP((TRUNC(($AN451+0.01)*3/13,0)+0.99),'Tax scales - NAT 1004'!$A$53:$C$59,2,1)-VLOOKUP((TRUNC(($AN451+0.01)*3/13,0)+0.99),'Tax scales - NAT 1004'!$A$53:$C$59,3,1)),0)
*13/3,
0),
IF($E$2="Monthly",
ROUND(
ROUND(((TRUNC($AN451*3/13,0)+0.99)*VLOOKUP((TRUNC($AN451*3/13,0)+0.99),'Tax scales - NAT 1004'!$A$53:$C$59,2,1)-VLOOKUP((TRUNC($AN451*3/13,0)+0.99),'Tax scales - NAT 1004'!$A$53:$C$59,3,1)),0)
*13/3,
0),
""))),
""),
"")</f>
        <v/>
      </c>
      <c r="AT451" s="118" t="str">
        <f>IFERROR(
IF(VLOOKUP($C451,'Employee information'!$B:$M,COLUMNS('Employee information'!$B:$M),0)=6,
IF($E$2="Fortnightly",
ROUND(
ROUND((((TRUNC($AN451/2,0)+0.99))*VLOOKUP((TRUNC($AN451/2,0)+0.99),'Tax scales - NAT 1004'!$A$65:$C$73,2,1)-VLOOKUP((TRUNC($AN451/2,0)+0.99),'Tax scales - NAT 1004'!$A$65:$C$73,3,1)),0)
*2,
0),
IF(AND($E$2="Monthly",ROUND($AN451-TRUNC($AN451),2)=0.33),
ROUND(
ROUND(((TRUNC(($AN451+0.01)*3/13,0)+0.99)*VLOOKUP((TRUNC(($AN451+0.01)*3/13,0)+0.99),'Tax scales - NAT 1004'!$A$65:$C$73,2,1)-VLOOKUP((TRUNC(($AN451+0.01)*3/13,0)+0.99),'Tax scales - NAT 1004'!$A$65:$C$73,3,1)),0)
*13/3,
0),
IF($E$2="Monthly",
ROUND(
ROUND(((TRUNC($AN451*3/13,0)+0.99)*VLOOKUP((TRUNC($AN451*3/13,0)+0.99),'Tax scales - NAT 1004'!$A$65:$C$73,2,1)-VLOOKUP((TRUNC($AN451*3/13,0)+0.99),'Tax scales - NAT 1004'!$A$65:$C$73,3,1)),0)
*13/3,
0),
""))),
""),
"")</f>
        <v/>
      </c>
      <c r="AU451" s="118" t="str">
        <f>IFERROR(
IF(VLOOKUP($C451,'Employee information'!$B:$M,COLUMNS('Employee information'!$B:$M),0)=11,
IF($E$2="Fortnightly",
ROUND(
ROUND((((TRUNC($AN451/2,0)+0.99))*VLOOKUP((TRUNC($AN451/2,0)+0.99),'Tax scales - NAT 3539'!$A$14:$C$38,2,1)-VLOOKUP((TRUNC($AN451/2,0)+0.99),'Tax scales - NAT 3539'!$A$14:$C$38,3,1)),0)
*2,
0),
IF(AND($E$2="Monthly",ROUND($AN451-TRUNC($AN451),2)=0.33),
ROUND(
ROUND(((TRUNC(($AN451+0.01)*3/13,0)+0.99)*VLOOKUP((TRUNC(($AN451+0.01)*3/13,0)+0.99),'Tax scales - NAT 3539'!$A$14:$C$38,2,1)-VLOOKUP((TRUNC(($AN451+0.01)*3/13,0)+0.99),'Tax scales - NAT 3539'!$A$14:$C$38,3,1)),0)
*13/3,
0),
IF($E$2="Monthly",
ROUND(
ROUND(((TRUNC($AN451*3/13,0)+0.99)*VLOOKUP((TRUNC($AN451*3/13,0)+0.99),'Tax scales - NAT 3539'!$A$14:$C$38,2,1)-VLOOKUP((TRUNC($AN451*3/13,0)+0.99),'Tax scales - NAT 3539'!$A$14:$C$38,3,1)),0)
*13/3,
0),
""))),
""),
"")</f>
        <v/>
      </c>
      <c r="AV451" s="118" t="str">
        <f>IFERROR(
IF(VLOOKUP($C451,'Employee information'!$B:$M,COLUMNS('Employee information'!$B:$M),0)=22,
IF($E$2="Fortnightly",
ROUND(
ROUND((((TRUNC($AN451/2,0)+0.99))*VLOOKUP((TRUNC($AN451/2,0)+0.99),'Tax scales - NAT 3539'!$A$43:$C$69,2,1)-VLOOKUP((TRUNC($AN451/2,0)+0.99),'Tax scales - NAT 3539'!$A$43:$C$69,3,1)),0)
*2,
0),
IF(AND($E$2="Monthly",ROUND($AN451-TRUNC($AN451),2)=0.33),
ROUND(
ROUND(((TRUNC(($AN451+0.01)*3/13,0)+0.99)*VLOOKUP((TRUNC(($AN451+0.01)*3/13,0)+0.99),'Tax scales - NAT 3539'!$A$43:$C$69,2,1)-VLOOKUP((TRUNC(($AN451+0.01)*3/13,0)+0.99),'Tax scales - NAT 3539'!$A$43:$C$69,3,1)),0)
*13/3,
0),
IF($E$2="Monthly",
ROUND(
ROUND(((TRUNC($AN451*3/13,0)+0.99)*VLOOKUP((TRUNC($AN451*3/13,0)+0.99),'Tax scales - NAT 3539'!$A$43:$C$69,2,1)-VLOOKUP((TRUNC($AN451*3/13,0)+0.99),'Tax scales - NAT 3539'!$A$43:$C$69,3,1)),0)
*13/3,
0),
""))),
""),
"")</f>
        <v/>
      </c>
      <c r="AW451" s="118" t="str">
        <f>IFERROR(
IF(VLOOKUP($C451,'Employee information'!$B:$M,COLUMNS('Employee information'!$B:$M),0)=33,
IF($E$2="Fortnightly",
ROUND(
ROUND((((TRUNC($AN451/2,0)+0.99))*VLOOKUP((TRUNC($AN451/2,0)+0.99),'Tax scales - NAT 3539'!$A$74:$C$94,2,1)-VLOOKUP((TRUNC($AN451/2,0)+0.99),'Tax scales - NAT 3539'!$A$74:$C$94,3,1)),0)
*2,
0),
IF(AND($E$2="Monthly",ROUND($AN451-TRUNC($AN451),2)=0.33),
ROUND(
ROUND(((TRUNC(($AN451+0.01)*3/13,0)+0.99)*VLOOKUP((TRUNC(($AN451+0.01)*3/13,0)+0.99),'Tax scales - NAT 3539'!$A$74:$C$94,2,1)-VLOOKUP((TRUNC(($AN451+0.01)*3/13,0)+0.99),'Tax scales - NAT 3539'!$A$74:$C$94,3,1)),0)
*13/3,
0),
IF($E$2="Monthly",
ROUND(
ROUND(((TRUNC($AN451*3/13,0)+0.99)*VLOOKUP((TRUNC($AN451*3/13,0)+0.99),'Tax scales - NAT 3539'!$A$74:$C$94,2,1)-VLOOKUP((TRUNC($AN451*3/13,0)+0.99),'Tax scales - NAT 3539'!$A$74:$C$94,3,1)),0)
*13/3,
0),
""))),
""),
"")</f>
        <v/>
      </c>
      <c r="AX451" s="118" t="str">
        <f>IFERROR(
IF(VLOOKUP($C451,'Employee information'!$B:$M,COLUMNS('Employee information'!$B:$M),0)=55,
IF($E$2="Fortnightly",
ROUND(
ROUND((((TRUNC($AN451/2,0)+0.99))*VLOOKUP((TRUNC($AN451/2,0)+0.99),'Tax scales - NAT 3539'!$A$99:$C$123,2,1)-VLOOKUP((TRUNC($AN451/2,0)+0.99),'Tax scales - NAT 3539'!$A$99:$C$123,3,1)),0)
*2,
0),
IF(AND($E$2="Monthly",ROUND($AN451-TRUNC($AN451),2)=0.33),
ROUND(
ROUND(((TRUNC(($AN451+0.01)*3/13,0)+0.99)*VLOOKUP((TRUNC(($AN451+0.01)*3/13,0)+0.99),'Tax scales - NAT 3539'!$A$99:$C$123,2,1)-VLOOKUP((TRUNC(($AN451+0.01)*3/13,0)+0.99),'Tax scales - NAT 3539'!$A$99:$C$123,3,1)),0)
*13/3,
0),
IF($E$2="Monthly",
ROUND(
ROUND(((TRUNC($AN451*3/13,0)+0.99)*VLOOKUP((TRUNC($AN451*3/13,0)+0.99),'Tax scales - NAT 3539'!$A$99:$C$123,2,1)-VLOOKUP((TRUNC($AN451*3/13,0)+0.99),'Tax scales - NAT 3539'!$A$99:$C$123,3,1)),0)
*13/3,
0),
""))),
""),
"")</f>
        <v/>
      </c>
      <c r="AY451" s="118" t="str">
        <f>IFERROR(
IF(VLOOKUP($C451,'Employee information'!$B:$M,COLUMNS('Employee information'!$B:$M),0)=66,
IF($E$2="Fortnightly",
ROUND(
ROUND((((TRUNC($AN451/2,0)+0.99))*VLOOKUP((TRUNC($AN451/2,0)+0.99),'Tax scales - NAT 3539'!$A$127:$C$154,2,1)-VLOOKUP((TRUNC($AN451/2,0)+0.99),'Tax scales - NAT 3539'!$A$127:$C$154,3,1)),0)
*2,
0),
IF(AND($E$2="Monthly",ROUND($AN451-TRUNC($AN451),2)=0.33),
ROUND(
ROUND(((TRUNC(($AN451+0.01)*3/13,0)+0.99)*VLOOKUP((TRUNC(($AN451+0.01)*3/13,0)+0.99),'Tax scales - NAT 3539'!$A$127:$C$154,2,1)-VLOOKUP((TRUNC(($AN451+0.01)*3/13,0)+0.99),'Tax scales - NAT 3539'!$A$127:$C$154,3,1)),0)
*13/3,
0),
IF($E$2="Monthly",
ROUND(
ROUND(((TRUNC($AN451*3/13,0)+0.99)*VLOOKUP((TRUNC($AN451*3/13,0)+0.99),'Tax scales - NAT 3539'!$A$127:$C$154,2,1)-VLOOKUP((TRUNC($AN451*3/13,0)+0.99),'Tax scales - NAT 3539'!$A$127:$C$154,3,1)),0)
*13/3,
0),
""))),
""),
"")</f>
        <v/>
      </c>
      <c r="AZ451" s="118">
        <f>IFERROR(
HLOOKUP(VLOOKUP($C451,'Employee information'!$B:$M,COLUMNS('Employee information'!$B:$M),0),'PAYG worksheet'!$AO$445:$AY$464,COUNTA($C$446:$C451)+1,0),
0)</f>
        <v>1175</v>
      </c>
      <c r="BA451" s="118"/>
      <c r="BB451" s="118">
        <f t="shared" si="480"/>
        <v>1325</v>
      </c>
      <c r="BC451" s="119">
        <f>IFERROR(
IF(OR($AE451=1,$AE451=""),SUM($P451,$AA451,$AC451,$AK451)*VLOOKUP($C451,'Employee information'!$B:$Q,COLUMNS('Employee information'!$B:$H),0),
IF($AE451=0,SUM($P451,$AA451,$AK451)*VLOOKUP($C451,'Employee information'!$B:$Q,COLUMNS('Employee information'!$B:$H),0),
0)),
0)</f>
        <v>237.5</v>
      </c>
      <c r="BE451" s="114">
        <f t="shared" si="465"/>
        <v>40000</v>
      </c>
      <c r="BF451" s="114">
        <f t="shared" si="466"/>
        <v>40000</v>
      </c>
      <c r="BG451" s="114">
        <f t="shared" si="467"/>
        <v>0</v>
      </c>
      <c r="BH451" s="114">
        <f t="shared" si="468"/>
        <v>0</v>
      </c>
      <c r="BI451" s="114">
        <f t="shared" si="469"/>
        <v>18800</v>
      </c>
      <c r="BJ451" s="114">
        <f t="shared" si="470"/>
        <v>0</v>
      </c>
      <c r="BK451" s="114">
        <f t="shared" si="471"/>
        <v>0</v>
      </c>
      <c r="BL451" s="114">
        <f t="shared" si="481"/>
        <v>0</v>
      </c>
      <c r="BM451" s="114">
        <f t="shared" si="472"/>
        <v>3800</v>
      </c>
    </row>
    <row r="452" spans="1:65" x14ac:dyDescent="0.25">
      <c r="A452" s="228">
        <f t="shared" si="460"/>
        <v>16</v>
      </c>
      <c r="C452" s="278" t="s">
        <v>95</v>
      </c>
      <c r="E452" s="103">
        <f>IF($C452="",0,
IF(AND($E$2="Monthly",$A452&gt;12),0,
IF($E$2="Monthly",VLOOKUP($C452,'Employee information'!$B:$AM,COLUMNS('Employee information'!$B:S),0),
IF($E$2="Fortnightly",VLOOKUP($C452,'Employee information'!$B:$AM,COLUMNS('Employee information'!$B:R),0),
0))))</f>
        <v>45</v>
      </c>
      <c r="F452" s="106"/>
      <c r="G452" s="106"/>
      <c r="H452" s="106"/>
      <c r="I452" s="106"/>
      <c r="J452" s="103">
        <f t="shared" si="473"/>
        <v>45</v>
      </c>
      <c r="L452" s="113">
        <f>IF(AND($E$2="Monthly",$A452&gt;12),"",
IFERROR($J452*VLOOKUP($C452,'Employee information'!$B:$AI,COLUMNS('Employee information'!$B:$P),0),0))</f>
        <v>1107.6923076923078</v>
      </c>
      <c r="M452" s="114">
        <f t="shared" si="474"/>
        <v>17723.076923076929</v>
      </c>
      <c r="O452" s="103">
        <f t="shared" si="475"/>
        <v>45</v>
      </c>
      <c r="P452" s="113">
        <f>IFERROR(
IF(AND($E$2="Monthly",$A452&gt;12),0,
$O452*VLOOKUP($C452,'Employee information'!$B:$AI,COLUMNS('Employee information'!$B:$P),0)),
0)</f>
        <v>1107.6923076923078</v>
      </c>
      <c r="R452" s="114">
        <f t="shared" si="461"/>
        <v>17723.076923076929</v>
      </c>
      <c r="T452" s="103"/>
      <c r="U452" s="103"/>
      <c r="V452" s="282">
        <f>IF($C452="","",
IF(AND($E$2="Monthly",$A452&gt;12),"",
$T452*VLOOKUP($C452,'Employee information'!$B:$P,COLUMNS('Employee information'!$B:$P),0)))</f>
        <v>0</v>
      </c>
      <c r="W452" s="282">
        <f>IF($C452="","",
IF(AND($E$2="Monthly",$A452&gt;12),"",
$U452*VLOOKUP($C452,'Employee information'!$B:$P,COLUMNS('Employee information'!$B:$P),0)))</f>
        <v>0</v>
      </c>
      <c r="X452" s="114">
        <f t="shared" si="462"/>
        <v>0</v>
      </c>
      <c r="Y452" s="114">
        <f t="shared" si="463"/>
        <v>0</v>
      </c>
      <c r="AA452" s="118">
        <f>IFERROR(
IF(OR('Basic payroll data'!$D$12="",'Basic payroll data'!$D$12="No"),0,
$T452*VLOOKUP($C452,'Employee information'!$B:$P,COLUMNS('Employee information'!$B:$P),0)*AL_loading_perc),
0)</f>
        <v>0</v>
      </c>
      <c r="AC452" s="118"/>
      <c r="AD452" s="118"/>
      <c r="AE452" s="283" t="str">
        <f t="shared" si="476"/>
        <v/>
      </c>
      <c r="AF452" s="283" t="str">
        <f t="shared" si="477"/>
        <v/>
      </c>
      <c r="AG452" s="118"/>
      <c r="AH452" s="118"/>
      <c r="AI452" s="283" t="str">
        <f t="shared" si="478"/>
        <v/>
      </c>
      <c r="AJ452" s="118"/>
      <c r="AK452" s="118"/>
      <c r="AM452" s="118">
        <f t="shared" si="479"/>
        <v>1107.6923076923078</v>
      </c>
      <c r="AN452" s="118">
        <f t="shared" si="464"/>
        <v>1107.6923076923078</v>
      </c>
      <c r="AO452" s="118" t="str">
        <f>IFERROR(
IF(VLOOKUP($C452,'Employee information'!$B:$M,COLUMNS('Employee information'!$B:$M),0)=1,
IF($E$2="Fortnightly",
ROUND(
ROUND((((TRUNC($AN452/2,0)+0.99))*VLOOKUP((TRUNC($AN452/2,0)+0.99),'Tax scales - NAT 1004'!$A$12:$C$18,2,1)-VLOOKUP((TRUNC($AN452/2,0)+0.99),'Tax scales - NAT 1004'!$A$12:$C$18,3,1)),0)
*2,
0),
IF(AND($E$2="Monthly",ROUND($AN452-TRUNC($AN452),2)=0.33),
ROUND(
ROUND(((TRUNC(($AN452+0.01)*3/13,0)+0.99)*VLOOKUP((TRUNC(($AN452+0.01)*3/13,0)+0.99),'Tax scales - NAT 1004'!$A$12:$C$18,2,1)-VLOOKUP((TRUNC(($AN452+0.01)*3/13,0)+0.99),'Tax scales - NAT 1004'!$A$12:$C$18,3,1)),0)
*13/3,
0),
IF($E$2="Monthly",
ROUND(
ROUND(((TRUNC($AN452*3/13,0)+0.99)*VLOOKUP((TRUNC($AN452*3/13,0)+0.99),'Tax scales - NAT 1004'!$A$12:$C$18,2,1)-VLOOKUP((TRUNC($AN452*3/13,0)+0.99),'Tax scales - NAT 1004'!$A$12:$C$18,3,1)),0)
*13/3,
0),
""))),
""),
"")</f>
        <v/>
      </c>
      <c r="AP452" s="118" t="str">
        <f>IFERROR(
IF(VLOOKUP($C452,'Employee information'!$B:$M,COLUMNS('Employee information'!$B:$M),0)=2,
IF($E$2="Fortnightly",
ROUND(
ROUND((((TRUNC($AN452/2,0)+0.99))*VLOOKUP((TRUNC($AN452/2,0)+0.99),'Tax scales - NAT 1004'!$A$25:$C$33,2,1)-VLOOKUP((TRUNC($AN452/2,0)+0.99),'Tax scales - NAT 1004'!$A$25:$C$33,3,1)),0)
*2,
0),
IF(AND($E$2="Monthly",ROUND($AN452-TRUNC($AN452),2)=0.33),
ROUND(
ROUND(((TRUNC(($AN452+0.01)*3/13,0)+0.99)*VLOOKUP((TRUNC(($AN452+0.01)*3/13,0)+0.99),'Tax scales - NAT 1004'!$A$25:$C$33,2,1)-VLOOKUP((TRUNC(($AN452+0.01)*3/13,0)+0.99),'Tax scales - NAT 1004'!$A$25:$C$33,3,1)),0)
*13/3,
0),
IF($E$2="Monthly",
ROUND(
ROUND(((TRUNC($AN452*3/13,0)+0.99)*VLOOKUP((TRUNC($AN452*3/13,0)+0.99),'Tax scales - NAT 1004'!$A$25:$C$33,2,1)-VLOOKUP((TRUNC($AN452*3/13,0)+0.99),'Tax scales - NAT 1004'!$A$25:$C$33,3,1)),0)
*13/3,
0),
""))),
""),
"")</f>
        <v/>
      </c>
      <c r="AQ452" s="118" t="str">
        <f>IFERROR(
IF(VLOOKUP($C452,'Employee information'!$B:$M,COLUMNS('Employee information'!$B:$M),0)=3,
IF($E$2="Fortnightly",
ROUND(
ROUND((((TRUNC($AN452/2,0)+0.99))*VLOOKUP((TRUNC($AN452/2,0)+0.99),'Tax scales - NAT 1004'!$A$39:$C$41,2,1)-VLOOKUP((TRUNC($AN452/2,0)+0.99),'Tax scales - NAT 1004'!$A$39:$C$41,3,1)),0)
*2,
0),
IF(AND($E$2="Monthly",ROUND($AN452-TRUNC($AN452),2)=0.33),
ROUND(
ROUND(((TRUNC(($AN452+0.01)*3/13,0)+0.99)*VLOOKUP((TRUNC(($AN452+0.01)*3/13,0)+0.99),'Tax scales - NAT 1004'!$A$39:$C$41,2,1)-VLOOKUP((TRUNC(($AN452+0.01)*3/13,0)+0.99),'Tax scales - NAT 1004'!$A$39:$C$41,3,1)),0)
*13/3,
0),
IF($E$2="Monthly",
ROUND(
ROUND(((TRUNC($AN452*3/13,0)+0.99)*VLOOKUP((TRUNC($AN452*3/13,0)+0.99),'Tax scales - NAT 1004'!$A$39:$C$41,2,1)-VLOOKUP((TRUNC($AN452*3/13,0)+0.99),'Tax scales - NAT 1004'!$A$39:$C$41,3,1)),0)
*13/3,
0),
""))),
""),
"")</f>
        <v/>
      </c>
      <c r="AR452" s="118" t="str">
        <f>IFERROR(
IF(AND(VLOOKUP($C452,'Employee information'!$B:$M,COLUMNS('Employee information'!$B:$M),0)=4,
VLOOKUP($C452,'Employee information'!$B:$J,COLUMNS('Employee information'!$B:$J),0)="Resident"),
TRUNC(TRUNC($AN452)*'Tax scales - NAT 1004'!$B$47),
IF(AND(VLOOKUP($C452,'Employee information'!$B:$M,COLUMNS('Employee information'!$B:$M),0)=4,
VLOOKUP($C452,'Employee information'!$B:$J,COLUMNS('Employee information'!$B:$J),0)="Foreign resident"),
TRUNC(TRUNC($AN452)*'Tax scales - NAT 1004'!$B$48),
"")),
"")</f>
        <v/>
      </c>
      <c r="AS452" s="118" t="str">
        <f>IFERROR(
IF(VLOOKUP($C452,'Employee information'!$B:$M,COLUMNS('Employee information'!$B:$M),0)=5,
IF($E$2="Fortnightly",
ROUND(
ROUND((((TRUNC($AN452/2,0)+0.99))*VLOOKUP((TRUNC($AN452/2,0)+0.99),'Tax scales - NAT 1004'!$A$53:$C$59,2,1)-VLOOKUP((TRUNC($AN452/2,0)+0.99),'Tax scales - NAT 1004'!$A$53:$C$59,3,1)),0)
*2,
0),
IF(AND($E$2="Monthly",ROUND($AN452-TRUNC($AN452),2)=0.33),
ROUND(
ROUND(((TRUNC(($AN452+0.01)*3/13,0)+0.99)*VLOOKUP((TRUNC(($AN452+0.01)*3/13,0)+0.99),'Tax scales - NAT 1004'!$A$53:$C$59,2,1)-VLOOKUP((TRUNC(($AN452+0.01)*3/13,0)+0.99),'Tax scales - NAT 1004'!$A$53:$C$59,3,1)),0)
*13/3,
0),
IF($E$2="Monthly",
ROUND(
ROUND(((TRUNC($AN452*3/13,0)+0.99)*VLOOKUP((TRUNC($AN452*3/13,0)+0.99),'Tax scales - NAT 1004'!$A$53:$C$59,2,1)-VLOOKUP((TRUNC($AN452*3/13,0)+0.99),'Tax scales - NAT 1004'!$A$53:$C$59,3,1)),0)
*13/3,
0),
""))),
""),
"")</f>
        <v/>
      </c>
      <c r="AT452" s="118" t="str">
        <f>IFERROR(
IF(VLOOKUP($C452,'Employee information'!$B:$M,COLUMNS('Employee information'!$B:$M),0)=6,
IF($E$2="Fortnightly",
ROUND(
ROUND((((TRUNC($AN452/2,0)+0.99))*VLOOKUP((TRUNC($AN452/2,0)+0.99),'Tax scales - NAT 1004'!$A$65:$C$73,2,1)-VLOOKUP((TRUNC($AN452/2,0)+0.99),'Tax scales - NAT 1004'!$A$65:$C$73,3,1)),0)
*2,
0),
IF(AND($E$2="Monthly",ROUND($AN452-TRUNC($AN452),2)=0.33),
ROUND(
ROUND(((TRUNC(($AN452+0.01)*3/13,0)+0.99)*VLOOKUP((TRUNC(($AN452+0.01)*3/13,0)+0.99),'Tax scales - NAT 1004'!$A$65:$C$73,2,1)-VLOOKUP((TRUNC(($AN452+0.01)*3/13,0)+0.99),'Tax scales - NAT 1004'!$A$65:$C$73,3,1)),0)
*13/3,
0),
IF($E$2="Monthly",
ROUND(
ROUND(((TRUNC($AN452*3/13,0)+0.99)*VLOOKUP((TRUNC($AN452*3/13,0)+0.99),'Tax scales - NAT 1004'!$A$65:$C$73,2,1)-VLOOKUP((TRUNC($AN452*3/13,0)+0.99),'Tax scales - NAT 1004'!$A$65:$C$73,3,1)),0)
*13/3,
0),
""))),
""),
"")</f>
        <v/>
      </c>
      <c r="AU452" s="118" t="str">
        <f>IFERROR(
IF(VLOOKUP($C452,'Employee information'!$B:$M,COLUMNS('Employee information'!$B:$M),0)=11,
IF($E$2="Fortnightly",
ROUND(
ROUND((((TRUNC($AN452/2,0)+0.99))*VLOOKUP((TRUNC($AN452/2,0)+0.99),'Tax scales - NAT 3539'!$A$14:$C$38,2,1)-VLOOKUP((TRUNC($AN452/2,0)+0.99),'Tax scales - NAT 3539'!$A$14:$C$38,3,1)),0)
*2,
0),
IF(AND($E$2="Monthly",ROUND($AN452-TRUNC($AN452),2)=0.33),
ROUND(
ROUND(((TRUNC(($AN452+0.01)*3/13,0)+0.99)*VLOOKUP((TRUNC(($AN452+0.01)*3/13,0)+0.99),'Tax scales - NAT 3539'!$A$14:$C$38,2,1)-VLOOKUP((TRUNC(($AN452+0.01)*3/13,0)+0.99),'Tax scales - NAT 3539'!$A$14:$C$38,3,1)),0)
*13/3,
0),
IF($E$2="Monthly",
ROUND(
ROUND(((TRUNC($AN452*3/13,0)+0.99)*VLOOKUP((TRUNC($AN452*3/13,0)+0.99),'Tax scales - NAT 3539'!$A$14:$C$38,2,1)-VLOOKUP((TRUNC($AN452*3/13,0)+0.99),'Tax scales - NAT 3539'!$A$14:$C$38,3,1)),0)
*13/3,
0),
""))),
""),
"")</f>
        <v/>
      </c>
      <c r="AV452" s="118" t="str">
        <f>IFERROR(
IF(VLOOKUP($C452,'Employee information'!$B:$M,COLUMNS('Employee information'!$B:$M),0)=22,
IF($E$2="Fortnightly",
ROUND(
ROUND((((TRUNC($AN452/2,0)+0.99))*VLOOKUP((TRUNC($AN452/2,0)+0.99),'Tax scales - NAT 3539'!$A$43:$C$69,2,1)-VLOOKUP((TRUNC($AN452/2,0)+0.99),'Tax scales - NAT 3539'!$A$43:$C$69,3,1)),0)
*2,
0),
IF(AND($E$2="Monthly",ROUND($AN452-TRUNC($AN452),2)=0.33),
ROUND(
ROUND(((TRUNC(($AN452+0.01)*3/13,0)+0.99)*VLOOKUP((TRUNC(($AN452+0.01)*3/13,0)+0.99),'Tax scales - NAT 3539'!$A$43:$C$69,2,1)-VLOOKUP((TRUNC(($AN452+0.01)*3/13,0)+0.99),'Tax scales - NAT 3539'!$A$43:$C$69,3,1)),0)
*13/3,
0),
IF($E$2="Monthly",
ROUND(
ROUND(((TRUNC($AN452*3/13,0)+0.99)*VLOOKUP((TRUNC($AN452*3/13,0)+0.99),'Tax scales - NAT 3539'!$A$43:$C$69,2,1)-VLOOKUP((TRUNC($AN452*3/13,0)+0.99),'Tax scales - NAT 3539'!$A$43:$C$69,3,1)),0)
*13/3,
0),
""))),
""),
"")</f>
        <v/>
      </c>
      <c r="AW452" s="118" t="str">
        <f>IFERROR(
IF(VLOOKUP($C452,'Employee information'!$B:$M,COLUMNS('Employee information'!$B:$M),0)=33,
IF($E$2="Fortnightly",
ROUND(
ROUND((((TRUNC($AN452/2,0)+0.99))*VLOOKUP((TRUNC($AN452/2,0)+0.99),'Tax scales - NAT 3539'!$A$74:$C$94,2,1)-VLOOKUP((TRUNC($AN452/2,0)+0.99),'Tax scales - NAT 3539'!$A$74:$C$94,3,1)),0)
*2,
0),
IF(AND($E$2="Monthly",ROUND($AN452-TRUNC($AN452),2)=0.33),
ROUND(
ROUND(((TRUNC(($AN452+0.01)*3/13,0)+0.99)*VLOOKUP((TRUNC(($AN452+0.01)*3/13,0)+0.99),'Tax scales - NAT 3539'!$A$74:$C$94,2,1)-VLOOKUP((TRUNC(($AN452+0.01)*3/13,0)+0.99),'Tax scales - NAT 3539'!$A$74:$C$94,3,1)),0)
*13/3,
0),
IF($E$2="Monthly",
ROUND(
ROUND(((TRUNC($AN452*3/13,0)+0.99)*VLOOKUP((TRUNC($AN452*3/13,0)+0.99),'Tax scales - NAT 3539'!$A$74:$C$94,2,1)-VLOOKUP((TRUNC($AN452*3/13,0)+0.99),'Tax scales - NAT 3539'!$A$74:$C$94,3,1)),0)
*13/3,
0),
""))),
""),
"")</f>
        <v/>
      </c>
      <c r="AX452" s="118" t="str">
        <f>IFERROR(
IF(VLOOKUP($C452,'Employee information'!$B:$M,COLUMNS('Employee information'!$B:$M),0)=55,
IF($E$2="Fortnightly",
ROUND(
ROUND((((TRUNC($AN452/2,0)+0.99))*VLOOKUP((TRUNC($AN452/2,0)+0.99),'Tax scales - NAT 3539'!$A$99:$C$123,2,1)-VLOOKUP((TRUNC($AN452/2,0)+0.99),'Tax scales - NAT 3539'!$A$99:$C$123,3,1)),0)
*2,
0),
IF(AND($E$2="Monthly",ROUND($AN452-TRUNC($AN452),2)=0.33),
ROUND(
ROUND(((TRUNC(($AN452+0.01)*3/13,0)+0.99)*VLOOKUP((TRUNC(($AN452+0.01)*3/13,0)+0.99),'Tax scales - NAT 3539'!$A$99:$C$123,2,1)-VLOOKUP((TRUNC(($AN452+0.01)*3/13,0)+0.99),'Tax scales - NAT 3539'!$A$99:$C$123,3,1)),0)
*13/3,
0),
IF($E$2="Monthly",
ROUND(
ROUND(((TRUNC($AN452*3/13,0)+0.99)*VLOOKUP((TRUNC($AN452*3/13,0)+0.99),'Tax scales - NAT 3539'!$A$99:$C$123,2,1)-VLOOKUP((TRUNC($AN452*3/13,0)+0.99),'Tax scales - NAT 3539'!$A$99:$C$123,3,1)),0)
*13/3,
0),
""))),
""),
"")</f>
        <v/>
      </c>
      <c r="AY452" s="118">
        <f>IFERROR(
IF(VLOOKUP($C452,'Employee information'!$B:$M,COLUMNS('Employee information'!$B:$M),0)=66,
IF($E$2="Fortnightly",
ROUND(
ROUND((((TRUNC($AN452/2,0)+0.99))*VLOOKUP((TRUNC($AN452/2,0)+0.99),'Tax scales - NAT 3539'!$A$127:$C$154,2,1)-VLOOKUP((TRUNC($AN452/2,0)+0.99),'Tax scales - NAT 3539'!$A$127:$C$154,3,1)),0)
*2,
0),
IF(AND($E$2="Monthly",ROUND($AN452-TRUNC($AN452),2)=0.33),
ROUND(
ROUND(((TRUNC(($AN452+0.01)*3/13,0)+0.99)*VLOOKUP((TRUNC(($AN452+0.01)*3/13,0)+0.99),'Tax scales - NAT 3539'!$A$127:$C$154,2,1)-VLOOKUP((TRUNC(($AN452+0.01)*3/13,0)+0.99),'Tax scales - NAT 3539'!$A$127:$C$154,3,1)),0)
*13/3,
0),
IF($E$2="Monthly",
ROUND(
ROUND(((TRUNC($AN452*3/13,0)+0.99)*VLOOKUP((TRUNC($AN452*3/13,0)+0.99),'Tax scales - NAT 3539'!$A$127:$C$154,2,1)-VLOOKUP((TRUNC($AN452*3/13,0)+0.99),'Tax scales - NAT 3539'!$A$127:$C$154,3,1)),0)
*13/3,
0),
""))),
""),
"")</f>
        <v>74</v>
      </c>
      <c r="AZ452" s="118">
        <f>IFERROR(
HLOOKUP(VLOOKUP($C452,'Employee information'!$B:$M,COLUMNS('Employee information'!$B:$M),0),'PAYG worksheet'!$AO$445:$AY$464,COUNTA($C$446:$C452)+1,0),
0)</f>
        <v>74</v>
      </c>
      <c r="BA452" s="118"/>
      <c r="BB452" s="118">
        <f t="shared" si="480"/>
        <v>1033.6923076923078</v>
      </c>
      <c r="BC452" s="119">
        <f>IFERROR(
IF(OR($AE452=1,$AE452=""),SUM($P452,$AA452,$AC452,$AK452)*VLOOKUP($C452,'Employee information'!$B:$Q,COLUMNS('Employee information'!$B:$H),0),
IF($AE452=0,SUM($P452,$AA452,$AK452)*VLOOKUP($C452,'Employee information'!$B:$Q,COLUMNS('Employee information'!$B:$H),0),
0)),
0)</f>
        <v>105.23076923076924</v>
      </c>
      <c r="BE452" s="114">
        <f t="shared" si="465"/>
        <v>17723.076923076929</v>
      </c>
      <c r="BF452" s="114">
        <f t="shared" si="466"/>
        <v>17723.076923076929</v>
      </c>
      <c r="BG452" s="114">
        <f t="shared" si="467"/>
        <v>0</v>
      </c>
      <c r="BH452" s="114">
        <f t="shared" si="468"/>
        <v>0</v>
      </c>
      <c r="BI452" s="114">
        <f t="shared" si="469"/>
        <v>1184</v>
      </c>
      <c r="BJ452" s="114">
        <f t="shared" si="470"/>
        <v>0</v>
      </c>
      <c r="BK452" s="114">
        <f t="shared" si="471"/>
        <v>0</v>
      </c>
      <c r="BL452" s="114">
        <f t="shared" si="481"/>
        <v>0</v>
      </c>
      <c r="BM452" s="114">
        <f t="shared" si="472"/>
        <v>1683.6923076923083</v>
      </c>
    </row>
    <row r="453" spans="1:65" x14ac:dyDescent="0.25">
      <c r="A453" s="228">
        <f t="shared" si="460"/>
        <v>16</v>
      </c>
      <c r="C453" s="278"/>
      <c r="E453" s="103">
        <f>IF($C453="",0,
IF(AND($E$2="Monthly",$A453&gt;12),0,
IF($E$2="Monthly",VLOOKUP($C453,'Employee information'!$B:$AM,COLUMNS('Employee information'!$B:S),0),
IF($E$2="Fortnightly",VLOOKUP($C453,'Employee information'!$B:$AM,COLUMNS('Employee information'!$B:R),0),
0))))</f>
        <v>0</v>
      </c>
      <c r="F453" s="106"/>
      <c r="G453" s="106"/>
      <c r="H453" s="106"/>
      <c r="I453" s="106"/>
      <c r="J453" s="103">
        <f>IF($E$2="Monthly",
IF(AND($E$2="Monthly",$H453&lt;&gt;""),$H453,
IF(AND($E$2="Monthly",$E453=0),SUM($F453:$G453),
$E453)),
IF($E$2="Fortnightly",
IF(AND($E$2="Fortnightly",$H453&lt;&gt;""),$H453,
IF(AND($E$2="Fortnightly",$F453&lt;&gt;"",$E453&lt;&gt;0),$F453,
IF(AND($E$2="Fortnightly",$E453=0),SUM($F453:$G453),
$E453)))))</f>
        <v>0</v>
      </c>
      <c r="L453" s="113">
        <f>IF(AND($E$2="Monthly",$A453&gt;12),"",
IFERROR($J453*VLOOKUP($C453,'Employee information'!$B:$AI,COLUMNS('Employee information'!$B:$P),0),0))</f>
        <v>0</v>
      </c>
      <c r="M453" s="114">
        <f t="shared" si="474"/>
        <v>0</v>
      </c>
      <c r="O453" s="103">
        <f t="shared" si="475"/>
        <v>0</v>
      </c>
      <c r="P453" s="113">
        <f>IFERROR(
IF(AND($E$2="Monthly",$A453&gt;12),0,
$O453*VLOOKUP($C453,'Employee information'!$B:$AI,COLUMNS('Employee information'!$B:$P),0)),
0)</f>
        <v>0</v>
      </c>
      <c r="R453" s="114">
        <f t="shared" si="461"/>
        <v>0</v>
      </c>
      <c r="T453" s="103"/>
      <c r="U453" s="103"/>
      <c r="V453" s="282" t="str">
        <f>IF($C453="","",
IF(AND($E$2="Monthly",$A453&gt;12),"",
$T453*VLOOKUP($C453,'Employee information'!$B:$P,COLUMNS('Employee information'!$B:$P),0)))</f>
        <v/>
      </c>
      <c r="W453" s="282" t="str">
        <f>IF($C453="","",
IF(AND($E$2="Monthly",$A453&gt;12),"",
$U453*VLOOKUP($C453,'Employee information'!$B:$P,COLUMNS('Employee information'!$B:$P),0)))</f>
        <v/>
      </c>
      <c r="X453" s="114">
        <f t="shared" si="462"/>
        <v>0</v>
      </c>
      <c r="Y453" s="114">
        <f t="shared" si="463"/>
        <v>0</v>
      </c>
      <c r="AA453" s="118">
        <f>IFERROR(
IF(OR('Basic payroll data'!$D$12="",'Basic payroll data'!$D$12="No"),0,
$T453*VLOOKUP($C453,'Employee information'!$B:$P,COLUMNS('Employee information'!$B:$P),0)*AL_loading_perc),
0)</f>
        <v>0</v>
      </c>
      <c r="AC453" s="118"/>
      <c r="AD453" s="118"/>
      <c r="AE453" s="283" t="str">
        <f t="shared" si="476"/>
        <v/>
      </c>
      <c r="AF453" s="283" t="str">
        <f t="shared" si="477"/>
        <v/>
      </c>
      <c r="AG453" s="118"/>
      <c r="AH453" s="118"/>
      <c r="AI453" s="283" t="str">
        <f t="shared" si="478"/>
        <v/>
      </c>
      <c r="AJ453" s="118"/>
      <c r="AK453" s="118"/>
      <c r="AM453" s="118">
        <f t="shared" si="479"/>
        <v>0</v>
      </c>
      <c r="AN453" s="118">
        <f t="shared" si="464"/>
        <v>0</v>
      </c>
      <c r="AO453" s="118" t="str">
        <f>IFERROR(
IF(VLOOKUP($C453,'Employee information'!$B:$M,COLUMNS('Employee information'!$B:$M),0)=1,
IF($E$2="Fortnightly",
ROUND(
ROUND((((TRUNC($AN453/2,0)+0.99))*VLOOKUP((TRUNC($AN453/2,0)+0.99),'Tax scales - NAT 1004'!$A$12:$C$18,2,1)-VLOOKUP((TRUNC($AN453/2,0)+0.99),'Tax scales - NAT 1004'!$A$12:$C$18,3,1)),0)
*2,
0),
IF(AND($E$2="Monthly",ROUND($AN453-TRUNC($AN453),2)=0.33),
ROUND(
ROUND(((TRUNC(($AN453+0.01)*3/13,0)+0.99)*VLOOKUP((TRUNC(($AN453+0.01)*3/13,0)+0.99),'Tax scales - NAT 1004'!$A$12:$C$18,2,1)-VLOOKUP((TRUNC(($AN453+0.01)*3/13,0)+0.99),'Tax scales - NAT 1004'!$A$12:$C$18,3,1)),0)
*13/3,
0),
IF($E$2="Monthly",
ROUND(
ROUND(((TRUNC($AN453*3/13,0)+0.99)*VLOOKUP((TRUNC($AN453*3/13,0)+0.99),'Tax scales - NAT 1004'!$A$12:$C$18,2,1)-VLOOKUP((TRUNC($AN453*3/13,0)+0.99),'Tax scales - NAT 1004'!$A$12:$C$18,3,1)),0)
*13/3,
0),
""))),
""),
"")</f>
        <v/>
      </c>
      <c r="AP453" s="118" t="str">
        <f>IFERROR(
IF(VLOOKUP($C453,'Employee information'!$B:$M,COLUMNS('Employee information'!$B:$M),0)=2,
IF($E$2="Fortnightly",
ROUND(
ROUND((((TRUNC($AN453/2,0)+0.99))*VLOOKUP((TRUNC($AN453/2,0)+0.99),'Tax scales - NAT 1004'!$A$25:$C$33,2,1)-VLOOKUP((TRUNC($AN453/2,0)+0.99),'Tax scales - NAT 1004'!$A$25:$C$33,3,1)),0)
*2,
0),
IF(AND($E$2="Monthly",ROUND($AN453-TRUNC($AN453),2)=0.33),
ROUND(
ROUND(((TRUNC(($AN453+0.01)*3/13,0)+0.99)*VLOOKUP((TRUNC(($AN453+0.01)*3/13,0)+0.99),'Tax scales - NAT 1004'!$A$25:$C$33,2,1)-VLOOKUP((TRUNC(($AN453+0.01)*3/13,0)+0.99),'Tax scales - NAT 1004'!$A$25:$C$33,3,1)),0)
*13/3,
0),
IF($E$2="Monthly",
ROUND(
ROUND(((TRUNC($AN453*3/13,0)+0.99)*VLOOKUP((TRUNC($AN453*3/13,0)+0.99),'Tax scales - NAT 1004'!$A$25:$C$33,2,1)-VLOOKUP((TRUNC($AN453*3/13,0)+0.99),'Tax scales - NAT 1004'!$A$25:$C$33,3,1)),0)
*13/3,
0),
""))),
""),
"")</f>
        <v/>
      </c>
      <c r="AQ453" s="118" t="str">
        <f>IFERROR(
IF(VLOOKUP($C453,'Employee information'!$B:$M,COLUMNS('Employee information'!$B:$M),0)=3,
IF($E$2="Fortnightly",
ROUND(
ROUND((((TRUNC($AN453/2,0)+0.99))*VLOOKUP((TRUNC($AN453/2,0)+0.99),'Tax scales - NAT 1004'!$A$39:$C$41,2,1)-VLOOKUP((TRUNC($AN453/2,0)+0.99),'Tax scales - NAT 1004'!$A$39:$C$41,3,1)),0)
*2,
0),
IF(AND($E$2="Monthly",ROUND($AN453-TRUNC($AN453),2)=0.33),
ROUND(
ROUND(((TRUNC(($AN453+0.01)*3/13,0)+0.99)*VLOOKUP((TRUNC(($AN453+0.01)*3/13,0)+0.99),'Tax scales - NAT 1004'!$A$39:$C$41,2,1)-VLOOKUP((TRUNC(($AN453+0.01)*3/13,0)+0.99),'Tax scales - NAT 1004'!$A$39:$C$41,3,1)),0)
*13/3,
0),
IF($E$2="Monthly",
ROUND(
ROUND(((TRUNC($AN453*3/13,0)+0.99)*VLOOKUP((TRUNC($AN453*3/13,0)+0.99),'Tax scales - NAT 1004'!$A$39:$C$41,2,1)-VLOOKUP((TRUNC($AN453*3/13,0)+0.99),'Tax scales - NAT 1004'!$A$39:$C$41,3,1)),0)
*13/3,
0),
""))),
""),
"")</f>
        <v/>
      </c>
      <c r="AR453" s="118" t="str">
        <f>IFERROR(
IF(AND(VLOOKUP($C453,'Employee information'!$B:$M,COLUMNS('Employee information'!$B:$M),0)=4,
VLOOKUP($C453,'Employee information'!$B:$J,COLUMNS('Employee information'!$B:$J),0)="Resident"),
TRUNC(TRUNC($AN453)*'Tax scales - NAT 1004'!$B$47),
IF(AND(VLOOKUP($C453,'Employee information'!$B:$M,COLUMNS('Employee information'!$B:$M),0)=4,
VLOOKUP($C453,'Employee information'!$B:$J,COLUMNS('Employee information'!$B:$J),0)="Foreign resident"),
TRUNC(TRUNC($AN453)*'Tax scales - NAT 1004'!$B$48),
"")),
"")</f>
        <v/>
      </c>
      <c r="AS453" s="118" t="str">
        <f>IFERROR(
IF(VLOOKUP($C453,'Employee information'!$B:$M,COLUMNS('Employee information'!$B:$M),0)=5,
IF($E$2="Fortnightly",
ROUND(
ROUND((((TRUNC($AN453/2,0)+0.99))*VLOOKUP((TRUNC($AN453/2,0)+0.99),'Tax scales - NAT 1004'!$A$53:$C$59,2,1)-VLOOKUP((TRUNC($AN453/2,0)+0.99),'Tax scales - NAT 1004'!$A$53:$C$59,3,1)),0)
*2,
0),
IF(AND($E$2="Monthly",ROUND($AN453-TRUNC($AN453),2)=0.33),
ROUND(
ROUND(((TRUNC(($AN453+0.01)*3/13,0)+0.99)*VLOOKUP((TRUNC(($AN453+0.01)*3/13,0)+0.99),'Tax scales - NAT 1004'!$A$53:$C$59,2,1)-VLOOKUP((TRUNC(($AN453+0.01)*3/13,0)+0.99),'Tax scales - NAT 1004'!$A$53:$C$59,3,1)),0)
*13/3,
0),
IF($E$2="Monthly",
ROUND(
ROUND(((TRUNC($AN453*3/13,0)+0.99)*VLOOKUP((TRUNC($AN453*3/13,0)+0.99),'Tax scales - NAT 1004'!$A$53:$C$59,2,1)-VLOOKUP((TRUNC($AN453*3/13,0)+0.99),'Tax scales - NAT 1004'!$A$53:$C$59,3,1)),0)
*13/3,
0),
""))),
""),
"")</f>
        <v/>
      </c>
      <c r="AT453" s="118" t="str">
        <f>IFERROR(
IF(VLOOKUP($C453,'Employee information'!$B:$M,COLUMNS('Employee information'!$B:$M),0)=6,
IF($E$2="Fortnightly",
ROUND(
ROUND((((TRUNC($AN453/2,0)+0.99))*VLOOKUP((TRUNC($AN453/2,0)+0.99),'Tax scales - NAT 1004'!$A$65:$C$73,2,1)-VLOOKUP((TRUNC($AN453/2,0)+0.99),'Tax scales - NAT 1004'!$A$65:$C$73,3,1)),0)
*2,
0),
IF(AND($E$2="Monthly",ROUND($AN453-TRUNC($AN453),2)=0.33),
ROUND(
ROUND(((TRUNC(($AN453+0.01)*3/13,0)+0.99)*VLOOKUP((TRUNC(($AN453+0.01)*3/13,0)+0.99),'Tax scales - NAT 1004'!$A$65:$C$73,2,1)-VLOOKUP((TRUNC(($AN453+0.01)*3/13,0)+0.99),'Tax scales - NAT 1004'!$A$65:$C$73,3,1)),0)
*13/3,
0),
IF($E$2="Monthly",
ROUND(
ROUND(((TRUNC($AN453*3/13,0)+0.99)*VLOOKUP((TRUNC($AN453*3/13,0)+0.99),'Tax scales - NAT 1004'!$A$65:$C$73,2,1)-VLOOKUP((TRUNC($AN453*3/13,0)+0.99),'Tax scales - NAT 1004'!$A$65:$C$73,3,1)),0)
*13/3,
0),
""))),
""),
"")</f>
        <v/>
      </c>
      <c r="AU453" s="118" t="str">
        <f>IFERROR(
IF(VLOOKUP($C453,'Employee information'!$B:$M,COLUMNS('Employee information'!$B:$M),0)=11,
IF($E$2="Fortnightly",
ROUND(
ROUND((((TRUNC($AN453/2,0)+0.99))*VLOOKUP((TRUNC($AN453/2,0)+0.99),'Tax scales - NAT 3539'!$A$14:$C$38,2,1)-VLOOKUP((TRUNC($AN453/2,0)+0.99),'Tax scales - NAT 3539'!$A$14:$C$38,3,1)),0)
*2,
0),
IF(AND($E$2="Monthly",ROUND($AN453-TRUNC($AN453),2)=0.33),
ROUND(
ROUND(((TRUNC(($AN453+0.01)*3/13,0)+0.99)*VLOOKUP((TRUNC(($AN453+0.01)*3/13,0)+0.99),'Tax scales - NAT 3539'!$A$14:$C$38,2,1)-VLOOKUP((TRUNC(($AN453+0.01)*3/13,0)+0.99),'Tax scales - NAT 3539'!$A$14:$C$38,3,1)),0)
*13/3,
0),
IF($E$2="Monthly",
ROUND(
ROUND(((TRUNC($AN453*3/13,0)+0.99)*VLOOKUP((TRUNC($AN453*3/13,0)+0.99),'Tax scales - NAT 3539'!$A$14:$C$38,2,1)-VLOOKUP((TRUNC($AN453*3/13,0)+0.99),'Tax scales - NAT 3539'!$A$14:$C$38,3,1)),0)
*13/3,
0),
""))),
""),
"")</f>
        <v/>
      </c>
      <c r="AV453" s="118" t="str">
        <f>IFERROR(
IF(VLOOKUP($C453,'Employee information'!$B:$M,COLUMNS('Employee information'!$B:$M),0)=22,
IF($E$2="Fortnightly",
ROUND(
ROUND((((TRUNC($AN453/2,0)+0.99))*VLOOKUP((TRUNC($AN453/2,0)+0.99),'Tax scales - NAT 3539'!$A$43:$C$69,2,1)-VLOOKUP((TRUNC($AN453/2,0)+0.99),'Tax scales - NAT 3539'!$A$43:$C$69,3,1)),0)
*2,
0),
IF(AND($E$2="Monthly",ROUND($AN453-TRUNC($AN453),2)=0.33),
ROUND(
ROUND(((TRUNC(($AN453+0.01)*3/13,0)+0.99)*VLOOKUP((TRUNC(($AN453+0.01)*3/13,0)+0.99),'Tax scales - NAT 3539'!$A$43:$C$69,2,1)-VLOOKUP((TRUNC(($AN453+0.01)*3/13,0)+0.99),'Tax scales - NAT 3539'!$A$43:$C$69,3,1)),0)
*13/3,
0),
IF($E$2="Monthly",
ROUND(
ROUND(((TRUNC($AN453*3/13,0)+0.99)*VLOOKUP((TRUNC($AN453*3/13,0)+0.99),'Tax scales - NAT 3539'!$A$43:$C$69,2,1)-VLOOKUP((TRUNC($AN453*3/13,0)+0.99),'Tax scales - NAT 3539'!$A$43:$C$69,3,1)),0)
*13/3,
0),
""))),
""),
"")</f>
        <v/>
      </c>
      <c r="AW453" s="118" t="str">
        <f>IFERROR(
IF(VLOOKUP($C453,'Employee information'!$B:$M,COLUMNS('Employee information'!$B:$M),0)=33,
IF($E$2="Fortnightly",
ROUND(
ROUND((((TRUNC($AN453/2,0)+0.99))*VLOOKUP((TRUNC($AN453/2,0)+0.99),'Tax scales - NAT 3539'!$A$74:$C$94,2,1)-VLOOKUP((TRUNC($AN453/2,0)+0.99),'Tax scales - NAT 3539'!$A$74:$C$94,3,1)),0)
*2,
0),
IF(AND($E$2="Monthly",ROUND($AN453-TRUNC($AN453),2)=0.33),
ROUND(
ROUND(((TRUNC(($AN453+0.01)*3/13,0)+0.99)*VLOOKUP((TRUNC(($AN453+0.01)*3/13,0)+0.99),'Tax scales - NAT 3539'!$A$74:$C$94,2,1)-VLOOKUP((TRUNC(($AN453+0.01)*3/13,0)+0.99),'Tax scales - NAT 3539'!$A$74:$C$94,3,1)),0)
*13/3,
0),
IF($E$2="Monthly",
ROUND(
ROUND(((TRUNC($AN453*3/13,0)+0.99)*VLOOKUP((TRUNC($AN453*3/13,0)+0.99),'Tax scales - NAT 3539'!$A$74:$C$94,2,1)-VLOOKUP((TRUNC($AN453*3/13,0)+0.99),'Tax scales - NAT 3539'!$A$74:$C$94,3,1)),0)
*13/3,
0),
""))),
""),
"")</f>
        <v/>
      </c>
      <c r="AX453" s="118" t="str">
        <f>IFERROR(
IF(VLOOKUP($C453,'Employee information'!$B:$M,COLUMNS('Employee information'!$B:$M),0)=55,
IF($E$2="Fortnightly",
ROUND(
ROUND((((TRUNC($AN453/2,0)+0.99))*VLOOKUP((TRUNC($AN453/2,0)+0.99),'Tax scales - NAT 3539'!$A$99:$C$123,2,1)-VLOOKUP((TRUNC($AN453/2,0)+0.99),'Tax scales - NAT 3539'!$A$99:$C$123,3,1)),0)
*2,
0),
IF(AND($E$2="Monthly",ROUND($AN453-TRUNC($AN453),2)=0.33),
ROUND(
ROUND(((TRUNC(($AN453+0.01)*3/13,0)+0.99)*VLOOKUP((TRUNC(($AN453+0.01)*3/13,0)+0.99),'Tax scales - NAT 3539'!$A$99:$C$123,2,1)-VLOOKUP((TRUNC(($AN453+0.01)*3/13,0)+0.99),'Tax scales - NAT 3539'!$A$99:$C$123,3,1)),0)
*13/3,
0),
IF($E$2="Monthly",
ROUND(
ROUND(((TRUNC($AN453*3/13,0)+0.99)*VLOOKUP((TRUNC($AN453*3/13,0)+0.99),'Tax scales - NAT 3539'!$A$99:$C$123,2,1)-VLOOKUP((TRUNC($AN453*3/13,0)+0.99),'Tax scales - NAT 3539'!$A$99:$C$123,3,1)),0)
*13/3,
0),
""))),
""),
"")</f>
        <v/>
      </c>
      <c r="AY453" s="118" t="str">
        <f>IFERROR(
IF(VLOOKUP($C453,'Employee information'!$B:$M,COLUMNS('Employee information'!$B:$M),0)=66,
IF($E$2="Fortnightly",
ROUND(
ROUND((((TRUNC($AN453/2,0)+0.99))*VLOOKUP((TRUNC($AN453/2,0)+0.99),'Tax scales - NAT 3539'!$A$127:$C$154,2,1)-VLOOKUP((TRUNC($AN453/2,0)+0.99),'Tax scales - NAT 3539'!$A$127:$C$154,3,1)),0)
*2,
0),
IF(AND($E$2="Monthly",ROUND($AN453-TRUNC($AN453),2)=0.33),
ROUND(
ROUND(((TRUNC(($AN453+0.01)*3/13,0)+0.99)*VLOOKUP((TRUNC(($AN453+0.01)*3/13,0)+0.99),'Tax scales - NAT 3539'!$A$127:$C$154,2,1)-VLOOKUP((TRUNC(($AN453+0.01)*3/13,0)+0.99),'Tax scales - NAT 3539'!$A$127:$C$154,3,1)),0)
*13/3,
0),
IF($E$2="Monthly",
ROUND(
ROUND(((TRUNC($AN453*3/13,0)+0.99)*VLOOKUP((TRUNC($AN453*3/13,0)+0.99),'Tax scales - NAT 3539'!$A$127:$C$154,2,1)-VLOOKUP((TRUNC($AN453*3/13,0)+0.99),'Tax scales - NAT 3539'!$A$127:$C$154,3,1)),0)
*13/3,
0),
""))),
""),
"")</f>
        <v/>
      </c>
      <c r="AZ453" s="118">
        <f>IFERROR(
HLOOKUP(VLOOKUP($C453,'Employee information'!$B:$M,COLUMNS('Employee information'!$B:$M),0),'PAYG worksheet'!$AO$445:$AY$464,COUNTA($C$446:$C453)+1,0),
0)</f>
        <v>0</v>
      </c>
      <c r="BA453" s="118"/>
      <c r="BB453" s="118">
        <f t="shared" si="480"/>
        <v>0</v>
      </c>
      <c r="BC453" s="119">
        <f>IFERROR(
IF(OR($AE453=1,$AE453=""),SUM($P453,$AA453,$AC453,$AK453)*VLOOKUP($C453,'Employee information'!$B:$Q,COLUMNS('Employee information'!$B:$H),0),
IF($AE453=0,SUM($P453,$AA453,$AK453)*VLOOKUP($C453,'Employee information'!$B:$Q,COLUMNS('Employee information'!$B:$H),0),
0)),
0)</f>
        <v>0</v>
      </c>
      <c r="BE453" s="114">
        <f t="shared" si="465"/>
        <v>0</v>
      </c>
      <c r="BF453" s="114">
        <f t="shared" si="466"/>
        <v>0</v>
      </c>
      <c r="BG453" s="114">
        <f t="shared" si="467"/>
        <v>0</v>
      </c>
      <c r="BH453" s="114">
        <f t="shared" si="468"/>
        <v>0</v>
      </c>
      <c r="BI453" s="114">
        <f t="shared" si="469"/>
        <v>0</v>
      </c>
      <c r="BJ453" s="114">
        <f t="shared" si="470"/>
        <v>0</v>
      </c>
      <c r="BK453" s="114">
        <f t="shared" si="471"/>
        <v>0</v>
      </c>
      <c r="BL453" s="114">
        <f t="shared" si="481"/>
        <v>0</v>
      </c>
      <c r="BM453" s="114">
        <f t="shared" si="472"/>
        <v>0</v>
      </c>
    </row>
    <row r="454" spans="1:65" x14ac:dyDescent="0.25">
      <c r="A454" s="228">
        <f t="shared" si="460"/>
        <v>16</v>
      </c>
      <c r="C454" s="278"/>
      <c r="E454" s="103">
        <f>IF($C454="",0,
IF(AND($E$2="Monthly",$A454&gt;12),0,
IF($E$2="Monthly",VLOOKUP($C454,'Employee information'!$B:$AM,COLUMNS('Employee information'!$B:S),0),
IF($E$2="Fortnightly",VLOOKUP($C454,'Employee information'!$B:$AM,COLUMNS('Employee information'!$B:R),0),
0))))</f>
        <v>0</v>
      </c>
      <c r="F454" s="106"/>
      <c r="G454" s="106"/>
      <c r="H454" s="106"/>
      <c r="I454" s="106"/>
      <c r="J454" s="103">
        <f t="shared" si="473"/>
        <v>0</v>
      </c>
      <c r="L454" s="113">
        <f>IF(AND($E$2="Monthly",$A454&gt;12),"",
IFERROR($J454*VLOOKUP($C454,'Employee information'!$B:$AI,COLUMNS('Employee information'!$B:$P),0),0))</f>
        <v>0</v>
      </c>
      <c r="M454" s="114">
        <f t="shared" si="474"/>
        <v>0</v>
      </c>
      <c r="O454" s="103">
        <f t="shared" si="475"/>
        <v>0</v>
      </c>
      <c r="P454" s="113">
        <f>IFERROR(
IF(AND($E$2="Monthly",$A454&gt;12),0,
$O454*VLOOKUP($C454,'Employee information'!$B:$AI,COLUMNS('Employee information'!$B:$P),0)),
0)</f>
        <v>0</v>
      </c>
      <c r="R454" s="114">
        <f t="shared" si="461"/>
        <v>0</v>
      </c>
      <c r="T454" s="103"/>
      <c r="U454" s="103"/>
      <c r="V454" s="282" t="str">
        <f>IF($C454="","",
IF(AND($E$2="Monthly",$A454&gt;12),"",
$T454*VLOOKUP($C454,'Employee information'!$B:$P,COLUMNS('Employee information'!$B:$P),0)))</f>
        <v/>
      </c>
      <c r="W454" s="282" t="str">
        <f>IF($C454="","",
IF(AND($E$2="Monthly",$A454&gt;12),"",
$U454*VLOOKUP($C454,'Employee information'!$B:$P,COLUMNS('Employee information'!$B:$P),0)))</f>
        <v/>
      </c>
      <c r="X454" s="114">
        <f t="shared" si="462"/>
        <v>0</v>
      </c>
      <c r="Y454" s="114">
        <f t="shared" si="463"/>
        <v>0</v>
      </c>
      <c r="AA454" s="118">
        <f>IFERROR(
IF(OR('Basic payroll data'!$D$12="",'Basic payroll data'!$D$12="No"),0,
$T454*VLOOKUP($C454,'Employee information'!$B:$P,COLUMNS('Employee information'!$B:$P),0)*AL_loading_perc),
0)</f>
        <v>0</v>
      </c>
      <c r="AC454" s="118"/>
      <c r="AD454" s="118"/>
      <c r="AE454" s="283" t="str">
        <f t="shared" si="476"/>
        <v/>
      </c>
      <c r="AF454" s="283" t="str">
        <f t="shared" si="477"/>
        <v/>
      </c>
      <c r="AG454" s="118"/>
      <c r="AH454" s="118"/>
      <c r="AI454" s="283" t="str">
        <f t="shared" si="478"/>
        <v/>
      </c>
      <c r="AJ454" s="118"/>
      <c r="AK454" s="118"/>
      <c r="AM454" s="118">
        <f t="shared" si="479"/>
        <v>0</v>
      </c>
      <c r="AN454" s="118">
        <f t="shared" si="464"/>
        <v>0</v>
      </c>
      <c r="AO454" s="118" t="str">
        <f>IFERROR(
IF(VLOOKUP($C454,'Employee information'!$B:$M,COLUMNS('Employee information'!$B:$M),0)=1,
IF($E$2="Fortnightly",
ROUND(
ROUND((((TRUNC($AN454/2,0)+0.99))*VLOOKUP((TRUNC($AN454/2,0)+0.99),'Tax scales - NAT 1004'!$A$12:$C$18,2,1)-VLOOKUP((TRUNC($AN454/2,0)+0.99),'Tax scales - NAT 1004'!$A$12:$C$18,3,1)),0)
*2,
0),
IF(AND($E$2="Monthly",ROUND($AN454-TRUNC($AN454),2)=0.33),
ROUND(
ROUND(((TRUNC(($AN454+0.01)*3/13,0)+0.99)*VLOOKUP((TRUNC(($AN454+0.01)*3/13,0)+0.99),'Tax scales - NAT 1004'!$A$12:$C$18,2,1)-VLOOKUP((TRUNC(($AN454+0.01)*3/13,0)+0.99),'Tax scales - NAT 1004'!$A$12:$C$18,3,1)),0)
*13/3,
0),
IF($E$2="Monthly",
ROUND(
ROUND(((TRUNC($AN454*3/13,0)+0.99)*VLOOKUP((TRUNC($AN454*3/13,0)+0.99),'Tax scales - NAT 1004'!$A$12:$C$18,2,1)-VLOOKUP((TRUNC($AN454*3/13,0)+0.99),'Tax scales - NAT 1004'!$A$12:$C$18,3,1)),0)
*13/3,
0),
""))),
""),
"")</f>
        <v/>
      </c>
      <c r="AP454" s="118" t="str">
        <f>IFERROR(
IF(VLOOKUP($C454,'Employee information'!$B:$M,COLUMNS('Employee information'!$B:$M),0)=2,
IF($E$2="Fortnightly",
ROUND(
ROUND((((TRUNC($AN454/2,0)+0.99))*VLOOKUP((TRUNC($AN454/2,0)+0.99),'Tax scales - NAT 1004'!$A$25:$C$33,2,1)-VLOOKUP((TRUNC($AN454/2,0)+0.99),'Tax scales - NAT 1004'!$A$25:$C$33,3,1)),0)
*2,
0),
IF(AND($E$2="Monthly",ROUND($AN454-TRUNC($AN454),2)=0.33),
ROUND(
ROUND(((TRUNC(($AN454+0.01)*3/13,0)+0.99)*VLOOKUP((TRUNC(($AN454+0.01)*3/13,0)+0.99),'Tax scales - NAT 1004'!$A$25:$C$33,2,1)-VLOOKUP((TRUNC(($AN454+0.01)*3/13,0)+0.99),'Tax scales - NAT 1004'!$A$25:$C$33,3,1)),0)
*13/3,
0),
IF($E$2="Monthly",
ROUND(
ROUND(((TRUNC($AN454*3/13,0)+0.99)*VLOOKUP((TRUNC($AN454*3/13,0)+0.99),'Tax scales - NAT 1004'!$A$25:$C$33,2,1)-VLOOKUP((TRUNC($AN454*3/13,0)+0.99),'Tax scales - NAT 1004'!$A$25:$C$33,3,1)),0)
*13/3,
0),
""))),
""),
"")</f>
        <v/>
      </c>
      <c r="AQ454" s="118" t="str">
        <f>IFERROR(
IF(VLOOKUP($C454,'Employee information'!$B:$M,COLUMNS('Employee information'!$B:$M),0)=3,
IF($E$2="Fortnightly",
ROUND(
ROUND((((TRUNC($AN454/2,0)+0.99))*VLOOKUP((TRUNC($AN454/2,0)+0.99),'Tax scales - NAT 1004'!$A$39:$C$41,2,1)-VLOOKUP((TRUNC($AN454/2,0)+0.99),'Tax scales - NAT 1004'!$A$39:$C$41,3,1)),0)
*2,
0),
IF(AND($E$2="Monthly",ROUND($AN454-TRUNC($AN454),2)=0.33),
ROUND(
ROUND(((TRUNC(($AN454+0.01)*3/13,0)+0.99)*VLOOKUP((TRUNC(($AN454+0.01)*3/13,0)+0.99),'Tax scales - NAT 1004'!$A$39:$C$41,2,1)-VLOOKUP((TRUNC(($AN454+0.01)*3/13,0)+0.99),'Tax scales - NAT 1004'!$A$39:$C$41,3,1)),0)
*13/3,
0),
IF($E$2="Monthly",
ROUND(
ROUND(((TRUNC($AN454*3/13,0)+0.99)*VLOOKUP((TRUNC($AN454*3/13,0)+0.99),'Tax scales - NAT 1004'!$A$39:$C$41,2,1)-VLOOKUP((TRUNC($AN454*3/13,0)+0.99),'Tax scales - NAT 1004'!$A$39:$C$41,3,1)),0)
*13/3,
0),
""))),
""),
"")</f>
        <v/>
      </c>
      <c r="AR454" s="118" t="str">
        <f>IFERROR(
IF(AND(VLOOKUP($C454,'Employee information'!$B:$M,COLUMNS('Employee information'!$B:$M),0)=4,
VLOOKUP($C454,'Employee information'!$B:$J,COLUMNS('Employee information'!$B:$J),0)="Resident"),
TRUNC(TRUNC($AN454)*'Tax scales - NAT 1004'!$B$47),
IF(AND(VLOOKUP($C454,'Employee information'!$B:$M,COLUMNS('Employee information'!$B:$M),0)=4,
VLOOKUP($C454,'Employee information'!$B:$J,COLUMNS('Employee information'!$B:$J),0)="Foreign resident"),
TRUNC(TRUNC($AN454)*'Tax scales - NAT 1004'!$B$48),
"")),
"")</f>
        <v/>
      </c>
      <c r="AS454" s="118" t="str">
        <f>IFERROR(
IF(VLOOKUP($C454,'Employee information'!$B:$M,COLUMNS('Employee information'!$B:$M),0)=5,
IF($E$2="Fortnightly",
ROUND(
ROUND((((TRUNC($AN454/2,0)+0.99))*VLOOKUP((TRUNC($AN454/2,0)+0.99),'Tax scales - NAT 1004'!$A$53:$C$59,2,1)-VLOOKUP((TRUNC($AN454/2,0)+0.99),'Tax scales - NAT 1004'!$A$53:$C$59,3,1)),0)
*2,
0),
IF(AND($E$2="Monthly",ROUND($AN454-TRUNC($AN454),2)=0.33),
ROUND(
ROUND(((TRUNC(($AN454+0.01)*3/13,0)+0.99)*VLOOKUP((TRUNC(($AN454+0.01)*3/13,0)+0.99),'Tax scales - NAT 1004'!$A$53:$C$59,2,1)-VLOOKUP((TRUNC(($AN454+0.01)*3/13,0)+0.99),'Tax scales - NAT 1004'!$A$53:$C$59,3,1)),0)
*13/3,
0),
IF($E$2="Monthly",
ROUND(
ROUND(((TRUNC($AN454*3/13,0)+0.99)*VLOOKUP((TRUNC($AN454*3/13,0)+0.99),'Tax scales - NAT 1004'!$A$53:$C$59,2,1)-VLOOKUP((TRUNC($AN454*3/13,0)+0.99),'Tax scales - NAT 1004'!$A$53:$C$59,3,1)),0)
*13/3,
0),
""))),
""),
"")</f>
        <v/>
      </c>
      <c r="AT454" s="118" t="str">
        <f>IFERROR(
IF(VLOOKUP($C454,'Employee information'!$B:$M,COLUMNS('Employee information'!$B:$M),0)=6,
IF($E$2="Fortnightly",
ROUND(
ROUND((((TRUNC($AN454/2,0)+0.99))*VLOOKUP((TRUNC($AN454/2,0)+0.99),'Tax scales - NAT 1004'!$A$65:$C$73,2,1)-VLOOKUP((TRUNC($AN454/2,0)+0.99),'Tax scales - NAT 1004'!$A$65:$C$73,3,1)),0)
*2,
0),
IF(AND($E$2="Monthly",ROUND($AN454-TRUNC($AN454),2)=0.33),
ROUND(
ROUND(((TRUNC(($AN454+0.01)*3/13,0)+0.99)*VLOOKUP((TRUNC(($AN454+0.01)*3/13,0)+0.99),'Tax scales - NAT 1004'!$A$65:$C$73,2,1)-VLOOKUP((TRUNC(($AN454+0.01)*3/13,0)+0.99),'Tax scales - NAT 1004'!$A$65:$C$73,3,1)),0)
*13/3,
0),
IF($E$2="Monthly",
ROUND(
ROUND(((TRUNC($AN454*3/13,0)+0.99)*VLOOKUP((TRUNC($AN454*3/13,0)+0.99),'Tax scales - NAT 1004'!$A$65:$C$73,2,1)-VLOOKUP((TRUNC($AN454*3/13,0)+0.99),'Tax scales - NAT 1004'!$A$65:$C$73,3,1)),0)
*13/3,
0),
""))),
""),
"")</f>
        <v/>
      </c>
      <c r="AU454" s="118" t="str">
        <f>IFERROR(
IF(VLOOKUP($C454,'Employee information'!$B:$M,COLUMNS('Employee information'!$B:$M),0)=11,
IF($E$2="Fortnightly",
ROUND(
ROUND((((TRUNC($AN454/2,0)+0.99))*VLOOKUP((TRUNC($AN454/2,0)+0.99),'Tax scales - NAT 3539'!$A$14:$C$38,2,1)-VLOOKUP((TRUNC($AN454/2,0)+0.99),'Tax scales - NAT 3539'!$A$14:$C$38,3,1)),0)
*2,
0),
IF(AND($E$2="Monthly",ROUND($AN454-TRUNC($AN454),2)=0.33),
ROUND(
ROUND(((TRUNC(($AN454+0.01)*3/13,0)+0.99)*VLOOKUP((TRUNC(($AN454+0.01)*3/13,0)+0.99),'Tax scales - NAT 3539'!$A$14:$C$38,2,1)-VLOOKUP((TRUNC(($AN454+0.01)*3/13,0)+0.99),'Tax scales - NAT 3539'!$A$14:$C$38,3,1)),0)
*13/3,
0),
IF($E$2="Monthly",
ROUND(
ROUND(((TRUNC($AN454*3/13,0)+0.99)*VLOOKUP((TRUNC($AN454*3/13,0)+0.99),'Tax scales - NAT 3539'!$A$14:$C$38,2,1)-VLOOKUP((TRUNC($AN454*3/13,0)+0.99),'Tax scales - NAT 3539'!$A$14:$C$38,3,1)),0)
*13/3,
0),
""))),
""),
"")</f>
        <v/>
      </c>
      <c r="AV454" s="118" t="str">
        <f>IFERROR(
IF(VLOOKUP($C454,'Employee information'!$B:$M,COLUMNS('Employee information'!$B:$M),0)=22,
IF($E$2="Fortnightly",
ROUND(
ROUND((((TRUNC($AN454/2,0)+0.99))*VLOOKUP((TRUNC($AN454/2,0)+0.99),'Tax scales - NAT 3539'!$A$43:$C$69,2,1)-VLOOKUP((TRUNC($AN454/2,0)+0.99),'Tax scales - NAT 3539'!$A$43:$C$69,3,1)),0)
*2,
0),
IF(AND($E$2="Monthly",ROUND($AN454-TRUNC($AN454),2)=0.33),
ROUND(
ROUND(((TRUNC(($AN454+0.01)*3/13,0)+0.99)*VLOOKUP((TRUNC(($AN454+0.01)*3/13,0)+0.99),'Tax scales - NAT 3539'!$A$43:$C$69,2,1)-VLOOKUP((TRUNC(($AN454+0.01)*3/13,0)+0.99),'Tax scales - NAT 3539'!$A$43:$C$69,3,1)),0)
*13/3,
0),
IF($E$2="Monthly",
ROUND(
ROUND(((TRUNC($AN454*3/13,0)+0.99)*VLOOKUP((TRUNC($AN454*3/13,0)+0.99),'Tax scales - NAT 3539'!$A$43:$C$69,2,1)-VLOOKUP((TRUNC($AN454*3/13,0)+0.99),'Tax scales - NAT 3539'!$A$43:$C$69,3,1)),0)
*13/3,
0),
""))),
""),
"")</f>
        <v/>
      </c>
      <c r="AW454" s="118" t="str">
        <f>IFERROR(
IF(VLOOKUP($C454,'Employee information'!$B:$M,COLUMNS('Employee information'!$B:$M),0)=33,
IF($E$2="Fortnightly",
ROUND(
ROUND((((TRUNC($AN454/2,0)+0.99))*VLOOKUP((TRUNC($AN454/2,0)+0.99),'Tax scales - NAT 3539'!$A$74:$C$94,2,1)-VLOOKUP((TRUNC($AN454/2,0)+0.99),'Tax scales - NAT 3539'!$A$74:$C$94,3,1)),0)
*2,
0),
IF(AND($E$2="Monthly",ROUND($AN454-TRUNC($AN454),2)=0.33),
ROUND(
ROUND(((TRUNC(($AN454+0.01)*3/13,0)+0.99)*VLOOKUP((TRUNC(($AN454+0.01)*3/13,0)+0.99),'Tax scales - NAT 3539'!$A$74:$C$94,2,1)-VLOOKUP((TRUNC(($AN454+0.01)*3/13,0)+0.99),'Tax scales - NAT 3539'!$A$74:$C$94,3,1)),0)
*13/3,
0),
IF($E$2="Monthly",
ROUND(
ROUND(((TRUNC($AN454*3/13,0)+0.99)*VLOOKUP((TRUNC($AN454*3/13,0)+0.99),'Tax scales - NAT 3539'!$A$74:$C$94,2,1)-VLOOKUP((TRUNC($AN454*3/13,0)+0.99),'Tax scales - NAT 3539'!$A$74:$C$94,3,1)),0)
*13/3,
0),
""))),
""),
"")</f>
        <v/>
      </c>
      <c r="AX454" s="118" t="str">
        <f>IFERROR(
IF(VLOOKUP($C454,'Employee information'!$B:$M,COLUMNS('Employee information'!$B:$M),0)=55,
IF($E$2="Fortnightly",
ROUND(
ROUND((((TRUNC($AN454/2,0)+0.99))*VLOOKUP((TRUNC($AN454/2,0)+0.99),'Tax scales - NAT 3539'!$A$99:$C$123,2,1)-VLOOKUP((TRUNC($AN454/2,0)+0.99),'Tax scales - NAT 3539'!$A$99:$C$123,3,1)),0)
*2,
0),
IF(AND($E$2="Monthly",ROUND($AN454-TRUNC($AN454),2)=0.33),
ROUND(
ROUND(((TRUNC(($AN454+0.01)*3/13,0)+0.99)*VLOOKUP((TRUNC(($AN454+0.01)*3/13,0)+0.99),'Tax scales - NAT 3539'!$A$99:$C$123,2,1)-VLOOKUP((TRUNC(($AN454+0.01)*3/13,0)+0.99),'Tax scales - NAT 3539'!$A$99:$C$123,3,1)),0)
*13/3,
0),
IF($E$2="Monthly",
ROUND(
ROUND(((TRUNC($AN454*3/13,0)+0.99)*VLOOKUP((TRUNC($AN454*3/13,0)+0.99),'Tax scales - NAT 3539'!$A$99:$C$123,2,1)-VLOOKUP((TRUNC($AN454*3/13,0)+0.99),'Tax scales - NAT 3539'!$A$99:$C$123,3,1)),0)
*13/3,
0),
""))),
""),
"")</f>
        <v/>
      </c>
      <c r="AY454" s="118" t="str">
        <f>IFERROR(
IF(VLOOKUP($C454,'Employee information'!$B:$M,COLUMNS('Employee information'!$B:$M),0)=66,
IF($E$2="Fortnightly",
ROUND(
ROUND((((TRUNC($AN454/2,0)+0.99))*VLOOKUP((TRUNC($AN454/2,0)+0.99),'Tax scales - NAT 3539'!$A$127:$C$154,2,1)-VLOOKUP((TRUNC($AN454/2,0)+0.99),'Tax scales - NAT 3539'!$A$127:$C$154,3,1)),0)
*2,
0),
IF(AND($E$2="Monthly",ROUND($AN454-TRUNC($AN454),2)=0.33),
ROUND(
ROUND(((TRUNC(($AN454+0.01)*3/13,0)+0.99)*VLOOKUP((TRUNC(($AN454+0.01)*3/13,0)+0.99),'Tax scales - NAT 3539'!$A$127:$C$154,2,1)-VLOOKUP((TRUNC(($AN454+0.01)*3/13,0)+0.99),'Tax scales - NAT 3539'!$A$127:$C$154,3,1)),0)
*13/3,
0),
IF($E$2="Monthly",
ROUND(
ROUND(((TRUNC($AN454*3/13,0)+0.99)*VLOOKUP((TRUNC($AN454*3/13,0)+0.99),'Tax scales - NAT 3539'!$A$127:$C$154,2,1)-VLOOKUP((TRUNC($AN454*3/13,0)+0.99),'Tax scales - NAT 3539'!$A$127:$C$154,3,1)),0)
*13/3,
0),
""))),
""),
"")</f>
        <v/>
      </c>
      <c r="AZ454" s="118">
        <f>IFERROR(
HLOOKUP(VLOOKUP($C454,'Employee information'!$B:$M,COLUMNS('Employee information'!$B:$M),0),'PAYG worksheet'!$AO$445:$AY$464,COUNTA($C$446:$C454)+1,0),
0)</f>
        <v>0</v>
      </c>
      <c r="BA454" s="118"/>
      <c r="BB454" s="118">
        <f t="shared" si="480"/>
        <v>0</v>
      </c>
      <c r="BC454" s="119">
        <f>IFERROR(
IF(OR($AE454=1,$AE454=""),SUM($P454,$AA454,$AC454,$AK454)*VLOOKUP($C454,'Employee information'!$B:$Q,COLUMNS('Employee information'!$B:$H),0),
IF($AE454=0,SUM($P454,$AA454,$AK454)*VLOOKUP($C454,'Employee information'!$B:$Q,COLUMNS('Employee information'!$B:$H),0),
0)),
0)</f>
        <v>0</v>
      </c>
      <c r="BE454" s="114">
        <f t="shared" si="465"/>
        <v>0</v>
      </c>
      <c r="BF454" s="114">
        <f t="shared" si="466"/>
        <v>0</v>
      </c>
      <c r="BG454" s="114">
        <f t="shared" si="467"/>
        <v>0</v>
      </c>
      <c r="BH454" s="114">
        <f t="shared" si="468"/>
        <v>0</v>
      </c>
      <c r="BI454" s="114">
        <f t="shared" si="469"/>
        <v>0</v>
      </c>
      <c r="BJ454" s="114">
        <f t="shared" si="470"/>
        <v>0</v>
      </c>
      <c r="BK454" s="114">
        <f t="shared" si="471"/>
        <v>0</v>
      </c>
      <c r="BL454" s="114">
        <f t="shared" si="481"/>
        <v>0</v>
      </c>
      <c r="BM454" s="114">
        <f t="shared" si="472"/>
        <v>0</v>
      </c>
    </row>
    <row r="455" spans="1:65" x14ac:dyDescent="0.25">
      <c r="A455" s="228">
        <f t="shared" si="460"/>
        <v>16</v>
      </c>
      <c r="C455" s="278"/>
      <c r="E455" s="103">
        <f>IF($C455="",0,
IF(AND($E$2="Monthly",$A455&gt;12),0,
IF($E$2="Monthly",VLOOKUP($C455,'Employee information'!$B:$AM,COLUMNS('Employee information'!$B:S),0),
IF($E$2="Fortnightly",VLOOKUP($C455,'Employee information'!$B:$AM,COLUMNS('Employee information'!$B:R),0),
0))))</f>
        <v>0</v>
      </c>
      <c r="F455" s="106"/>
      <c r="G455" s="106"/>
      <c r="H455" s="106"/>
      <c r="I455" s="106"/>
      <c r="J455" s="103">
        <f t="shared" si="473"/>
        <v>0</v>
      </c>
      <c r="L455" s="113">
        <f>IF(AND($E$2="Monthly",$A455&gt;12),"",
IFERROR($J455*VLOOKUP($C455,'Employee information'!$B:$AI,COLUMNS('Employee information'!$B:$P),0),0))</f>
        <v>0</v>
      </c>
      <c r="M455" s="114">
        <f t="shared" si="474"/>
        <v>0</v>
      </c>
      <c r="O455" s="103">
        <f>IF($E$2="Monthly",
IF(AND($E$2="Monthly",$H455&lt;&gt;""),$H455,
IF(AND($E$2="Monthly",$E455=0),$F455,
$E455)),
IF($E$2="Fortnightly",
IF(AND($E$2="Fortnightly",$H455&lt;&gt;""),$H455,
IF(AND($E$2="Fortnightly",$F455&lt;&gt;"",$E455&lt;&gt;0),$F455,
IF(AND($E$2="Fortnightly",$E455=0),$F455,
$E455)))))</f>
        <v>0</v>
      </c>
      <c r="P455" s="113">
        <f>IFERROR(
IF(AND($E$2="Monthly",$A455&gt;12),0,
$O455*VLOOKUP($C455,'Employee information'!$B:$AI,COLUMNS('Employee information'!$B:$P),0)),
0)</f>
        <v>0</v>
      </c>
      <c r="R455" s="114">
        <f t="shared" si="461"/>
        <v>0</v>
      </c>
      <c r="T455" s="103"/>
      <c r="U455" s="103"/>
      <c r="V455" s="282" t="str">
        <f>IF($C455="","",
IF(AND($E$2="Monthly",$A455&gt;12),"",
$T455*VLOOKUP($C455,'Employee information'!$B:$P,COLUMNS('Employee information'!$B:$P),0)))</f>
        <v/>
      </c>
      <c r="W455" s="282" t="str">
        <f>IF($C455="","",
IF(AND($E$2="Monthly",$A455&gt;12),"",
$U455*VLOOKUP($C455,'Employee information'!$B:$P,COLUMNS('Employee information'!$B:$P),0)))</f>
        <v/>
      </c>
      <c r="X455" s="114">
        <f t="shared" si="462"/>
        <v>0</v>
      </c>
      <c r="Y455" s="114">
        <f t="shared" si="463"/>
        <v>0</v>
      </c>
      <c r="AA455" s="118">
        <f>IFERROR(
IF(OR('Basic payroll data'!$D$12="",'Basic payroll data'!$D$12="No"),0,
$T455*VLOOKUP($C455,'Employee information'!$B:$P,COLUMNS('Employee information'!$B:$P),0)*AL_loading_perc),
0)</f>
        <v>0</v>
      </c>
      <c r="AC455" s="118"/>
      <c r="AD455" s="118"/>
      <c r="AE455" s="283" t="str">
        <f t="shared" si="476"/>
        <v/>
      </c>
      <c r="AF455" s="283" t="str">
        <f t="shared" si="477"/>
        <v/>
      </c>
      <c r="AG455" s="118"/>
      <c r="AH455" s="118"/>
      <c r="AI455" s="283" t="str">
        <f t="shared" si="478"/>
        <v/>
      </c>
      <c r="AJ455" s="118"/>
      <c r="AK455" s="118"/>
      <c r="AM455" s="118">
        <f t="shared" si="479"/>
        <v>0</v>
      </c>
      <c r="AN455" s="118">
        <f t="shared" si="464"/>
        <v>0</v>
      </c>
      <c r="AO455" s="118" t="str">
        <f>IFERROR(
IF(VLOOKUP($C455,'Employee information'!$B:$M,COLUMNS('Employee information'!$B:$M),0)=1,
IF($E$2="Fortnightly",
ROUND(
ROUND((((TRUNC($AN455/2,0)+0.99))*VLOOKUP((TRUNC($AN455/2,0)+0.99),'Tax scales - NAT 1004'!$A$12:$C$18,2,1)-VLOOKUP((TRUNC($AN455/2,0)+0.99),'Tax scales - NAT 1004'!$A$12:$C$18,3,1)),0)
*2,
0),
IF(AND($E$2="Monthly",ROUND($AN455-TRUNC($AN455),2)=0.33),
ROUND(
ROUND(((TRUNC(($AN455+0.01)*3/13,0)+0.99)*VLOOKUP((TRUNC(($AN455+0.01)*3/13,0)+0.99),'Tax scales - NAT 1004'!$A$12:$C$18,2,1)-VLOOKUP((TRUNC(($AN455+0.01)*3/13,0)+0.99),'Tax scales - NAT 1004'!$A$12:$C$18,3,1)),0)
*13/3,
0),
IF($E$2="Monthly",
ROUND(
ROUND(((TRUNC($AN455*3/13,0)+0.99)*VLOOKUP((TRUNC($AN455*3/13,0)+0.99),'Tax scales - NAT 1004'!$A$12:$C$18,2,1)-VLOOKUP((TRUNC($AN455*3/13,0)+0.99),'Tax scales - NAT 1004'!$A$12:$C$18,3,1)),0)
*13/3,
0),
""))),
""),
"")</f>
        <v/>
      </c>
      <c r="AP455" s="118" t="str">
        <f>IFERROR(
IF(VLOOKUP($C455,'Employee information'!$B:$M,COLUMNS('Employee information'!$B:$M),0)=2,
IF($E$2="Fortnightly",
ROUND(
ROUND((((TRUNC($AN455/2,0)+0.99))*VLOOKUP((TRUNC($AN455/2,0)+0.99),'Tax scales - NAT 1004'!$A$25:$C$33,2,1)-VLOOKUP((TRUNC($AN455/2,0)+0.99),'Tax scales - NAT 1004'!$A$25:$C$33,3,1)),0)
*2,
0),
IF(AND($E$2="Monthly",ROUND($AN455-TRUNC($AN455),2)=0.33),
ROUND(
ROUND(((TRUNC(($AN455+0.01)*3/13,0)+0.99)*VLOOKUP((TRUNC(($AN455+0.01)*3/13,0)+0.99),'Tax scales - NAT 1004'!$A$25:$C$33,2,1)-VLOOKUP((TRUNC(($AN455+0.01)*3/13,0)+0.99),'Tax scales - NAT 1004'!$A$25:$C$33,3,1)),0)
*13/3,
0),
IF($E$2="Monthly",
ROUND(
ROUND(((TRUNC($AN455*3/13,0)+0.99)*VLOOKUP((TRUNC($AN455*3/13,0)+0.99),'Tax scales - NAT 1004'!$A$25:$C$33,2,1)-VLOOKUP((TRUNC($AN455*3/13,0)+0.99),'Tax scales - NAT 1004'!$A$25:$C$33,3,1)),0)
*13/3,
0),
""))),
""),
"")</f>
        <v/>
      </c>
      <c r="AQ455" s="118" t="str">
        <f>IFERROR(
IF(VLOOKUP($C455,'Employee information'!$B:$M,COLUMNS('Employee information'!$B:$M),0)=3,
IF($E$2="Fortnightly",
ROUND(
ROUND((((TRUNC($AN455/2,0)+0.99))*VLOOKUP((TRUNC($AN455/2,0)+0.99),'Tax scales - NAT 1004'!$A$39:$C$41,2,1)-VLOOKUP((TRUNC($AN455/2,0)+0.99),'Tax scales - NAT 1004'!$A$39:$C$41,3,1)),0)
*2,
0),
IF(AND($E$2="Monthly",ROUND($AN455-TRUNC($AN455),2)=0.33),
ROUND(
ROUND(((TRUNC(($AN455+0.01)*3/13,0)+0.99)*VLOOKUP((TRUNC(($AN455+0.01)*3/13,0)+0.99),'Tax scales - NAT 1004'!$A$39:$C$41,2,1)-VLOOKUP((TRUNC(($AN455+0.01)*3/13,0)+0.99),'Tax scales - NAT 1004'!$A$39:$C$41,3,1)),0)
*13/3,
0),
IF($E$2="Monthly",
ROUND(
ROUND(((TRUNC($AN455*3/13,0)+0.99)*VLOOKUP((TRUNC($AN455*3/13,0)+0.99),'Tax scales - NAT 1004'!$A$39:$C$41,2,1)-VLOOKUP((TRUNC($AN455*3/13,0)+0.99),'Tax scales - NAT 1004'!$A$39:$C$41,3,1)),0)
*13/3,
0),
""))),
""),
"")</f>
        <v/>
      </c>
      <c r="AR455" s="118" t="str">
        <f>IFERROR(
IF(AND(VLOOKUP($C455,'Employee information'!$B:$M,COLUMNS('Employee information'!$B:$M),0)=4,
VLOOKUP($C455,'Employee information'!$B:$J,COLUMNS('Employee information'!$B:$J),0)="Resident"),
TRUNC(TRUNC($AN455)*'Tax scales - NAT 1004'!$B$47),
IF(AND(VLOOKUP($C455,'Employee information'!$B:$M,COLUMNS('Employee information'!$B:$M),0)=4,
VLOOKUP($C455,'Employee information'!$B:$J,COLUMNS('Employee information'!$B:$J),0)="Foreign resident"),
TRUNC(TRUNC($AN455)*'Tax scales - NAT 1004'!$B$48),
"")),
"")</f>
        <v/>
      </c>
      <c r="AS455" s="118" t="str">
        <f>IFERROR(
IF(VLOOKUP($C455,'Employee information'!$B:$M,COLUMNS('Employee information'!$B:$M),0)=5,
IF($E$2="Fortnightly",
ROUND(
ROUND((((TRUNC($AN455/2,0)+0.99))*VLOOKUP((TRUNC($AN455/2,0)+0.99),'Tax scales - NAT 1004'!$A$53:$C$59,2,1)-VLOOKUP((TRUNC($AN455/2,0)+0.99),'Tax scales - NAT 1004'!$A$53:$C$59,3,1)),0)
*2,
0),
IF(AND($E$2="Monthly",ROUND($AN455-TRUNC($AN455),2)=0.33),
ROUND(
ROUND(((TRUNC(($AN455+0.01)*3/13,0)+0.99)*VLOOKUP((TRUNC(($AN455+0.01)*3/13,0)+0.99),'Tax scales - NAT 1004'!$A$53:$C$59,2,1)-VLOOKUP((TRUNC(($AN455+0.01)*3/13,0)+0.99),'Tax scales - NAT 1004'!$A$53:$C$59,3,1)),0)
*13/3,
0),
IF($E$2="Monthly",
ROUND(
ROUND(((TRUNC($AN455*3/13,0)+0.99)*VLOOKUP((TRUNC($AN455*3/13,0)+0.99),'Tax scales - NAT 1004'!$A$53:$C$59,2,1)-VLOOKUP((TRUNC($AN455*3/13,0)+0.99),'Tax scales - NAT 1004'!$A$53:$C$59,3,1)),0)
*13/3,
0),
""))),
""),
"")</f>
        <v/>
      </c>
      <c r="AT455" s="118" t="str">
        <f>IFERROR(
IF(VLOOKUP($C455,'Employee information'!$B:$M,COLUMNS('Employee information'!$B:$M),0)=6,
IF($E$2="Fortnightly",
ROUND(
ROUND((((TRUNC($AN455/2,0)+0.99))*VLOOKUP((TRUNC($AN455/2,0)+0.99),'Tax scales - NAT 1004'!$A$65:$C$73,2,1)-VLOOKUP((TRUNC($AN455/2,0)+0.99),'Tax scales - NAT 1004'!$A$65:$C$73,3,1)),0)
*2,
0),
IF(AND($E$2="Monthly",ROUND($AN455-TRUNC($AN455),2)=0.33),
ROUND(
ROUND(((TRUNC(($AN455+0.01)*3/13,0)+0.99)*VLOOKUP((TRUNC(($AN455+0.01)*3/13,0)+0.99),'Tax scales - NAT 1004'!$A$65:$C$73,2,1)-VLOOKUP((TRUNC(($AN455+0.01)*3/13,0)+0.99),'Tax scales - NAT 1004'!$A$65:$C$73,3,1)),0)
*13/3,
0),
IF($E$2="Monthly",
ROUND(
ROUND(((TRUNC($AN455*3/13,0)+0.99)*VLOOKUP((TRUNC($AN455*3/13,0)+0.99),'Tax scales - NAT 1004'!$A$65:$C$73,2,1)-VLOOKUP((TRUNC($AN455*3/13,0)+0.99),'Tax scales - NAT 1004'!$A$65:$C$73,3,1)),0)
*13/3,
0),
""))),
""),
"")</f>
        <v/>
      </c>
      <c r="AU455" s="118" t="str">
        <f>IFERROR(
IF(VLOOKUP($C455,'Employee information'!$B:$M,COLUMNS('Employee information'!$B:$M),0)=11,
IF($E$2="Fortnightly",
ROUND(
ROUND((((TRUNC($AN455/2,0)+0.99))*VLOOKUP((TRUNC($AN455/2,0)+0.99),'Tax scales - NAT 3539'!$A$14:$C$38,2,1)-VLOOKUP((TRUNC($AN455/2,0)+0.99),'Tax scales - NAT 3539'!$A$14:$C$38,3,1)),0)
*2,
0),
IF(AND($E$2="Monthly",ROUND($AN455-TRUNC($AN455),2)=0.33),
ROUND(
ROUND(((TRUNC(($AN455+0.01)*3/13,0)+0.99)*VLOOKUP((TRUNC(($AN455+0.01)*3/13,0)+0.99),'Tax scales - NAT 3539'!$A$14:$C$38,2,1)-VLOOKUP((TRUNC(($AN455+0.01)*3/13,0)+0.99),'Tax scales - NAT 3539'!$A$14:$C$38,3,1)),0)
*13/3,
0),
IF($E$2="Monthly",
ROUND(
ROUND(((TRUNC($AN455*3/13,0)+0.99)*VLOOKUP((TRUNC($AN455*3/13,0)+0.99),'Tax scales - NAT 3539'!$A$14:$C$38,2,1)-VLOOKUP((TRUNC($AN455*3/13,0)+0.99),'Tax scales - NAT 3539'!$A$14:$C$38,3,1)),0)
*13/3,
0),
""))),
""),
"")</f>
        <v/>
      </c>
      <c r="AV455" s="118" t="str">
        <f>IFERROR(
IF(VLOOKUP($C455,'Employee information'!$B:$M,COLUMNS('Employee information'!$B:$M),0)=22,
IF($E$2="Fortnightly",
ROUND(
ROUND((((TRUNC($AN455/2,0)+0.99))*VLOOKUP((TRUNC($AN455/2,0)+0.99),'Tax scales - NAT 3539'!$A$43:$C$69,2,1)-VLOOKUP((TRUNC($AN455/2,0)+0.99),'Tax scales - NAT 3539'!$A$43:$C$69,3,1)),0)
*2,
0),
IF(AND($E$2="Monthly",ROUND($AN455-TRUNC($AN455),2)=0.33),
ROUND(
ROUND(((TRUNC(($AN455+0.01)*3/13,0)+0.99)*VLOOKUP((TRUNC(($AN455+0.01)*3/13,0)+0.99),'Tax scales - NAT 3539'!$A$43:$C$69,2,1)-VLOOKUP((TRUNC(($AN455+0.01)*3/13,0)+0.99),'Tax scales - NAT 3539'!$A$43:$C$69,3,1)),0)
*13/3,
0),
IF($E$2="Monthly",
ROUND(
ROUND(((TRUNC($AN455*3/13,0)+0.99)*VLOOKUP((TRUNC($AN455*3/13,0)+0.99),'Tax scales - NAT 3539'!$A$43:$C$69,2,1)-VLOOKUP((TRUNC($AN455*3/13,0)+0.99),'Tax scales - NAT 3539'!$A$43:$C$69,3,1)),0)
*13/3,
0),
""))),
""),
"")</f>
        <v/>
      </c>
      <c r="AW455" s="118" t="str">
        <f>IFERROR(
IF(VLOOKUP($C455,'Employee information'!$B:$M,COLUMNS('Employee information'!$B:$M),0)=33,
IF($E$2="Fortnightly",
ROUND(
ROUND((((TRUNC($AN455/2,0)+0.99))*VLOOKUP((TRUNC($AN455/2,0)+0.99),'Tax scales - NAT 3539'!$A$74:$C$94,2,1)-VLOOKUP((TRUNC($AN455/2,0)+0.99),'Tax scales - NAT 3539'!$A$74:$C$94,3,1)),0)
*2,
0),
IF(AND($E$2="Monthly",ROUND($AN455-TRUNC($AN455),2)=0.33),
ROUND(
ROUND(((TRUNC(($AN455+0.01)*3/13,0)+0.99)*VLOOKUP((TRUNC(($AN455+0.01)*3/13,0)+0.99),'Tax scales - NAT 3539'!$A$74:$C$94,2,1)-VLOOKUP((TRUNC(($AN455+0.01)*3/13,0)+0.99),'Tax scales - NAT 3539'!$A$74:$C$94,3,1)),0)
*13/3,
0),
IF($E$2="Monthly",
ROUND(
ROUND(((TRUNC($AN455*3/13,0)+0.99)*VLOOKUP((TRUNC($AN455*3/13,0)+0.99),'Tax scales - NAT 3539'!$A$74:$C$94,2,1)-VLOOKUP((TRUNC($AN455*3/13,0)+0.99),'Tax scales - NAT 3539'!$A$74:$C$94,3,1)),0)
*13/3,
0),
""))),
""),
"")</f>
        <v/>
      </c>
      <c r="AX455" s="118" t="str">
        <f>IFERROR(
IF(VLOOKUP($C455,'Employee information'!$B:$M,COLUMNS('Employee information'!$B:$M),0)=55,
IF($E$2="Fortnightly",
ROUND(
ROUND((((TRUNC($AN455/2,0)+0.99))*VLOOKUP((TRUNC($AN455/2,0)+0.99),'Tax scales - NAT 3539'!$A$99:$C$123,2,1)-VLOOKUP((TRUNC($AN455/2,0)+0.99),'Tax scales - NAT 3539'!$A$99:$C$123,3,1)),0)
*2,
0),
IF(AND($E$2="Monthly",ROUND($AN455-TRUNC($AN455),2)=0.33),
ROUND(
ROUND(((TRUNC(($AN455+0.01)*3/13,0)+0.99)*VLOOKUP((TRUNC(($AN455+0.01)*3/13,0)+0.99),'Tax scales - NAT 3539'!$A$99:$C$123,2,1)-VLOOKUP((TRUNC(($AN455+0.01)*3/13,0)+0.99),'Tax scales - NAT 3539'!$A$99:$C$123,3,1)),0)
*13/3,
0),
IF($E$2="Monthly",
ROUND(
ROUND(((TRUNC($AN455*3/13,0)+0.99)*VLOOKUP((TRUNC($AN455*3/13,0)+0.99),'Tax scales - NAT 3539'!$A$99:$C$123,2,1)-VLOOKUP((TRUNC($AN455*3/13,0)+0.99),'Tax scales - NAT 3539'!$A$99:$C$123,3,1)),0)
*13/3,
0),
""))),
""),
"")</f>
        <v/>
      </c>
      <c r="AY455" s="118" t="str">
        <f>IFERROR(
IF(VLOOKUP($C455,'Employee information'!$B:$M,COLUMNS('Employee information'!$B:$M),0)=66,
IF($E$2="Fortnightly",
ROUND(
ROUND((((TRUNC($AN455/2,0)+0.99))*VLOOKUP((TRUNC($AN455/2,0)+0.99),'Tax scales - NAT 3539'!$A$127:$C$154,2,1)-VLOOKUP((TRUNC($AN455/2,0)+0.99),'Tax scales - NAT 3539'!$A$127:$C$154,3,1)),0)
*2,
0),
IF(AND($E$2="Monthly",ROUND($AN455-TRUNC($AN455),2)=0.33),
ROUND(
ROUND(((TRUNC(($AN455+0.01)*3/13,0)+0.99)*VLOOKUP((TRUNC(($AN455+0.01)*3/13,0)+0.99),'Tax scales - NAT 3539'!$A$127:$C$154,2,1)-VLOOKUP((TRUNC(($AN455+0.01)*3/13,0)+0.99),'Tax scales - NAT 3539'!$A$127:$C$154,3,1)),0)
*13/3,
0),
IF($E$2="Monthly",
ROUND(
ROUND(((TRUNC($AN455*3/13,0)+0.99)*VLOOKUP((TRUNC($AN455*3/13,0)+0.99),'Tax scales - NAT 3539'!$A$127:$C$154,2,1)-VLOOKUP((TRUNC($AN455*3/13,0)+0.99),'Tax scales - NAT 3539'!$A$127:$C$154,3,1)),0)
*13/3,
0),
""))),
""),
"")</f>
        <v/>
      </c>
      <c r="AZ455" s="118">
        <f>IFERROR(
HLOOKUP(VLOOKUP($C455,'Employee information'!$B:$M,COLUMNS('Employee information'!$B:$M),0),'PAYG worksheet'!$AO$445:$AY$464,COUNTA($C$446:$C455)+1,0),
0)</f>
        <v>0</v>
      </c>
      <c r="BA455" s="118"/>
      <c r="BB455" s="118">
        <f t="shared" si="480"/>
        <v>0</v>
      </c>
      <c r="BC455" s="119">
        <f>IFERROR(
IF(OR($AE455=1,$AE455=""),SUM($P455,$AA455,$AC455,$AK455)*VLOOKUP($C455,'Employee information'!$B:$Q,COLUMNS('Employee information'!$B:$H),0),
IF($AE455=0,SUM($P455,$AA455,$AK455)*VLOOKUP($C455,'Employee information'!$B:$Q,COLUMNS('Employee information'!$B:$H),0),
0)),
0)</f>
        <v>0</v>
      </c>
      <c r="BE455" s="114">
        <f t="shared" si="465"/>
        <v>0</v>
      </c>
      <c r="BF455" s="114">
        <f t="shared" si="466"/>
        <v>0</v>
      </c>
      <c r="BG455" s="114">
        <f t="shared" si="467"/>
        <v>0</v>
      </c>
      <c r="BH455" s="114">
        <f t="shared" si="468"/>
        <v>0</v>
      </c>
      <c r="BI455" s="114">
        <f t="shared" si="469"/>
        <v>0</v>
      </c>
      <c r="BJ455" s="114">
        <f t="shared" si="470"/>
        <v>0</v>
      </c>
      <c r="BK455" s="114">
        <f t="shared" si="471"/>
        <v>0</v>
      </c>
      <c r="BL455" s="114">
        <f t="shared" si="481"/>
        <v>0</v>
      </c>
      <c r="BM455" s="114">
        <f t="shared" si="472"/>
        <v>0</v>
      </c>
    </row>
    <row r="456" spans="1:65" x14ac:dyDescent="0.25">
      <c r="A456" s="228">
        <f t="shared" si="460"/>
        <v>16</v>
      </c>
      <c r="C456" s="278"/>
      <c r="E456" s="103">
        <f>IF($C456="",0,
IF(AND($E$2="Monthly",$A456&gt;12),0,
IF($E$2="Monthly",VLOOKUP($C456,'Employee information'!$B:$AM,COLUMNS('Employee information'!$B:S),0),
IF($E$2="Fortnightly",VLOOKUP($C456,'Employee information'!$B:$AM,COLUMNS('Employee information'!$B:R),0),
0))))</f>
        <v>0</v>
      </c>
      <c r="F456" s="106"/>
      <c r="G456" s="106"/>
      <c r="H456" s="106"/>
      <c r="I456" s="106"/>
      <c r="J456" s="103">
        <f t="shared" si="473"/>
        <v>0</v>
      </c>
      <c r="L456" s="113">
        <f>IF(AND($E$2="Monthly",$A456&gt;12),"",
IFERROR($J456*VLOOKUP($C456,'Employee information'!$B:$AI,COLUMNS('Employee information'!$B:$P),0),0))</f>
        <v>0</v>
      </c>
      <c r="M456" s="114">
        <f t="shared" si="474"/>
        <v>0</v>
      </c>
      <c r="O456" s="103">
        <f t="shared" si="475"/>
        <v>0</v>
      </c>
      <c r="P456" s="113">
        <f>IFERROR(
IF(AND($E$2="Monthly",$A456&gt;12),0,
$O456*VLOOKUP($C456,'Employee information'!$B:$AI,COLUMNS('Employee information'!$B:$P),0)),
0)</f>
        <v>0</v>
      </c>
      <c r="R456" s="114">
        <f t="shared" si="461"/>
        <v>0</v>
      </c>
      <c r="T456" s="103"/>
      <c r="U456" s="103"/>
      <c r="V456" s="282" t="str">
        <f>IF($C456="","",
IF(AND($E$2="Monthly",$A456&gt;12),"",
$T456*VLOOKUP($C456,'Employee information'!$B:$P,COLUMNS('Employee information'!$B:$P),0)))</f>
        <v/>
      </c>
      <c r="W456" s="282" t="str">
        <f>IF($C456="","",
IF(AND($E$2="Monthly",$A456&gt;12),"",
$U456*VLOOKUP($C456,'Employee information'!$B:$P,COLUMNS('Employee information'!$B:$P),0)))</f>
        <v/>
      </c>
      <c r="X456" s="114">
        <f t="shared" si="462"/>
        <v>0</v>
      </c>
      <c r="Y456" s="114">
        <f t="shared" si="463"/>
        <v>0</v>
      </c>
      <c r="AA456" s="118">
        <f>IFERROR(
IF(OR('Basic payroll data'!$D$12="",'Basic payroll data'!$D$12="No"),0,
$T456*VLOOKUP($C456,'Employee information'!$B:$P,COLUMNS('Employee information'!$B:$P),0)*AL_loading_perc),
0)</f>
        <v>0</v>
      </c>
      <c r="AC456" s="118"/>
      <c r="AD456" s="118"/>
      <c r="AE456" s="283" t="str">
        <f t="shared" si="476"/>
        <v/>
      </c>
      <c r="AF456" s="283" t="str">
        <f t="shared" si="477"/>
        <v/>
      </c>
      <c r="AG456" s="118"/>
      <c r="AH456" s="118"/>
      <c r="AI456" s="283" t="str">
        <f t="shared" si="478"/>
        <v/>
      </c>
      <c r="AJ456" s="118"/>
      <c r="AK456" s="118"/>
      <c r="AM456" s="118">
        <f t="shared" si="479"/>
        <v>0</v>
      </c>
      <c r="AN456" s="118">
        <f t="shared" si="464"/>
        <v>0</v>
      </c>
      <c r="AO456" s="118" t="str">
        <f>IFERROR(
IF(VLOOKUP($C456,'Employee information'!$B:$M,COLUMNS('Employee information'!$B:$M),0)=1,
IF($E$2="Fortnightly",
ROUND(
ROUND((((TRUNC($AN456/2,0)+0.99))*VLOOKUP((TRUNC($AN456/2,0)+0.99),'Tax scales - NAT 1004'!$A$12:$C$18,2,1)-VLOOKUP((TRUNC($AN456/2,0)+0.99),'Tax scales - NAT 1004'!$A$12:$C$18,3,1)),0)
*2,
0),
IF(AND($E$2="Monthly",ROUND($AN456-TRUNC($AN456),2)=0.33),
ROUND(
ROUND(((TRUNC(($AN456+0.01)*3/13,0)+0.99)*VLOOKUP((TRUNC(($AN456+0.01)*3/13,0)+0.99),'Tax scales - NAT 1004'!$A$12:$C$18,2,1)-VLOOKUP((TRUNC(($AN456+0.01)*3/13,0)+0.99),'Tax scales - NAT 1004'!$A$12:$C$18,3,1)),0)
*13/3,
0),
IF($E$2="Monthly",
ROUND(
ROUND(((TRUNC($AN456*3/13,0)+0.99)*VLOOKUP((TRUNC($AN456*3/13,0)+0.99),'Tax scales - NAT 1004'!$A$12:$C$18,2,1)-VLOOKUP((TRUNC($AN456*3/13,0)+0.99),'Tax scales - NAT 1004'!$A$12:$C$18,3,1)),0)
*13/3,
0),
""))),
""),
"")</f>
        <v/>
      </c>
      <c r="AP456" s="118" t="str">
        <f>IFERROR(
IF(VLOOKUP($C456,'Employee information'!$B:$M,COLUMNS('Employee information'!$B:$M),0)=2,
IF($E$2="Fortnightly",
ROUND(
ROUND((((TRUNC($AN456/2,0)+0.99))*VLOOKUP((TRUNC($AN456/2,0)+0.99),'Tax scales - NAT 1004'!$A$25:$C$33,2,1)-VLOOKUP((TRUNC($AN456/2,0)+0.99),'Tax scales - NAT 1004'!$A$25:$C$33,3,1)),0)
*2,
0),
IF(AND($E$2="Monthly",ROUND($AN456-TRUNC($AN456),2)=0.33),
ROUND(
ROUND(((TRUNC(($AN456+0.01)*3/13,0)+0.99)*VLOOKUP((TRUNC(($AN456+0.01)*3/13,0)+0.99),'Tax scales - NAT 1004'!$A$25:$C$33,2,1)-VLOOKUP((TRUNC(($AN456+0.01)*3/13,0)+0.99),'Tax scales - NAT 1004'!$A$25:$C$33,3,1)),0)
*13/3,
0),
IF($E$2="Monthly",
ROUND(
ROUND(((TRUNC($AN456*3/13,0)+0.99)*VLOOKUP((TRUNC($AN456*3/13,0)+0.99),'Tax scales - NAT 1004'!$A$25:$C$33,2,1)-VLOOKUP((TRUNC($AN456*3/13,0)+0.99),'Tax scales - NAT 1004'!$A$25:$C$33,3,1)),0)
*13/3,
0),
""))),
""),
"")</f>
        <v/>
      </c>
      <c r="AQ456" s="118" t="str">
        <f>IFERROR(
IF(VLOOKUP($C456,'Employee information'!$B:$M,COLUMNS('Employee information'!$B:$M),0)=3,
IF($E$2="Fortnightly",
ROUND(
ROUND((((TRUNC($AN456/2,0)+0.99))*VLOOKUP((TRUNC($AN456/2,0)+0.99),'Tax scales - NAT 1004'!$A$39:$C$41,2,1)-VLOOKUP((TRUNC($AN456/2,0)+0.99),'Tax scales - NAT 1004'!$A$39:$C$41,3,1)),0)
*2,
0),
IF(AND($E$2="Monthly",ROUND($AN456-TRUNC($AN456),2)=0.33),
ROUND(
ROUND(((TRUNC(($AN456+0.01)*3/13,0)+0.99)*VLOOKUP((TRUNC(($AN456+0.01)*3/13,0)+0.99),'Tax scales - NAT 1004'!$A$39:$C$41,2,1)-VLOOKUP((TRUNC(($AN456+0.01)*3/13,0)+0.99),'Tax scales - NAT 1004'!$A$39:$C$41,3,1)),0)
*13/3,
0),
IF($E$2="Monthly",
ROUND(
ROUND(((TRUNC($AN456*3/13,0)+0.99)*VLOOKUP((TRUNC($AN456*3/13,0)+0.99),'Tax scales - NAT 1004'!$A$39:$C$41,2,1)-VLOOKUP((TRUNC($AN456*3/13,0)+0.99),'Tax scales - NAT 1004'!$A$39:$C$41,3,1)),0)
*13/3,
0),
""))),
""),
"")</f>
        <v/>
      </c>
      <c r="AR456" s="118" t="str">
        <f>IFERROR(
IF(AND(VLOOKUP($C456,'Employee information'!$B:$M,COLUMNS('Employee information'!$B:$M),0)=4,
VLOOKUP($C456,'Employee information'!$B:$J,COLUMNS('Employee information'!$B:$J),0)="Resident"),
TRUNC(TRUNC($AN456)*'Tax scales - NAT 1004'!$B$47),
IF(AND(VLOOKUP($C456,'Employee information'!$B:$M,COLUMNS('Employee information'!$B:$M),0)=4,
VLOOKUP($C456,'Employee information'!$B:$J,COLUMNS('Employee information'!$B:$J),0)="Foreign resident"),
TRUNC(TRUNC($AN456)*'Tax scales - NAT 1004'!$B$48),
"")),
"")</f>
        <v/>
      </c>
      <c r="AS456" s="118" t="str">
        <f>IFERROR(
IF(VLOOKUP($C456,'Employee information'!$B:$M,COLUMNS('Employee information'!$B:$M),0)=5,
IF($E$2="Fortnightly",
ROUND(
ROUND((((TRUNC($AN456/2,0)+0.99))*VLOOKUP((TRUNC($AN456/2,0)+0.99),'Tax scales - NAT 1004'!$A$53:$C$59,2,1)-VLOOKUP((TRUNC($AN456/2,0)+0.99),'Tax scales - NAT 1004'!$A$53:$C$59,3,1)),0)
*2,
0),
IF(AND($E$2="Monthly",ROUND($AN456-TRUNC($AN456),2)=0.33),
ROUND(
ROUND(((TRUNC(($AN456+0.01)*3/13,0)+0.99)*VLOOKUP((TRUNC(($AN456+0.01)*3/13,0)+0.99),'Tax scales - NAT 1004'!$A$53:$C$59,2,1)-VLOOKUP((TRUNC(($AN456+0.01)*3/13,0)+0.99),'Tax scales - NAT 1004'!$A$53:$C$59,3,1)),0)
*13/3,
0),
IF($E$2="Monthly",
ROUND(
ROUND(((TRUNC($AN456*3/13,0)+0.99)*VLOOKUP((TRUNC($AN456*3/13,0)+0.99),'Tax scales - NAT 1004'!$A$53:$C$59,2,1)-VLOOKUP((TRUNC($AN456*3/13,0)+0.99),'Tax scales - NAT 1004'!$A$53:$C$59,3,1)),0)
*13/3,
0),
""))),
""),
"")</f>
        <v/>
      </c>
      <c r="AT456" s="118" t="str">
        <f>IFERROR(
IF(VLOOKUP($C456,'Employee information'!$B:$M,COLUMNS('Employee information'!$B:$M),0)=6,
IF($E$2="Fortnightly",
ROUND(
ROUND((((TRUNC($AN456/2,0)+0.99))*VLOOKUP((TRUNC($AN456/2,0)+0.99),'Tax scales - NAT 1004'!$A$65:$C$73,2,1)-VLOOKUP((TRUNC($AN456/2,0)+0.99),'Tax scales - NAT 1004'!$A$65:$C$73,3,1)),0)
*2,
0),
IF(AND($E$2="Monthly",ROUND($AN456-TRUNC($AN456),2)=0.33),
ROUND(
ROUND(((TRUNC(($AN456+0.01)*3/13,0)+0.99)*VLOOKUP((TRUNC(($AN456+0.01)*3/13,0)+0.99),'Tax scales - NAT 1004'!$A$65:$C$73,2,1)-VLOOKUP((TRUNC(($AN456+0.01)*3/13,0)+0.99),'Tax scales - NAT 1004'!$A$65:$C$73,3,1)),0)
*13/3,
0),
IF($E$2="Monthly",
ROUND(
ROUND(((TRUNC($AN456*3/13,0)+0.99)*VLOOKUP((TRUNC($AN456*3/13,0)+0.99),'Tax scales - NAT 1004'!$A$65:$C$73,2,1)-VLOOKUP((TRUNC($AN456*3/13,0)+0.99),'Tax scales - NAT 1004'!$A$65:$C$73,3,1)),0)
*13/3,
0),
""))),
""),
"")</f>
        <v/>
      </c>
      <c r="AU456" s="118" t="str">
        <f>IFERROR(
IF(VLOOKUP($C456,'Employee information'!$B:$M,COLUMNS('Employee information'!$B:$M),0)=11,
IF($E$2="Fortnightly",
ROUND(
ROUND((((TRUNC($AN456/2,0)+0.99))*VLOOKUP((TRUNC($AN456/2,0)+0.99),'Tax scales - NAT 3539'!$A$14:$C$38,2,1)-VLOOKUP((TRUNC($AN456/2,0)+0.99),'Tax scales - NAT 3539'!$A$14:$C$38,3,1)),0)
*2,
0),
IF(AND($E$2="Monthly",ROUND($AN456-TRUNC($AN456),2)=0.33),
ROUND(
ROUND(((TRUNC(($AN456+0.01)*3/13,0)+0.99)*VLOOKUP((TRUNC(($AN456+0.01)*3/13,0)+0.99),'Tax scales - NAT 3539'!$A$14:$C$38,2,1)-VLOOKUP((TRUNC(($AN456+0.01)*3/13,0)+0.99),'Tax scales - NAT 3539'!$A$14:$C$38,3,1)),0)
*13/3,
0),
IF($E$2="Monthly",
ROUND(
ROUND(((TRUNC($AN456*3/13,0)+0.99)*VLOOKUP((TRUNC($AN456*3/13,0)+0.99),'Tax scales - NAT 3539'!$A$14:$C$38,2,1)-VLOOKUP((TRUNC($AN456*3/13,0)+0.99),'Tax scales - NAT 3539'!$A$14:$C$38,3,1)),0)
*13/3,
0),
""))),
""),
"")</f>
        <v/>
      </c>
      <c r="AV456" s="118" t="str">
        <f>IFERROR(
IF(VLOOKUP($C456,'Employee information'!$B:$M,COLUMNS('Employee information'!$B:$M),0)=22,
IF($E$2="Fortnightly",
ROUND(
ROUND((((TRUNC($AN456/2,0)+0.99))*VLOOKUP((TRUNC($AN456/2,0)+0.99),'Tax scales - NAT 3539'!$A$43:$C$69,2,1)-VLOOKUP((TRUNC($AN456/2,0)+0.99),'Tax scales - NAT 3539'!$A$43:$C$69,3,1)),0)
*2,
0),
IF(AND($E$2="Monthly",ROUND($AN456-TRUNC($AN456),2)=0.33),
ROUND(
ROUND(((TRUNC(($AN456+0.01)*3/13,0)+0.99)*VLOOKUP((TRUNC(($AN456+0.01)*3/13,0)+0.99),'Tax scales - NAT 3539'!$A$43:$C$69,2,1)-VLOOKUP((TRUNC(($AN456+0.01)*3/13,0)+0.99),'Tax scales - NAT 3539'!$A$43:$C$69,3,1)),0)
*13/3,
0),
IF($E$2="Monthly",
ROUND(
ROUND(((TRUNC($AN456*3/13,0)+0.99)*VLOOKUP((TRUNC($AN456*3/13,0)+0.99),'Tax scales - NAT 3539'!$A$43:$C$69,2,1)-VLOOKUP((TRUNC($AN456*3/13,0)+0.99),'Tax scales - NAT 3539'!$A$43:$C$69,3,1)),0)
*13/3,
0),
""))),
""),
"")</f>
        <v/>
      </c>
      <c r="AW456" s="118" t="str">
        <f>IFERROR(
IF(VLOOKUP($C456,'Employee information'!$B:$M,COLUMNS('Employee information'!$B:$M),0)=33,
IF($E$2="Fortnightly",
ROUND(
ROUND((((TRUNC($AN456/2,0)+0.99))*VLOOKUP((TRUNC($AN456/2,0)+0.99),'Tax scales - NAT 3539'!$A$74:$C$94,2,1)-VLOOKUP((TRUNC($AN456/2,0)+0.99),'Tax scales - NAT 3539'!$A$74:$C$94,3,1)),0)
*2,
0),
IF(AND($E$2="Monthly",ROUND($AN456-TRUNC($AN456),2)=0.33),
ROUND(
ROUND(((TRUNC(($AN456+0.01)*3/13,0)+0.99)*VLOOKUP((TRUNC(($AN456+0.01)*3/13,0)+0.99),'Tax scales - NAT 3539'!$A$74:$C$94,2,1)-VLOOKUP((TRUNC(($AN456+0.01)*3/13,0)+0.99),'Tax scales - NAT 3539'!$A$74:$C$94,3,1)),0)
*13/3,
0),
IF($E$2="Monthly",
ROUND(
ROUND(((TRUNC($AN456*3/13,0)+0.99)*VLOOKUP((TRUNC($AN456*3/13,0)+0.99),'Tax scales - NAT 3539'!$A$74:$C$94,2,1)-VLOOKUP((TRUNC($AN456*3/13,0)+0.99),'Tax scales - NAT 3539'!$A$74:$C$94,3,1)),0)
*13/3,
0),
""))),
""),
"")</f>
        <v/>
      </c>
      <c r="AX456" s="118" t="str">
        <f>IFERROR(
IF(VLOOKUP($C456,'Employee information'!$B:$M,COLUMNS('Employee information'!$B:$M),0)=55,
IF($E$2="Fortnightly",
ROUND(
ROUND((((TRUNC($AN456/2,0)+0.99))*VLOOKUP((TRUNC($AN456/2,0)+0.99),'Tax scales - NAT 3539'!$A$99:$C$123,2,1)-VLOOKUP((TRUNC($AN456/2,0)+0.99),'Tax scales - NAT 3539'!$A$99:$C$123,3,1)),0)
*2,
0),
IF(AND($E$2="Monthly",ROUND($AN456-TRUNC($AN456),2)=0.33),
ROUND(
ROUND(((TRUNC(($AN456+0.01)*3/13,0)+0.99)*VLOOKUP((TRUNC(($AN456+0.01)*3/13,0)+0.99),'Tax scales - NAT 3539'!$A$99:$C$123,2,1)-VLOOKUP((TRUNC(($AN456+0.01)*3/13,0)+0.99),'Tax scales - NAT 3539'!$A$99:$C$123,3,1)),0)
*13/3,
0),
IF($E$2="Monthly",
ROUND(
ROUND(((TRUNC($AN456*3/13,0)+0.99)*VLOOKUP((TRUNC($AN456*3/13,0)+0.99),'Tax scales - NAT 3539'!$A$99:$C$123,2,1)-VLOOKUP((TRUNC($AN456*3/13,0)+0.99),'Tax scales - NAT 3539'!$A$99:$C$123,3,1)),0)
*13/3,
0),
""))),
""),
"")</f>
        <v/>
      </c>
      <c r="AY456" s="118" t="str">
        <f>IFERROR(
IF(VLOOKUP($C456,'Employee information'!$B:$M,COLUMNS('Employee information'!$B:$M),0)=66,
IF($E$2="Fortnightly",
ROUND(
ROUND((((TRUNC($AN456/2,0)+0.99))*VLOOKUP((TRUNC($AN456/2,0)+0.99),'Tax scales - NAT 3539'!$A$127:$C$154,2,1)-VLOOKUP((TRUNC($AN456/2,0)+0.99),'Tax scales - NAT 3539'!$A$127:$C$154,3,1)),0)
*2,
0),
IF(AND($E$2="Monthly",ROUND($AN456-TRUNC($AN456),2)=0.33),
ROUND(
ROUND(((TRUNC(($AN456+0.01)*3/13,0)+0.99)*VLOOKUP((TRUNC(($AN456+0.01)*3/13,0)+0.99),'Tax scales - NAT 3539'!$A$127:$C$154,2,1)-VLOOKUP((TRUNC(($AN456+0.01)*3/13,0)+0.99),'Tax scales - NAT 3539'!$A$127:$C$154,3,1)),0)
*13/3,
0),
IF($E$2="Monthly",
ROUND(
ROUND(((TRUNC($AN456*3/13,0)+0.99)*VLOOKUP((TRUNC($AN456*3/13,0)+0.99),'Tax scales - NAT 3539'!$A$127:$C$154,2,1)-VLOOKUP((TRUNC($AN456*3/13,0)+0.99),'Tax scales - NAT 3539'!$A$127:$C$154,3,1)),0)
*13/3,
0),
""))),
""),
"")</f>
        <v/>
      </c>
      <c r="AZ456" s="118">
        <f>IFERROR(
HLOOKUP(VLOOKUP($C456,'Employee information'!$B:$M,COLUMNS('Employee information'!$B:$M),0),'PAYG worksheet'!$AO$445:$AY$464,COUNTA($C$446:$C456)+1,0),
0)</f>
        <v>0</v>
      </c>
      <c r="BA456" s="118"/>
      <c r="BB456" s="118">
        <f t="shared" si="480"/>
        <v>0</v>
      </c>
      <c r="BC456" s="119">
        <f>IFERROR(
IF(OR($AE456=1,$AE456=""),SUM($P456,$AA456,$AC456,$AK456)*VLOOKUP($C456,'Employee information'!$B:$Q,COLUMNS('Employee information'!$B:$H),0),
IF($AE456=0,SUM($P456,$AA456,$AK456)*VLOOKUP($C456,'Employee information'!$B:$Q,COLUMNS('Employee information'!$B:$H),0),
0)),
0)</f>
        <v>0</v>
      </c>
      <c r="BE456" s="114">
        <f t="shared" si="465"/>
        <v>0</v>
      </c>
      <c r="BF456" s="114">
        <f t="shared" si="466"/>
        <v>0</v>
      </c>
      <c r="BG456" s="114">
        <f t="shared" si="467"/>
        <v>0</v>
      </c>
      <c r="BH456" s="114">
        <f t="shared" si="468"/>
        <v>0</v>
      </c>
      <c r="BI456" s="114">
        <f t="shared" si="469"/>
        <v>0</v>
      </c>
      <c r="BJ456" s="114">
        <f t="shared" si="470"/>
        <v>0</v>
      </c>
      <c r="BK456" s="114">
        <f t="shared" si="471"/>
        <v>0</v>
      </c>
      <c r="BL456" s="114">
        <f t="shared" si="481"/>
        <v>0</v>
      </c>
      <c r="BM456" s="114">
        <f t="shared" si="472"/>
        <v>0</v>
      </c>
    </row>
    <row r="457" spans="1:65" x14ac:dyDescent="0.25">
      <c r="A457" s="228">
        <f t="shared" si="460"/>
        <v>16</v>
      </c>
      <c r="C457" s="278"/>
      <c r="E457" s="103">
        <f>IF($C457="",0,
IF(AND($E$2="Monthly",$A457&gt;12),0,
IF($E$2="Monthly",VLOOKUP($C457,'Employee information'!$B:$AM,COLUMNS('Employee information'!$B:S),0),
IF($E$2="Fortnightly",VLOOKUP($C457,'Employee information'!$B:$AM,COLUMNS('Employee information'!$B:R),0),
0))))</f>
        <v>0</v>
      </c>
      <c r="F457" s="106"/>
      <c r="G457" s="106"/>
      <c r="H457" s="106"/>
      <c r="I457" s="106"/>
      <c r="J457" s="103">
        <f t="shared" si="473"/>
        <v>0</v>
      </c>
      <c r="L457" s="113">
        <f>IF(AND($E$2="Monthly",$A457&gt;12),"",
IFERROR($J457*VLOOKUP($C457,'Employee information'!$B:$AI,COLUMNS('Employee information'!$B:$P),0),0))</f>
        <v>0</v>
      </c>
      <c r="M457" s="114">
        <f t="shared" si="474"/>
        <v>0</v>
      </c>
      <c r="O457" s="103">
        <f t="shared" si="475"/>
        <v>0</v>
      </c>
      <c r="P457" s="113">
        <f>IFERROR(
IF(AND($E$2="Monthly",$A457&gt;12),0,
$O457*VLOOKUP($C457,'Employee information'!$B:$AI,COLUMNS('Employee information'!$B:$P),0)),
0)</f>
        <v>0</v>
      </c>
      <c r="R457" s="114">
        <f t="shared" si="461"/>
        <v>0</v>
      </c>
      <c r="T457" s="103"/>
      <c r="U457" s="103"/>
      <c r="V457" s="282" t="str">
        <f>IF($C457="","",
IF(AND($E$2="Monthly",$A457&gt;12),"",
$T457*VLOOKUP($C457,'Employee information'!$B:$P,COLUMNS('Employee information'!$B:$P),0)))</f>
        <v/>
      </c>
      <c r="W457" s="282" t="str">
        <f>IF($C457="","",
IF(AND($E$2="Monthly",$A457&gt;12),"",
$U457*VLOOKUP($C457,'Employee information'!$B:$P,COLUMNS('Employee information'!$B:$P),0)))</f>
        <v/>
      </c>
      <c r="X457" s="114">
        <f t="shared" si="462"/>
        <v>0</v>
      </c>
      <c r="Y457" s="114">
        <f t="shared" si="463"/>
        <v>0</v>
      </c>
      <c r="AA457" s="118">
        <f>IFERROR(
IF(OR('Basic payroll data'!$D$12="",'Basic payroll data'!$D$12="No"),0,
$T457*VLOOKUP($C457,'Employee information'!$B:$P,COLUMNS('Employee information'!$B:$P),0)*AL_loading_perc),
0)</f>
        <v>0</v>
      </c>
      <c r="AC457" s="118"/>
      <c r="AD457" s="118"/>
      <c r="AE457" s="283" t="str">
        <f t="shared" si="476"/>
        <v/>
      </c>
      <c r="AF457" s="283" t="str">
        <f t="shared" si="477"/>
        <v/>
      </c>
      <c r="AG457" s="118"/>
      <c r="AH457" s="118"/>
      <c r="AI457" s="283" t="str">
        <f t="shared" si="478"/>
        <v/>
      </c>
      <c r="AJ457" s="118"/>
      <c r="AK457" s="118"/>
      <c r="AM457" s="118">
        <f t="shared" si="479"/>
        <v>0</v>
      </c>
      <c r="AN457" s="118">
        <f t="shared" si="464"/>
        <v>0</v>
      </c>
      <c r="AO457" s="118" t="str">
        <f>IFERROR(
IF(VLOOKUP($C457,'Employee information'!$B:$M,COLUMNS('Employee information'!$B:$M),0)=1,
IF($E$2="Fortnightly",
ROUND(
ROUND((((TRUNC($AN457/2,0)+0.99))*VLOOKUP((TRUNC($AN457/2,0)+0.99),'Tax scales - NAT 1004'!$A$12:$C$18,2,1)-VLOOKUP((TRUNC($AN457/2,0)+0.99),'Tax scales - NAT 1004'!$A$12:$C$18,3,1)),0)
*2,
0),
IF(AND($E$2="Monthly",ROUND($AN457-TRUNC($AN457),2)=0.33),
ROUND(
ROUND(((TRUNC(($AN457+0.01)*3/13,0)+0.99)*VLOOKUP((TRUNC(($AN457+0.01)*3/13,0)+0.99),'Tax scales - NAT 1004'!$A$12:$C$18,2,1)-VLOOKUP((TRUNC(($AN457+0.01)*3/13,0)+0.99),'Tax scales - NAT 1004'!$A$12:$C$18,3,1)),0)
*13/3,
0),
IF($E$2="Monthly",
ROUND(
ROUND(((TRUNC($AN457*3/13,0)+0.99)*VLOOKUP((TRUNC($AN457*3/13,0)+0.99),'Tax scales - NAT 1004'!$A$12:$C$18,2,1)-VLOOKUP((TRUNC($AN457*3/13,0)+0.99),'Tax scales - NAT 1004'!$A$12:$C$18,3,1)),0)
*13/3,
0),
""))),
""),
"")</f>
        <v/>
      </c>
      <c r="AP457" s="118" t="str">
        <f>IFERROR(
IF(VLOOKUP($C457,'Employee information'!$B:$M,COLUMNS('Employee information'!$B:$M),0)=2,
IF($E$2="Fortnightly",
ROUND(
ROUND((((TRUNC($AN457/2,0)+0.99))*VLOOKUP((TRUNC($AN457/2,0)+0.99),'Tax scales - NAT 1004'!$A$25:$C$33,2,1)-VLOOKUP((TRUNC($AN457/2,0)+0.99),'Tax scales - NAT 1004'!$A$25:$C$33,3,1)),0)
*2,
0),
IF(AND($E$2="Monthly",ROUND($AN457-TRUNC($AN457),2)=0.33),
ROUND(
ROUND(((TRUNC(($AN457+0.01)*3/13,0)+0.99)*VLOOKUP((TRUNC(($AN457+0.01)*3/13,0)+0.99),'Tax scales - NAT 1004'!$A$25:$C$33,2,1)-VLOOKUP((TRUNC(($AN457+0.01)*3/13,0)+0.99),'Tax scales - NAT 1004'!$A$25:$C$33,3,1)),0)
*13/3,
0),
IF($E$2="Monthly",
ROUND(
ROUND(((TRUNC($AN457*3/13,0)+0.99)*VLOOKUP((TRUNC($AN457*3/13,0)+0.99),'Tax scales - NAT 1004'!$A$25:$C$33,2,1)-VLOOKUP((TRUNC($AN457*3/13,0)+0.99),'Tax scales - NAT 1004'!$A$25:$C$33,3,1)),0)
*13/3,
0),
""))),
""),
"")</f>
        <v/>
      </c>
      <c r="AQ457" s="118" t="str">
        <f>IFERROR(
IF(VLOOKUP($C457,'Employee information'!$B:$M,COLUMNS('Employee information'!$B:$M),0)=3,
IF($E$2="Fortnightly",
ROUND(
ROUND((((TRUNC($AN457/2,0)+0.99))*VLOOKUP((TRUNC($AN457/2,0)+0.99),'Tax scales - NAT 1004'!$A$39:$C$41,2,1)-VLOOKUP((TRUNC($AN457/2,0)+0.99),'Tax scales - NAT 1004'!$A$39:$C$41,3,1)),0)
*2,
0),
IF(AND($E$2="Monthly",ROUND($AN457-TRUNC($AN457),2)=0.33),
ROUND(
ROUND(((TRUNC(($AN457+0.01)*3/13,0)+0.99)*VLOOKUP((TRUNC(($AN457+0.01)*3/13,0)+0.99),'Tax scales - NAT 1004'!$A$39:$C$41,2,1)-VLOOKUP((TRUNC(($AN457+0.01)*3/13,0)+0.99),'Tax scales - NAT 1004'!$A$39:$C$41,3,1)),0)
*13/3,
0),
IF($E$2="Monthly",
ROUND(
ROUND(((TRUNC($AN457*3/13,0)+0.99)*VLOOKUP((TRUNC($AN457*3/13,0)+0.99),'Tax scales - NAT 1004'!$A$39:$C$41,2,1)-VLOOKUP((TRUNC($AN457*3/13,0)+0.99),'Tax scales - NAT 1004'!$A$39:$C$41,3,1)),0)
*13/3,
0),
""))),
""),
"")</f>
        <v/>
      </c>
      <c r="AR457" s="118" t="str">
        <f>IFERROR(
IF(AND(VLOOKUP($C457,'Employee information'!$B:$M,COLUMNS('Employee information'!$B:$M),0)=4,
VLOOKUP($C457,'Employee information'!$B:$J,COLUMNS('Employee information'!$B:$J),0)="Resident"),
TRUNC(TRUNC($AN457)*'Tax scales - NAT 1004'!$B$47),
IF(AND(VLOOKUP($C457,'Employee information'!$B:$M,COLUMNS('Employee information'!$B:$M),0)=4,
VLOOKUP($C457,'Employee information'!$B:$J,COLUMNS('Employee information'!$B:$J),0)="Foreign resident"),
TRUNC(TRUNC($AN457)*'Tax scales - NAT 1004'!$B$48),
"")),
"")</f>
        <v/>
      </c>
      <c r="AS457" s="118" t="str">
        <f>IFERROR(
IF(VLOOKUP($C457,'Employee information'!$B:$M,COLUMNS('Employee information'!$B:$M),0)=5,
IF($E$2="Fortnightly",
ROUND(
ROUND((((TRUNC($AN457/2,0)+0.99))*VLOOKUP((TRUNC($AN457/2,0)+0.99),'Tax scales - NAT 1004'!$A$53:$C$59,2,1)-VLOOKUP((TRUNC($AN457/2,0)+0.99),'Tax scales - NAT 1004'!$A$53:$C$59,3,1)),0)
*2,
0),
IF(AND($E$2="Monthly",ROUND($AN457-TRUNC($AN457),2)=0.33),
ROUND(
ROUND(((TRUNC(($AN457+0.01)*3/13,0)+0.99)*VLOOKUP((TRUNC(($AN457+0.01)*3/13,0)+0.99),'Tax scales - NAT 1004'!$A$53:$C$59,2,1)-VLOOKUP((TRUNC(($AN457+0.01)*3/13,0)+0.99),'Tax scales - NAT 1004'!$A$53:$C$59,3,1)),0)
*13/3,
0),
IF($E$2="Monthly",
ROUND(
ROUND(((TRUNC($AN457*3/13,0)+0.99)*VLOOKUP((TRUNC($AN457*3/13,0)+0.99),'Tax scales - NAT 1004'!$A$53:$C$59,2,1)-VLOOKUP((TRUNC($AN457*3/13,0)+0.99),'Tax scales - NAT 1004'!$A$53:$C$59,3,1)),0)
*13/3,
0),
""))),
""),
"")</f>
        <v/>
      </c>
      <c r="AT457" s="118" t="str">
        <f>IFERROR(
IF(VLOOKUP($C457,'Employee information'!$B:$M,COLUMNS('Employee information'!$B:$M),0)=6,
IF($E$2="Fortnightly",
ROUND(
ROUND((((TRUNC($AN457/2,0)+0.99))*VLOOKUP((TRUNC($AN457/2,0)+0.99),'Tax scales - NAT 1004'!$A$65:$C$73,2,1)-VLOOKUP((TRUNC($AN457/2,0)+0.99),'Tax scales - NAT 1004'!$A$65:$C$73,3,1)),0)
*2,
0),
IF(AND($E$2="Monthly",ROUND($AN457-TRUNC($AN457),2)=0.33),
ROUND(
ROUND(((TRUNC(($AN457+0.01)*3/13,0)+0.99)*VLOOKUP((TRUNC(($AN457+0.01)*3/13,0)+0.99),'Tax scales - NAT 1004'!$A$65:$C$73,2,1)-VLOOKUP((TRUNC(($AN457+0.01)*3/13,0)+0.99),'Tax scales - NAT 1004'!$A$65:$C$73,3,1)),0)
*13/3,
0),
IF($E$2="Monthly",
ROUND(
ROUND(((TRUNC($AN457*3/13,0)+0.99)*VLOOKUP((TRUNC($AN457*3/13,0)+0.99),'Tax scales - NAT 1004'!$A$65:$C$73,2,1)-VLOOKUP((TRUNC($AN457*3/13,0)+0.99),'Tax scales - NAT 1004'!$A$65:$C$73,3,1)),0)
*13/3,
0),
""))),
""),
"")</f>
        <v/>
      </c>
      <c r="AU457" s="118" t="str">
        <f>IFERROR(
IF(VLOOKUP($C457,'Employee information'!$B:$M,COLUMNS('Employee information'!$B:$M),0)=11,
IF($E$2="Fortnightly",
ROUND(
ROUND((((TRUNC($AN457/2,0)+0.99))*VLOOKUP((TRUNC($AN457/2,0)+0.99),'Tax scales - NAT 3539'!$A$14:$C$38,2,1)-VLOOKUP((TRUNC($AN457/2,0)+0.99),'Tax scales - NAT 3539'!$A$14:$C$38,3,1)),0)
*2,
0),
IF(AND($E$2="Monthly",ROUND($AN457-TRUNC($AN457),2)=0.33),
ROUND(
ROUND(((TRUNC(($AN457+0.01)*3/13,0)+0.99)*VLOOKUP((TRUNC(($AN457+0.01)*3/13,0)+0.99),'Tax scales - NAT 3539'!$A$14:$C$38,2,1)-VLOOKUP((TRUNC(($AN457+0.01)*3/13,0)+0.99),'Tax scales - NAT 3539'!$A$14:$C$38,3,1)),0)
*13/3,
0),
IF($E$2="Monthly",
ROUND(
ROUND(((TRUNC($AN457*3/13,0)+0.99)*VLOOKUP((TRUNC($AN457*3/13,0)+0.99),'Tax scales - NAT 3539'!$A$14:$C$38,2,1)-VLOOKUP((TRUNC($AN457*3/13,0)+0.99),'Tax scales - NAT 3539'!$A$14:$C$38,3,1)),0)
*13/3,
0),
""))),
""),
"")</f>
        <v/>
      </c>
      <c r="AV457" s="118" t="str">
        <f>IFERROR(
IF(VLOOKUP($C457,'Employee information'!$B:$M,COLUMNS('Employee information'!$B:$M),0)=22,
IF($E$2="Fortnightly",
ROUND(
ROUND((((TRUNC($AN457/2,0)+0.99))*VLOOKUP((TRUNC($AN457/2,0)+0.99),'Tax scales - NAT 3539'!$A$43:$C$69,2,1)-VLOOKUP((TRUNC($AN457/2,0)+0.99),'Tax scales - NAT 3539'!$A$43:$C$69,3,1)),0)
*2,
0),
IF(AND($E$2="Monthly",ROUND($AN457-TRUNC($AN457),2)=0.33),
ROUND(
ROUND(((TRUNC(($AN457+0.01)*3/13,0)+0.99)*VLOOKUP((TRUNC(($AN457+0.01)*3/13,0)+0.99),'Tax scales - NAT 3539'!$A$43:$C$69,2,1)-VLOOKUP((TRUNC(($AN457+0.01)*3/13,0)+0.99),'Tax scales - NAT 3539'!$A$43:$C$69,3,1)),0)
*13/3,
0),
IF($E$2="Monthly",
ROUND(
ROUND(((TRUNC($AN457*3/13,0)+0.99)*VLOOKUP((TRUNC($AN457*3/13,0)+0.99),'Tax scales - NAT 3539'!$A$43:$C$69,2,1)-VLOOKUP((TRUNC($AN457*3/13,0)+0.99),'Tax scales - NAT 3539'!$A$43:$C$69,3,1)),0)
*13/3,
0),
""))),
""),
"")</f>
        <v/>
      </c>
      <c r="AW457" s="118" t="str">
        <f>IFERROR(
IF(VLOOKUP($C457,'Employee information'!$B:$M,COLUMNS('Employee information'!$B:$M),0)=33,
IF($E$2="Fortnightly",
ROUND(
ROUND((((TRUNC($AN457/2,0)+0.99))*VLOOKUP((TRUNC($AN457/2,0)+0.99),'Tax scales - NAT 3539'!$A$74:$C$94,2,1)-VLOOKUP((TRUNC($AN457/2,0)+0.99),'Tax scales - NAT 3539'!$A$74:$C$94,3,1)),0)
*2,
0),
IF(AND($E$2="Monthly",ROUND($AN457-TRUNC($AN457),2)=0.33),
ROUND(
ROUND(((TRUNC(($AN457+0.01)*3/13,0)+0.99)*VLOOKUP((TRUNC(($AN457+0.01)*3/13,0)+0.99),'Tax scales - NAT 3539'!$A$74:$C$94,2,1)-VLOOKUP((TRUNC(($AN457+0.01)*3/13,0)+0.99),'Tax scales - NAT 3539'!$A$74:$C$94,3,1)),0)
*13/3,
0),
IF($E$2="Monthly",
ROUND(
ROUND(((TRUNC($AN457*3/13,0)+0.99)*VLOOKUP((TRUNC($AN457*3/13,0)+0.99),'Tax scales - NAT 3539'!$A$74:$C$94,2,1)-VLOOKUP((TRUNC($AN457*3/13,0)+0.99),'Tax scales - NAT 3539'!$A$74:$C$94,3,1)),0)
*13/3,
0),
""))),
""),
"")</f>
        <v/>
      </c>
      <c r="AX457" s="118" t="str">
        <f>IFERROR(
IF(VLOOKUP($C457,'Employee information'!$B:$M,COLUMNS('Employee information'!$B:$M),0)=55,
IF($E$2="Fortnightly",
ROUND(
ROUND((((TRUNC($AN457/2,0)+0.99))*VLOOKUP((TRUNC($AN457/2,0)+0.99),'Tax scales - NAT 3539'!$A$99:$C$123,2,1)-VLOOKUP((TRUNC($AN457/2,0)+0.99),'Tax scales - NAT 3539'!$A$99:$C$123,3,1)),0)
*2,
0),
IF(AND($E$2="Monthly",ROUND($AN457-TRUNC($AN457),2)=0.33),
ROUND(
ROUND(((TRUNC(($AN457+0.01)*3/13,0)+0.99)*VLOOKUP((TRUNC(($AN457+0.01)*3/13,0)+0.99),'Tax scales - NAT 3539'!$A$99:$C$123,2,1)-VLOOKUP((TRUNC(($AN457+0.01)*3/13,0)+0.99),'Tax scales - NAT 3539'!$A$99:$C$123,3,1)),0)
*13/3,
0),
IF($E$2="Monthly",
ROUND(
ROUND(((TRUNC($AN457*3/13,0)+0.99)*VLOOKUP((TRUNC($AN457*3/13,0)+0.99),'Tax scales - NAT 3539'!$A$99:$C$123,2,1)-VLOOKUP((TRUNC($AN457*3/13,0)+0.99),'Tax scales - NAT 3539'!$A$99:$C$123,3,1)),0)
*13/3,
0),
""))),
""),
"")</f>
        <v/>
      </c>
      <c r="AY457" s="118" t="str">
        <f>IFERROR(
IF(VLOOKUP($C457,'Employee information'!$B:$M,COLUMNS('Employee information'!$B:$M),0)=66,
IF($E$2="Fortnightly",
ROUND(
ROUND((((TRUNC($AN457/2,0)+0.99))*VLOOKUP((TRUNC($AN457/2,0)+0.99),'Tax scales - NAT 3539'!$A$127:$C$154,2,1)-VLOOKUP((TRUNC($AN457/2,0)+0.99),'Tax scales - NAT 3539'!$A$127:$C$154,3,1)),0)
*2,
0),
IF(AND($E$2="Monthly",ROUND($AN457-TRUNC($AN457),2)=0.33),
ROUND(
ROUND(((TRUNC(($AN457+0.01)*3/13,0)+0.99)*VLOOKUP((TRUNC(($AN457+0.01)*3/13,0)+0.99),'Tax scales - NAT 3539'!$A$127:$C$154,2,1)-VLOOKUP((TRUNC(($AN457+0.01)*3/13,0)+0.99),'Tax scales - NAT 3539'!$A$127:$C$154,3,1)),0)
*13/3,
0),
IF($E$2="Monthly",
ROUND(
ROUND(((TRUNC($AN457*3/13,0)+0.99)*VLOOKUP((TRUNC($AN457*3/13,0)+0.99),'Tax scales - NAT 3539'!$A$127:$C$154,2,1)-VLOOKUP((TRUNC($AN457*3/13,0)+0.99),'Tax scales - NAT 3539'!$A$127:$C$154,3,1)),0)
*13/3,
0),
""))),
""),
"")</f>
        <v/>
      </c>
      <c r="AZ457" s="118">
        <f>IFERROR(
HLOOKUP(VLOOKUP($C457,'Employee information'!$B:$M,COLUMNS('Employee information'!$B:$M),0),'PAYG worksheet'!$AO$445:$AY$464,COUNTA($C$446:$C457)+1,0),
0)</f>
        <v>0</v>
      </c>
      <c r="BA457" s="118"/>
      <c r="BB457" s="118">
        <f t="shared" si="480"/>
        <v>0</v>
      </c>
      <c r="BC457" s="119">
        <f>IFERROR(
IF(OR($AE457=1,$AE457=""),SUM($P457,$AA457,$AC457,$AK457)*VLOOKUP($C457,'Employee information'!$B:$Q,COLUMNS('Employee information'!$B:$H),0),
IF($AE457=0,SUM($P457,$AA457,$AK457)*VLOOKUP($C457,'Employee information'!$B:$Q,COLUMNS('Employee information'!$B:$H),0),
0)),
0)</f>
        <v>0</v>
      </c>
      <c r="BE457" s="114">
        <f t="shared" si="465"/>
        <v>0</v>
      </c>
      <c r="BF457" s="114">
        <f t="shared" si="466"/>
        <v>0</v>
      </c>
      <c r="BG457" s="114">
        <f t="shared" si="467"/>
        <v>0</v>
      </c>
      <c r="BH457" s="114">
        <f t="shared" si="468"/>
        <v>0</v>
      </c>
      <c r="BI457" s="114">
        <f t="shared" si="469"/>
        <v>0</v>
      </c>
      <c r="BJ457" s="114">
        <f t="shared" si="470"/>
        <v>0</v>
      </c>
      <c r="BK457" s="114">
        <f t="shared" si="471"/>
        <v>0</v>
      </c>
      <c r="BL457" s="114">
        <f t="shared" si="481"/>
        <v>0</v>
      </c>
      <c r="BM457" s="114">
        <f t="shared" si="472"/>
        <v>0</v>
      </c>
    </row>
    <row r="458" spans="1:65" x14ac:dyDescent="0.25">
      <c r="A458" s="228">
        <f t="shared" si="460"/>
        <v>16</v>
      </c>
      <c r="C458" s="278"/>
      <c r="E458" s="103">
        <f>IF($C458="",0,
IF(AND($E$2="Monthly",$A458&gt;12),0,
IF($E$2="Monthly",VLOOKUP($C458,'Employee information'!$B:$AM,COLUMNS('Employee information'!$B:S),0),
IF($E$2="Fortnightly",VLOOKUP($C458,'Employee information'!$B:$AM,COLUMNS('Employee information'!$B:R),0),
0))))</f>
        <v>0</v>
      </c>
      <c r="F458" s="106"/>
      <c r="G458" s="106"/>
      <c r="H458" s="106"/>
      <c r="I458" s="106"/>
      <c r="J458" s="103">
        <f t="shared" si="473"/>
        <v>0</v>
      </c>
      <c r="L458" s="113">
        <f>IF(AND($E$2="Monthly",$A458&gt;12),"",
IFERROR($J458*VLOOKUP($C458,'Employee information'!$B:$AI,COLUMNS('Employee information'!$B:$P),0),0))</f>
        <v>0</v>
      </c>
      <c r="M458" s="114">
        <f t="shared" si="474"/>
        <v>0</v>
      </c>
      <c r="O458" s="103">
        <f t="shared" si="475"/>
        <v>0</v>
      </c>
      <c r="P458" s="113">
        <f>IFERROR(
IF(AND($E$2="Monthly",$A458&gt;12),0,
$O458*VLOOKUP($C458,'Employee information'!$B:$AI,COLUMNS('Employee information'!$B:$P),0)),
0)</f>
        <v>0</v>
      </c>
      <c r="R458" s="114">
        <f t="shared" si="461"/>
        <v>0</v>
      </c>
      <c r="T458" s="103"/>
      <c r="U458" s="103"/>
      <c r="V458" s="282" t="str">
        <f>IF($C458="","",
IF(AND($E$2="Monthly",$A458&gt;12),"",
$T458*VLOOKUP($C458,'Employee information'!$B:$P,COLUMNS('Employee information'!$B:$P),0)))</f>
        <v/>
      </c>
      <c r="W458" s="282" t="str">
        <f>IF($C458="","",
IF(AND($E$2="Monthly",$A458&gt;12),"",
$U458*VLOOKUP($C458,'Employee information'!$B:$P,COLUMNS('Employee information'!$B:$P),0)))</f>
        <v/>
      </c>
      <c r="X458" s="114">
        <f t="shared" si="462"/>
        <v>0</v>
      </c>
      <c r="Y458" s="114">
        <f t="shared" si="463"/>
        <v>0</v>
      </c>
      <c r="AA458" s="118">
        <f>IFERROR(
IF(OR('Basic payroll data'!$D$12="",'Basic payroll data'!$D$12="No"),0,
$T458*VLOOKUP($C458,'Employee information'!$B:$P,COLUMNS('Employee information'!$B:$P),0)*AL_loading_perc),
0)</f>
        <v>0</v>
      </c>
      <c r="AC458" s="118"/>
      <c r="AD458" s="118"/>
      <c r="AE458" s="283" t="str">
        <f t="shared" si="476"/>
        <v/>
      </c>
      <c r="AF458" s="283" t="str">
        <f t="shared" si="477"/>
        <v/>
      </c>
      <c r="AG458" s="118"/>
      <c r="AH458" s="118"/>
      <c r="AI458" s="283" t="str">
        <f t="shared" si="478"/>
        <v/>
      </c>
      <c r="AJ458" s="118"/>
      <c r="AK458" s="118"/>
      <c r="AM458" s="118">
        <f t="shared" si="479"/>
        <v>0</v>
      </c>
      <c r="AN458" s="118">
        <f t="shared" si="464"/>
        <v>0</v>
      </c>
      <c r="AO458" s="118" t="str">
        <f>IFERROR(
IF(VLOOKUP($C458,'Employee information'!$B:$M,COLUMNS('Employee information'!$B:$M),0)=1,
IF($E$2="Fortnightly",
ROUND(
ROUND((((TRUNC($AN458/2,0)+0.99))*VLOOKUP((TRUNC($AN458/2,0)+0.99),'Tax scales - NAT 1004'!$A$12:$C$18,2,1)-VLOOKUP((TRUNC($AN458/2,0)+0.99),'Tax scales - NAT 1004'!$A$12:$C$18,3,1)),0)
*2,
0),
IF(AND($E$2="Monthly",ROUND($AN458-TRUNC($AN458),2)=0.33),
ROUND(
ROUND(((TRUNC(($AN458+0.01)*3/13,0)+0.99)*VLOOKUP((TRUNC(($AN458+0.01)*3/13,0)+0.99),'Tax scales - NAT 1004'!$A$12:$C$18,2,1)-VLOOKUP((TRUNC(($AN458+0.01)*3/13,0)+0.99),'Tax scales - NAT 1004'!$A$12:$C$18,3,1)),0)
*13/3,
0),
IF($E$2="Monthly",
ROUND(
ROUND(((TRUNC($AN458*3/13,0)+0.99)*VLOOKUP((TRUNC($AN458*3/13,0)+0.99),'Tax scales - NAT 1004'!$A$12:$C$18,2,1)-VLOOKUP((TRUNC($AN458*3/13,0)+0.99),'Tax scales - NAT 1004'!$A$12:$C$18,3,1)),0)
*13/3,
0),
""))),
""),
"")</f>
        <v/>
      </c>
      <c r="AP458" s="118" t="str">
        <f>IFERROR(
IF(VLOOKUP($C458,'Employee information'!$B:$M,COLUMNS('Employee information'!$B:$M),0)=2,
IF($E$2="Fortnightly",
ROUND(
ROUND((((TRUNC($AN458/2,0)+0.99))*VLOOKUP((TRUNC($AN458/2,0)+0.99),'Tax scales - NAT 1004'!$A$25:$C$33,2,1)-VLOOKUP((TRUNC($AN458/2,0)+0.99),'Tax scales - NAT 1004'!$A$25:$C$33,3,1)),0)
*2,
0),
IF(AND($E$2="Monthly",ROUND($AN458-TRUNC($AN458),2)=0.33),
ROUND(
ROUND(((TRUNC(($AN458+0.01)*3/13,0)+0.99)*VLOOKUP((TRUNC(($AN458+0.01)*3/13,0)+0.99),'Tax scales - NAT 1004'!$A$25:$C$33,2,1)-VLOOKUP((TRUNC(($AN458+0.01)*3/13,0)+0.99),'Tax scales - NAT 1004'!$A$25:$C$33,3,1)),0)
*13/3,
0),
IF($E$2="Monthly",
ROUND(
ROUND(((TRUNC($AN458*3/13,0)+0.99)*VLOOKUP((TRUNC($AN458*3/13,0)+0.99),'Tax scales - NAT 1004'!$A$25:$C$33,2,1)-VLOOKUP((TRUNC($AN458*3/13,0)+0.99),'Tax scales - NAT 1004'!$A$25:$C$33,3,1)),0)
*13/3,
0),
""))),
""),
"")</f>
        <v/>
      </c>
      <c r="AQ458" s="118" t="str">
        <f>IFERROR(
IF(VLOOKUP($C458,'Employee information'!$B:$M,COLUMNS('Employee information'!$B:$M),0)=3,
IF($E$2="Fortnightly",
ROUND(
ROUND((((TRUNC($AN458/2,0)+0.99))*VLOOKUP((TRUNC($AN458/2,0)+0.99),'Tax scales - NAT 1004'!$A$39:$C$41,2,1)-VLOOKUP((TRUNC($AN458/2,0)+0.99),'Tax scales - NAT 1004'!$A$39:$C$41,3,1)),0)
*2,
0),
IF(AND($E$2="Monthly",ROUND($AN458-TRUNC($AN458),2)=0.33),
ROUND(
ROUND(((TRUNC(($AN458+0.01)*3/13,0)+0.99)*VLOOKUP((TRUNC(($AN458+0.01)*3/13,0)+0.99),'Tax scales - NAT 1004'!$A$39:$C$41,2,1)-VLOOKUP((TRUNC(($AN458+0.01)*3/13,0)+0.99),'Tax scales - NAT 1004'!$A$39:$C$41,3,1)),0)
*13/3,
0),
IF($E$2="Monthly",
ROUND(
ROUND(((TRUNC($AN458*3/13,0)+0.99)*VLOOKUP((TRUNC($AN458*3/13,0)+0.99),'Tax scales - NAT 1004'!$A$39:$C$41,2,1)-VLOOKUP((TRUNC($AN458*3/13,0)+0.99),'Tax scales - NAT 1004'!$A$39:$C$41,3,1)),0)
*13/3,
0),
""))),
""),
"")</f>
        <v/>
      </c>
      <c r="AR458" s="118" t="str">
        <f>IFERROR(
IF(AND(VLOOKUP($C458,'Employee information'!$B:$M,COLUMNS('Employee information'!$B:$M),0)=4,
VLOOKUP($C458,'Employee information'!$B:$J,COLUMNS('Employee information'!$B:$J),0)="Resident"),
TRUNC(TRUNC($AN458)*'Tax scales - NAT 1004'!$B$47),
IF(AND(VLOOKUP($C458,'Employee information'!$B:$M,COLUMNS('Employee information'!$B:$M),0)=4,
VLOOKUP($C458,'Employee information'!$B:$J,COLUMNS('Employee information'!$B:$J),0)="Foreign resident"),
TRUNC(TRUNC($AN458)*'Tax scales - NAT 1004'!$B$48),
"")),
"")</f>
        <v/>
      </c>
      <c r="AS458" s="118" t="str">
        <f>IFERROR(
IF(VLOOKUP($C458,'Employee information'!$B:$M,COLUMNS('Employee information'!$B:$M),0)=5,
IF($E$2="Fortnightly",
ROUND(
ROUND((((TRUNC($AN458/2,0)+0.99))*VLOOKUP((TRUNC($AN458/2,0)+0.99),'Tax scales - NAT 1004'!$A$53:$C$59,2,1)-VLOOKUP((TRUNC($AN458/2,0)+0.99),'Tax scales - NAT 1004'!$A$53:$C$59,3,1)),0)
*2,
0),
IF(AND($E$2="Monthly",ROUND($AN458-TRUNC($AN458),2)=0.33),
ROUND(
ROUND(((TRUNC(($AN458+0.01)*3/13,0)+0.99)*VLOOKUP((TRUNC(($AN458+0.01)*3/13,0)+0.99),'Tax scales - NAT 1004'!$A$53:$C$59,2,1)-VLOOKUP((TRUNC(($AN458+0.01)*3/13,0)+0.99),'Tax scales - NAT 1004'!$A$53:$C$59,3,1)),0)
*13/3,
0),
IF($E$2="Monthly",
ROUND(
ROUND(((TRUNC($AN458*3/13,0)+0.99)*VLOOKUP((TRUNC($AN458*3/13,0)+0.99),'Tax scales - NAT 1004'!$A$53:$C$59,2,1)-VLOOKUP((TRUNC($AN458*3/13,0)+0.99),'Tax scales - NAT 1004'!$A$53:$C$59,3,1)),0)
*13/3,
0),
""))),
""),
"")</f>
        <v/>
      </c>
      <c r="AT458" s="118" t="str">
        <f>IFERROR(
IF(VLOOKUP($C458,'Employee information'!$B:$M,COLUMNS('Employee information'!$B:$M),0)=6,
IF($E$2="Fortnightly",
ROUND(
ROUND((((TRUNC($AN458/2,0)+0.99))*VLOOKUP((TRUNC($AN458/2,0)+0.99),'Tax scales - NAT 1004'!$A$65:$C$73,2,1)-VLOOKUP((TRUNC($AN458/2,0)+0.99),'Tax scales - NAT 1004'!$A$65:$C$73,3,1)),0)
*2,
0),
IF(AND($E$2="Monthly",ROUND($AN458-TRUNC($AN458),2)=0.33),
ROUND(
ROUND(((TRUNC(($AN458+0.01)*3/13,0)+0.99)*VLOOKUP((TRUNC(($AN458+0.01)*3/13,0)+0.99),'Tax scales - NAT 1004'!$A$65:$C$73,2,1)-VLOOKUP((TRUNC(($AN458+0.01)*3/13,0)+0.99),'Tax scales - NAT 1004'!$A$65:$C$73,3,1)),0)
*13/3,
0),
IF($E$2="Monthly",
ROUND(
ROUND(((TRUNC($AN458*3/13,0)+0.99)*VLOOKUP((TRUNC($AN458*3/13,0)+0.99),'Tax scales - NAT 1004'!$A$65:$C$73,2,1)-VLOOKUP((TRUNC($AN458*3/13,0)+0.99),'Tax scales - NAT 1004'!$A$65:$C$73,3,1)),0)
*13/3,
0),
""))),
""),
"")</f>
        <v/>
      </c>
      <c r="AU458" s="118" t="str">
        <f>IFERROR(
IF(VLOOKUP($C458,'Employee information'!$B:$M,COLUMNS('Employee information'!$B:$M),0)=11,
IF($E$2="Fortnightly",
ROUND(
ROUND((((TRUNC($AN458/2,0)+0.99))*VLOOKUP((TRUNC($AN458/2,0)+0.99),'Tax scales - NAT 3539'!$A$14:$C$38,2,1)-VLOOKUP((TRUNC($AN458/2,0)+0.99),'Tax scales - NAT 3539'!$A$14:$C$38,3,1)),0)
*2,
0),
IF(AND($E$2="Monthly",ROUND($AN458-TRUNC($AN458),2)=0.33),
ROUND(
ROUND(((TRUNC(($AN458+0.01)*3/13,0)+0.99)*VLOOKUP((TRUNC(($AN458+0.01)*3/13,0)+0.99),'Tax scales - NAT 3539'!$A$14:$C$38,2,1)-VLOOKUP((TRUNC(($AN458+0.01)*3/13,0)+0.99),'Tax scales - NAT 3539'!$A$14:$C$38,3,1)),0)
*13/3,
0),
IF($E$2="Monthly",
ROUND(
ROUND(((TRUNC($AN458*3/13,0)+0.99)*VLOOKUP((TRUNC($AN458*3/13,0)+0.99),'Tax scales - NAT 3539'!$A$14:$C$38,2,1)-VLOOKUP((TRUNC($AN458*3/13,0)+0.99),'Tax scales - NAT 3539'!$A$14:$C$38,3,1)),0)
*13/3,
0),
""))),
""),
"")</f>
        <v/>
      </c>
      <c r="AV458" s="118" t="str">
        <f>IFERROR(
IF(VLOOKUP($C458,'Employee information'!$B:$M,COLUMNS('Employee information'!$B:$M),0)=22,
IF($E$2="Fortnightly",
ROUND(
ROUND((((TRUNC($AN458/2,0)+0.99))*VLOOKUP((TRUNC($AN458/2,0)+0.99),'Tax scales - NAT 3539'!$A$43:$C$69,2,1)-VLOOKUP((TRUNC($AN458/2,0)+0.99),'Tax scales - NAT 3539'!$A$43:$C$69,3,1)),0)
*2,
0),
IF(AND($E$2="Monthly",ROUND($AN458-TRUNC($AN458),2)=0.33),
ROUND(
ROUND(((TRUNC(($AN458+0.01)*3/13,0)+0.99)*VLOOKUP((TRUNC(($AN458+0.01)*3/13,0)+0.99),'Tax scales - NAT 3539'!$A$43:$C$69,2,1)-VLOOKUP((TRUNC(($AN458+0.01)*3/13,0)+0.99),'Tax scales - NAT 3539'!$A$43:$C$69,3,1)),0)
*13/3,
0),
IF($E$2="Monthly",
ROUND(
ROUND(((TRUNC($AN458*3/13,0)+0.99)*VLOOKUP((TRUNC($AN458*3/13,0)+0.99),'Tax scales - NAT 3539'!$A$43:$C$69,2,1)-VLOOKUP((TRUNC($AN458*3/13,0)+0.99),'Tax scales - NAT 3539'!$A$43:$C$69,3,1)),0)
*13/3,
0),
""))),
""),
"")</f>
        <v/>
      </c>
      <c r="AW458" s="118" t="str">
        <f>IFERROR(
IF(VLOOKUP($C458,'Employee information'!$B:$M,COLUMNS('Employee information'!$B:$M),0)=33,
IF($E$2="Fortnightly",
ROUND(
ROUND((((TRUNC($AN458/2,0)+0.99))*VLOOKUP((TRUNC($AN458/2,0)+0.99),'Tax scales - NAT 3539'!$A$74:$C$94,2,1)-VLOOKUP((TRUNC($AN458/2,0)+0.99),'Tax scales - NAT 3539'!$A$74:$C$94,3,1)),0)
*2,
0),
IF(AND($E$2="Monthly",ROUND($AN458-TRUNC($AN458),2)=0.33),
ROUND(
ROUND(((TRUNC(($AN458+0.01)*3/13,0)+0.99)*VLOOKUP((TRUNC(($AN458+0.01)*3/13,0)+0.99),'Tax scales - NAT 3539'!$A$74:$C$94,2,1)-VLOOKUP((TRUNC(($AN458+0.01)*3/13,0)+0.99),'Tax scales - NAT 3539'!$A$74:$C$94,3,1)),0)
*13/3,
0),
IF($E$2="Monthly",
ROUND(
ROUND(((TRUNC($AN458*3/13,0)+0.99)*VLOOKUP((TRUNC($AN458*3/13,0)+0.99),'Tax scales - NAT 3539'!$A$74:$C$94,2,1)-VLOOKUP((TRUNC($AN458*3/13,0)+0.99),'Tax scales - NAT 3539'!$A$74:$C$94,3,1)),0)
*13/3,
0),
""))),
""),
"")</f>
        <v/>
      </c>
      <c r="AX458" s="118" t="str">
        <f>IFERROR(
IF(VLOOKUP($C458,'Employee information'!$B:$M,COLUMNS('Employee information'!$B:$M),0)=55,
IF($E$2="Fortnightly",
ROUND(
ROUND((((TRUNC($AN458/2,0)+0.99))*VLOOKUP((TRUNC($AN458/2,0)+0.99),'Tax scales - NAT 3539'!$A$99:$C$123,2,1)-VLOOKUP((TRUNC($AN458/2,0)+0.99),'Tax scales - NAT 3539'!$A$99:$C$123,3,1)),0)
*2,
0),
IF(AND($E$2="Monthly",ROUND($AN458-TRUNC($AN458),2)=0.33),
ROUND(
ROUND(((TRUNC(($AN458+0.01)*3/13,0)+0.99)*VLOOKUP((TRUNC(($AN458+0.01)*3/13,0)+0.99),'Tax scales - NAT 3539'!$A$99:$C$123,2,1)-VLOOKUP((TRUNC(($AN458+0.01)*3/13,0)+0.99),'Tax scales - NAT 3539'!$A$99:$C$123,3,1)),0)
*13/3,
0),
IF($E$2="Monthly",
ROUND(
ROUND(((TRUNC($AN458*3/13,0)+0.99)*VLOOKUP((TRUNC($AN458*3/13,0)+0.99),'Tax scales - NAT 3539'!$A$99:$C$123,2,1)-VLOOKUP((TRUNC($AN458*3/13,0)+0.99),'Tax scales - NAT 3539'!$A$99:$C$123,3,1)),0)
*13/3,
0),
""))),
""),
"")</f>
        <v/>
      </c>
      <c r="AY458" s="118" t="str">
        <f>IFERROR(
IF(VLOOKUP($C458,'Employee information'!$B:$M,COLUMNS('Employee information'!$B:$M),0)=66,
IF($E$2="Fortnightly",
ROUND(
ROUND((((TRUNC($AN458/2,0)+0.99))*VLOOKUP((TRUNC($AN458/2,0)+0.99),'Tax scales - NAT 3539'!$A$127:$C$154,2,1)-VLOOKUP((TRUNC($AN458/2,0)+0.99),'Tax scales - NAT 3539'!$A$127:$C$154,3,1)),0)
*2,
0),
IF(AND($E$2="Monthly",ROUND($AN458-TRUNC($AN458),2)=0.33),
ROUND(
ROUND(((TRUNC(($AN458+0.01)*3/13,0)+0.99)*VLOOKUP((TRUNC(($AN458+0.01)*3/13,0)+0.99),'Tax scales - NAT 3539'!$A$127:$C$154,2,1)-VLOOKUP((TRUNC(($AN458+0.01)*3/13,0)+0.99),'Tax scales - NAT 3539'!$A$127:$C$154,3,1)),0)
*13/3,
0),
IF($E$2="Monthly",
ROUND(
ROUND(((TRUNC($AN458*3/13,0)+0.99)*VLOOKUP((TRUNC($AN458*3/13,0)+0.99),'Tax scales - NAT 3539'!$A$127:$C$154,2,1)-VLOOKUP((TRUNC($AN458*3/13,0)+0.99),'Tax scales - NAT 3539'!$A$127:$C$154,3,1)),0)
*13/3,
0),
""))),
""),
"")</f>
        <v/>
      </c>
      <c r="AZ458" s="118">
        <f>IFERROR(
HLOOKUP(VLOOKUP($C458,'Employee information'!$B:$M,COLUMNS('Employee information'!$B:$M),0),'PAYG worksheet'!$AO$445:$AY$464,COUNTA($C$446:$C458)+1,0),
0)</f>
        <v>0</v>
      </c>
      <c r="BA458" s="118"/>
      <c r="BB458" s="118">
        <f t="shared" si="480"/>
        <v>0</v>
      </c>
      <c r="BC458" s="119">
        <f>IFERROR(
IF(OR($AE458=1,$AE458=""),SUM($P458,$AA458,$AC458,$AK458)*VLOOKUP($C458,'Employee information'!$B:$Q,COLUMNS('Employee information'!$B:$H),0),
IF($AE458=0,SUM($P458,$AA458,$AK458)*VLOOKUP($C458,'Employee information'!$B:$Q,COLUMNS('Employee information'!$B:$H),0),
0)),
0)</f>
        <v>0</v>
      </c>
      <c r="BE458" s="114">
        <f t="shared" si="465"/>
        <v>0</v>
      </c>
      <c r="BF458" s="114">
        <f t="shared" si="466"/>
        <v>0</v>
      </c>
      <c r="BG458" s="114">
        <f t="shared" si="467"/>
        <v>0</v>
      </c>
      <c r="BH458" s="114">
        <f t="shared" si="468"/>
        <v>0</v>
      </c>
      <c r="BI458" s="114">
        <f t="shared" si="469"/>
        <v>0</v>
      </c>
      <c r="BJ458" s="114">
        <f t="shared" si="470"/>
        <v>0</v>
      </c>
      <c r="BK458" s="114">
        <f t="shared" si="471"/>
        <v>0</v>
      </c>
      <c r="BL458" s="114">
        <f t="shared" si="481"/>
        <v>0</v>
      </c>
      <c r="BM458" s="114">
        <f t="shared" si="472"/>
        <v>0</v>
      </c>
    </row>
    <row r="459" spans="1:65" x14ac:dyDescent="0.25">
      <c r="A459" s="228">
        <f t="shared" si="460"/>
        <v>16</v>
      </c>
      <c r="C459" s="278"/>
      <c r="E459" s="103">
        <f>IF($C459="",0,
IF(AND($E$2="Monthly",$A459&gt;12),0,
IF($E$2="Monthly",VLOOKUP($C459,'Employee information'!$B:$AM,COLUMNS('Employee information'!$B:S),0),
IF($E$2="Fortnightly",VLOOKUP($C459,'Employee information'!$B:$AM,COLUMNS('Employee information'!$B:R),0),
0))))</f>
        <v>0</v>
      </c>
      <c r="F459" s="106"/>
      <c r="G459" s="106"/>
      <c r="H459" s="106"/>
      <c r="I459" s="106"/>
      <c r="J459" s="103">
        <f t="shared" si="473"/>
        <v>0</v>
      </c>
      <c r="L459" s="113">
        <f>IF(AND($E$2="Monthly",$A459&gt;12),"",
IFERROR($J459*VLOOKUP($C459,'Employee information'!$B:$AI,COLUMNS('Employee information'!$B:$P),0),0))</f>
        <v>0</v>
      </c>
      <c r="M459" s="114">
        <f t="shared" si="474"/>
        <v>0</v>
      </c>
      <c r="O459" s="103">
        <f t="shared" si="475"/>
        <v>0</v>
      </c>
      <c r="P459" s="113">
        <f>IFERROR(
IF(AND($E$2="Monthly",$A459&gt;12),0,
$O459*VLOOKUP($C459,'Employee information'!$B:$AI,COLUMNS('Employee information'!$B:$P),0)),
0)</f>
        <v>0</v>
      </c>
      <c r="R459" s="114">
        <f t="shared" si="461"/>
        <v>0</v>
      </c>
      <c r="T459" s="103"/>
      <c r="U459" s="103"/>
      <c r="V459" s="282" t="str">
        <f>IF($C459="","",
IF(AND($E$2="Monthly",$A459&gt;12),"",
$T459*VLOOKUP($C459,'Employee information'!$B:$P,COLUMNS('Employee information'!$B:$P),0)))</f>
        <v/>
      </c>
      <c r="W459" s="282" t="str">
        <f>IF($C459="","",
IF(AND($E$2="Monthly",$A459&gt;12),"",
$U459*VLOOKUP($C459,'Employee information'!$B:$P,COLUMNS('Employee information'!$B:$P),0)))</f>
        <v/>
      </c>
      <c r="X459" s="114">
        <f t="shared" si="462"/>
        <v>0</v>
      </c>
      <c r="Y459" s="114">
        <f t="shared" si="463"/>
        <v>0</v>
      </c>
      <c r="AA459" s="118">
        <f>IFERROR(
IF(OR('Basic payroll data'!$D$12="",'Basic payroll data'!$D$12="No"),0,
$T459*VLOOKUP($C459,'Employee information'!$B:$P,COLUMNS('Employee information'!$B:$P),0)*AL_loading_perc),
0)</f>
        <v>0</v>
      </c>
      <c r="AC459" s="118"/>
      <c r="AD459" s="118"/>
      <c r="AE459" s="283" t="str">
        <f t="shared" si="476"/>
        <v/>
      </c>
      <c r="AF459" s="283" t="str">
        <f t="shared" si="477"/>
        <v/>
      </c>
      <c r="AG459" s="118"/>
      <c r="AH459" s="118"/>
      <c r="AI459" s="283" t="str">
        <f t="shared" si="478"/>
        <v/>
      </c>
      <c r="AJ459" s="118"/>
      <c r="AK459" s="118"/>
      <c r="AM459" s="118">
        <f t="shared" si="479"/>
        <v>0</v>
      </c>
      <c r="AN459" s="118">
        <f t="shared" si="464"/>
        <v>0</v>
      </c>
      <c r="AO459" s="118" t="str">
        <f>IFERROR(
IF(VLOOKUP($C459,'Employee information'!$B:$M,COLUMNS('Employee information'!$B:$M),0)=1,
IF($E$2="Fortnightly",
ROUND(
ROUND((((TRUNC($AN459/2,0)+0.99))*VLOOKUP((TRUNC($AN459/2,0)+0.99),'Tax scales - NAT 1004'!$A$12:$C$18,2,1)-VLOOKUP((TRUNC($AN459/2,0)+0.99),'Tax scales - NAT 1004'!$A$12:$C$18,3,1)),0)
*2,
0),
IF(AND($E$2="Monthly",ROUND($AN459-TRUNC($AN459),2)=0.33),
ROUND(
ROUND(((TRUNC(($AN459+0.01)*3/13,0)+0.99)*VLOOKUP((TRUNC(($AN459+0.01)*3/13,0)+0.99),'Tax scales - NAT 1004'!$A$12:$C$18,2,1)-VLOOKUP((TRUNC(($AN459+0.01)*3/13,0)+0.99),'Tax scales - NAT 1004'!$A$12:$C$18,3,1)),0)
*13/3,
0),
IF($E$2="Monthly",
ROUND(
ROUND(((TRUNC($AN459*3/13,0)+0.99)*VLOOKUP((TRUNC($AN459*3/13,0)+0.99),'Tax scales - NAT 1004'!$A$12:$C$18,2,1)-VLOOKUP((TRUNC($AN459*3/13,0)+0.99),'Tax scales - NAT 1004'!$A$12:$C$18,3,1)),0)
*13/3,
0),
""))),
""),
"")</f>
        <v/>
      </c>
      <c r="AP459" s="118" t="str">
        <f>IFERROR(
IF(VLOOKUP($C459,'Employee information'!$B:$M,COLUMNS('Employee information'!$B:$M),0)=2,
IF($E$2="Fortnightly",
ROUND(
ROUND((((TRUNC($AN459/2,0)+0.99))*VLOOKUP((TRUNC($AN459/2,0)+0.99),'Tax scales - NAT 1004'!$A$25:$C$33,2,1)-VLOOKUP((TRUNC($AN459/2,0)+0.99),'Tax scales - NAT 1004'!$A$25:$C$33,3,1)),0)
*2,
0),
IF(AND($E$2="Monthly",ROUND($AN459-TRUNC($AN459),2)=0.33),
ROUND(
ROUND(((TRUNC(($AN459+0.01)*3/13,0)+0.99)*VLOOKUP((TRUNC(($AN459+0.01)*3/13,0)+0.99),'Tax scales - NAT 1004'!$A$25:$C$33,2,1)-VLOOKUP((TRUNC(($AN459+0.01)*3/13,0)+0.99),'Tax scales - NAT 1004'!$A$25:$C$33,3,1)),0)
*13/3,
0),
IF($E$2="Monthly",
ROUND(
ROUND(((TRUNC($AN459*3/13,0)+0.99)*VLOOKUP((TRUNC($AN459*3/13,0)+0.99),'Tax scales - NAT 1004'!$A$25:$C$33,2,1)-VLOOKUP((TRUNC($AN459*3/13,0)+0.99),'Tax scales - NAT 1004'!$A$25:$C$33,3,1)),0)
*13/3,
0),
""))),
""),
"")</f>
        <v/>
      </c>
      <c r="AQ459" s="118" t="str">
        <f>IFERROR(
IF(VLOOKUP($C459,'Employee information'!$B:$M,COLUMNS('Employee information'!$B:$M),0)=3,
IF($E$2="Fortnightly",
ROUND(
ROUND((((TRUNC($AN459/2,0)+0.99))*VLOOKUP((TRUNC($AN459/2,0)+0.99),'Tax scales - NAT 1004'!$A$39:$C$41,2,1)-VLOOKUP((TRUNC($AN459/2,0)+0.99),'Tax scales - NAT 1004'!$A$39:$C$41,3,1)),0)
*2,
0),
IF(AND($E$2="Monthly",ROUND($AN459-TRUNC($AN459),2)=0.33),
ROUND(
ROUND(((TRUNC(($AN459+0.01)*3/13,0)+0.99)*VLOOKUP((TRUNC(($AN459+0.01)*3/13,0)+0.99),'Tax scales - NAT 1004'!$A$39:$C$41,2,1)-VLOOKUP((TRUNC(($AN459+0.01)*3/13,0)+0.99),'Tax scales - NAT 1004'!$A$39:$C$41,3,1)),0)
*13/3,
0),
IF($E$2="Monthly",
ROUND(
ROUND(((TRUNC($AN459*3/13,0)+0.99)*VLOOKUP((TRUNC($AN459*3/13,0)+0.99),'Tax scales - NAT 1004'!$A$39:$C$41,2,1)-VLOOKUP((TRUNC($AN459*3/13,0)+0.99),'Tax scales - NAT 1004'!$A$39:$C$41,3,1)),0)
*13/3,
0),
""))),
""),
"")</f>
        <v/>
      </c>
      <c r="AR459" s="118" t="str">
        <f>IFERROR(
IF(AND(VLOOKUP($C459,'Employee information'!$B:$M,COLUMNS('Employee information'!$B:$M),0)=4,
VLOOKUP($C459,'Employee information'!$B:$J,COLUMNS('Employee information'!$B:$J),0)="Resident"),
TRUNC(TRUNC($AN459)*'Tax scales - NAT 1004'!$B$47),
IF(AND(VLOOKUP($C459,'Employee information'!$B:$M,COLUMNS('Employee information'!$B:$M),0)=4,
VLOOKUP($C459,'Employee information'!$B:$J,COLUMNS('Employee information'!$B:$J),0)="Foreign resident"),
TRUNC(TRUNC($AN459)*'Tax scales - NAT 1004'!$B$48),
"")),
"")</f>
        <v/>
      </c>
      <c r="AS459" s="118" t="str">
        <f>IFERROR(
IF(VLOOKUP($C459,'Employee information'!$B:$M,COLUMNS('Employee information'!$B:$M),0)=5,
IF($E$2="Fortnightly",
ROUND(
ROUND((((TRUNC($AN459/2,0)+0.99))*VLOOKUP((TRUNC($AN459/2,0)+0.99),'Tax scales - NAT 1004'!$A$53:$C$59,2,1)-VLOOKUP((TRUNC($AN459/2,0)+0.99),'Tax scales - NAT 1004'!$A$53:$C$59,3,1)),0)
*2,
0),
IF(AND($E$2="Monthly",ROUND($AN459-TRUNC($AN459),2)=0.33),
ROUND(
ROUND(((TRUNC(($AN459+0.01)*3/13,0)+0.99)*VLOOKUP((TRUNC(($AN459+0.01)*3/13,0)+0.99),'Tax scales - NAT 1004'!$A$53:$C$59,2,1)-VLOOKUP((TRUNC(($AN459+0.01)*3/13,0)+0.99),'Tax scales - NAT 1004'!$A$53:$C$59,3,1)),0)
*13/3,
0),
IF($E$2="Monthly",
ROUND(
ROUND(((TRUNC($AN459*3/13,0)+0.99)*VLOOKUP((TRUNC($AN459*3/13,0)+0.99),'Tax scales - NAT 1004'!$A$53:$C$59,2,1)-VLOOKUP((TRUNC($AN459*3/13,0)+0.99),'Tax scales - NAT 1004'!$A$53:$C$59,3,1)),0)
*13/3,
0),
""))),
""),
"")</f>
        <v/>
      </c>
      <c r="AT459" s="118" t="str">
        <f>IFERROR(
IF(VLOOKUP($C459,'Employee information'!$B:$M,COLUMNS('Employee information'!$B:$M),0)=6,
IF($E$2="Fortnightly",
ROUND(
ROUND((((TRUNC($AN459/2,0)+0.99))*VLOOKUP((TRUNC($AN459/2,0)+0.99),'Tax scales - NAT 1004'!$A$65:$C$73,2,1)-VLOOKUP((TRUNC($AN459/2,0)+0.99),'Tax scales - NAT 1004'!$A$65:$C$73,3,1)),0)
*2,
0),
IF(AND($E$2="Monthly",ROUND($AN459-TRUNC($AN459),2)=0.33),
ROUND(
ROUND(((TRUNC(($AN459+0.01)*3/13,0)+0.99)*VLOOKUP((TRUNC(($AN459+0.01)*3/13,0)+0.99),'Tax scales - NAT 1004'!$A$65:$C$73,2,1)-VLOOKUP((TRUNC(($AN459+0.01)*3/13,0)+0.99),'Tax scales - NAT 1004'!$A$65:$C$73,3,1)),0)
*13/3,
0),
IF($E$2="Monthly",
ROUND(
ROUND(((TRUNC($AN459*3/13,0)+0.99)*VLOOKUP((TRUNC($AN459*3/13,0)+0.99),'Tax scales - NAT 1004'!$A$65:$C$73,2,1)-VLOOKUP((TRUNC($AN459*3/13,0)+0.99),'Tax scales - NAT 1004'!$A$65:$C$73,3,1)),0)
*13/3,
0),
""))),
""),
"")</f>
        <v/>
      </c>
      <c r="AU459" s="118" t="str">
        <f>IFERROR(
IF(VLOOKUP($C459,'Employee information'!$B:$M,COLUMNS('Employee information'!$B:$M),0)=11,
IF($E$2="Fortnightly",
ROUND(
ROUND((((TRUNC($AN459/2,0)+0.99))*VLOOKUP((TRUNC($AN459/2,0)+0.99),'Tax scales - NAT 3539'!$A$14:$C$38,2,1)-VLOOKUP((TRUNC($AN459/2,0)+0.99),'Tax scales - NAT 3539'!$A$14:$C$38,3,1)),0)
*2,
0),
IF(AND($E$2="Monthly",ROUND($AN459-TRUNC($AN459),2)=0.33),
ROUND(
ROUND(((TRUNC(($AN459+0.01)*3/13,0)+0.99)*VLOOKUP((TRUNC(($AN459+0.01)*3/13,0)+0.99),'Tax scales - NAT 3539'!$A$14:$C$38,2,1)-VLOOKUP((TRUNC(($AN459+0.01)*3/13,0)+0.99),'Tax scales - NAT 3539'!$A$14:$C$38,3,1)),0)
*13/3,
0),
IF($E$2="Monthly",
ROUND(
ROUND(((TRUNC($AN459*3/13,0)+0.99)*VLOOKUP((TRUNC($AN459*3/13,0)+0.99),'Tax scales - NAT 3539'!$A$14:$C$38,2,1)-VLOOKUP((TRUNC($AN459*3/13,0)+0.99),'Tax scales - NAT 3539'!$A$14:$C$38,3,1)),0)
*13/3,
0),
""))),
""),
"")</f>
        <v/>
      </c>
      <c r="AV459" s="118" t="str">
        <f>IFERROR(
IF(VLOOKUP($C459,'Employee information'!$B:$M,COLUMNS('Employee information'!$B:$M),0)=22,
IF($E$2="Fortnightly",
ROUND(
ROUND((((TRUNC($AN459/2,0)+0.99))*VLOOKUP((TRUNC($AN459/2,0)+0.99),'Tax scales - NAT 3539'!$A$43:$C$69,2,1)-VLOOKUP((TRUNC($AN459/2,0)+0.99),'Tax scales - NAT 3539'!$A$43:$C$69,3,1)),0)
*2,
0),
IF(AND($E$2="Monthly",ROUND($AN459-TRUNC($AN459),2)=0.33),
ROUND(
ROUND(((TRUNC(($AN459+0.01)*3/13,0)+0.99)*VLOOKUP((TRUNC(($AN459+0.01)*3/13,0)+0.99),'Tax scales - NAT 3539'!$A$43:$C$69,2,1)-VLOOKUP((TRUNC(($AN459+0.01)*3/13,0)+0.99),'Tax scales - NAT 3539'!$A$43:$C$69,3,1)),0)
*13/3,
0),
IF($E$2="Monthly",
ROUND(
ROUND(((TRUNC($AN459*3/13,0)+0.99)*VLOOKUP((TRUNC($AN459*3/13,0)+0.99),'Tax scales - NAT 3539'!$A$43:$C$69,2,1)-VLOOKUP((TRUNC($AN459*3/13,0)+0.99),'Tax scales - NAT 3539'!$A$43:$C$69,3,1)),0)
*13/3,
0),
""))),
""),
"")</f>
        <v/>
      </c>
      <c r="AW459" s="118" t="str">
        <f>IFERROR(
IF(VLOOKUP($C459,'Employee information'!$B:$M,COLUMNS('Employee information'!$B:$M),0)=33,
IF($E$2="Fortnightly",
ROUND(
ROUND((((TRUNC($AN459/2,0)+0.99))*VLOOKUP((TRUNC($AN459/2,0)+0.99),'Tax scales - NAT 3539'!$A$74:$C$94,2,1)-VLOOKUP((TRUNC($AN459/2,0)+0.99),'Tax scales - NAT 3539'!$A$74:$C$94,3,1)),0)
*2,
0),
IF(AND($E$2="Monthly",ROUND($AN459-TRUNC($AN459),2)=0.33),
ROUND(
ROUND(((TRUNC(($AN459+0.01)*3/13,0)+0.99)*VLOOKUP((TRUNC(($AN459+0.01)*3/13,0)+0.99),'Tax scales - NAT 3539'!$A$74:$C$94,2,1)-VLOOKUP((TRUNC(($AN459+0.01)*3/13,0)+0.99),'Tax scales - NAT 3539'!$A$74:$C$94,3,1)),0)
*13/3,
0),
IF($E$2="Monthly",
ROUND(
ROUND(((TRUNC($AN459*3/13,0)+0.99)*VLOOKUP((TRUNC($AN459*3/13,0)+0.99),'Tax scales - NAT 3539'!$A$74:$C$94,2,1)-VLOOKUP((TRUNC($AN459*3/13,0)+0.99),'Tax scales - NAT 3539'!$A$74:$C$94,3,1)),0)
*13/3,
0),
""))),
""),
"")</f>
        <v/>
      </c>
      <c r="AX459" s="118" t="str">
        <f>IFERROR(
IF(VLOOKUP($C459,'Employee information'!$B:$M,COLUMNS('Employee information'!$B:$M),0)=55,
IF($E$2="Fortnightly",
ROUND(
ROUND((((TRUNC($AN459/2,0)+0.99))*VLOOKUP((TRUNC($AN459/2,0)+0.99),'Tax scales - NAT 3539'!$A$99:$C$123,2,1)-VLOOKUP((TRUNC($AN459/2,0)+0.99),'Tax scales - NAT 3539'!$A$99:$C$123,3,1)),0)
*2,
0),
IF(AND($E$2="Monthly",ROUND($AN459-TRUNC($AN459),2)=0.33),
ROUND(
ROUND(((TRUNC(($AN459+0.01)*3/13,0)+0.99)*VLOOKUP((TRUNC(($AN459+0.01)*3/13,0)+0.99),'Tax scales - NAT 3539'!$A$99:$C$123,2,1)-VLOOKUP((TRUNC(($AN459+0.01)*3/13,0)+0.99),'Tax scales - NAT 3539'!$A$99:$C$123,3,1)),0)
*13/3,
0),
IF($E$2="Monthly",
ROUND(
ROUND(((TRUNC($AN459*3/13,0)+0.99)*VLOOKUP((TRUNC($AN459*3/13,0)+0.99),'Tax scales - NAT 3539'!$A$99:$C$123,2,1)-VLOOKUP((TRUNC($AN459*3/13,0)+0.99),'Tax scales - NAT 3539'!$A$99:$C$123,3,1)),0)
*13/3,
0),
""))),
""),
"")</f>
        <v/>
      </c>
      <c r="AY459" s="118" t="str">
        <f>IFERROR(
IF(VLOOKUP($C459,'Employee information'!$B:$M,COLUMNS('Employee information'!$B:$M),0)=66,
IF($E$2="Fortnightly",
ROUND(
ROUND((((TRUNC($AN459/2,0)+0.99))*VLOOKUP((TRUNC($AN459/2,0)+0.99),'Tax scales - NAT 3539'!$A$127:$C$154,2,1)-VLOOKUP((TRUNC($AN459/2,0)+0.99),'Tax scales - NAT 3539'!$A$127:$C$154,3,1)),0)
*2,
0),
IF(AND($E$2="Monthly",ROUND($AN459-TRUNC($AN459),2)=0.33),
ROUND(
ROUND(((TRUNC(($AN459+0.01)*3/13,0)+0.99)*VLOOKUP((TRUNC(($AN459+0.01)*3/13,0)+0.99),'Tax scales - NAT 3539'!$A$127:$C$154,2,1)-VLOOKUP((TRUNC(($AN459+0.01)*3/13,0)+0.99),'Tax scales - NAT 3539'!$A$127:$C$154,3,1)),0)
*13/3,
0),
IF($E$2="Monthly",
ROUND(
ROUND(((TRUNC($AN459*3/13,0)+0.99)*VLOOKUP((TRUNC($AN459*3/13,0)+0.99),'Tax scales - NAT 3539'!$A$127:$C$154,2,1)-VLOOKUP((TRUNC($AN459*3/13,0)+0.99),'Tax scales - NAT 3539'!$A$127:$C$154,3,1)),0)
*13/3,
0),
""))),
""),
"")</f>
        <v/>
      </c>
      <c r="AZ459" s="118">
        <f>IFERROR(
HLOOKUP(VLOOKUP($C459,'Employee information'!$B:$M,COLUMNS('Employee information'!$B:$M),0),'PAYG worksheet'!$AO$445:$AY$464,COUNTA($C$446:$C459)+1,0),
0)</f>
        <v>0</v>
      </c>
      <c r="BA459" s="118"/>
      <c r="BB459" s="118">
        <f t="shared" si="480"/>
        <v>0</v>
      </c>
      <c r="BC459" s="119">
        <f>IFERROR(
IF(OR($AE459=1,$AE459=""),SUM($P459,$AA459,$AC459,$AK459)*VLOOKUP($C459,'Employee information'!$B:$Q,COLUMNS('Employee information'!$B:$H),0),
IF($AE459=0,SUM($P459,$AA459,$AK459)*VLOOKUP($C459,'Employee information'!$B:$Q,COLUMNS('Employee information'!$B:$H),0),
0)),
0)</f>
        <v>0</v>
      </c>
      <c r="BE459" s="114">
        <f t="shared" si="465"/>
        <v>0</v>
      </c>
      <c r="BF459" s="114">
        <f t="shared" si="466"/>
        <v>0</v>
      </c>
      <c r="BG459" s="114">
        <f t="shared" si="467"/>
        <v>0</v>
      </c>
      <c r="BH459" s="114">
        <f t="shared" si="468"/>
        <v>0</v>
      </c>
      <c r="BI459" s="114">
        <f t="shared" si="469"/>
        <v>0</v>
      </c>
      <c r="BJ459" s="114">
        <f t="shared" si="470"/>
        <v>0</v>
      </c>
      <c r="BK459" s="114">
        <f t="shared" si="471"/>
        <v>0</v>
      </c>
      <c r="BL459" s="114">
        <f t="shared" si="481"/>
        <v>0</v>
      </c>
      <c r="BM459" s="114">
        <f t="shared" si="472"/>
        <v>0</v>
      </c>
    </row>
    <row r="460" spans="1:65" x14ac:dyDescent="0.25">
      <c r="A460" s="228">
        <f t="shared" si="460"/>
        <v>16</v>
      </c>
      <c r="C460" s="278"/>
      <c r="E460" s="103">
        <f>IF($C460="",0,
IF(AND($E$2="Monthly",$A460&gt;12),0,
IF($E$2="Monthly",VLOOKUP($C460,'Employee information'!$B:$AM,COLUMNS('Employee information'!$B:S),0),
IF($E$2="Fortnightly",VLOOKUP($C460,'Employee information'!$B:$AM,COLUMNS('Employee information'!$B:R),0),
0))))</f>
        <v>0</v>
      </c>
      <c r="F460" s="106"/>
      <c r="G460" s="106"/>
      <c r="H460" s="106"/>
      <c r="I460" s="106"/>
      <c r="J460" s="103">
        <f t="shared" si="473"/>
        <v>0</v>
      </c>
      <c r="L460" s="113">
        <f>IF(AND($E$2="Monthly",$A460&gt;12),"",
IFERROR($J460*VLOOKUP($C460,'Employee information'!$B:$AI,COLUMNS('Employee information'!$B:$P),0),0))</f>
        <v>0</v>
      </c>
      <c r="M460" s="114">
        <f t="shared" si="474"/>
        <v>0</v>
      </c>
      <c r="O460" s="103">
        <f t="shared" si="475"/>
        <v>0</v>
      </c>
      <c r="P460" s="113">
        <f>IFERROR(
IF(AND($E$2="Monthly",$A460&gt;12),0,
$O460*VLOOKUP($C460,'Employee information'!$B:$AI,COLUMNS('Employee information'!$B:$P),0)),
0)</f>
        <v>0</v>
      </c>
      <c r="R460" s="114">
        <f t="shared" si="461"/>
        <v>0</v>
      </c>
      <c r="T460" s="103"/>
      <c r="U460" s="103"/>
      <c r="V460" s="282" t="str">
        <f>IF($C460="","",
IF(AND($E$2="Monthly",$A460&gt;12),"",
$T460*VLOOKUP($C460,'Employee information'!$B:$P,COLUMNS('Employee information'!$B:$P),0)))</f>
        <v/>
      </c>
      <c r="W460" s="282" t="str">
        <f>IF($C460="","",
IF(AND($E$2="Monthly",$A460&gt;12),"",
$U460*VLOOKUP($C460,'Employee information'!$B:$P,COLUMNS('Employee information'!$B:$P),0)))</f>
        <v/>
      </c>
      <c r="X460" s="114">
        <f t="shared" si="462"/>
        <v>0</v>
      </c>
      <c r="Y460" s="114">
        <f t="shared" si="463"/>
        <v>0</v>
      </c>
      <c r="AA460" s="118">
        <f>IFERROR(
IF(OR('Basic payroll data'!$D$12="",'Basic payroll data'!$D$12="No"),0,
$T460*VLOOKUP($C460,'Employee information'!$B:$P,COLUMNS('Employee information'!$B:$P),0)*AL_loading_perc),
0)</f>
        <v>0</v>
      </c>
      <c r="AC460" s="118"/>
      <c r="AD460" s="118"/>
      <c r="AE460" s="283" t="str">
        <f t="shared" si="476"/>
        <v/>
      </c>
      <c r="AF460" s="283" t="str">
        <f t="shared" si="477"/>
        <v/>
      </c>
      <c r="AG460" s="118"/>
      <c r="AH460" s="118"/>
      <c r="AI460" s="283" t="str">
        <f t="shared" si="478"/>
        <v/>
      </c>
      <c r="AJ460" s="118"/>
      <c r="AK460" s="118"/>
      <c r="AM460" s="118">
        <f t="shared" si="479"/>
        <v>0</v>
      </c>
      <c r="AN460" s="118">
        <f t="shared" si="464"/>
        <v>0</v>
      </c>
      <c r="AO460" s="118" t="str">
        <f>IFERROR(
IF(VLOOKUP($C460,'Employee information'!$B:$M,COLUMNS('Employee information'!$B:$M),0)=1,
IF($E$2="Fortnightly",
ROUND(
ROUND((((TRUNC($AN460/2,0)+0.99))*VLOOKUP((TRUNC($AN460/2,0)+0.99),'Tax scales - NAT 1004'!$A$12:$C$18,2,1)-VLOOKUP((TRUNC($AN460/2,0)+0.99),'Tax scales - NAT 1004'!$A$12:$C$18,3,1)),0)
*2,
0),
IF(AND($E$2="Monthly",ROUND($AN460-TRUNC($AN460),2)=0.33),
ROUND(
ROUND(((TRUNC(($AN460+0.01)*3/13,0)+0.99)*VLOOKUP((TRUNC(($AN460+0.01)*3/13,0)+0.99),'Tax scales - NAT 1004'!$A$12:$C$18,2,1)-VLOOKUP((TRUNC(($AN460+0.01)*3/13,0)+0.99),'Tax scales - NAT 1004'!$A$12:$C$18,3,1)),0)
*13/3,
0),
IF($E$2="Monthly",
ROUND(
ROUND(((TRUNC($AN460*3/13,0)+0.99)*VLOOKUP((TRUNC($AN460*3/13,0)+0.99),'Tax scales - NAT 1004'!$A$12:$C$18,2,1)-VLOOKUP((TRUNC($AN460*3/13,0)+0.99),'Tax scales - NAT 1004'!$A$12:$C$18,3,1)),0)
*13/3,
0),
""))),
""),
"")</f>
        <v/>
      </c>
      <c r="AP460" s="118" t="str">
        <f>IFERROR(
IF(VLOOKUP($C460,'Employee information'!$B:$M,COLUMNS('Employee information'!$B:$M),0)=2,
IF($E$2="Fortnightly",
ROUND(
ROUND((((TRUNC($AN460/2,0)+0.99))*VLOOKUP((TRUNC($AN460/2,0)+0.99),'Tax scales - NAT 1004'!$A$25:$C$33,2,1)-VLOOKUP((TRUNC($AN460/2,0)+0.99),'Tax scales - NAT 1004'!$A$25:$C$33,3,1)),0)
*2,
0),
IF(AND($E$2="Monthly",ROUND($AN460-TRUNC($AN460),2)=0.33),
ROUND(
ROUND(((TRUNC(($AN460+0.01)*3/13,0)+0.99)*VLOOKUP((TRUNC(($AN460+0.01)*3/13,0)+0.99),'Tax scales - NAT 1004'!$A$25:$C$33,2,1)-VLOOKUP((TRUNC(($AN460+0.01)*3/13,0)+0.99),'Tax scales - NAT 1004'!$A$25:$C$33,3,1)),0)
*13/3,
0),
IF($E$2="Monthly",
ROUND(
ROUND(((TRUNC($AN460*3/13,0)+0.99)*VLOOKUP((TRUNC($AN460*3/13,0)+0.99),'Tax scales - NAT 1004'!$A$25:$C$33,2,1)-VLOOKUP((TRUNC($AN460*3/13,0)+0.99),'Tax scales - NAT 1004'!$A$25:$C$33,3,1)),0)
*13/3,
0),
""))),
""),
"")</f>
        <v/>
      </c>
      <c r="AQ460" s="118" t="str">
        <f>IFERROR(
IF(VLOOKUP($C460,'Employee information'!$B:$M,COLUMNS('Employee information'!$B:$M),0)=3,
IF($E$2="Fortnightly",
ROUND(
ROUND((((TRUNC($AN460/2,0)+0.99))*VLOOKUP((TRUNC($AN460/2,0)+0.99),'Tax scales - NAT 1004'!$A$39:$C$41,2,1)-VLOOKUP((TRUNC($AN460/2,0)+0.99),'Tax scales - NAT 1004'!$A$39:$C$41,3,1)),0)
*2,
0),
IF(AND($E$2="Monthly",ROUND($AN460-TRUNC($AN460),2)=0.33),
ROUND(
ROUND(((TRUNC(($AN460+0.01)*3/13,0)+0.99)*VLOOKUP((TRUNC(($AN460+0.01)*3/13,0)+0.99),'Tax scales - NAT 1004'!$A$39:$C$41,2,1)-VLOOKUP((TRUNC(($AN460+0.01)*3/13,0)+0.99),'Tax scales - NAT 1004'!$A$39:$C$41,3,1)),0)
*13/3,
0),
IF($E$2="Monthly",
ROUND(
ROUND(((TRUNC($AN460*3/13,0)+0.99)*VLOOKUP((TRUNC($AN460*3/13,0)+0.99),'Tax scales - NAT 1004'!$A$39:$C$41,2,1)-VLOOKUP((TRUNC($AN460*3/13,0)+0.99),'Tax scales - NAT 1004'!$A$39:$C$41,3,1)),0)
*13/3,
0),
""))),
""),
"")</f>
        <v/>
      </c>
      <c r="AR460" s="118" t="str">
        <f>IFERROR(
IF(AND(VLOOKUP($C460,'Employee information'!$B:$M,COLUMNS('Employee information'!$B:$M),0)=4,
VLOOKUP($C460,'Employee information'!$B:$J,COLUMNS('Employee information'!$B:$J),0)="Resident"),
TRUNC(TRUNC($AN460)*'Tax scales - NAT 1004'!$B$47),
IF(AND(VLOOKUP($C460,'Employee information'!$B:$M,COLUMNS('Employee information'!$B:$M),0)=4,
VLOOKUP($C460,'Employee information'!$B:$J,COLUMNS('Employee information'!$B:$J),0)="Foreign resident"),
TRUNC(TRUNC($AN460)*'Tax scales - NAT 1004'!$B$48),
"")),
"")</f>
        <v/>
      </c>
      <c r="AS460" s="118" t="str">
        <f>IFERROR(
IF(VLOOKUP($C460,'Employee information'!$B:$M,COLUMNS('Employee information'!$B:$M),0)=5,
IF($E$2="Fortnightly",
ROUND(
ROUND((((TRUNC($AN460/2,0)+0.99))*VLOOKUP((TRUNC($AN460/2,0)+0.99),'Tax scales - NAT 1004'!$A$53:$C$59,2,1)-VLOOKUP((TRUNC($AN460/2,0)+0.99),'Tax scales - NAT 1004'!$A$53:$C$59,3,1)),0)
*2,
0),
IF(AND($E$2="Monthly",ROUND($AN460-TRUNC($AN460),2)=0.33),
ROUND(
ROUND(((TRUNC(($AN460+0.01)*3/13,0)+0.99)*VLOOKUP((TRUNC(($AN460+0.01)*3/13,0)+0.99),'Tax scales - NAT 1004'!$A$53:$C$59,2,1)-VLOOKUP((TRUNC(($AN460+0.01)*3/13,0)+0.99),'Tax scales - NAT 1004'!$A$53:$C$59,3,1)),0)
*13/3,
0),
IF($E$2="Monthly",
ROUND(
ROUND(((TRUNC($AN460*3/13,0)+0.99)*VLOOKUP((TRUNC($AN460*3/13,0)+0.99),'Tax scales - NAT 1004'!$A$53:$C$59,2,1)-VLOOKUP((TRUNC($AN460*3/13,0)+0.99),'Tax scales - NAT 1004'!$A$53:$C$59,3,1)),0)
*13/3,
0),
""))),
""),
"")</f>
        <v/>
      </c>
      <c r="AT460" s="118" t="str">
        <f>IFERROR(
IF(VLOOKUP($C460,'Employee information'!$B:$M,COLUMNS('Employee information'!$B:$M),0)=6,
IF($E$2="Fortnightly",
ROUND(
ROUND((((TRUNC($AN460/2,0)+0.99))*VLOOKUP((TRUNC($AN460/2,0)+0.99),'Tax scales - NAT 1004'!$A$65:$C$73,2,1)-VLOOKUP((TRUNC($AN460/2,0)+0.99),'Tax scales - NAT 1004'!$A$65:$C$73,3,1)),0)
*2,
0),
IF(AND($E$2="Monthly",ROUND($AN460-TRUNC($AN460),2)=0.33),
ROUND(
ROUND(((TRUNC(($AN460+0.01)*3/13,0)+0.99)*VLOOKUP((TRUNC(($AN460+0.01)*3/13,0)+0.99),'Tax scales - NAT 1004'!$A$65:$C$73,2,1)-VLOOKUP((TRUNC(($AN460+0.01)*3/13,0)+0.99),'Tax scales - NAT 1004'!$A$65:$C$73,3,1)),0)
*13/3,
0),
IF($E$2="Monthly",
ROUND(
ROUND(((TRUNC($AN460*3/13,0)+0.99)*VLOOKUP((TRUNC($AN460*3/13,0)+0.99),'Tax scales - NAT 1004'!$A$65:$C$73,2,1)-VLOOKUP((TRUNC($AN460*3/13,0)+0.99),'Tax scales - NAT 1004'!$A$65:$C$73,3,1)),0)
*13/3,
0),
""))),
""),
"")</f>
        <v/>
      </c>
      <c r="AU460" s="118" t="str">
        <f>IFERROR(
IF(VLOOKUP($C460,'Employee information'!$B:$M,COLUMNS('Employee information'!$B:$M),0)=11,
IF($E$2="Fortnightly",
ROUND(
ROUND((((TRUNC($AN460/2,0)+0.99))*VLOOKUP((TRUNC($AN460/2,0)+0.99),'Tax scales - NAT 3539'!$A$14:$C$38,2,1)-VLOOKUP((TRUNC($AN460/2,0)+0.99),'Tax scales - NAT 3539'!$A$14:$C$38,3,1)),0)
*2,
0),
IF(AND($E$2="Monthly",ROUND($AN460-TRUNC($AN460),2)=0.33),
ROUND(
ROUND(((TRUNC(($AN460+0.01)*3/13,0)+0.99)*VLOOKUP((TRUNC(($AN460+0.01)*3/13,0)+0.99),'Tax scales - NAT 3539'!$A$14:$C$38,2,1)-VLOOKUP((TRUNC(($AN460+0.01)*3/13,0)+0.99),'Tax scales - NAT 3539'!$A$14:$C$38,3,1)),0)
*13/3,
0),
IF($E$2="Monthly",
ROUND(
ROUND(((TRUNC($AN460*3/13,0)+0.99)*VLOOKUP((TRUNC($AN460*3/13,0)+0.99),'Tax scales - NAT 3539'!$A$14:$C$38,2,1)-VLOOKUP((TRUNC($AN460*3/13,0)+0.99),'Tax scales - NAT 3539'!$A$14:$C$38,3,1)),0)
*13/3,
0),
""))),
""),
"")</f>
        <v/>
      </c>
      <c r="AV460" s="118" t="str">
        <f>IFERROR(
IF(VLOOKUP($C460,'Employee information'!$B:$M,COLUMNS('Employee information'!$B:$M),0)=22,
IF($E$2="Fortnightly",
ROUND(
ROUND((((TRUNC($AN460/2,0)+0.99))*VLOOKUP((TRUNC($AN460/2,0)+0.99),'Tax scales - NAT 3539'!$A$43:$C$69,2,1)-VLOOKUP((TRUNC($AN460/2,0)+0.99),'Tax scales - NAT 3539'!$A$43:$C$69,3,1)),0)
*2,
0),
IF(AND($E$2="Monthly",ROUND($AN460-TRUNC($AN460),2)=0.33),
ROUND(
ROUND(((TRUNC(($AN460+0.01)*3/13,0)+0.99)*VLOOKUP((TRUNC(($AN460+0.01)*3/13,0)+0.99),'Tax scales - NAT 3539'!$A$43:$C$69,2,1)-VLOOKUP((TRUNC(($AN460+0.01)*3/13,0)+0.99),'Tax scales - NAT 3539'!$A$43:$C$69,3,1)),0)
*13/3,
0),
IF($E$2="Monthly",
ROUND(
ROUND(((TRUNC($AN460*3/13,0)+0.99)*VLOOKUP((TRUNC($AN460*3/13,0)+0.99),'Tax scales - NAT 3539'!$A$43:$C$69,2,1)-VLOOKUP((TRUNC($AN460*3/13,0)+0.99),'Tax scales - NAT 3539'!$A$43:$C$69,3,1)),0)
*13/3,
0),
""))),
""),
"")</f>
        <v/>
      </c>
      <c r="AW460" s="118" t="str">
        <f>IFERROR(
IF(VLOOKUP($C460,'Employee information'!$B:$M,COLUMNS('Employee information'!$B:$M),0)=33,
IF($E$2="Fortnightly",
ROUND(
ROUND((((TRUNC($AN460/2,0)+0.99))*VLOOKUP((TRUNC($AN460/2,0)+0.99),'Tax scales - NAT 3539'!$A$74:$C$94,2,1)-VLOOKUP((TRUNC($AN460/2,0)+0.99),'Tax scales - NAT 3539'!$A$74:$C$94,3,1)),0)
*2,
0),
IF(AND($E$2="Monthly",ROUND($AN460-TRUNC($AN460),2)=0.33),
ROUND(
ROUND(((TRUNC(($AN460+0.01)*3/13,0)+0.99)*VLOOKUP((TRUNC(($AN460+0.01)*3/13,0)+0.99),'Tax scales - NAT 3539'!$A$74:$C$94,2,1)-VLOOKUP((TRUNC(($AN460+0.01)*3/13,0)+0.99),'Tax scales - NAT 3539'!$A$74:$C$94,3,1)),0)
*13/3,
0),
IF($E$2="Monthly",
ROUND(
ROUND(((TRUNC($AN460*3/13,0)+0.99)*VLOOKUP((TRUNC($AN460*3/13,0)+0.99),'Tax scales - NAT 3539'!$A$74:$C$94,2,1)-VLOOKUP((TRUNC($AN460*3/13,0)+0.99),'Tax scales - NAT 3539'!$A$74:$C$94,3,1)),0)
*13/3,
0),
""))),
""),
"")</f>
        <v/>
      </c>
      <c r="AX460" s="118" t="str">
        <f>IFERROR(
IF(VLOOKUP($C460,'Employee information'!$B:$M,COLUMNS('Employee information'!$B:$M),0)=55,
IF($E$2="Fortnightly",
ROUND(
ROUND((((TRUNC($AN460/2,0)+0.99))*VLOOKUP((TRUNC($AN460/2,0)+0.99),'Tax scales - NAT 3539'!$A$99:$C$123,2,1)-VLOOKUP((TRUNC($AN460/2,0)+0.99),'Tax scales - NAT 3539'!$A$99:$C$123,3,1)),0)
*2,
0),
IF(AND($E$2="Monthly",ROUND($AN460-TRUNC($AN460),2)=0.33),
ROUND(
ROUND(((TRUNC(($AN460+0.01)*3/13,0)+0.99)*VLOOKUP((TRUNC(($AN460+0.01)*3/13,0)+0.99),'Tax scales - NAT 3539'!$A$99:$C$123,2,1)-VLOOKUP((TRUNC(($AN460+0.01)*3/13,0)+0.99),'Tax scales - NAT 3539'!$A$99:$C$123,3,1)),0)
*13/3,
0),
IF($E$2="Monthly",
ROUND(
ROUND(((TRUNC($AN460*3/13,0)+0.99)*VLOOKUP((TRUNC($AN460*3/13,0)+0.99),'Tax scales - NAT 3539'!$A$99:$C$123,2,1)-VLOOKUP((TRUNC($AN460*3/13,0)+0.99),'Tax scales - NAT 3539'!$A$99:$C$123,3,1)),0)
*13/3,
0),
""))),
""),
"")</f>
        <v/>
      </c>
      <c r="AY460" s="118" t="str">
        <f>IFERROR(
IF(VLOOKUP($C460,'Employee information'!$B:$M,COLUMNS('Employee information'!$B:$M),0)=66,
IF($E$2="Fortnightly",
ROUND(
ROUND((((TRUNC($AN460/2,0)+0.99))*VLOOKUP((TRUNC($AN460/2,0)+0.99),'Tax scales - NAT 3539'!$A$127:$C$154,2,1)-VLOOKUP((TRUNC($AN460/2,0)+0.99),'Tax scales - NAT 3539'!$A$127:$C$154,3,1)),0)
*2,
0),
IF(AND($E$2="Monthly",ROUND($AN460-TRUNC($AN460),2)=0.33),
ROUND(
ROUND(((TRUNC(($AN460+0.01)*3/13,0)+0.99)*VLOOKUP((TRUNC(($AN460+0.01)*3/13,0)+0.99),'Tax scales - NAT 3539'!$A$127:$C$154,2,1)-VLOOKUP((TRUNC(($AN460+0.01)*3/13,0)+0.99),'Tax scales - NAT 3539'!$A$127:$C$154,3,1)),0)
*13/3,
0),
IF($E$2="Monthly",
ROUND(
ROUND(((TRUNC($AN460*3/13,0)+0.99)*VLOOKUP((TRUNC($AN460*3/13,0)+0.99),'Tax scales - NAT 3539'!$A$127:$C$154,2,1)-VLOOKUP((TRUNC($AN460*3/13,0)+0.99),'Tax scales - NAT 3539'!$A$127:$C$154,3,1)),0)
*13/3,
0),
""))),
""),
"")</f>
        <v/>
      </c>
      <c r="AZ460" s="118">
        <f>IFERROR(
HLOOKUP(VLOOKUP($C460,'Employee information'!$B:$M,COLUMNS('Employee information'!$B:$M),0),'PAYG worksheet'!$AO$445:$AY$464,COUNTA($C$446:$C460)+1,0),
0)</f>
        <v>0</v>
      </c>
      <c r="BA460" s="118"/>
      <c r="BB460" s="118">
        <f t="shared" si="480"/>
        <v>0</v>
      </c>
      <c r="BC460" s="119">
        <f>IFERROR(
IF(OR($AE460=1,$AE460=""),SUM($P460,$AA460,$AC460,$AK460)*VLOOKUP($C460,'Employee information'!$B:$Q,COLUMNS('Employee information'!$B:$H),0),
IF($AE460=0,SUM($P460,$AA460,$AK460)*VLOOKUP($C460,'Employee information'!$B:$Q,COLUMNS('Employee information'!$B:$H),0),
0)),
0)</f>
        <v>0</v>
      </c>
      <c r="BE460" s="114">
        <f t="shared" si="465"/>
        <v>0</v>
      </c>
      <c r="BF460" s="114">
        <f t="shared" si="466"/>
        <v>0</v>
      </c>
      <c r="BG460" s="114">
        <f t="shared" si="467"/>
        <v>0</v>
      </c>
      <c r="BH460" s="114">
        <f t="shared" si="468"/>
        <v>0</v>
      </c>
      <c r="BI460" s="114">
        <f t="shared" si="469"/>
        <v>0</v>
      </c>
      <c r="BJ460" s="114">
        <f t="shared" si="470"/>
        <v>0</v>
      </c>
      <c r="BK460" s="114">
        <f t="shared" si="471"/>
        <v>0</v>
      </c>
      <c r="BL460" s="114">
        <f t="shared" si="481"/>
        <v>0</v>
      </c>
      <c r="BM460" s="114">
        <f t="shared" si="472"/>
        <v>0</v>
      </c>
    </row>
    <row r="461" spans="1:65" x14ac:dyDescent="0.25">
      <c r="A461" s="228">
        <f t="shared" si="460"/>
        <v>16</v>
      </c>
      <c r="C461" s="278"/>
      <c r="E461" s="103">
        <f>IF($C461="",0,
IF(AND($E$2="Monthly",$A461&gt;12),0,
IF($E$2="Monthly",VLOOKUP($C461,'Employee information'!$B:$AM,COLUMNS('Employee information'!$B:S),0),
IF($E$2="Fortnightly",VLOOKUP($C461,'Employee information'!$B:$AM,COLUMNS('Employee information'!$B:R),0),
0))))</f>
        <v>0</v>
      </c>
      <c r="F461" s="106"/>
      <c r="G461" s="106"/>
      <c r="H461" s="106"/>
      <c r="I461" s="106"/>
      <c r="J461" s="103">
        <f t="shared" si="473"/>
        <v>0</v>
      </c>
      <c r="L461" s="113">
        <f>IF(AND($E$2="Monthly",$A461&gt;12),"",
IFERROR($J461*VLOOKUP($C461,'Employee information'!$B:$AI,COLUMNS('Employee information'!$B:$P),0),0))</f>
        <v>0</v>
      </c>
      <c r="M461" s="114">
        <f t="shared" si="474"/>
        <v>0</v>
      </c>
      <c r="O461" s="103">
        <f t="shared" si="475"/>
        <v>0</v>
      </c>
      <c r="P461" s="113">
        <f>IFERROR(
IF(AND($E$2="Monthly",$A461&gt;12),0,
$O461*VLOOKUP($C461,'Employee information'!$B:$AI,COLUMNS('Employee information'!$B:$P),0)),
0)</f>
        <v>0</v>
      </c>
      <c r="R461" s="114">
        <f t="shared" si="461"/>
        <v>0</v>
      </c>
      <c r="T461" s="103"/>
      <c r="U461" s="103"/>
      <c r="V461" s="282" t="str">
        <f>IF($C461="","",
IF(AND($E$2="Monthly",$A461&gt;12),"",
$T461*VLOOKUP($C461,'Employee information'!$B:$P,COLUMNS('Employee information'!$B:$P),0)))</f>
        <v/>
      </c>
      <c r="W461" s="282" t="str">
        <f>IF($C461="","",
IF(AND($E$2="Monthly",$A461&gt;12),"",
$U461*VLOOKUP($C461,'Employee information'!$B:$P,COLUMNS('Employee information'!$B:$P),0)))</f>
        <v/>
      </c>
      <c r="X461" s="114">
        <f t="shared" si="462"/>
        <v>0</v>
      </c>
      <c r="Y461" s="114">
        <f t="shared" si="463"/>
        <v>0</v>
      </c>
      <c r="AA461" s="118">
        <f>IFERROR(
IF(OR('Basic payroll data'!$D$12="",'Basic payroll data'!$D$12="No"),0,
$T461*VLOOKUP($C461,'Employee information'!$B:$P,COLUMNS('Employee information'!$B:$P),0)*AL_loading_perc),
0)</f>
        <v>0</v>
      </c>
      <c r="AC461" s="118"/>
      <c r="AD461" s="118"/>
      <c r="AE461" s="283" t="str">
        <f t="shared" si="476"/>
        <v/>
      </c>
      <c r="AF461" s="283" t="str">
        <f t="shared" si="477"/>
        <v/>
      </c>
      <c r="AG461" s="118"/>
      <c r="AH461" s="118"/>
      <c r="AI461" s="283" t="str">
        <f t="shared" si="478"/>
        <v/>
      </c>
      <c r="AJ461" s="118"/>
      <c r="AK461" s="118"/>
      <c r="AM461" s="118">
        <f t="shared" si="479"/>
        <v>0</v>
      </c>
      <c r="AN461" s="118">
        <f t="shared" si="464"/>
        <v>0</v>
      </c>
      <c r="AO461" s="118" t="str">
        <f>IFERROR(
IF(VLOOKUP($C461,'Employee information'!$B:$M,COLUMNS('Employee information'!$B:$M),0)=1,
IF($E$2="Fortnightly",
ROUND(
ROUND((((TRUNC($AN461/2,0)+0.99))*VLOOKUP((TRUNC($AN461/2,0)+0.99),'Tax scales - NAT 1004'!$A$12:$C$18,2,1)-VLOOKUP((TRUNC($AN461/2,0)+0.99),'Tax scales - NAT 1004'!$A$12:$C$18,3,1)),0)
*2,
0),
IF(AND($E$2="Monthly",ROUND($AN461-TRUNC($AN461),2)=0.33),
ROUND(
ROUND(((TRUNC(($AN461+0.01)*3/13,0)+0.99)*VLOOKUP((TRUNC(($AN461+0.01)*3/13,0)+0.99),'Tax scales - NAT 1004'!$A$12:$C$18,2,1)-VLOOKUP((TRUNC(($AN461+0.01)*3/13,0)+0.99),'Tax scales - NAT 1004'!$A$12:$C$18,3,1)),0)
*13/3,
0),
IF($E$2="Monthly",
ROUND(
ROUND(((TRUNC($AN461*3/13,0)+0.99)*VLOOKUP((TRUNC($AN461*3/13,0)+0.99),'Tax scales - NAT 1004'!$A$12:$C$18,2,1)-VLOOKUP((TRUNC($AN461*3/13,0)+0.99),'Tax scales - NAT 1004'!$A$12:$C$18,3,1)),0)
*13/3,
0),
""))),
""),
"")</f>
        <v/>
      </c>
      <c r="AP461" s="118" t="str">
        <f>IFERROR(
IF(VLOOKUP($C461,'Employee information'!$B:$M,COLUMNS('Employee information'!$B:$M),0)=2,
IF($E$2="Fortnightly",
ROUND(
ROUND((((TRUNC($AN461/2,0)+0.99))*VLOOKUP((TRUNC($AN461/2,0)+0.99),'Tax scales - NAT 1004'!$A$25:$C$33,2,1)-VLOOKUP((TRUNC($AN461/2,0)+0.99),'Tax scales - NAT 1004'!$A$25:$C$33,3,1)),0)
*2,
0),
IF(AND($E$2="Monthly",ROUND($AN461-TRUNC($AN461),2)=0.33),
ROUND(
ROUND(((TRUNC(($AN461+0.01)*3/13,0)+0.99)*VLOOKUP((TRUNC(($AN461+0.01)*3/13,0)+0.99),'Tax scales - NAT 1004'!$A$25:$C$33,2,1)-VLOOKUP((TRUNC(($AN461+0.01)*3/13,0)+0.99),'Tax scales - NAT 1004'!$A$25:$C$33,3,1)),0)
*13/3,
0),
IF($E$2="Monthly",
ROUND(
ROUND(((TRUNC($AN461*3/13,0)+0.99)*VLOOKUP((TRUNC($AN461*3/13,0)+0.99),'Tax scales - NAT 1004'!$A$25:$C$33,2,1)-VLOOKUP((TRUNC($AN461*3/13,0)+0.99),'Tax scales - NAT 1004'!$A$25:$C$33,3,1)),0)
*13/3,
0),
""))),
""),
"")</f>
        <v/>
      </c>
      <c r="AQ461" s="118" t="str">
        <f>IFERROR(
IF(VLOOKUP($C461,'Employee information'!$B:$M,COLUMNS('Employee information'!$B:$M),0)=3,
IF($E$2="Fortnightly",
ROUND(
ROUND((((TRUNC($AN461/2,0)+0.99))*VLOOKUP((TRUNC($AN461/2,0)+0.99),'Tax scales - NAT 1004'!$A$39:$C$41,2,1)-VLOOKUP((TRUNC($AN461/2,0)+0.99),'Tax scales - NAT 1004'!$A$39:$C$41,3,1)),0)
*2,
0),
IF(AND($E$2="Monthly",ROUND($AN461-TRUNC($AN461),2)=0.33),
ROUND(
ROUND(((TRUNC(($AN461+0.01)*3/13,0)+0.99)*VLOOKUP((TRUNC(($AN461+0.01)*3/13,0)+0.99),'Tax scales - NAT 1004'!$A$39:$C$41,2,1)-VLOOKUP((TRUNC(($AN461+0.01)*3/13,0)+0.99),'Tax scales - NAT 1004'!$A$39:$C$41,3,1)),0)
*13/3,
0),
IF($E$2="Monthly",
ROUND(
ROUND(((TRUNC($AN461*3/13,0)+0.99)*VLOOKUP((TRUNC($AN461*3/13,0)+0.99),'Tax scales - NAT 1004'!$A$39:$C$41,2,1)-VLOOKUP((TRUNC($AN461*3/13,0)+0.99),'Tax scales - NAT 1004'!$A$39:$C$41,3,1)),0)
*13/3,
0),
""))),
""),
"")</f>
        <v/>
      </c>
      <c r="AR461" s="118" t="str">
        <f>IFERROR(
IF(AND(VLOOKUP($C461,'Employee information'!$B:$M,COLUMNS('Employee information'!$B:$M),0)=4,
VLOOKUP($C461,'Employee information'!$B:$J,COLUMNS('Employee information'!$B:$J),0)="Resident"),
TRUNC(TRUNC($AN461)*'Tax scales - NAT 1004'!$B$47),
IF(AND(VLOOKUP($C461,'Employee information'!$B:$M,COLUMNS('Employee information'!$B:$M),0)=4,
VLOOKUP($C461,'Employee information'!$B:$J,COLUMNS('Employee information'!$B:$J),0)="Foreign resident"),
TRUNC(TRUNC($AN461)*'Tax scales - NAT 1004'!$B$48),
"")),
"")</f>
        <v/>
      </c>
      <c r="AS461" s="118" t="str">
        <f>IFERROR(
IF(VLOOKUP($C461,'Employee information'!$B:$M,COLUMNS('Employee information'!$B:$M),0)=5,
IF($E$2="Fortnightly",
ROUND(
ROUND((((TRUNC($AN461/2,0)+0.99))*VLOOKUP((TRUNC($AN461/2,0)+0.99),'Tax scales - NAT 1004'!$A$53:$C$59,2,1)-VLOOKUP((TRUNC($AN461/2,0)+0.99),'Tax scales - NAT 1004'!$A$53:$C$59,3,1)),0)
*2,
0),
IF(AND($E$2="Monthly",ROUND($AN461-TRUNC($AN461),2)=0.33),
ROUND(
ROUND(((TRUNC(($AN461+0.01)*3/13,0)+0.99)*VLOOKUP((TRUNC(($AN461+0.01)*3/13,0)+0.99),'Tax scales - NAT 1004'!$A$53:$C$59,2,1)-VLOOKUP((TRUNC(($AN461+0.01)*3/13,0)+0.99),'Tax scales - NAT 1004'!$A$53:$C$59,3,1)),0)
*13/3,
0),
IF($E$2="Monthly",
ROUND(
ROUND(((TRUNC($AN461*3/13,0)+0.99)*VLOOKUP((TRUNC($AN461*3/13,0)+0.99),'Tax scales - NAT 1004'!$A$53:$C$59,2,1)-VLOOKUP((TRUNC($AN461*3/13,0)+0.99),'Tax scales - NAT 1004'!$A$53:$C$59,3,1)),0)
*13/3,
0),
""))),
""),
"")</f>
        <v/>
      </c>
      <c r="AT461" s="118" t="str">
        <f>IFERROR(
IF(VLOOKUP($C461,'Employee information'!$B:$M,COLUMNS('Employee information'!$B:$M),0)=6,
IF($E$2="Fortnightly",
ROUND(
ROUND((((TRUNC($AN461/2,0)+0.99))*VLOOKUP((TRUNC($AN461/2,0)+0.99),'Tax scales - NAT 1004'!$A$65:$C$73,2,1)-VLOOKUP((TRUNC($AN461/2,0)+0.99),'Tax scales - NAT 1004'!$A$65:$C$73,3,1)),0)
*2,
0),
IF(AND($E$2="Monthly",ROUND($AN461-TRUNC($AN461),2)=0.33),
ROUND(
ROUND(((TRUNC(($AN461+0.01)*3/13,0)+0.99)*VLOOKUP((TRUNC(($AN461+0.01)*3/13,0)+0.99),'Tax scales - NAT 1004'!$A$65:$C$73,2,1)-VLOOKUP((TRUNC(($AN461+0.01)*3/13,0)+0.99),'Tax scales - NAT 1004'!$A$65:$C$73,3,1)),0)
*13/3,
0),
IF($E$2="Monthly",
ROUND(
ROUND(((TRUNC($AN461*3/13,0)+0.99)*VLOOKUP((TRUNC($AN461*3/13,0)+0.99),'Tax scales - NAT 1004'!$A$65:$C$73,2,1)-VLOOKUP((TRUNC($AN461*3/13,0)+0.99),'Tax scales - NAT 1004'!$A$65:$C$73,3,1)),0)
*13/3,
0),
""))),
""),
"")</f>
        <v/>
      </c>
      <c r="AU461" s="118" t="str">
        <f>IFERROR(
IF(VLOOKUP($C461,'Employee information'!$B:$M,COLUMNS('Employee information'!$B:$M),0)=11,
IF($E$2="Fortnightly",
ROUND(
ROUND((((TRUNC($AN461/2,0)+0.99))*VLOOKUP((TRUNC($AN461/2,0)+0.99),'Tax scales - NAT 3539'!$A$14:$C$38,2,1)-VLOOKUP((TRUNC($AN461/2,0)+0.99),'Tax scales - NAT 3539'!$A$14:$C$38,3,1)),0)
*2,
0),
IF(AND($E$2="Monthly",ROUND($AN461-TRUNC($AN461),2)=0.33),
ROUND(
ROUND(((TRUNC(($AN461+0.01)*3/13,0)+0.99)*VLOOKUP((TRUNC(($AN461+0.01)*3/13,0)+0.99),'Tax scales - NAT 3539'!$A$14:$C$38,2,1)-VLOOKUP((TRUNC(($AN461+0.01)*3/13,0)+0.99),'Tax scales - NAT 3539'!$A$14:$C$38,3,1)),0)
*13/3,
0),
IF($E$2="Monthly",
ROUND(
ROUND(((TRUNC($AN461*3/13,0)+0.99)*VLOOKUP((TRUNC($AN461*3/13,0)+0.99),'Tax scales - NAT 3539'!$A$14:$C$38,2,1)-VLOOKUP((TRUNC($AN461*3/13,0)+0.99),'Tax scales - NAT 3539'!$A$14:$C$38,3,1)),0)
*13/3,
0),
""))),
""),
"")</f>
        <v/>
      </c>
      <c r="AV461" s="118" t="str">
        <f>IFERROR(
IF(VLOOKUP($C461,'Employee information'!$B:$M,COLUMNS('Employee information'!$B:$M),0)=22,
IF($E$2="Fortnightly",
ROUND(
ROUND((((TRUNC($AN461/2,0)+0.99))*VLOOKUP((TRUNC($AN461/2,0)+0.99),'Tax scales - NAT 3539'!$A$43:$C$69,2,1)-VLOOKUP((TRUNC($AN461/2,0)+0.99),'Tax scales - NAT 3539'!$A$43:$C$69,3,1)),0)
*2,
0),
IF(AND($E$2="Monthly",ROUND($AN461-TRUNC($AN461),2)=0.33),
ROUND(
ROUND(((TRUNC(($AN461+0.01)*3/13,0)+0.99)*VLOOKUP((TRUNC(($AN461+0.01)*3/13,0)+0.99),'Tax scales - NAT 3539'!$A$43:$C$69,2,1)-VLOOKUP((TRUNC(($AN461+0.01)*3/13,0)+0.99),'Tax scales - NAT 3539'!$A$43:$C$69,3,1)),0)
*13/3,
0),
IF($E$2="Monthly",
ROUND(
ROUND(((TRUNC($AN461*3/13,0)+0.99)*VLOOKUP((TRUNC($AN461*3/13,0)+0.99),'Tax scales - NAT 3539'!$A$43:$C$69,2,1)-VLOOKUP((TRUNC($AN461*3/13,0)+0.99),'Tax scales - NAT 3539'!$A$43:$C$69,3,1)),0)
*13/3,
0),
""))),
""),
"")</f>
        <v/>
      </c>
      <c r="AW461" s="118" t="str">
        <f>IFERROR(
IF(VLOOKUP($C461,'Employee information'!$B:$M,COLUMNS('Employee information'!$B:$M),0)=33,
IF($E$2="Fortnightly",
ROUND(
ROUND((((TRUNC($AN461/2,0)+0.99))*VLOOKUP((TRUNC($AN461/2,0)+0.99),'Tax scales - NAT 3539'!$A$74:$C$94,2,1)-VLOOKUP((TRUNC($AN461/2,0)+0.99),'Tax scales - NAT 3539'!$A$74:$C$94,3,1)),0)
*2,
0),
IF(AND($E$2="Monthly",ROUND($AN461-TRUNC($AN461),2)=0.33),
ROUND(
ROUND(((TRUNC(($AN461+0.01)*3/13,0)+0.99)*VLOOKUP((TRUNC(($AN461+0.01)*3/13,0)+0.99),'Tax scales - NAT 3539'!$A$74:$C$94,2,1)-VLOOKUP((TRUNC(($AN461+0.01)*3/13,0)+0.99),'Tax scales - NAT 3539'!$A$74:$C$94,3,1)),0)
*13/3,
0),
IF($E$2="Monthly",
ROUND(
ROUND(((TRUNC($AN461*3/13,0)+0.99)*VLOOKUP((TRUNC($AN461*3/13,0)+0.99),'Tax scales - NAT 3539'!$A$74:$C$94,2,1)-VLOOKUP((TRUNC($AN461*3/13,0)+0.99),'Tax scales - NAT 3539'!$A$74:$C$94,3,1)),0)
*13/3,
0),
""))),
""),
"")</f>
        <v/>
      </c>
      <c r="AX461" s="118" t="str">
        <f>IFERROR(
IF(VLOOKUP($C461,'Employee information'!$B:$M,COLUMNS('Employee information'!$B:$M),0)=55,
IF($E$2="Fortnightly",
ROUND(
ROUND((((TRUNC($AN461/2,0)+0.99))*VLOOKUP((TRUNC($AN461/2,0)+0.99),'Tax scales - NAT 3539'!$A$99:$C$123,2,1)-VLOOKUP((TRUNC($AN461/2,0)+0.99),'Tax scales - NAT 3539'!$A$99:$C$123,3,1)),0)
*2,
0),
IF(AND($E$2="Monthly",ROUND($AN461-TRUNC($AN461),2)=0.33),
ROUND(
ROUND(((TRUNC(($AN461+0.01)*3/13,0)+0.99)*VLOOKUP((TRUNC(($AN461+0.01)*3/13,0)+0.99),'Tax scales - NAT 3539'!$A$99:$C$123,2,1)-VLOOKUP((TRUNC(($AN461+0.01)*3/13,0)+0.99),'Tax scales - NAT 3539'!$A$99:$C$123,3,1)),0)
*13/3,
0),
IF($E$2="Monthly",
ROUND(
ROUND(((TRUNC($AN461*3/13,0)+0.99)*VLOOKUP((TRUNC($AN461*3/13,0)+0.99),'Tax scales - NAT 3539'!$A$99:$C$123,2,1)-VLOOKUP((TRUNC($AN461*3/13,0)+0.99),'Tax scales - NAT 3539'!$A$99:$C$123,3,1)),0)
*13/3,
0),
""))),
""),
"")</f>
        <v/>
      </c>
      <c r="AY461" s="118" t="str">
        <f>IFERROR(
IF(VLOOKUP($C461,'Employee information'!$B:$M,COLUMNS('Employee information'!$B:$M),0)=66,
IF($E$2="Fortnightly",
ROUND(
ROUND((((TRUNC($AN461/2,0)+0.99))*VLOOKUP((TRUNC($AN461/2,0)+0.99),'Tax scales - NAT 3539'!$A$127:$C$154,2,1)-VLOOKUP((TRUNC($AN461/2,0)+0.99),'Tax scales - NAT 3539'!$A$127:$C$154,3,1)),0)
*2,
0),
IF(AND($E$2="Monthly",ROUND($AN461-TRUNC($AN461),2)=0.33),
ROUND(
ROUND(((TRUNC(($AN461+0.01)*3/13,0)+0.99)*VLOOKUP((TRUNC(($AN461+0.01)*3/13,0)+0.99),'Tax scales - NAT 3539'!$A$127:$C$154,2,1)-VLOOKUP((TRUNC(($AN461+0.01)*3/13,0)+0.99),'Tax scales - NAT 3539'!$A$127:$C$154,3,1)),0)
*13/3,
0),
IF($E$2="Monthly",
ROUND(
ROUND(((TRUNC($AN461*3/13,0)+0.99)*VLOOKUP((TRUNC($AN461*3/13,0)+0.99),'Tax scales - NAT 3539'!$A$127:$C$154,2,1)-VLOOKUP((TRUNC($AN461*3/13,0)+0.99),'Tax scales - NAT 3539'!$A$127:$C$154,3,1)),0)
*13/3,
0),
""))),
""),
"")</f>
        <v/>
      </c>
      <c r="AZ461" s="118">
        <f>IFERROR(
HLOOKUP(VLOOKUP($C461,'Employee information'!$B:$M,COLUMNS('Employee information'!$B:$M),0),'PAYG worksheet'!$AO$445:$AY$464,COUNTA($C$446:$C461)+1,0),
0)</f>
        <v>0</v>
      </c>
      <c r="BA461" s="118"/>
      <c r="BB461" s="118">
        <f t="shared" si="480"/>
        <v>0</v>
      </c>
      <c r="BC461" s="119">
        <f>IFERROR(
IF(OR($AE461=1,$AE461=""),SUM($P461,$AA461,$AC461,$AK461)*VLOOKUP($C461,'Employee information'!$B:$Q,COLUMNS('Employee information'!$B:$H),0),
IF($AE461=0,SUM($P461,$AA461,$AK461)*VLOOKUP($C461,'Employee information'!$B:$Q,COLUMNS('Employee information'!$B:$H),0),
0)),
0)</f>
        <v>0</v>
      </c>
      <c r="BE461" s="114">
        <f t="shared" si="465"/>
        <v>0</v>
      </c>
      <c r="BF461" s="114">
        <f t="shared" si="466"/>
        <v>0</v>
      </c>
      <c r="BG461" s="114">
        <f t="shared" si="467"/>
        <v>0</v>
      </c>
      <c r="BH461" s="114">
        <f t="shared" si="468"/>
        <v>0</v>
      </c>
      <c r="BI461" s="114">
        <f t="shared" si="469"/>
        <v>0</v>
      </c>
      <c r="BJ461" s="114">
        <f t="shared" si="470"/>
        <v>0</v>
      </c>
      <c r="BK461" s="114">
        <f t="shared" si="471"/>
        <v>0</v>
      </c>
      <c r="BL461" s="114">
        <f t="shared" si="481"/>
        <v>0</v>
      </c>
      <c r="BM461" s="114">
        <f t="shared" si="472"/>
        <v>0</v>
      </c>
    </row>
    <row r="462" spans="1:65" x14ac:dyDescent="0.25">
      <c r="A462" s="228">
        <f t="shared" si="460"/>
        <v>16</v>
      </c>
      <c r="C462" s="278"/>
      <c r="E462" s="103">
        <f>IF($C462="",0,
IF(AND($E$2="Monthly",$A462&gt;12),0,
IF($E$2="Monthly",VLOOKUP($C462,'Employee information'!$B:$AM,COLUMNS('Employee information'!$B:S),0),
IF($E$2="Fortnightly",VLOOKUP($C462,'Employee information'!$B:$AM,COLUMNS('Employee information'!$B:R),0),
0))))</f>
        <v>0</v>
      </c>
      <c r="F462" s="106"/>
      <c r="G462" s="106"/>
      <c r="H462" s="106"/>
      <c r="I462" s="106"/>
      <c r="J462" s="103">
        <f t="shared" si="473"/>
        <v>0</v>
      </c>
      <c r="L462" s="113">
        <f>IF(AND($E$2="Monthly",$A462&gt;12),"",
IFERROR($J462*VLOOKUP($C462,'Employee information'!$B:$AI,COLUMNS('Employee information'!$B:$P),0),0))</f>
        <v>0</v>
      </c>
      <c r="M462" s="114">
        <f t="shared" si="474"/>
        <v>0</v>
      </c>
      <c r="O462" s="103">
        <f t="shared" si="475"/>
        <v>0</v>
      </c>
      <c r="P462" s="113">
        <f>IFERROR(
IF(AND($E$2="Monthly",$A462&gt;12),0,
$O462*VLOOKUP($C462,'Employee information'!$B:$AI,COLUMNS('Employee information'!$B:$P),0)),
0)</f>
        <v>0</v>
      </c>
      <c r="R462" s="114">
        <f t="shared" si="461"/>
        <v>0</v>
      </c>
      <c r="T462" s="103"/>
      <c r="U462" s="103"/>
      <c r="V462" s="282" t="str">
        <f>IF($C462="","",
IF(AND($E$2="Monthly",$A462&gt;12),"",
$T462*VLOOKUP($C462,'Employee information'!$B:$P,COLUMNS('Employee information'!$B:$P),0)))</f>
        <v/>
      </c>
      <c r="W462" s="282" t="str">
        <f>IF($C462="","",
IF(AND($E$2="Monthly",$A462&gt;12),"",
$U462*VLOOKUP($C462,'Employee information'!$B:$P,COLUMNS('Employee information'!$B:$P),0)))</f>
        <v/>
      </c>
      <c r="X462" s="114">
        <f t="shared" si="462"/>
        <v>0</v>
      </c>
      <c r="Y462" s="114">
        <f t="shared" si="463"/>
        <v>0</v>
      </c>
      <c r="AA462" s="118">
        <f>IFERROR(
IF(OR('Basic payroll data'!$D$12="",'Basic payroll data'!$D$12="No"),0,
$T462*VLOOKUP($C462,'Employee information'!$B:$P,COLUMNS('Employee information'!$B:$P),0)*AL_loading_perc),
0)</f>
        <v>0</v>
      </c>
      <c r="AC462" s="118"/>
      <c r="AD462" s="118"/>
      <c r="AE462" s="283" t="str">
        <f t="shared" si="476"/>
        <v/>
      </c>
      <c r="AF462" s="283" t="str">
        <f t="shared" si="477"/>
        <v/>
      </c>
      <c r="AG462" s="118"/>
      <c r="AH462" s="118"/>
      <c r="AI462" s="283" t="str">
        <f t="shared" si="478"/>
        <v/>
      </c>
      <c r="AJ462" s="118"/>
      <c r="AK462" s="118"/>
      <c r="AM462" s="118">
        <f t="shared" si="479"/>
        <v>0</v>
      </c>
      <c r="AN462" s="118">
        <f t="shared" si="464"/>
        <v>0</v>
      </c>
      <c r="AO462" s="118" t="str">
        <f>IFERROR(
IF(VLOOKUP($C462,'Employee information'!$B:$M,COLUMNS('Employee information'!$B:$M),0)=1,
IF($E$2="Fortnightly",
ROUND(
ROUND((((TRUNC($AN462/2,0)+0.99))*VLOOKUP((TRUNC($AN462/2,0)+0.99),'Tax scales - NAT 1004'!$A$12:$C$18,2,1)-VLOOKUP((TRUNC($AN462/2,0)+0.99),'Tax scales - NAT 1004'!$A$12:$C$18,3,1)),0)
*2,
0),
IF(AND($E$2="Monthly",ROUND($AN462-TRUNC($AN462),2)=0.33),
ROUND(
ROUND(((TRUNC(($AN462+0.01)*3/13,0)+0.99)*VLOOKUP((TRUNC(($AN462+0.01)*3/13,0)+0.99),'Tax scales - NAT 1004'!$A$12:$C$18,2,1)-VLOOKUP((TRUNC(($AN462+0.01)*3/13,0)+0.99),'Tax scales - NAT 1004'!$A$12:$C$18,3,1)),0)
*13/3,
0),
IF($E$2="Monthly",
ROUND(
ROUND(((TRUNC($AN462*3/13,0)+0.99)*VLOOKUP((TRUNC($AN462*3/13,0)+0.99),'Tax scales - NAT 1004'!$A$12:$C$18,2,1)-VLOOKUP((TRUNC($AN462*3/13,0)+0.99),'Tax scales - NAT 1004'!$A$12:$C$18,3,1)),0)
*13/3,
0),
""))),
""),
"")</f>
        <v/>
      </c>
      <c r="AP462" s="118" t="str">
        <f>IFERROR(
IF(VLOOKUP($C462,'Employee information'!$B:$M,COLUMNS('Employee information'!$B:$M),0)=2,
IF($E$2="Fortnightly",
ROUND(
ROUND((((TRUNC($AN462/2,0)+0.99))*VLOOKUP((TRUNC($AN462/2,0)+0.99),'Tax scales - NAT 1004'!$A$25:$C$33,2,1)-VLOOKUP((TRUNC($AN462/2,0)+0.99),'Tax scales - NAT 1004'!$A$25:$C$33,3,1)),0)
*2,
0),
IF(AND($E$2="Monthly",ROUND($AN462-TRUNC($AN462),2)=0.33),
ROUND(
ROUND(((TRUNC(($AN462+0.01)*3/13,0)+0.99)*VLOOKUP((TRUNC(($AN462+0.01)*3/13,0)+0.99),'Tax scales - NAT 1004'!$A$25:$C$33,2,1)-VLOOKUP((TRUNC(($AN462+0.01)*3/13,0)+0.99),'Tax scales - NAT 1004'!$A$25:$C$33,3,1)),0)
*13/3,
0),
IF($E$2="Monthly",
ROUND(
ROUND(((TRUNC($AN462*3/13,0)+0.99)*VLOOKUP((TRUNC($AN462*3/13,0)+0.99),'Tax scales - NAT 1004'!$A$25:$C$33,2,1)-VLOOKUP((TRUNC($AN462*3/13,0)+0.99),'Tax scales - NAT 1004'!$A$25:$C$33,3,1)),0)
*13/3,
0),
""))),
""),
"")</f>
        <v/>
      </c>
      <c r="AQ462" s="118" t="str">
        <f>IFERROR(
IF(VLOOKUP($C462,'Employee information'!$B:$M,COLUMNS('Employee information'!$B:$M),0)=3,
IF($E$2="Fortnightly",
ROUND(
ROUND((((TRUNC($AN462/2,0)+0.99))*VLOOKUP((TRUNC($AN462/2,0)+0.99),'Tax scales - NAT 1004'!$A$39:$C$41,2,1)-VLOOKUP((TRUNC($AN462/2,0)+0.99),'Tax scales - NAT 1004'!$A$39:$C$41,3,1)),0)
*2,
0),
IF(AND($E$2="Monthly",ROUND($AN462-TRUNC($AN462),2)=0.33),
ROUND(
ROUND(((TRUNC(($AN462+0.01)*3/13,0)+0.99)*VLOOKUP((TRUNC(($AN462+0.01)*3/13,0)+0.99),'Tax scales - NAT 1004'!$A$39:$C$41,2,1)-VLOOKUP((TRUNC(($AN462+0.01)*3/13,0)+0.99),'Tax scales - NAT 1004'!$A$39:$C$41,3,1)),0)
*13/3,
0),
IF($E$2="Monthly",
ROUND(
ROUND(((TRUNC($AN462*3/13,0)+0.99)*VLOOKUP((TRUNC($AN462*3/13,0)+0.99),'Tax scales - NAT 1004'!$A$39:$C$41,2,1)-VLOOKUP((TRUNC($AN462*3/13,0)+0.99),'Tax scales - NAT 1004'!$A$39:$C$41,3,1)),0)
*13/3,
0),
""))),
""),
"")</f>
        <v/>
      </c>
      <c r="AR462" s="118" t="str">
        <f>IFERROR(
IF(AND(VLOOKUP($C462,'Employee information'!$B:$M,COLUMNS('Employee information'!$B:$M),0)=4,
VLOOKUP($C462,'Employee information'!$B:$J,COLUMNS('Employee information'!$B:$J),0)="Resident"),
TRUNC(TRUNC($AN462)*'Tax scales - NAT 1004'!$B$47),
IF(AND(VLOOKUP($C462,'Employee information'!$B:$M,COLUMNS('Employee information'!$B:$M),0)=4,
VLOOKUP($C462,'Employee information'!$B:$J,COLUMNS('Employee information'!$B:$J),0)="Foreign resident"),
TRUNC(TRUNC($AN462)*'Tax scales - NAT 1004'!$B$48),
"")),
"")</f>
        <v/>
      </c>
      <c r="AS462" s="118" t="str">
        <f>IFERROR(
IF(VLOOKUP($C462,'Employee information'!$B:$M,COLUMNS('Employee information'!$B:$M),0)=5,
IF($E$2="Fortnightly",
ROUND(
ROUND((((TRUNC($AN462/2,0)+0.99))*VLOOKUP((TRUNC($AN462/2,0)+0.99),'Tax scales - NAT 1004'!$A$53:$C$59,2,1)-VLOOKUP((TRUNC($AN462/2,0)+0.99),'Tax scales - NAT 1004'!$A$53:$C$59,3,1)),0)
*2,
0),
IF(AND($E$2="Monthly",ROUND($AN462-TRUNC($AN462),2)=0.33),
ROUND(
ROUND(((TRUNC(($AN462+0.01)*3/13,0)+0.99)*VLOOKUP((TRUNC(($AN462+0.01)*3/13,0)+0.99),'Tax scales - NAT 1004'!$A$53:$C$59,2,1)-VLOOKUP((TRUNC(($AN462+0.01)*3/13,0)+0.99),'Tax scales - NAT 1004'!$A$53:$C$59,3,1)),0)
*13/3,
0),
IF($E$2="Monthly",
ROUND(
ROUND(((TRUNC($AN462*3/13,0)+0.99)*VLOOKUP((TRUNC($AN462*3/13,0)+0.99),'Tax scales - NAT 1004'!$A$53:$C$59,2,1)-VLOOKUP((TRUNC($AN462*3/13,0)+0.99),'Tax scales - NAT 1004'!$A$53:$C$59,3,1)),0)
*13/3,
0),
""))),
""),
"")</f>
        <v/>
      </c>
      <c r="AT462" s="118" t="str">
        <f>IFERROR(
IF(VLOOKUP($C462,'Employee information'!$B:$M,COLUMNS('Employee information'!$B:$M),0)=6,
IF($E$2="Fortnightly",
ROUND(
ROUND((((TRUNC($AN462/2,0)+0.99))*VLOOKUP((TRUNC($AN462/2,0)+0.99),'Tax scales - NAT 1004'!$A$65:$C$73,2,1)-VLOOKUP((TRUNC($AN462/2,0)+0.99),'Tax scales - NAT 1004'!$A$65:$C$73,3,1)),0)
*2,
0),
IF(AND($E$2="Monthly",ROUND($AN462-TRUNC($AN462),2)=0.33),
ROUND(
ROUND(((TRUNC(($AN462+0.01)*3/13,0)+0.99)*VLOOKUP((TRUNC(($AN462+0.01)*3/13,0)+0.99),'Tax scales - NAT 1004'!$A$65:$C$73,2,1)-VLOOKUP((TRUNC(($AN462+0.01)*3/13,0)+0.99),'Tax scales - NAT 1004'!$A$65:$C$73,3,1)),0)
*13/3,
0),
IF($E$2="Monthly",
ROUND(
ROUND(((TRUNC($AN462*3/13,0)+0.99)*VLOOKUP((TRUNC($AN462*3/13,0)+0.99),'Tax scales - NAT 1004'!$A$65:$C$73,2,1)-VLOOKUP((TRUNC($AN462*3/13,0)+0.99),'Tax scales - NAT 1004'!$A$65:$C$73,3,1)),0)
*13/3,
0),
""))),
""),
"")</f>
        <v/>
      </c>
      <c r="AU462" s="118" t="str">
        <f>IFERROR(
IF(VLOOKUP($C462,'Employee information'!$B:$M,COLUMNS('Employee information'!$B:$M),0)=11,
IF($E$2="Fortnightly",
ROUND(
ROUND((((TRUNC($AN462/2,0)+0.99))*VLOOKUP((TRUNC($AN462/2,0)+0.99),'Tax scales - NAT 3539'!$A$14:$C$38,2,1)-VLOOKUP((TRUNC($AN462/2,0)+0.99),'Tax scales - NAT 3539'!$A$14:$C$38,3,1)),0)
*2,
0),
IF(AND($E$2="Monthly",ROUND($AN462-TRUNC($AN462),2)=0.33),
ROUND(
ROUND(((TRUNC(($AN462+0.01)*3/13,0)+0.99)*VLOOKUP((TRUNC(($AN462+0.01)*3/13,0)+0.99),'Tax scales - NAT 3539'!$A$14:$C$38,2,1)-VLOOKUP((TRUNC(($AN462+0.01)*3/13,0)+0.99),'Tax scales - NAT 3539'!$A$14:$C$38,3,1)),0)
*13/3,
0),
IF($E$2="Monthly",
ROUND(
ROUND(((TRUNC($AN462*3/13,0)+0.99)*VLOOKUP((TRUNC($AN462*3/13,0)+0.99),'Tax scales - NAT 3539'!$A$14:$C$38,2,1)-VLOOKUP((TRUNC($AN462*3/13,0)+0.99),'Tax scales - NAT 3539'!$A$14:$C$38,3,1)),0)
*13/3,
0),
""))),
""),
"")</f>
        <v/>
      </c>
      <c r="AV462" s="118" t="str">
        <f>IFERROR(
IF(VLOOKUP($C462,'Employee information'!$B:$M,COLUMNS('Employee information'!$B:$M),0)=22,
IF($E$2="Fortnightly",
ROUND(
ROUND((((TRUNC($AN462/2,0)+0.99))*VLOOKUP((TRUNC($AN462/2,0)+0.99),'Tax scales - NAT 3539'!$A$43:$C$69,2,1)-VLOOKUP((TRUNC($AN462/2,0)+0.99),'Tax scales - NAT 3539'!$A$43:$C$69,3,1)),0)
*2,
0),
IF(AND($E$2="Monthly",ROUND($AN462-TRUNC($AN462),2)=0.33),
ROUND(
ROUND(((TRUNC(($AN462+0.01)*3/13,0)+0.99)*VLOOKUP((TRUNC(($AN462+0.01)*3/13,0)+0.99),'Tax scales - NAT 3539'!$A$43:$C$69,2,1)-VLOOKUP((TRUNC(($AN462+0.01)*3/13,0)+0.99),'Tax scales - NAT 3539'!$A$43:$C$69,3,1)),0)
*13/3,
0),
IF($E$2="Monthly",
ROUND(
ROUND(((TRUNC($AN462*3/13,0)+0.99)*VLOOKUP((TRUNC($AN462*3/13,0)+0.99),'Tax scales - NAT 3539'!$A$43:$C$69,2,1)-VLOOKUP((TRUNC($AN462*3/13,0)+0.99),'Tax scales - NAT 3539'!$A$43:$C$69,3,1)),0)
*13/3,
0),
""))),
""),
"")</f>
        <v/>
      </c>
      <c r="AW462" s="118" t="str">
        <f>IFERROR(
IF(VLOOKUP($C462,'Employee information'!$B:$M,COLUMNS('Employee information'!$B:$M),0)=33,
IF($E$2="Fortnightly",
ROUND(
ROUND((((TRUNC($AN462/2,0)+0.99))*VLOOKUP((TRUNC($AN462/2,0)+0.99),'Tax scales - NAT 3539'!$A$74:$C$94,2,1)-VLOOKUP((TRUNC($AN462/2,0)+0.99),'Tax scales - NAT 3539'!$A$74:$C$94,3,1)),0)
*2,
0),
IF(AND($E$2="Monthly",ROUND($AN462-TRUNC($AN462),2)=0.33),
ROUND(
ROUND(((TRUNC(($AN462+0.01)*3/13,0)+0.99)*VLOOKUP((TRUNC(($AN462+0.01)*3/13,0)+0.99),'Tax scales - NAT 3539'!$A$74:$C$94,2,1)-VLOOKUP((TRUNC(($AN462+0.01)*3/13,0)+0.99),'Tax scales - NAT 3539'!$A$74:$C$94,3,1)),0)
*13/3,
0),
IF($E$2="Monthly",
ROUND(
ROUND(((TRUNC($AN462*3/13,0)+0.99)*VLOOKUP((TRUNC($AN462*3/13,0)+0.99),'Tax scales - NAT 3539'!$A$74:$C$94,2,1)-VLOOKUP((TRUNC($AN462*3/13,0)+0.99),'Tax scales - NAT 3539'!$A$74:$C$94,3,1)),0)
*13/3,
0),
""))),
""),
"")</f>
        <v/>
      </c>
      <c r="AX462" s="118" t="str">
        <f>IFERROR(
IF(VLOOKUP($C462,'Employee information'!$B:$M,COLUMNS('Employee information'!$B:$M),0)=55,
IF($E$2="Fortnightly",
ROUND(
ROUND((((TRUNC($AN462/2,0)+0.99))*VLOOKUP((TRUNC($AN462/2,0)+0.99),'Tax scales - NAT 3539'!$A$99:$C$123,2,1)-VLOOKUP((TRUNC($AN462/2,0)+0.99),'Tax scales - NAT 3539'!$A$99:$C$123,3,1)),0)
*2,
0),
IF(AND($E$2="Monthly",ROUND($AN462-TRUNC($AN462),2)=0.33),
ROUND(
ROUND(((TRUNC(($AN462+0.01)*3/13,0)+0.99)*VLOOKUP((TRUNC(($AN462+0.01)*3/13,0)+0.99),'Tax scales - NAT 3539'!$A$99:$C$123,2,1)-VLOOKUP((TRUNC(($AN462+0.01)*3/13,0)+0.99),'Tax scales - NAT 3539'!$A$99:$C$123,3,1)),0)
*13/3,
0),
IF($E$2="Monthly",
ROUND(
ROUND(((TRUNC($AN462*3/13,0)+0.99)*VLOOKUP((TRUNC($AN462*3/13,0)+0.99),'Tax scales - NAT 3539'!$A$99:$C$123,2,1)-VLOOKUP((TRUNC($AN462*3/13,0)+0.99),'Tax scales - NAT 3539'!$A$99:$C$123,3,1)),0)
*13/3,
0),
""))),
""),
"")</f>
        <v/>
      </c>
      <c r="AY462" s="118" t="str">
        <f>IFERROR(
IF(VLOOKUP($C462,'Employee information'!$B:$M,COLUMNS('Employee information'!$B:$M),0)=66,
IF($E$2="Fortnightly",
ROUND(
ROUND((((TRUNC($AN462/2,0)+0.99))*VLOOKUP((TRUNC($AN462/2,0)+0.99),'Tax scales - NAT 3539'!$A$127:$C$154,2,1)-VLOOKUP((TRUNC($AN462/2,0)+0.99),'Tax scales - NAT 3539'!$A$127:$C$154,3,1)),0)
*2,
0),
IF(AND($E$2="Monthly",ROUND($AN462-TRUNC($AN462),2)=0.33),
ROUND(
ROUND(((TRUNC(($AN462+0.01)*3/13,0)+0.99)*VLOOKUP((TRUNC(($AN462+0.01)*3/13,0)+0.99),'Tax scales - NAT 3539'!$A$127:$C$154,2,1)-VLOOKUP((TRUNC(($AN462+0.01)*3/13,0)+0.99),'Tax scales - NAT 3539'!$A$127:$C$154,3,1)),0)
*13/3,
0),
IF($E$2="Monthly",
ROUND(
ROUND(((TRUNC($AN462*3/13,0)+0.99)*VLOOKUP((TRUNC($AN462*3/13,0)+0.99),'Tax scales - NAT 3539'!$A$127:$C$154,2,1)-VLOOKUP((TRUNC($AN462*3/13,0)+0.99),'Tax scales - NAT 3539'!$A$127:$C$154,3,1)),0)
*13/3,
0),
""))),
""),
"")</f>
        <v/>
      </c>
      <c r="AZ462" s="118">
        <f>IFERROR(
HLOOKUP(VLOOKUP($C462,'Employee information'!$B:$M,COLUMNS('Employee information'!$B:$M),0),'PAYG worksheet'!$AO$445:$AY$464,COUNTA($C$446:$C462)+1,0),
0)</f>
        <v>0</v>
      </c>
      <c r="BA462" s="118"/>
      <c r="BB462" s="118">
        <f t="shared" si="480"/>
        <v>0</v>
      </c>
      <c r="BC462" s="119">
        <f>IFERROR(
IF(OR($AE462=1,$AE462=""),SUM($P462,$AA462,$AC462,$AK462)*VLOOKUP($C462,'Employee information'!$B:$Q,COLUMNS('Employee information'!$B:$H),0),
IF($AE462=0,SUM($P462,$AA462,$AK462)*VLOOKUP($C462,'Employee information'!$B:$Q,COLUMNS('Employee information'!$B:$H),0),
0)),
0)</f>
        <v>0</v>
      </c>
      <c r="BE462" s="114">
        <f t="shared" si="465"/>
        <v>0</v>
      </c>
      <c r="BF462" s="114">
        <f t="shared" si="466"/>
        <v>0</v>
      </c>
      <c r="BG462" s="114">
        <f t="shared" si="467"/>
        <v>0</v>
      </c>
      <c r="BH462" s="114">
        <f t="shared" si="468"/>
        <v>0</v>
      </c>
      <c r="BI462" s="114">
        <f t="shared" si="469"/>
        <v>0</v>
      </c>
      <c r="BJ462" s="114">
        <f t="shared" si="470"/>
        <v>0</v>
      </c>
      <c r="BK462" s="114">
        <f t="shared" si="471"/>
        <v>0</v>
      </c>
      <c r="BL462" s="114">
        <f t="shared" si="481"/>
        <v>0</v>
      </c>
      <c r="BM462" s="114">
        <f t="shared" si="472"/>
        <v>0</v>
      </c>
    </row>
    <row r="463" spans="1:65" x14ac:dyDescent="0.25">
      <c r="A463" s="228">
        <f t="shared" si="460"/>
        <v>16</v>
      </c>
      <c r="C463" s="278"/>
      <c r="E463" s="103">
        <f>IF($C463="",0,
IF(AND($E$2="Monthly",$A463&gt;12),0,
IF($E$2="Monthly",VLOOKUP($C463,'Employee information'!$B:$AM,COLUMNS('Employee information'!$B:S),0),
IF($E$2="Fortnightly",VLOOKUP($C463,'Employee information'!$B:$AM,COLUMNS('Employee information'!$B:R),0),
0))))</f>
        <v>0</v>
      </c>
      <c r="F463" s="106"/>
      <c r="G463" s="106"/>
      <c r="H463" s="106"/>
      <c r="I463" s="106"/>
      <c r="J463" s="103">
        <f t="shared" si="473"/>
        <v>0</v>
      </c>
      <c r="L463" s="113">
        <f>IF(AND($E$2="Monthly",$A463&gt;12),"",
IFERROR($J463*VLOOKUP($C463,'Employee information'!$B:$AI,COLUMNS('Employee information'!$B:$P),0),0))</f>
        <v>0</v>
      </c>
      <c r="M463" s="114">
        <f t="shared" si="474"/>
        <v>0</v>
      </c>
      <c r="O463" s="103">
        <f t="shared" si="475"/>
        <v>0</v>
      </c>
      <c r="P463" s="113">
        <f>IFERROR(
IF(AND($E$2="Monthly",$A463&gt;12),0,
$O463*VLOOKUP($C463,'Employee information'!$B:$AI,COLUMNS('Employee information'!$B:$P),0)),
0)</f>
        <v>0</v>
      </c>
      <c r="R463" s="114">
        <f t="shared" si="461"/>
        <v>0</v>
      </c>
      <c r="T463" s="103"/>
      <c r="U463" s="103"/>
      <c r="V463" s="282" t="str">
        <f>IF($C463="","",
IF(AND($E$2="Monthly",$A463&gt;12),"",
$T463*VLOOKUP($C463,'Employee information'!$B:$P,COLUMNS('Employee information'!$B:$P),0)))</f>
        <v/>
      </c>
      <c r="W463" s="282" t="str">
        <f>IF($C463="","",
IF(AND($E$2="Monthly",$A463&gt;12),"",
$U463*VLOOKUP($C463,'Employee information'!$B:$P,COLUMNS('Employee information'!$B:$P),0)))</f>
        <v/>
      </c>
      <c r="X463" s="114">
        <f t="shared" si="462"/>
        <v>0</v>
      </c>
      <c r="Y463" s="114">
        <f t="shared" si="463"/>
        <v>0</v>
      </c>
      <c r="AA463" s="118">
        <f>IFERROR(
IF(OR('Basic payroll data'!$D$12="",'Basic payroll data'!$D$12="No"),0,
$T463*VLOOKUP($C463,'Employee information'!$B:$P,COLUMNS('Employee information'!$B:$P),0)*AL_loading_perc),
0)</f>
        <v>0</v>
      </c>
      <c r="AC463" s="118"/>
      <c r="AD463" s="118"/>
      <c r="AE463" s="283" t="str">
        <f t="shared" si="476"/>
        <v/>
      </c>
      <c r="AF463" s="283" t="str">
        <f t="shared" si="477"/>
        <v/>
      </c>
      <c r="AG463" s="118"/>
      <c r="AH463" s="118"/>
      <c r="AI463" s="283" t="str">
        <f t="shared" si="478"/>
        <v/>
      </c>
      <c r="AJ463" s="118"/>
      <c r="AK463" s="118"/>
      <c r="AM463" s="118">
        <f t="shared" si="479"/>
        <v>0</v>
      </c>
      <c r="AN463" s="118">
        <f t="shared" si="464"/>
        <v>0</v>
      </c>
      <c r="AO463" s="118" t="str">
        <f>IFERROR(
IF(VLOOKUP($C463,'Employee information'!$B:$M,COLUMNS('Employee information'!$B:$M),0)=1,
IF($E$2="Fortnightly",
ROUND(
ROUND((((TRUNC($AN463/2,0)+0.99))*VLOOKUP((TRUNC($AN463/2,0)+0.99),'Tax scales - NAT 1004'!$A$12:$C$18,2,1)-VLOOKUP((TRUNC($AN463/2,0)+0.99),'Tax scales - NAT 1004'!$A$12:$C$18,3,1)),0)
*2,
0),
IF(AND($E$2="Monthly",ROUND($AN463-TRUNC($AN463),2)=0.33),
ROUND(
ROUND(((TRUNC(($AN463+0.01)*3/13,0)+0.99)*VLOOKUP((TRUNC(($AN463+0.01)*3/13,0)+0.99),'Tax scales - NAT 1004'!$A$12:$C$18,2,1)-VLOOKUP((TRUNC(($AN463+0.01)*3/13,0)+0.99),'Tax scales - NAT 1004'!$A$12:$C$18,3,1)),0)
*13/3,
0),
IF($E$2="Monthly",
ROUND(
ROUND(((TRUNC($AN463*3/13,0)+0.99)*VLOOKUP((TRUNC($AN463*3/13,0)+0.99),'Tax scales - NAT 1004'!$A$12:$C$18,2,1)-VLOOKUP((TRUNC($AN463*3/13,0)+0.99),'Tax scales - NAT 1004'!$A$12:$C$18,3,1)),0)
*13/3,
0),
""))),
""),
"")</f>
        <v/>
      </c>
      <c r="AP463" s="118" t="str">
        <f>IFERROR(
IF(VLOOKUP($C463,'Employee information'!$B:$M,COLUMNS('Employee information'!$B:$M),0)=2,
IF($E$2="Fortnightly",
ROUND(
ROUND((((TRUNC($AN463/2,0)+0.99))*VLOOKUP((TRUNC($AN463/2,0)+0.99),'Tax scales - NAT 1004'!$A$25:$C$33,2,1)-VLOOKUP((TRUNC($AN463/2,0)+0.99),'Tax scales - NAT 1004'!$A$25:$C$33,3,1)),0)
*2,
0),
IF(AND($E$2="Monthly",ROUND($AN463-TRUNC($AN463),2)=0.33),
ROUND(
ROUND(((TRUNC(($AN463+0.01)*3/13,0)+0.99)*VLOOKUP((TRUNC(($AN463+0.01)*3/13,0)+0.99),'Tax scales - NAT 1004'!$A$25:$C$33,2,1)-VLOOKUP((TRUNC(($AN463+0.01)*3/13,0)+0.99),'Tax scales - NAT 1004'!$A$25:$C$33,3,1)),0)
*13/3,
0),
IF($E$2="Monthly",
ROUND(
ROUND(((TRUNC($AN463*3/13,0)+0.99)*VLOOKUP((TRUNC($AN463*3/13,0)+0.99),'Tax scales - NAT 1004'!$A$25:$C$33,2,1)-VLOOKUP((TRUNC($AN463*3/13,0)+0.99),'Tax scales - NAT 1004'!$A$25:$C$33,3,1)),0)
*13/3,
0),
""))),
""),
"")</f>
        <v/>
      </c>
      <c r="AQ463" s="118" t="str">
        <f>IFERROR(
IF(VLOOKUP($C463,'Employee information'!$B:$M,COLUMNS('Employee information'!$B:$M),0)=3,
IF($E$2="Fortnightly",
ROUND(
ROUND((((TRUNC($AN463/2,0)+0.99))*VLOOKUP((TRUNC($AN463/2,0)+0.99),'Tax scales - NAT 1004'!$A$39:$C$41,2,1)-VLOOKUP((TRUNC($AN463/2,0)+0.99),'Tax scales - NAT 1004'!$A$39:$C$41,3,1)),0)
*2,
0),
IF(AND($E$2="Monthly",ROUND($AN463-TRUNC($AN463),2)=0.33),
ROUND(
ROUND(((TRUNC(($AN463+0.01)*3/13,0)+0.99)*VLOOKUP((TRUNC(($AN463+0.01)*3/13,0)+0.99),'Tax scales - NAT 1004'!$A$39:$C$41,2,1)-VLOOKUP((TRUNC(($AN463+0.01)*3/13,0)+0.99),'Tax scales - NAT 1004'!$A$39:$C$41,3,1)),0)
*13/3,
0),
IF($E$2="Monthly",
ROUND(
ROUND(((TRUNC($AN463*3/13,0)+0.99)*VLOOKUP((TRUNC($AN463*3/13,0)+0.99),'Tax scales - NAT 1004'!$A$39:$C$41,2,1)-VLOOKUP((TRUNC($AN463*3/13,0)+0.99),'Tax scales - NAT 1004'!$A$39:$C$41,3,1)),0)
*13/3,
0),
""))),
""),
"")</f>
        <v/>
      </c>
      <c r="AR463" s="118" t="str">
        <f>IFERROR(
IF(AND(VLOOKUP($C463,'Employee information'!$B:$M,COLUMNS('Employee information'!$B:$M),0)=4,
VLOOKUP($C463,'Employee information'!$B:$J,COLUMNS('Employee information'!$B:$J),0)="Resident"),
TRUNC(TRUNC($AN463)*'Tax scales - NAT 1004'!$B$47),
IF(AND(VLOOKUP($C463,'Employee information'!$B:$M,COLUMNS('Employee information'!$B:$M),0)=4,
VLOOKUP($C463,'Employee information'!$B:$J,COLUMNS('Employee information'!$B:$J),0)="Foreign resident"),
TRUNC(TRUNC($AN463)*'Tax scales - NAT 1004'!$B$48),
"")),
"")</f>
        <v/>
      </c>
      <c r="AS463" s="118" t="str">
        <f>IFERROR(
IF(VLOOKUP($C463,'Employee information'!$B:$M,COLUMNS('Employee information'!$B:$M),0)=5,
IF($E$2="Fortnightly",
ROUND(
ROUND((((TRUNC($AN463/2,0)+0.99))*VLOOKUP((TRUNC($AN463/2,0)+0.99),'Tax scales - NAT 1004'!$A$53:$C$59,2,1)-VLOOKUP((TRUNC($AN463/2,0)+0.99),'Tax scales - NAT 1004'!$A$53:$C$59,3,1)),0)
*2,
0),
IF(AND($E$2="Monthly",ROUND($AN463-TRUNC($AN463),2)=0.33),
ROUND(
ROUND(((TRUNC(($AN463+0.01)*3/13,0)+0.99)*VLOOKUP((TRUNC(($AN463+0.01)*3/13,0)+0.99),'Tax scales - NAT 1004'!$A$53:$C$59,2,1)-VLOOKUP((TRUNC(($AN463+0.01)*3/13,0)+0.99),'Tax scales - NAT 1004'!$A$53:$C$59,3,1)),0)
*13/3,
0),
IF($E$2="Monthly",
ROUND(
ROUND(((TRUNC($AN463*3/13,0)+0.99)*VLOOKUP((TRUNC($AN463*3/13,0)+0.99),'Tax scales - NAT 1004'!$A$53:$C$59,2,1)-VLOOKUP((TRUNC($AN463*3/13,0)+0.99),'Tax scales - NAT 1004'!$A$53:$C$59,3,1)),0)
*13/3,
0),
""))),
""),
"")</f>
        <v/>
      </c>
      <c r="AT463" s="118" t="str">
        <f>IFERROR(
IF(VLOOKUP($C463,'Employee information'!$B:$M,COLUMNS('Employee information'!$B:$M),0)=6,
IF($E$2="Fortnightly",
ROUND(
ROUND((((TRUNC($AN463/2,0)+0.99))*VLOOKUP((TRUNC($AN463/2,0)+0.99),'Tax scales - NAT 1004'!$A$65:$C$73,2,1)-VLOOKUP((TRUNC($AN463/2,0)+0.99),'Tax scales - NAT 1004'!$A$65:$C$73,3,1)),0)
*2,
0),
IF(AND($E$2="Monthly",ROUND($AN463-TRUNC($AN463),2)=0.33),
ROUND(
ROUND(((TRUNC(($AN463+0.01)*3/13,0)+0.99)*VLOOKUP((TRUNC(($AN463+0.01)*3/13,0)+0.99),'Tax scales - NAT 1004'!$A$65:$C$73,2,1)-VLOOKUP((TRUNC(($AN463+0.01)*3/13,0)+0.99),'Tax scales - NAT 1004'!$A$65:$C$73,3,1)),0)
*13/3,
0),
IF($E$2="Monthly",
ROUND(
ROUND(((TRUNC($AN463*3/13,0)+0.99)*VLOOKUP((TRUNC($AN463*3/13,0)+0.99),'Tax scales - NAT 1004'!$A$65:$C$73,2,1)-VLOOKUP((TRUNC($AN463*3/13,0)+0.99),'Tax scales - NAT 1004'!$A$65:$C$73,3,1)),0)
*13/3,
0),
""))),
""),
"")</f>
        <v/>
      </c>
      <c r="AU463" s="118" t="str">
        <f>IFERROR(
IF(VLOOKUP($C463,'Employee information'!$B:$M,COLUMNS('Employee information'!$B:$M),0)=11,
IF($E$2="Fortnightly",
ROUND(
ROUND((((TRUNC($AN463/2,0)+0.99))*VLOOKUP((TRUNC($AN463/2,0)+0.99),'Tax scales - NAT 3539'!$A$14:$C$38,2,1)-VLOOKUP((TRUNC($AN463/2,0)+0.99),'Tax scales - NAT 3539'!$A$14:$C$38,3,1)),0)
*2,
0),
IF(AND($E$2="Monthly",ROUND($AN463-TRUNC($AN463),2)=0.33),
ROUND(
ROUND(((TRUNC(($AN463+0.01)*3/13,0)+0.99)*VLOOKUP((TRUNC(($AN463+0.01)*3/13,0)+0.99),'Tax scales - NAT 3539'!$A$14:$C$38,2,1)-VLOOKUP((TRUNC(($AN463+0.01)*3/13,0)+0.99),'Tax scales - NAT 3539'!$A$14:$C$38,3,1)),0)
*13/3,
0),
IF($E$2="Monthly",
ROUND(
ROUND(((TRUNC($AN463*3/13,0)+0.99)*VLOOKUP((TRUNC($AN463*3/13,0)+0.99),'Tax scales - NAT 3539'!$A$14:$C$38,2,1)-VLOOKUP((TRUNC($AN463*3/13,0)+0.99),'Tax scales - NAT 3539'!$A$14:$C$38,3,1)),0)
*13/3,
0),
""))),
""),
"")</f>
        <v/>
      </c>
      <c r="AV463" s="118" t="str">
        <f>IFERROR(
IF(VLOOKUP($C463,'Employee information'!$B:$M,COLUMNS('Employee information'!$B:$M),0)=22,
IF($E$2="Fortnightly",
ROUND(
ROUND((((TRUNC($AN463/2,0)+0.99))*VLOOKUP((TRUNC($AN463/2,0)+0.99),'Tax scales - NAT 3539'!$A$43:$C$69,2,1)-VLOOKUP((TRUNC($AN463/2,0)+0.99),'Tax scales - NAT 3539'!$A$43:$C$69,3,1)),0)
*2,
0),
IF(AND($E$2="Monthly",ROUND($AN463-TRUNC($AN463),2)=0.33),
ROUND(
ROUND(((TRUNC(($AN463+0.01)*3/13,0)+0.99)*VLOOKUP((TRUNC(($AN463+0.01)*3/13,0)+0.99),'Tax scales - NAT 3539'!$A$43:$C$69,2,1)-VLOOKUP((TRUNC(($AN463+0.01)*3/13,0)+0.99),'Tax scales - NAT 3539'!$A$43:$C$69,3,1)),0)
*13/3,
0),
IF($E$2="Monthly",
ROUND(
ROUND(((TRUNC($AN463*3/13,0)+0.99)*VLOOKUP((TRUNC($AN463*3/13,0)+0.99),'Tax scales - NAT 3539'!$A$43:$C$69,2,1)-VLOOKUP((TRUNC($AN463*3/13,0)+0.99),'Tax scales - NAT 3539'!$A$43:$C$69,3,1)),0)
*13/3,
0),
""))),
""),
"")</f>
        <v/>
      </c>
      <c r="AW463" s="118" t="str">
        <f>IFERROR(
IF(VLOOKUP($C463,'Employee information'!$B:$M,COLUMNS('Employee information'!$B:$M),0)=33,
IF($E$2="Fortnightly",
ROUND(
ROUND((((TRUNC($AN463/2,0)+0.99))*VLOOKUP((TRUNC($AN463/2,0)+0.99),'Tax scales - NAT 3539'!$A$74:$C$94,2,1)-VLOOKUP((TRUNC($AN463/2,0)+0.99),'Tax scales - NAT 3539'!$A$74:$C$94,3,1)),0)
*2,
0),
IF(AND($E$2="Monthly",ROUND($AN463-TRUNC($AN463),2)=0.33),
ROUND(
ROUND(((TRUNC(($AN463+0.01)*3/13,0)+0.99)*VLOOKUP((TRUNC(($AN463+0.01)*3/13,0)+0.99),'Tax scales - NAT 3539'!$A$74:$C$94,2,1)-VLOOKUP((TRUNC(($AN463+0.01)*3/13,0)+0.99),'Tax scales - NAT 3539'!$A$74:$C$94,3,1)),0)
*13/3,
0),
IF($E$2="Monthly",
ROUND(
ROUND(((TRUNC($AN463*3/13,0)+0.99)*VLOOKUP((TRUNC($AN463*3/13,0)+0.99),'Tax scales - NAT 3539'!$A$74:$C$94,2,1)-VLOOKUP((TRUNC($AN463*3/13,0)+0.99),'Tax scales - NAT 3539'!$A$74:$C$94,3,1)),0)
*13/3,
0),
""))),
""),
"")</f>
        <v/>
      </c>
      <c r="AX463" s="118" t="str">
        <f>IFERROR(
IF(VLOOKUP($C463,'Employee information'!$B:$M,COLUMNS('Employee information'!$B:$M),0)=55,
IF($E$2="Fortnightly",
ROUND(
ROUND((((TRUNC($AN463/2,0)+0.99))*VLOOKUP((TRUNC($AN463/2,0)+0.99),'Tax scales - NAT 3539'!$A$99:$C$123,2,1)-VLOOKUP((TRUNC($AN463/2,0)+0.99),'Tax scales - NAT 3539'!$A$99:$C$123,3,1)),0)
*2,
0),
IF(AND($E$2="Monthly",ROUND($AN463-TRUNC($AN463),2)=0.33),
ROUND(
ROUND(((TRUNC(($AN463+0.01)*3/13,0)+0.99)*VLOOKUP((TRUNC(($AN463+0.01)*3/13,0)+0.99),'Tax scales - NAT 3539'!$A$99:$C$123,2,1)-VLOOKUP((TRUNC(($AN463+0.01)*3/13,0)+0.99),'Tax scales - NAT 3539'!$A$99:$C$123,3,1)),0)
*13/3,
0),
IF($E$2="Monthly",
ROUND(
ROUND(((TRUNC($AN463*3/13,0)+0.99)*VLOOKUP((TRUNC($AN463*3/13,0)+0.99),'Tax scales - NAT 3539'!$A$99:$C$123,2,1)-VLOOKUP((TRUNC($AN463*3/13,0)+0.99),'Tax scales - NAT 3539'!$A$99:$C$123,3,1)),0)
*13/3,
0),
""))),
""),
"")</f>
        <v/>
      </c>
      <c r="AY463" s="118" t="str">
        <f>IFERROR(
IF(VLOOKUP($C463,'Employee information'!$B:$M,COLUMNS('Employee information'!$B:$M),0)=66,
IF($E$2="Fortnightly",
ROUND(
ROUND((((TRUNC($AN463/2,0)+0.99))*VLOOKUP((TRUNC($AN463/2,0)+0.99),'Tax scales - NAT 3539'!$A$127:$C$154,2,1)-VLOOKUP((TRUNC($AN463/2,0)+0.99),'Tax scales - NAT 3539'!$A$127:$C$154,3,1)),0)
*2,
0),
IF(AND($E$2="Monthly",ROUND($AN463-TRUNC($AN463),2)=0.33),
ROUND(
ROUND(((TRUNC(($AN463+0.01)*3/13,0)+0.99)*VLOOKUP((TRUNC(($AN463+0.01)*3/13,0)+0.99),'Tax scales - NAT 3539'!$A$127:$C$154,2,1)-VLOOKUP((TRUNC(($AN463+0.01)*3/13,0)+0.99),'Tax scales - NAT 3539'!$A$127:$C$154,3,1)),0)
*13/3,
0),
IF($E$2="Monthly",
ROUND(
ROUND(((TRUNC($AN463*3/13,0)+0.99)*VLOOKUP((TRUNC($AN463*3/13,0)+0.99),'Tax scales - NAT 3539'!$A$127:$C$154,2,1)-VLOOKUP((TRUNC($AN463*3/13,0)+0.99),'Tax scales - NAT 3539'!$A$127:$C$154,3,1)),0)
*13/3,
0),
""))),
""),
"")</f>
        <v/>
      </c>
      <c r="AZ463" s="118">
        <f>IFERROR(
HLOOKUP(VLOOKUP($C463,'Employee information'!$B:$M,COLUMNS('Employee information'!$B:$M),0),'PAYG worksheet'!$AO$445:$AY$464,COUNTA($C$446:$C463)+1,0),
0)</f>
        <v>0</v>
      </c>
      <c r="BA463" s="118"/>
      <c r="BB463" s="118">
        <f t="shared" si="480"/>
        <v>0</v>
      </c>
      <c r="BC463" s="119">
        <f>IFERROR(
IF(OR($AE463=1,$AE463=""),SUM($P463,$AA463,$AC463,$AK463)*VLOOKUP($C463,'Employee information'!$B:$Q,COLUMNS('Employee information'!$B:$H),0),
IF($AE463=0,SUM($P463,$AA463,$AK463)*VLOOKUP($C463,'Employee information'!$B:$Q,COLUMNS('Employee information'!$B:$H),0),
0)),
0)</f>
        <v>0</v>
      </c>
      <c r="BE463" s="114">
        <f t="shared" si="465"/>
        <v>0</v>
      </c>
      <c r="BF463" s="114">
        <f t="shared" si="466"/>
        <v>0</v>
      </c>
      <c r="BG463" s="114">
        <f t="shared" si="467"/>
        <v>0</v>
      </c>
      <c r="BH463" s="114">
        <f t="shared" si="468"/>
        <v>0</v>
      </c>
      <c r="BI463" s="114">
        <f t="shared" si="469"/>
        <v>0</v>
      </c>
      <c r="BJ463" s="114">
        <f t="shared" si="470"/>
        <v>0</v>
      </c>
      <c r="BK463" s="114">
        <f t="shared" si="471"/>
        <v>0</v>
      </c>
      <c r="BL463" s="114">
        <f t="shared" si="481"/>
        <v>0</v>
      </c>
      <c r="BM463" s="114">
        <f t="shared" si="472"/>
        <v>0</v>
      </c>
    </row>
    <row r="464" spans="1:65" x14ac:dyDescent="0.25">
      <c r="A464" s="228">
        <f t="shared" si="460"/>
        <v>16</v>
      </c>
      <c r="C464" s="278"/>
      <c r="E464" s="103">
        <f>IF($C464="",0,
IF(AND($E$2="Monthly",$A464&gt;12),0,
IF($E$2="Monthly",VLOOKUP($C464,'Employee information'!$B:$AM,COLUMNS('Employee information'!$B:S),0),
IF($E$2="Fortnightly",VLOOKUP($C464,'Employee information'!$B:$AM,COLUMNS('Employee information'!$B:R),0),
0))))</f>
        <v>0</v>
      </c>
      <c r="F464" s="106"/>
      <c r="G464" s="106"/>
      <c r="H464" s="106"/>
      <c r="I464" s="106"/>
      <c r="J464" s="103">
        <f t="shared" si="473"/>
        <v>0</v>
      </c>
      <c r="L464" s="113">
        <f>IF(AND($E$2="Monthly",$A464&gt;12),"",
IFERROR($J464*VLOOKUP($C464,'Employee information'!$B:$AI,COLUMNS('Employee information'!$B:$P),0),0))</f>
        <v>0</v>
      </c>
      <c r="M464" s="114">
        <f t="shared" si="474"/>
        <v>0</v>
      </c>
      <c r="O464" s="103">
        <f t="shared" si="475"/>
        <v>0</v>
      </c>
      <c r="P464" s="113">
        <f>IFERROR(
IF(AND($E$2="Monthly",$A464&gt;12),0,
$O464*VLOOKUP($C464,'Employee information'!$B:$AI,COLUMNS('Employee information'!$B:$P),0)),
0)</f>
        <v>0</v>
      </c>
      <c r="R464" s="114">
        <f t="shared" si="461"/>
        <v>0</v>
      </c>
      <c r="T464" s="103"/>
      <c r="U464" s="103"/>
      <c r="V464" s="282" t="str">
        <f>IF($C464="","",
IF(AND($E$2="Monthly",$A464&gt;12),"",
$T464*VLOOKUP($C464,'Employee information'!$B:$P,COLUMNS('Employee information'!$B:$P),0)))</f>
        <v/>
      </c>
      <c r="W464" s="282" t="str">
        <f>IF($C464="","",
IF(AND($E$2="Monthly",$A464&gt;12),"",
$U464*VLOOKUP($C464,'Employee information'!$B:$P,COLUMNS('Employee information'!$B:$P),0)))</f>
        <v/>
      </c>
      <c r="X464" s="114">
        <f t="shared" si="462"/>
        <v>0</v>
      </c>
      <c r="Y464" s="114">
        <f t="shared" si="463"/>
        <v>0</v>
      </c>
      <c r="AA464" s="118">
        <f>IFERROR(
IF(OR('Basic payroll data'!$D$12="",'Basic payroll data'!$D$12="No"),0,
$T464*VLOOKUP($C464,'Employee information'!$B:$P,COLUMNS('Employee information'!$B:$P),0)*AL_loading_perc),
0)</f>
        <v>0</v>
      </c>
      <c r="AC464" s="118"/>
      <c r="AD464" s="118"/>
      <c r="AE464" s="283" t="str">
        <f t="shared" si="476"/>
        <v/>
      </c>
      <c r="AF464" s="283" t="str">
        <f t="shared" si="477"/>
        <v/>
      </c>
      <c r="AG464" s="118"/>
      <c r="AH464" s="118"/>
      <c r="AI464" s="283" t="str">
        <f t="shared" si="478"/>
        <v/>
      </c>
      <c r="AJ464" s="118"/>
      <c r="AK464" s="118"/>
      <c r="AM464" s="118">
        <f t="shared" si="479"/>
        <v>0</v>
      </c>
      <c r="AN464" s="118">
        <f t="shared" si="464"/>
        <v>0</v>
      </c>
      <c r="AO464" s="118" t="str">
        <f>IFERROR(
IF(VLOOKUP($C464,'Employee information'!$B:$M,COLUMNS('Employee information'!$B:$M),0)=1,
IF($E$2="Fortnightly",
ROUND(
ROUND((((TRUNC($AN464/2,0)+0.99))*VLOOKUP((TRUNC($AN464/2,0)+0.99),'Tax scales - NAT 1004'!$A$12:$C$18,2,1)-VLOOKUP((TRUNC($AN464/2,0)+0.99),'Tax scales - NAT 1004'!$A$12:$C$18,3,1)),0)
*2,
0),
IF(AND($E$2="Monthly",ROUND($AN464-TRUNC($AN464),2)=0.33),
ROUND(
ROUND(((TRUNC(($AN464+0.01)*3/13,0)+0.99)*VLOOKUP((TRUNC(($AN464+0.01)*3/13,0)+0.99),'Tax scales - NAT 1004'!$A$12:$C$18,2,1)-VLOOKUP((TRUNC(($AN464+0.01)*3/13,0)+0.99),'Tax scales - NAT 1004'!$A$12:$C$18,3,1)),0)
*13/3,
0),
IF($E$2="Monthly",
ROUND(
ROUND(((TRUNC($AN464*3/13,0)+0.99)*VLOOKUP((TRUNC($AN464*3/13,0)+0.99),'Tax scales - NAT 1004'!$A$12:$C$18,2,1)-VLOOKUP((TRUNC($AN464*3/13,0)+0.99),'Tax scales - NAT 1004'!$A$12:$C$18,3,1)),0)
*13/3,
0),
""))),
""),
"")</f>
        <v/>
      </c>
      <c r="AP464" s="118" t="str">
        <f>IFERROR(
IF(VLOOKUP($C464,'Employee information'!$B:$M,COLUMNS('Employee information'!$B:$M),0)=2,
IF($E$2="Fortnightly",
ROUND(
ROUND((((TRUNC($AN464/2,0)+0.99))*VLOOKUP((TRUNC($AN464/2,0)+0.99),'Tax scales - NAT 1004'!$A$25:$C$33,2,1)-VLOOKUP((TRUNC($AN464/2,0)+0.99),'Tax scales - NAT 1004'!$A$25:$C$33,3,1)),0)
*2,
0),
IF(AND($E$2="Monthly",ROUND($AN464-TRUNC($AN464),2)=0.33),
ROUND(
ROUND(((TRUNC(($AN464+0.01)*3/13,0)+0.99)*VLOOKUP((TRUNC(($AN464+0.01)*3/13,0)+0.99),'Tax scales - NAT 1004'!$A$25:$C$33,2,1)-VLOOKUP((TRUNC(($AN464+0.01)*3/13,0)+0.99),'Tax scales - NAT 1004'!$A$25:$C$33,3,1)),0)
*13/3,
0),
IF($E$2="Monthly",
ROUND(
ROUND(((TRUNC($AN464*3/13,0)+0.99)*VLOOKUP((TRUNC($AN464*3/13,0)+0.99),'Tax scales - NAT 1004'!$A$25:$C$33,2,1)-VLOOKUP((TRUNC($AN464*3/13,0)+0.99),'Tax scales - NAT 1004'!$A$25:$C$33,3,1)),0)
*13/3,
0),
""))),
""),
"")</f>
        <v/>
      </c>
      <c r="AQ464" s="118" t="str">
        <f>IFERROR(
IF(VLOOKUP($C464,'Employee information'!$B:$M,COLUMNS('Employee information'!$B:$M),0)=3,
IF($E$2="Fortnightly",
ROUND(
ROUND((((TRUNC($AN464/2,0)+0.99))*VLOOKUP((TRUNC($AN464/2,0)+0.99),'Tax scales - NAT 1004'!$A$39:$C$41,2,1)-VLOOKUP((TRUNC($AN464/2,0)+0.99),'Tax scales - NAT 1004'!$A$39:$C$41,3,1)),0)
*2,
0),
IF(AND($E$2="Monthly",ROUND($AN464-TRUNC($AN464),2)=0.33),
ROUND(
ROUND(((TRUNC(($AN464+0.01)*3/13,0)+0.99)*VLOOKUP((TRUNC(($AN464+0.01)*3/13,0)+0.99),'Tax scales - NAT 1004'!$A$39:$C$41,2,1)-VLOOKUP((TRUNC(($AN464+0.01)*3/13,0)+0.99),'Tax scales - NAT 1004'!$A$39:$C$41,3,1)),0)
*13/3,
0),
IF($E$2="Monthly",
ROUND(
ROUND(((TRUNC($AN464*3/13,0)+0.99)*VLOOKUP((TRUNC($AN464*3/13,0)+0.99),'Tax scales - NAT 1004'!$A$39:$C$41,2,1)-VLOOKUP((TRUNC($AN464*3/13,0)+0.99),'Tax scales - NAT 1004'!$A$39:$C$41,3,1)),0)
*13/3,
0),
""))),
""),
"")</f>
        <v/>
      </c>
      <c r="AR464" s="118" t="str">
        <f>IFERROR(
IF(AND(VLOOKUP($C464,'Employee information'!$B:$M,COLUMNS('Employee information'!$B:$M),0)=4,
VLOOKUP($C464,'Employee information'!$B:$J,COLUMNS('Employee information'!$B:$J),0)="Resident"),
TRUNC(TRUNC($AN464)*'Tax scales - NAT 1004'!$B$47),
IF(AND(VLOOKUP($C464,'Employee information'!$B:$M,COLUMNS('Employee information'!$B:$M),0)=4,
VLOOKUP($C464,'Employee information'!$B:$J,COLUMNS('Employee information'!$B:$J),0)="Foreign resident"),
TRUNC(TRUNC($AN464)*'Tax scales - NAT 1004'!$B$48),
"")),
"")</f>
        <v/>
      </c>
      <c r="AS464" s="118" t="str">
        <f>IFERROR(
IF(VLOOKUP($C464,'Employee information'!$B:$M,COLUMNS('Employee information'!$B:$M),0)=5,
IF($E$2="Fortnightly",
ROUND(
ROUND((((TRUNC($AN464/2,0)+0.99))*VLOOKUP((TRUNC($AN464/2,0)+0.99),'Tax scales - NAT 1004'!$A$53:$C$59,2,1)-VLOOKUP((TRUNC($AN464/2,0)+0.99),'Tax scales - NAT 1004'!$A$53:$C$59,3,1)),0)
*2,
0),
IF(AND($E$2="Monthly",ROUND($AN464-TRUNC($AN464),2)=0.33),
ROUND(
ROUND(((TRUNC(($AN464+0.01)*3/13,0)+0.99)*VLOOKUP((TRUNC(($AN464+0.01)*3/13,0)+0.99),'Tax scales - NAT 1004'!$A$53:$C$59,2,1)-VLOOKUP((TRUNC(($AN464+0.01)*3/13,0)+0.99),'Tax scales - NAT 1004'!$A$53:$C$59,3,1)),0)
*13/3,
0),
IF($E$2="Monthly",
ROUND(
ROUND(((TRUNC($AN464*3/13,0)+0.99)*VLOOKUP((TRUNC($AN464*3/13,0)+0.99),'Tax scales - NAT 1004'!$A$53:$C$59,2,1)-VLOOKUP((TRUNC($AN464*3/13,0)+0.99),'Tax scales - NAT 1004'!$A$53:$C$59,3,1)),0)
*13/3,
0),
""))),
""),
"")</f>
        <v/>
      </c>
      <c r="AT464" s="118" t="str">
        <f>IFERROR(
IF(VLOOKUP($C464,'Employee information'!$B:$M,COLUMNS('Employee information'!$B:$M),0)=6,
IF($E$2="Fortnightly",
ROUND(
ROUND((((TRUNC($AN464/2,0)+0.99))*VLOOKUP((TRUNC($AN464/2,0)+0.99),'Tax scales - NAT 1004'!$A$65:$C$73,2,1)-VLOOKUP((TRUNC($AN464/2,0)+0.99),'Tax scales - NAT 1004'!$A$65:$C$73,3,1)),0)
*2,
0),
IF(AND($E$2="Monthly",ROUND($AN464-TRUNC($AN464),2)=0.33),
ROUND(
ROUND(((TRUNC(($AN464+0.01)*3/13,0)+0.99)*VLOOKUP((TRUNC(($AN464+0.01)*3/13,0)+0.99),'Tax scales - NAT 1004'!$A$65:$C$73,2,1)-VLOOKUP((TRUNC(($AN464+0.01)*3/13,0)+0.99),'Tax scales - NAT 1004'!$A$65:$C$73,3,1)),0)
*13/3,
0),
IF($E$2="Monthly",
ROUND(
ROUND(((TRUNC($AN464*3/13,0)+0.99)*VLOOKUP((TRUNC($AN464*3/13,0)+0.99),'Tax scales - NAT 1004'!$A$65:$C$73,2,1)-VLOOKUP((TRUNC($AN464*3/13,0)+0.99),'Tax scales - NAT 1004'!$A$65:$C$73,3,1)),0)
*13/3,
0),
""))),
""),
"")</f>
        <v/>
      </c>
      <c r="AU464" s="118" t="str">
        <f>IFERROR(
IF(VLOOKUP($C464,'Employee information'!$B:$M,COLUMNS('Employee information'!$B:$M),0)=11,
IF($E$2="Fortnightly",
ROUND(
ROUND((((TRUNC($AN464/2,0)+0.99))*VLOOKUP((TRUNC($AN464/2,0)+0.99),'Tax scales - NAT 3539'!$A$14:$C$38,2,1)-VLOOKUP((TRUNC($AN464/2,0)+0.99),'Tax scales - NAT 3539'!$A$14:$C$38,3,1)),0)
*2,
0),
IF(AND($E$2="Monthly",ROUND($AN464-TRUNC($AN464),2)=0.33),
ROUND(
ROUND(((TRUNC(($AN464+0.01)*3/13,0)+0.99)*VLOOKUP((TRUNC(($AN464+0.01)*3/13,0)+0.99),'Tax scales - NAT 3539'!$A$14:$C$38,2,1)-VLOOKUP((TRUNC(($AN464+0.01)*3/13,0)+0.99),'Tax scales - NAT 3539'!$A$14:$C$38,3,1)),0)
*13/3,
0),
IF($E$2="Monthly",
ROUND(
ROUND(((TRUNC($AN464*3/13,0)+0.99)*VLOOKUP((TRUNC($AN464*3/13,0)+0.99),'Tax scales - NAT 3539'!$A$14:$C$38,2,1)-VLOOKUP((TRUNC($AN464*3/13,0)+0.99),'Tax scales - NAT 3539'!$A$14:$C$38,3,1)),0)
*13/3,
0),
""))),
""),
"")</f>
        <v/>
      </c>
      <c r="AV464" s="118" t="str">
        <f>IFERROR(
IF(VLOOKUP($C464,'Employee information'!$B:$M,COLUMNS('Employee information'!$B:$M),0)=22,
IF($E$2="Fortnightly",
ROUND(
ROUND((((TRUNC($AN464/2,0)+0.99))*VLOOKUP((TRUNC($AN464/2,0)+0.99),'Tax scales - NAT 3539'!$A$43:$C$69,2,1)-VLOOKUP((TRUNC($AN464/2,0)+0.99),'Tax scales - NAT 3539'!$A$43:$C$69,3,1)),0)
*2,
0),
IF(AND($E$2="Monthly",ROUND($AN464-TRUNC($AN464),2)=0.33),
ROUND(
ROUND(((TRUNC(($AN464+0.01)*3/13,0)+0.99)*VLOOKUP((TRUNC(($AN464+0.01)*3/13,0)+0.99),'Tax scales - NAT 3539'!$A$43:$C$69,2,1)-VLOOKUP((TRUNC(($AN464+0.01)*3/13,0)+0.99),'Tax scales - NAT 3539'!$A$43:$C$69,3,1)),0)
*13/3,
0),
IF($E$2="Monthly",
ROUND(
ROUND(((TRUNC($AN464*3/13,0)+0.99)*VLOOKUP((TRUNC($AN464*3/13,0)+0.99),'Tax scales - NAT 3539'!$A$43:$C$69,2,1)-VLOOKUP((TRUNC($AN464*3/13,0)+0.99),'Tax scales - NAT 3539'!$A$43:$C$69,3,1)),0)
*13/3,
0),
""))),
""),
"")</f>
        <v/>
      </c>
      <c r="AW464" s="118" t="str">
        <f>IFERROR(
IF(VLOOKUP($C464,'Employee information'!$B:$M,COLUMNS('Employee information'!$B:$M),0)=33,
IF($E$2="Fortnightly",
ROUND(
ROUND((((TRUNC($AN464/2,0)+0.99))*VLOOKUP((TRUNC($AN464/2,0)+0.99),'Tax scales - NAT 3539'!$A$74:$C$94,2,1)-VLOOKUP((TRUNC($AN464/2,0)+0.99),'Tax scales - NAT 3539'!$A$74:$C$94,3,1)),0)
*2,
0),
IF(AND($E$2="Monthly",ROUND($AN464-TRUNC($AN464),2)=0.33),
ROUND(
ROUND(((TRUNC(($AN464+0.01)*3/13,0)+0.99)*VLOOKUP((TRUNC(($AN464+0.01)*3/13,0)+0.99),'Tax scales - NAT 3539'!$A$74:$C$94,2,1)-VLOOKUP((TRUNC(($AN464+0.01)*3/13,0)+0.99),'Tax scales - NAT 3539'!$A$74:$C$94,3,1)),0)
*13/3,
0),
IF($E$2="Monthly",
ROUND(
ROUND(((TRUNC($AN464*3/13,0)+0.99)*VLOOKUP((TRUNC($AN464*3/13,0)+0.99),'Tax scales - NAT 3539'!$A$74:$C$94,2,1)-VLOOKUP((TRUNC($AN464*3/13,0)+0.99),'Tax scales - NAT 3539'!$A$74:$C$94,3,1)),0)
*13/3,
0),
""))),
""),
"")</f>
        <v/>
      </c>
      <c r="AX464" s="118" t="str">
        <f>IFERROR(
IF(VLOOKUP($C464,'Employee information'!$B:$M,COLUMNS('Employee information'!$B:$M),0)=55,
IF($E$2="Fortnightly",
ROUND(
ROUND((((TRUNC($AN464/2,0)+0.99))*VLOOKUP((TRUNC($AN464/2,0)+0.99),'Tax scales - NAT 3539'!$A$99:$C$123,2,1)-VLOOKUP((TRUNC($AN464/2,0)+0.99),'Tax scales - NAT 3539'!$A$99:$C$123,3,1)),0)
*2,
0),
IF(AND($E$2="Monthly",ROUND($AN464-TRUNC($AN464),2)=0.33),
ROUND(
ROUND(((TRUNC(($AN464+0.01)*3/13,0)+0.99)*VLOOKUP((TRUNC(($AN464+0.01)*3/13,0)+0.99),'Tax scales - NAT 3539'!$A$99:$C$123,2,1)-VLOOKUP((TRUNC(($AN464+0.01)*3/13,0)+0.99),'Tax scales - NAT 3539'!$A$99:$C$123,3,1)),0)
*13/3,
0),
IF($E$2="Monthly",
ROUND(
ROUND(((TRUNC($AN464*3/13,0)+0.99)*VLOOKUP((TRUNC($AN464*3/13,0)+0.99),'Tax scales - NAT 3539'!$A$99:$C$123,2,1)-VLOOKUP((TRUNC($AN464*3/13,0)+0.99),'Tax scales - NAT 3539'!$A$99:$C$123,3,1)),0)
*13/3,
0),
""))),
""),
"")</f>
        <v/>
      </c>
      <c r="AY464" s="118" t="str">
        <f>IFERROR(
IF(VLOOKUP($C464,'Employee information'!$B:$M,COLUMNS('Employee information'!$B:$M),0)=66,
IF($E$2="Fortnightly",
ROUND(
ROUND((((TRUNC($AN464/2,0)+0.99))*VLOOKUP((TRUNC($AN464/2,0)+0.99),'Tax scales - NAT 3539'!$A$127:$C$154,2,1)-VLOOKUP((TRUNC($AN464/2,0)+0.99),'Tax scales - NAT 3539'!$A$127:$C$154,3,1)),0)
*2,
0),
IF(AND($E$2="Monthly",ROUND($AN464-TRUNC($AN464),2)=0.33),
ROUND(
ROUND(((TRUNC(($AN464+0.01)*3/13,0)+0.99)*VLOOKUP((TRUNC(($AN464+0.01)*3/13,0)+0.99),'Tax scales - NAT 3539'!$A$127:$C$154,2,1)-VLOOKUP((TRUNC(($AN464+0.01)*3/13,0)+0.99),'Tax scales - NAT 3539'!$A$127:$C$154,3,1)),0)
*13/3,
0),
IF($E$2="Monthly",
ROUND(
ROUND(((TRUNC($AN464*3/13,0)+0.99)*VLOOKUP((TRUNC($AN464*3/13,0)+0.99),'Tax scales - NAT 3539'!$A$127:$C$154,2,1)-VLOOKUP((TRUNC($AN464*3/13,0)+0.99),'Tax scales - NAT 3539'!$A$127:$C$154,3,1)),0)
*13/3,
0),
""))),
""),
"")</f>
        <v/>
      </c>
      <c r="AZ464" s="118">
        <f>IFERROR(
HLOOKUP(VLOOKUP($C464,'Employee information'!$B:$M,COLUMNS('Employee information'!$B:$M),0),'PAYG worksheet'!$AO$445:$AY$464,COUNTA($C$446:$C464)+1,0),
0)</f>
        <v>0</v>
      </c>
      <c r="BA464" s="118"/>
      <c r="BB464" s="118">
        <f t="shared" si="480"/>
        <v>0</v>
      </c>
      <c r="BC464" s="119">
        <f>IFERROR(
IF(OR($AE464=1,$AE464=""),SUM($P464,$AA464,$AC464,$AK464)*VLOOKUP($C464,'Employee information'!$B:$Q,COLUMNS('Employee information'!$B:$H),0),
IF($AE464=0,SUM($P464,$AA464,$AK464)*VLOOKUP($C464,'Employee information'!$B:$Q,COLUMNS('Employee information'!$B:$H),0),
0)),
0)</f>
        <v>0</v>
      </c>
      <c r="BE464" s="114">
        <f t="shared" si="465"/>
        <v>0</v>
      </c>
      <c r="BF464" s="114">
        <f t="shared" si="466"/>
        <v>0</v>
      </c>
      <c r="BG464" s="114">
        <f t="shared" si="467"/>
        <v>0</v>
      </c>
      <c r="BH464" s="114">
        <f t="shared" si="468"/>
        <v>0</v>
      </c>
      <c r="BI464" s="114">
        <f t="shared" si="469"/>
        <v>0</v>
      </c>
      <c r="BJ464" s="114">
        <f t="shared" si="470"/>
        <v>0</v>
      </c>
      <c r="BK464" s="114">
        <f t="shared" si="471"/>
        <v>0</v>
      </c>
      <c r="BL464" s="114">
        <f t="shared" si="481"/>
        <v>0</v>
      </c>
      <c r="BM464" s="114">
        <f t="shared" si="472"/>
        <v>0</v>
      </c>
    </row>
    <row r="465" spans="1:65" x14ac:dyDescent="0.25">
      <c r="C465" s="284" t="s">
        <v>39</v>
      </c>
      <c r="D465" s="223"/>
      <c r="E465" s="111">
        <f>SUM(E446:E464)</f>
        <v>345</v>
      </c>
      <c r="F465" s="112">
        <f t="shared" ref="F465:H465" si="482">SUM(F446:F464)</f>
        <v>0</v>
      </c>
      <c r="G465" s="112">
        <f t="shared" si="482"/>
        <v>0</v>
      </c>
      <c r="H465" s="112">
        <f t="shared" si="482"/>
        <v>0</v>
      </c>
      <c r="I465" s="112"/>
      <c r="J465" s="111">
        <f t="shared" ref="J465" si="483">SUM(J446:J464)</f>
        <v>345</v>
      </c>
      <c r="K465" s="223"/>
      <c r="L465" s="115">
        <f>SUM(L446:L464)</f>
        <v>19122.576396206536</v>
      </c>
      <c r="M465" s="115">
        <f>SUM(M446:M464)</f>
        <v>308476.60695468914</v>
      </c>
      <c r="N465" s="223"/>
      <c r="O465" s="116">
        <f>SUM(O446:O464)</f>
        <v>345</v>
      </c>
      <c r="P465" s="117">
        <f>SUM(P446:P464)</f>
        <v>19122.576396206536</v>
      </c>
      <c r="R465" s="117">
        <f>SUM(R446:R464)</f>
        <v>308476.60695468914</v>
      </c>
      <c r="S465" s="223"/>
      <c r="T465" s="116">
        <f>SUM(T446:T464)</f>
        <v>0</v>
      </c>
      <c r="U465" s="116">
        <f t="shared" ref="U465:Y465" si="484">SUM(U446:U464)</f>
        <v>0</v>
      </c>
      <c r="V465" s="285">
        <f t="shared" si="484"/>
        <v>0</v>
      </c>
      <c r="W465" s="285">
        <f t="shared" si="484"/>
        <v>0</v>
      </c>
      <c r="X465" s="285">
        <f t="shared" si="484"/>
        <v>1538.4615384615386</v>
      </c>
      <c r="Y465" s="285">
        <f t="shared" si="484"/>
        <v>801.28205128205127</v>
      </c>
      <c r="Z465" s="223"/>
      <c r="AA465" s="117">
        <f t="shared" ref="AA465" si="485">SUM(AA446:AA464)</f>
        <v>0</v>
      </c>
      <c r="AC465" s="117">
        <f t="shared" ref="AC465" si="486">SUM(AC446:AC464)</f>
        <v>0</v>
      </c>
      <c r="AD465" s="117"/>
      <c r="AE465" s="117"/>
      <c r="AF465" s="117"/>
      <c r="AG465" s="117">
        <f t="shared" ref="AG465" si="487">SUM(AG446:AG464)</f>
        <v>0</v>
      </c>
      <c r="AH465" s="117"/>
      <c r="AI465" s="117"/>
      <c r="AJ465" s="117">
        <f>SUM(AJ446:AJ464)</f>
        <v>0</v>
      </c>
      <c r="AK465" s="117">
        <f>SUM(AK446:AK464)</f>
        <v>0</v>
      </c>
      <c r="AM465" s="117">
        <f t="shared" ref="AM465:AN465" si="488">SUM(AM446:AM464)</f>
        <v>19122.576396206536</v>
      </c>
      <c r="AN465" s="117">
        <f t="shared" si="488"/>
        <v>19122.576396206536</v>
      </c>
      <c r="AO465" s="117"/>
      <c r="AP465" s="117"/>
      <c r="AQ465" s="117"/>
      <c r="AR465" s="117"/>
      <c r="AS465" s="117"/>
      <c r="AT465" s="117"/>
      <c r="AU465" s="117"/>
      <c r="AV465" s="117"/>
      <c r="AW465" s="117"/>
      <c r="AX465" s="117"/>
      <c r="AY465" s="117"/>
      <c r="AZ465" s="117">
        <f>SUM(AZ446:AZ464)</f>
        <v>7481</v>
      </c>
      <c r="BA465" s="117">
        <f>SUM(BA446:BA464)</f>
        <v>0</v>
      </c>
      <c r="BB465" s="117">
        <f>SUM(BB446:BB464)</f>
        <v>11641.576396206534</v>
      </c>
      <c r="BC465" s="117">
        <f t="shared" ref="BC465" si="489">SUM(BC446:BC464)</f>
        <v>1816.6447576396208</v>
      </c>
      <c r="BD465" s="136"/>
      <c r="BE465" s="117">
        <f t="shared" ref="BE465:BM465" si="490">SUM(BE446:BE464)</f>
        <v>308716.60695468914</v>
      </c>
      <c r="BF465" s="117">
        <f t="shared" si="490"/>
        <v>308576.60695468914</v>
      </c>
      <c r="BG465" s="117">
        <f t="shared" si="490"/>
        <v>0</v>
      </c>
      <c r="BH465" s="117">
        <f t="shared" si="490"/>
        <v>140</v>
      </c>
      <c r="BI465" s="117">
        <f t="shared" si="490"/>
        <v>120510</v>
      </c>
      <c r="BJ465" s="117">
        <f t="shared" si="490"/>
        <v>0</v>
      </c>
      <c r="BK465" s="117">
        <f t="shared" si="490"/>
        <v>0</v>
      </c>
      <c r="BL465" s="117">
        <f t="shared" si="490"/>
        <v>100</v>
      </c>
      <c r="BM465" s="117">
        <f t="shared" si="490"/>
        <v>29314.777660695469</v>
      </c>
    </row>
    <row r="467" spans="1:65" x14ac:dyDescent="0.25">
      <c r="B467" s="228">
        <v>17</v>
      </c>
      <c r="C467" s="230" t="s">
        <v>2</v>
      </c>
      <c r="E467" s="232">
        <v>44116</v>
      </c>
      <c r="F467" s="148" t="s">
        <v>91</v>
      </c>
      <c r="L467" s="286"/>
      <c r="T467" s="127"/>
      <c r="U467" s="127"/>
      <c r="V467" s="127"/>
      <c r="W467" s="127"/>
      <c r="X467" s="127"/>
      <c r="Y467" s="127"/>
    </row>
    <row r="468" spans="1:65" x14ac:dyDescent="0.25">
      <c r="C468" s="230" t="s">
        <v>3</v>
      </c>
      <c r="E468" s="232">
        <v>44127</v>
      </c>
      <c r="F468" s="148" t="s">
        <v>90</v>
      </c>
      <c r="G468" s="229"/>
      <c r="H468" s="229"/>
      <c r="I468" s="229"/>
      <c r="J468" s="229"/>
      <c r="L468" s="164"/>
      <c r="T468" s="127"/>
      <c r="U468" s="127"/>
      <c r="V468" s="127"/>
      <c r="W468" s="127"/>
      <c r="X468" s="127"/>
      <c r="Y468" s="127"/>
    </row>
    <row r="469" spans="1:65" x14ac:dyDescent="0.25">
      <c r="C469" s="233"/>
    </row>
    <row r="470" spans="1:65" ht="34.5" customHeight="1" x14ac:dyDescent="0.25">
      <c r="C470" s="234"/>
      <c r="D470" s="235"/>
      <c r="E470" s="441" t="s">
        <v>4</v>
      </c>
      <c r="F470" s="442"/>
      <c r="G470" s="442"/>
      <c r="H470" s="442"/>
      <c r="I470" s="442"/>
      <c r="J470" s="443"/>
      <c r="L470" s="444" t="s">
        <v>253</v>
      </c>
      <c r="M470" s="445"/>
      <c r="N470" s="235"/>
      <c r="O470" s="444" t="s">
        <v>148</v>
      </c>
      <c r="P470" s="445"/>
      <c r="R470" s="235"/>
      <c r="T470" s="446" t="s">
        <v>269</v>
      </c>
      <c r="U470" s="447"/>
      <c r="V470" s="447"/>
      <c r="W470" s="447"/>
      <c r="X470" s="447"/>
      <c r="Y470" s="447"/>
      <c r="Z470" s="447"/>
      <c r="AA470" s="447"/>
      <c r="AC470" s="438" t="s">
        <v>274</v>
      </c>
      <c r="AD470" s="438"/>
      <c r="AE470" s="438"/>
      <c r="AF470" s="438"/>
      <c r="AG470" s="438"/>
      <c r="AH470" s="438"/>
      <c r="AI470" s="438"/>
      <c r="AJ470" s="438"/>
      <c r="AK470" s="438"/>
      <c r="AM470" s="439" t="s">
        <v>270</v>
      </c>
      <c r="AN470" s="439"/>
      <c r="AO470" s="439"/>
      <c r="AP470" s="439"/>
      <c r="AQ470" s="439"/>
      <c r="AR470" s="439"/>
      <c r="AS470" s="439"/>
      <c r="AT470" s="439"/>
      <c r="AU470" s="439"/>
      <c r="AV470" s="439"/>
      <c r="AW470" s="439"/>
      <c r="AX470" s="439"/>
      <c r="AY470" s="439"/>
      <c r="AZ470" s="439"/>
      <c r="BA470" s="439"/>
      <c r="BB470" s="439"/>
      <c r="BC470" s="440"/>
      <c r="BE470" s="439" t="s">
        <v>246</v>
      </c>
      <c r="BF470" s="439"/>
      <c r="BG470" s="439"/>
      <c r="BH470" s="439"/>
      <c r="BI470" s="439"/>
      <c r="BJ470" s="439"/>
      <c r="BK470" s="439"/>
      <c r="BL470" s="439"/>
      <c r="BM470" s="439"/>
    </row>
    <row r="471" spans="1:65" x14ac:dyDescent="0.25">
      <c r="C471" s="236"/>
      <c r="E471" s="229"/>
      <c r="F471" s="229"/>
      <c r="G471" s="229"/>
      <c r="H471" s="229"/>
      <c r="I471" s="229"/>
      <c r="J471" s="229"/>
      <c r="L471" s="164"/>
      <c r="O471" s="229"/>
      <c r="P471" s="164"/>
      <c r="T471" s="127"/>
      <c r="U471" s="127"/>
      <c r="V471" s="127"/>
      <c r="W471" s="127"/>
      <c r="X471" s="127"/>
      <c r="Y471" s="127"/>
      <c r="AA471" s="229"/>
      <c r="AC471" s="229"/>
      <c r="AD471" s="229"/>
      <c r="AE471" s="229"/>
      <c r="AF471" s="229"/>
      <c r="AG471" s="229"/>
      <c r="AH471" s="229"/>
      <c r="AI471" s="229"/>
      <c r="AJ471" s="229"/>
      <c r="AK471" s="127"/>
      <c r="AM471" s="229"/>
      <c r="AN471" s="229"/>
      <c r="AO471" s="229"/>
      <c r="AP471" s="229"/>
      <c r="AQ471" s="229"/>
      <c r="AR471" s="229"/>
      <c r="AS471" s="229"/>
      <c r="AT471" s="229"/>
      <c r="AU471" s="229"/>
      <c r="AV471" s="229"/>
      <c r="AW471" s="229"/>
      <c r="AX471" s="229"/>
      <c r="AY471" s="229"/>
      <c r="AZ471" s="229"/>
      <c r="BA471" s="229"/>
      <c r="BB471" s="229"/>
      <c r="BC471" s="229"/>
    </row>
    <row r="472" spans="1:65" ht="60" x14ac:dyDescent="0.25">
      <c r="C472" s="238" t="s">
        <v>5</v>
      </c>
      <c r="D472" s="239"/>
      <c r="E472" s="240" t="s">
        <v>268</v>
      </c>
      <c r="F472" s="241" t="s">
        <v>271</v>
      </c>
      <c r="G472" s="242" t="s">
        <v>267</v>
      </c>
      <c r="H472" s="243" t="s">
        <v>266</v>
      </c>
      <c r="I472" s="242" t="s">
        <v>265</v>
      </c>
      <c r="J472" s="244" t="s">
        <v>6</v>
      </c>
      <c r="L472" s="245" t="s">
        <v>7</v>
      </c>
      <c r="M472" s="246" t="s">
        <v>254</v>
      </c>
      <c r="N472" s="247"/>
      <c r="O472" s="248" t="s">
        <v>272</v>
      </c>
      <c r="P472" s="249" t="s">
        <v>200</v>
      </c>
      <c r="R472" s="250" t="s">
        <v>151</v>
      </c>
      <c r="T472" s="251" t="s">
        <v>8</v>
      </c>
      <c r="U472" s="252" t="s">
        <v>9</v>
      </c>
      <c r="V472" s="252" t="s">
        <v>120</v>
      </c>
      <c r="W472" s="252" t="s">
        <v>121</v>
      </c>
      <c r="X472" s="253" t="s">
        <v>118</v>
      </c>
      <c r="Y472" s="254" t="s">
        <v>119</v>
      </c>
      <c r="AA472" s="255" t="s">
        <v>84</v>
      </c>
      <c r="AC472" s="256" t="s">
        <v>142</v>
      </c>
      <c r="AD472" s="256" t="s">
        <v>138</v>
      </c>
      <c r="AE472" s="257" t="s">
        <v>147</v>
      </c>
      <c r="AF472" s="257" t="s">
        <v>149</v>
      </c>
      <c r="AG472" s="256" t="s">
        <v>305</v>
      </c>
      <c r="AH472" s="256" t="s">
        <v>306</v>
      </c>
      <c r="AI472" s="257" t="s">
        <v>150</v>
      </c>
      <c r="AJ472" s="258" t="s">
        <v>250</v>
      </c>
      <c r="AK472" s="259" t="s">
        <v>373</v>
      </c>
      <c r="AM472" s="260" t="s">
        <v>256</v>
      </c>
      <c r="AN472" s="261" t="s">
        <v>372</v>
      </c>
      <c r="AO472" s="253" t="s">
        <v>170</v>
      </c>
      <c r="AP472" s="253" t="s">
        <v>171</v>
      </c>
      <c r="AQ472" s="253" t="s">
        <v>172</v>
      </c>
      <c r="AR472" s="253" t="s">
        <v>173</v>
      </c>
      <c r="AS472" s="253" t="s">
        <v>174</v>
      </c>
      <c r="AT472" s="253" t="s">
        <v>175</v>
      </c>
      <c r="AU472" s="262" t="s">
        <v>210</v>
      </c>
      <c r="AV472" s="262" t="s">
        <v>211</v>
      </c>
      <c r="AW472" s="262" t="s">
        <v>212</v>
      </c>
      <c r="AX472" s="262" t="s">
        <v>213</v>
      </c>
      <c r="AY472" s="263" t="s">
        <v>214</v>
      </c>
      <c r="AZ472" s="264" t="s">
        <v>111</v>
      </c>
      <c r="BA472" s="265" t="s">
        <v>199</v>
      </c>
      <c r="BB472" s="252" t="s">
        <v>223</v>
      </c>
      <c r="BC472" s="260" t="s">
        <v>112</v>
      </c>
      <c r="BE472" s="260" t="s">
        <v>257</v>
      </c>
      <c r="BF472" s="266" t="s">
        <v>255</v>
      </c>
      <c r="BG472" s="262" t="s">
        <v>247</v>
      </c>
      <c r="BH472" s="262" t="s">
        <v>248</v>
      </c>
      <c r="BI472" s="260" t="s">
        <v>249</v>
      </c>
      <c r="BJ472" s="253" t="s">
        <v>199</v>
      </c>
      <c r="BK472" s="262" t="s">
        <v>251</v>
      </c>
      <c r="BL472" s="259" t="s">
        <v>373</v>
      </c>
      <c r="BM472" s="260" t="s">
        <v>252</v>
      </c>
    </row>
    <row r="473" spans="1:65" x14ac:dyDescent="0.25">
      <c r="T473" s="120"/>
      <c r="U473" s="120"/>
      <c r="V473" s="120"/>
      <c r="W473" s="120"/>
      <c r="X473" s="120"/>
      <c r="Y473" s="120"/>
      <c r="AM473" s="267" t="s">
        <v>322</v>
      </c>
      <c r="AN473" s="237"/>
      <c r="AO473" s="237"/>
      <c r="AP473" s="237"/>
      <c r="AQ473" s="237"/>
      <c r="AR473" s="237"/>
      <c r="AS473" s="237"/>
      <c r="AT473" s="237"/>
      <c r="AU473" s="237"/>
      <c r="AV473" s="237"/>
      <c r="AW473" s="237"/>
      <c r="AX473" s="237"/>
      <c r="AY473" s="237"/>
      <c r="AZ473" s="436" t="s">
        <v>320</v>
      </c>
      <c r="BA473" s="437"/>
      <c r="BB473" s="237"/>
      <c r="BC473" s="267" t="s">
        <v>321</v>
      </c>
    </row>
    <row r="474" spans="1:65" x14ac:dyDescent="0.25">
      <c r="A474" s="228">
        <f t="shared" ref="A474:A493" si="491">IF($E$468="","",$B$467)</f>
        <v>17</v>
      </c>
      <c r="C474" s="268"/>
      <c r="D474" s="239"/>
      <c r="E474" s="269"/>
      <c r="F474" s="270"/>
      <c r="G474" s="271"/>
      <c r="H474" s="272"/>
      <c r="I474" s="271"/>
      <c r="J474" s="273"/>
      <c r="O474" s="274"/>
      <c r="P474" s="247"/>
      <c r="T474" s="271"/>
      <c r="U474" s="271"/>
      <c r="V474" s="275"/>
      <c r="W474" s="269"/>
      <c r="X474" s="269"/>
      <c r="Y474" s="269"/>
      <c r="AA474" s="271"/>
      <c r="AC474" s="271"/>
      <c r="AD474" s="271"/>
      <c r="AE474" s="271"/>
      <c r="AF474" s="271"/>
      <c r="AG474" s="271"/>
      <c r="AH474" s="271"/>
      <c r="AI474" s="271"/>
      <c r="AJ474" s="271"/>
      <c r="AK474" s="275"/>
      <c r="AM474" s="271"/>
      <c r="AN474" s="271"/>
      <c r="AO474" s="276">
        <v>1</v>
      </c>
      <c r="AP474" s="276">
        <v>2</v>
      </c>
      <c r="AQ474" s="276">
        <v>3</v>
      </c>
      <c r="AR474" s="277">
        <v>4</v>
      </c>
      <c r="AS474" s="276">
        <v>5</v>
      </c>
      <c r="AT474" s="276">
        <v>6</v>
      </c>
      <c r="AU474" s="276">
        <v>11</v>
      </c>
      <c r="AV474" s="276">
        <v>22</v>
      </c>
      <c r="AW474" s="276">
        <v>33</v>
      </c>
      <c r="AX474" s="276">
        <v>55</v>
      </c>
      <c r="AY474" s="276">
        <v>66</v>
      </c>
      <c r="AZ474" s="271"/>
      <c r="BA474" s="271"/>
      <c r="BB474" s="271"/>
      <c r="BC474" s="273"/>
    </row>
    <row r="475" spans="1:65" x14ac:dyDescent="0.25">
      <c r="A475" s="228">
        <f t="shared" si="491"/>
        <v>17</v>
      </c>
      <c r="C475" s="278" t="s">
        <v>12</v>
      </c>
      <c r="E475" s="103">
        <f>IF($C475="",0,
IF(AND($E$2="Monthly",$A475&gt;12),0,
IF($E$2="Monthly",VLOOKUP($C475,'Employee information'!$B:$AM,COLUMNS('Employee information'!$B:S),0),
IF($E$2="Fortnightly",VLOOKUP($C475,'Employee information'!$B:$AM,COLUMNS('Employee information'!$B:R),0),
0))))</f>
        <v>75</v>
      </c>
      <c r="F475" s="279"/>
      <c r="G475" s="106"/>
      <c r="H475" s="280"/>
      <c r="I475" s="106"/>
      <c r="J475" s="103">
        <f>IF($E$2="Monthly",
IF(AND($E$2="Monthly",$H475&lt;&gt;""),$H475,
IF(AND($E$2="Monthly",$E475=0),SUM($F475:$G475),
$E475)),
IF($E$2="Fortnightly",
IF(AND($E$2="Fortnightly",$H475&lt;&gt;""),$H475,
IF(AND($E$2="Fortnightly",$F475&lt;&gt;"",$E475&lt;&gt;0),$F475,
IF(AND($E$2="Fortnightly",$E475=0),SUM($F475:$G475),
$E475)))))</f>
        <v>75</v>
      </c>
      <c r="L475" s="113">
        <f>IF(AND($E$2="Monthly",$A475&gt;12),"",
IFERROR($J475*VLOOKUP($C475,'Employee information'!$B:$AI,COLUMNS('Employee information'!$B:$P),0),0))</f>
        <v>3697.576396206533</v>
      </c>
      <c r="M475" s="114">
        <f>IF(AND($E$2="Monthly",$A475&gt;12),"",
SUMIFS($L:$L,$C:$C,$C475,$A:$A,"&lt;="&amp;$A475)
)</f>
        <v>62858.798735511053</v>
      </c>
      <c r="O475" s="103">
        <f>IF($E$2="Monthly",
IF(AND($E$2="Monthly",$H475&lt;&gt;""),$H475,
IF(AND($E$2="Monthly",$E475=0),$F475,
$E475)),
IF($E$2="Fortnightly",
IF(AND($E$2="Fortnightly",$H475&lt;&gt;""),$H475,
IF(AND($E$2="Fortnightly",$F475&lt;&gt;"",$E475&lt;&gt;0),$F475,
IF(AND($E$2="Fortnightly",$E475=0),$F475,
$E475)))))</f>
        <v>75</v>
      </c>
      <c r="P475" s="113">
        <f>IFERROR(
IF(AND($E$2="Monthly",$A475&gt;12),0,
$O475*VLOOKUP($C475,'Employee information'!$B:$AI,COLUMNS('Employee information'!$B:$P),0)),
0)</f>
        <v>3697.576396206533</v>
      </c>
      <c r="R475" s="114">
        <f t="shared" ref="R475:R493" si="492">IF(AND($E$2="Monthly",$A475&gt;12),"",
SUMIFS($P:$P,$C:$C,$C475,$A:$A,"&lt;="&amp;$A475)
)</f>
        <v>62858.798735511053</v>
      </c>
      <c r="T475" s="281"/>
      <c r="U475" s="103"/>
      <c r="V475" s="282">
        <f>IF($C475="","",
IF(AND($E$2="Monthly",$A475&gt;12),"",
$T475*VLOOKUP($C475,'Employee information'!$B:$P,COLUMNS('Employee information'!$B:$P),0)))</f>
        <v>0</v>
      </c>
      <c r="W475" s="282">
        <f>IF($C475="","",
IF(AND($E$2="Monthly",$A475&gt;12),"",
$U475*VLOOKUP($C475,'Employee information'!$B:$P,COLUMNS('Employee information'!$B:$P),0)))</f>
        <v>0</v>
      </c>
      <c r="X475" s="114">
        <f t="shared" ref="X475:X493" si="493">IF(AND($E$2="Monthly",$A475&gt;12),"",
SUMIFS($V:$V,$C:$C,$C475,$A:$A,"&lt;="&amp;$A475)
)</f>
        <v>0</v>
      </c>
      <c r="Y475" s="114">
        <f t="shared" ref="Y475:Y493" si="494">IF(AND($E$2="Monthly",$A475&gt;12),"",
SUMIFS($W:$W,$C:$C,$C475,$A:$A,"&lt;="&amp;$A475)
)</f>
        <v>0</v>
      </c>
      <c r="AA475" s="118">
        <f>IFERROR(
IF(OR('Basic payroll data'!$D$12="",'Basic payroll data'!$D$12="No"),0,
$T475*VLOOKUP($C475,'Employee information'!$B:$P,COLUMNS('Employee information'!$B:$P),0)*AL_loading_perc),
0)</f>
        <v>0</v>
      </c>
      <c r="AC475" s="118"/>
      <c r="AD475" s="118"/>
      <c r="AE475" s="283" t="str">
        <f>IF(LEFT($AD475,6)="Is OTE",1,
IF(LEFT($AD475,10)="Is not OTE",0,
""))</f>
        <v/>
      </c>
      <c r="AF475" s="283" t="str">
        <f>IF(RIGHT($AD475,12)="tax withheld",1,
IF(RIGHT($AD475,16)="tax not withheld",0,
""))</f>
        <v/>
      </c>
      <c r="AG475" s="118"/>
      <c r="AH475" s="118"/>
      <c r="AI475" s="283" t="str">
        <f>IF($AH475="FBT",0,
IF($AH475="Not FBT",1,
""))</f>
        <v/>
      </c>
      <c r="AJ475" s="118"/>
      <c r="AK475" s="118"/>
      <c r="AM475" s="118">
        <f>SUM($L475,$AA475,$AC475,$AG475,$AK475)-$AJ475</f>
        <v>3697.576396206533</v>
      </c>
      <c r="AN475" s="118">
        <f t="shared" ref="AN475:AN493" si="495">IF(AND(OR($AF475=1,$AF475=""),OR($AI475=1,$AI475="")),SUM($L475,$AA475,$AC475,$AG475,$AK475)-$AJ475,
IF(AND(OR($AF475=1,$AF475=""),$AI475=0),SUM($L475,$AA475,$AC475,$AK475)-$AJ475,
IF(AND($AF475=0,OR($AI475=1,$AI475="")),SUM($L475,$AA475,$AG475,$AK475)-$AJ475,
IF(AND($AF475=0,$AI475=0),SUM($L475,$AA475,$AK475)-$AJ475,
""))))</f>
        <v>3697.576396206533</v>
      </c>
      <c r="AO475" s="118" t="str">
        <f>IFERROR(
IF(VLOOKUP($C475,'Employee information'!$B:$M,COLUMNS('Employee information'!$B:$M),0)=1,
IF($E$2="Fortnightly",
ROUND(
ROUND((((TRUNC($AN475/2,0)+0.99))*VLOOKUP((TRUNC($AN475/2,0)+0.99),'Tax scales - NAT 1004'!$A$12:$C$18,2,1)-VLOOKUP((TRUNC($AN475/2,0)+0.99),'Tax scales - NAT 1004'!$A$12:$C$18,3,1)),0)
*2,
0),
IF(AND($E$2="Monthly",ROUND($AN475-TRUNC($AN475),2)=0.33),
ROUND(
ROUND(((TRUNC(($AN475+0.01)*3/13,0)+0.99)*VLOOKUP((TRUNC(($AN475+0.01)*3/13,0)+0.99),'Tax scales - NAT 1004'!$A$12:$C$18,2,1)-VLOOKUP((TRUNC(($AN475+0.01)*3/13,0)+0.99),'Tax scales - NAT 1004'!$A$12:$C$18,3,1)),0)
*13/3,
0),
IF($E$2="Monthly",
ROUND(
ROUND(((TRUNC($AN475*3/13,0)+0.99)*VLOOKUP((TRUNC($AN475*3/13,0)+0.99),'Tax scales - NAT 1004'!$A$12:$C$18,2,1)-VLOOKUP((TRUNC($AN475*3/13,0)+0.99),'Tax scales - NAT 1004'!$A$12:$C$18,3,1)),0)
*13/3,
0),
""))),
""),
"")</f>
        <v/>
      </c>
      <c r="AP475" s="118" t="str">
        <f>IFERROR(
IF(VLOOKUP($C475,'Employee information'!$B:$M,COLUMNS('Employee information'!$B:$M),0)=2,
IF($E$2="Fortnightly",
ROUND(
ROUND((((TRUNC($AN475/2,0)+0.99))*VLOOKUP((TRUNC($AN475/2,0)+0.99),'Tax scales - NAT 1004'!$A$25:$C$33,2,1)-VLOOKUP((TRUNC($AN475/2,0)+0.99),'Tax scales - NAT 1004'!$A$25:$C$33,3,1)),0)
*2,
0),
IF(AND($E$2="Monthly",ROUND($AN475-TRUNC($AN475),2)=0.33),
ROUND(
ROUND(((TRUNC(($AN475+0.01)*3/13,0)+0.99)*VLOOKUP((TRUNC(($AN475+0.01)*3/13,0)+0.99),'Tax scales - NAT 1004'!$A$25:$C$33,2,1)-VLOOKUP((TRUNC(($AN475+0.01)*3/13,0)+0.99),'Tax scales - NAT 1004'!$A$25:$C$33,3,1)),0)
*13/3,
0),
IF($E$2="Monthly",
ROUND(
ROUND(((TRUNC($AN475*3/13,0)+0.99)*VLOOKUP((TRUNC($AN475*3/13,0)+0.99),'Tax scales - NAT 1004'!$A$25:$C$33,2,1)-VLOOKUP((TRUNC($AN475*3/13,0)+0.99),'Tax scales - NAT 1004'!$A$25:$C$33,3,1)),0)
*13/3,
0),
""))),
""),
"")</f>
        <v/>
      </c>
      <c r="AQ475" s="118" t="str">
        <f>IFERROR(
IF(VLOOKUP($C475,'Employee information'!$B:$M,COLUMNS('Employee information'!$B:$M),0)=3,
IF($E$2="Fortnightly",
ROUND(
ROUND((((TRUNC($AN475/2,0)+0.99))*VLOOKUP((TRUNC($AN475/2,0)+0.99),'Tax scales - NAT 1004'!$A$39:$C$41,2,1)-VLOOKUP((TRUNC($AN475/2,0)+0.99),'Tax scales - NAT 1004'!$A$39:$C$41,3,1)),0)
*2,
0),
IF(AND($E$2="Monthly",ROUND($AN475-TRUNC($AN475),2)=0.33),
ROUND(
ROUND(((TRUNC(($AN475+0.01)*3/13,0)+0.99)*VLOOKUP((TRUNC(($AN475+0.01)*3/13,0)+0.99),'Tax scales - NAT 1004'!$A$39:$C$41,2,1)-VLOOKUP((TRUNC(($AN475+0.01)*3/13,0)+0.99),'Tax scales - NAT 1004'!$A$39:$C$41,3,1)),0)
*13/3,
0),
IF($E$2="Monthly",
ROUND(
ROUND(((TRUNC($AN475*3/13,0)+0.99)*VLOOKUP((TRUNC($AN475*3/13,0)+0.99),'Tax scales - NAT 1004'!$A$39:$C$41,2,1)-VLOOKUP((TRUNC($AN475*3/13,0)+0.99),'Tax scales - NAT 1004'!$A$39:$C$41,3,1)),0)
*13/3,
0),
""))),
""),
"")</f>
        <v/>
      </c>
      <c r="AR475" s="118" t="str">
        <f>IFERROR(
IF(AND(VLOOKUP($C475,'Employee information'!$B:$M,COLUMNS('Employee information'!$B:$M),0)=4,
VLOOKUP($C475,'Employee information'!$B:$J,COLUMNS('Employee information'!$B:$J),0)="Resident"),
TRUNC(TRUNC($AN475)*'Tax scales - NAT 1004'!$B$47),
IF(AND(VLOOKUP($C475,'Employee information'!$B:$M,COLUMNS('Employee information'!$B:$M),0)=4,
VLOOKUP($C475,'Employee information'!$B:$J,COLUMNS('Employee information'!$B:$J),0)="Foreign resident"),
TRUNC(TRUNC($AN475)*'Tax scales - NAT 1004'!$B$48),
"")),
"")</f>
        <v/>
      </c>
      <c r="AS475" s="118" t="str">
        <f>IFERROR(
IF(VLOOKUP($C475,'Employee information'!$B:$M,COLUMNS('Employee information'!$B:$M),0)=5,
IF($E$2="Fortnightly",
ROUND(
ROUND((((TRUNC($AN475/2,0)+0.99))*VLOOKUP((TRUNC($AN475/2,0)+0.99),'Tax scales - NAT 1004'!$A$53:$C$59,2,1)-VLOOKUP((TRUNC($AN475/2,0)+0.99),'Tax scales - NAT 1004'!$A$53:$C$59,3,1)),0)
*2,
0),
IF(AND($E$2="Monthly",ROUND($AN475-TRUNC($AN475),2)=0.33),
ROUND(
ROUND(((TRUNC(($AN475+0.01)*3/13,0)+0.99)*VLOOKUP((TRUNC(($AN475+0.01)*3/13,0)+0.99),'Tax scales - NAT 1004'!$A$53:$C$59,2,1)-VLOOKUP((TRUNC(($AN475+0.01)*3/13,0)+0.99),'Tax scales - NAT 1004'!$A$53:$C$59,3,1)),0)
*13/3,
0),
IF($E$2="Monthly",
ROUND(
ROUND(((TRUNC($AN475*3/13,0)+0.99)*VLOOKUP((TRUNC($AN475*3/13,0)+0.99),'Tax scales - NAT 1004'!$A$53:$C$59,2,1)-VLOOKUP((TRUNC($AN475*3/13,0)+0.99),'Tax scales - NAT 1004'!$A$53:$C$59,3,1)),0)
*13/3,
0),
""))),
""),
"")</f>
        <v/>
      </c>
      <c r="AT475" s="118" t="str">
        <f>IFERROR(
IF(VLOOKUP($C475,'Employee information'!$B:$M,COLUMNS('Employee information'!$B:$M),0)=6,
IF($E$2="Fortnightly",
ROUND(
ROUND((((TRUNC($AN475/2,0)+0.99))*VLOOKUP((TRUNC($AN475/2,0)+0.99),'Tax scales - NAT 1004'!$A$65:$C$73,2,1)-VLOOKUP((TRUNC($AN475/2,0)+0.99),'Tax scales - NAT 1004'!$A$65:$C$73,3,1)),0)
*2,
0),
IF(AND($E$2="Monthly",ROUND($AN475-TRUNC($AN475),2)=0.33),
ROUND(
ROUND(((TRUNC(($AN475+0.01)*3/13,0)+0.99)*VLOOKUP((TRUNC(($AN475+0.01)*3/13,0)+0.99),'Tax scales - NAT 1004'!$A$65:$C$73,2,1)-VLOOKUP((TRUNC(($AN475+0.01)*3/13,0)+0.99),'Tax scales - NAT 1004'!$A$65:$C$73,3,1)),0)
*13/3,
0),
IF($E$2="Monthly",
ROUND(
ROUND(((TRUNC($AN475*3/13,0)+0.99)*VLOOKUP((TRUNC($AN475*3/13,0)+0.99),'Tax scales - NAT 1004'!$A$65:$C$73,2,1)-VLOOKUP((TRUNC($AN475*3/13,0)+0.99),'Tax scales - NAT 1004'!$A$65:$C$73,3,1)),0)
*13/3,
0),
""))),
""),
"")</f>
        <v/>
      </c>
      <c r="AU475" s="118">
        <f>IFERROR(
IF(VLOOKUP($C475,'Employee information'!$B:$M,COLUMNS('Employee information'!$B:$M),0)=11,
IF($E$2="Fortnightly",
ROUND(
ROUND((((TRUNC($AN475/2,0)+0.99))*VLOOKUP((TRUNC($AN475/2,0)+0.99),'Tax scales - NAT 3539'!$A$14:$C$38,2,1)-VLOOKUP((TRUNC($AN475/2,0)+0.99),'Tax scales - NAT 3539'!$A$14:$C$38,3,1)),0)
*2,
0),
IF(AND($E$2="Monthly",ROUND($AN475-TRUNC($AN475),2)=0.33),
ROUND(
ROUND(((TRUNC(($AN475+0.01)*3/13,0)+0.99)*VLOOKUP((TRUNC(($AN475+0.01)*3/13,0)+0.99),'Tax scales - NAT 3539'!$A$14:$C$38,2,1)-VLOOKUP((TRUNC(($AN475+0.01)*3/13,0)+0.99),'Tax scales - NAT 3539'!$A$14:$C$38,3,1)),0)
*13/3,
0),
IF($E$2="Monthly",
ROUND(
ROUND(((TRUNC($AN475*3/13,0)+0.99)*VLOOKUP((TRUNC($AN475*3/13,0)+0.99),'Tax scales - NAT 3539'!$A$14:$C$38,2,1)-VLOOKUP((TRUNC($AN475*3/13,0)+0.99),'Tax scales - NAT 3539'!$A$14:$C$38,3,1)),0)
*13/3,
0),
""))),
""),
"")</f>
        <v>1448</v>
      </c>
      <c r="AV475" s="118" t="str">
        <f>IFERROR(
IF(VLOOKUP($C475,'Employee information'!$B:$M,COLUMNS('Employee information'!$B:$M),0)=22,
IF($E$2="Fortnightly",
ROUND(
ROUND((((TRUNC($AN475/2,0)+0.99))*VLOOKUP((TRUNC($AN475/2,0)+0.99),'Tax scales - NAT 3539'!$A$43:$C$69,2,1)-VLOOKUP((TRUNC($AN475/2,0)+0.99),'Tax scales - NAT 3539'!$A$43:$C$69,3,1)),0)
*2,
0),
IF(AND($E$2="Monthly",ROUND($AN475-TRUNC($AN475),2)=0.33),
ROUND(
ROUND(((TRUNC(($AN475+0.01)*3/13,0)+0.99)*VLOOKUP((TRUNC(($AN475+0.01)*3/13,0)+0.99),'Tax scales - NAT 3539'!$A$43:$C$69,2,1)-VLOOKUP((TRUNC(($AN475+0.01)*3/13,0)+0.99),'Tax scales - NAT 3539'!$A$43:$C$69,3,1)),0)
*13/3,
0),
IF($E$2="Monthly",
ROUND(
ROUND(((TRUNC($AN475*3/13,0)+0.99)*VLOOKUP((TRUNC($AN475*3/13,0)+0.99),'Tax scales - NAT 3539'!$A$43:$C$69,2,1)-VLOOKUP((TRUNC($AN475*3/13,0)+0.99),'Tax scales - NAT 3539'!$A$43:$C$69,3,1)),0)
*13/3,
0),
""))),
""),
"")</f>
        <v/>
      </c>
      <c r="AW475" s="118" t="str">
        <f>IFERROR(
IF(VLOOKUP($C475,'Employee information'!$B:$M,COLUMNS('Employee information'!$B:$M),0)=33,
IF($E$2="Fortnightly",
ROUND(
ROUND((((TRUNC($AN475/2,0)+0.99))*VLOOKUP((TRUNC($AN475/2,0)+0.99),'Tax scales - NAT 3539'!$A$74:$C$94,2,1)-VLOOKUP((TRUNC($AN475/2,0)+0.99),'Tax scales - NAT 3539'!$A$74:$C$94,3,1)),0)
*2,
0),
IF(AND($E$2="Monthly",ROUND($AN475-TRUNC($AN475),2)=0.33),
ROUND(
ROUND(((TRUNC(($AN475+0.01)*3/13,0)+0.99)*VLOOKUP((TRUNC(($AN475+0.01)*3/13,0)+0.99),'Tax scales - NAT 3539'!$A$74:$C$94,2,1)-VLOOKUP((TRUNC(($AN475+0.01)*3/13,0)+0.99),'Tax scales - NAT 3539'!$A$74:$C$94,3,1)),0)
*13/3,
0),
IF($E$2="Monthly",
ROUND(
ROUND(((TRUNC($AN475*3/13,0)+0.99)*VLOOKUP((TRUNC($AN475*3/13,0)+0.99),'Tax scales - NAT 3539'!$A$74:$C$94,2,1)-VLOOKUP((TRUNC($AN475*3/13,0)+0.99),'Tax scales - NAT 3539'!$A$74:$C$94,3,1)),0)
*13/3,
0),
""))),
""),
"")</f>
        <v/>
      </c>
      <c r="AX475" s="118" t="str">
        <f>IFERROR(
IF(VLOOKUP($C475,'Employee information'!$B:$M,COLUMNS('Employee information'!$B:$M),0)=55,
IF($E$2="Fortnightly",
ROUND(
ROUND((((TRUNC($AN475/2,0)+0.99))*VLOOKUP((TRUNC($AN475/2,0)+0.99),'Tax scales - NAT 3539'!$A$99:$C$123,2,1)-VLOOKUP((TRUNC($AN475/2,0)+0.99),'Tax scales - NAT 3539'!$A$99:$C$123,3,1)),0)
*2,
0),
IF(AND($E$2="Monthly",ROUND($AN475-TRUNC($AN475),2)=0.33),
ROUND(
ROUND(((TRUNC(($AN475+0.01)*3/13,0)+0.99)*VLOOKUP((TRUNC(($AN475+0.01)*3/13,0)+0.99),'Tax scales - NAT 3539'!$A$99:$C$123,2,1)-VLOOKUP((TRUNC(($AN475+0.01)*3/13,0)+0.99),'Tax scales - NAT 3539'!$A$99:$C$123,3,1)),0)
*13/3,
0),
IF($E$2="Monthly",
ROUND(
ROUND(((TRUNC($AN475*3/13,0)+0.99)*VLOOKUP((TRUNC($AN475*3/13,0)+0.99),'Tax scales - NAT 3539'!$A$99:$C$123,2,1)-VLOOKUP((TRUNC($AN475*3/13,0)+0.99),'Tax scales - NAT 3539'!$A$99:$C$123,3,1)),0)
*13/3,
0),
""))),
""),
"")</f>
        <v/>
      </c>
      <c r="AY475" s="118" t="str">
        <f>IFERROR(
IF(VLOOKUP($C475,'Employee information'!$B:$M,COLUMNS('Employee information'!$B:$M),0)=66,
IF($E$2="Fortnightly",
ROUND(
ROUND((((TRUNC($AN475/2,0)+0.99))*VLOOKUP((TRUNC($AN475/2,0)+0.99),'Tax scales - NAT 3539'!$A$127:$C$154,2,1)-VLOOKUP((TRUNC($AN475/2,0)+0.99),'Tax scales - NAT 3539'!$A$127:$C$154,3,1)),0)
*2,
0),
IF(AND($E$2="Monthly",ROUND($AN475-TRUNC($AN475),2)=0.33),
ROUND(
ROUND(((TRUNC(($AN475+0.01)*3/13,0)+0.99)*VLOOKUP((TRUNC(($AN475+0.01)*3/13,0)+0.99),'Tax scales - NAT 3539'!$A$127:$C$154,2,1)-VLOOKUP((TRUNC(($AN475+0.01)*3/13,0)+0.99),'Tax scales - NAT 3539'!$A$127:$C$154,3,1)),0)
*13/3,
0),
IF($E$2="Monthly",
ROUND(
ROUND(((TRUNC($AN475*3/13,0)+0.99)*VLOOKUP((TRUNC($AN475*3/13,0)+0.99),'Tax scales - NAT 3539'!$A$127:$C$154,2,1)-VLOOKUP((TRUNC($AN475*3/13,0)+0.99),'Tax scales - NAT 3539'!$A$127:$C$154,3,1)),0)
*13/3,
0),
""))),
""),
"")</f>
        <v/>
      </c>
      <c r="AZ475" s="118">
        <f>IFERROR(
HLOOKUP(VLOOKUP($C475,'Employee information'!$B:$M,COLUMNS('Employee information'!$B:$M),0),'PAYG worksheet'!$AO$474:$AY$493,COUNTA($C$475:$C475)+1,0),
0)</f>
        <v>1448</v>
      </c>
      <c r="BA475" s="118"/>
      <c r="BB475" s="118">
        <f>IFERROR($AM475-$AZ475-$BA475,"")</f>
        <v>2249.576396206533</v>
      </c>
      <c r="BC475" s="119">
        <f>IFERROR(
IF(OR($AE475=1,$AE475=""),SUM($P475,$AA475,$AC475,$AK475)*VLOOKUP($C475,'Employee information'!$B:$Q,COLUMNS('Employee information'!$B:$H),0),
IF($AE475=0,SUM($P475,$AA475,$AK475)*VLOOKUP($C475,'Employee information'!$B:$Q,COLUMNS('Employee information'!$B:$H),0),
0)),
0)</f>
        <v>351.26975763962065</v>
      </c>
      <c r="BE475" s="114">
        <f t="shared" ref="BE475:BE493" si="496">IF(AND($E$2="Monthly",$A475&gt;12),"",
SUMIFS($AM:$AM,$C:$C,$C475,$A:$A,"&lt;="&amp;$A475)
)</f>
        <v>62858.798735511053</v>
      </c>
      <c r="BF475" s="114">
        <f t="shared" ref="BF475:BF493" si="497">IF(AND($E$2="Monthly",$A475&gt;12),"",
SUMIFS($AN:$AN,$C:$C,$C475,$A:$A,"&lt;="&amp;$A475)
)</f>
        <v>62858.798735511053</v>
      </c>
      <c r="BG475" s="114">
        <f t="shared" ref="BG475:BG493" si="498">IF(AND($E$2="Monthly",$A475&gt;12),"",
SUMIFS($AC:$AC,$C:$C,$C475,$A:$A,"&lt;="&amp;$A475)
)</f>
        <v>0</v>
      </c>
      <c r="BH475" s="114">
        <f t="shared" ref="BH475:BH493" si="499">IF(AND($E$2="Monthly",$A475&gt;12),"",
SUMIFS($AG:$AG,$C:$C,$C475,$A:$A,"&lt;="&amp;$A475)
)</f>
        <v>0</v>
      </c>
      <c r="BI475" s="114">
        <f t="shared" ref="BI475:BI493" si="500">IF(AND($E$2="Monthly",$A475&gt;12),"",
SUMIFS($AZ:$AZ,$C:$C,$C475,$A:$A,"&lt;="&amp;$A475)
)</f>
        <v>24616</v>
      </c>
      <c r="BJ475" s="114">
        <f t="shared" ref="BJ475:BJ493" si="501">IF(AND($E$2="Monthly",$A475&gt;12),"",
SUMIFS($BA:$BA,$C:$C,$C475,$A:$A,"&lt;="&amp;$A475)
)</f>
        <v>0</v>
      </c>
      <c r="BK475" s="114">
        <f t="shared" ref="BK475:BK493" si="502">IF(AND($E$2="Monthly",$A475&gt;12),"",
SUMIFS($AJ:$AJ,$C:$C,$C475,$A:$A,"&lt;="&amp;$A475)
)</f>
        <v>0</v>
      </c>
      <c r="BL475" s="114">
        <f>IF(AND($E$2="Monthly",$A475&gt;12),"",
SUMIFS($AK:$AK,$C:$C,$C475,$A:$A,"&lt;="&amp;$A475)
)</f>
        <v>0</v>
      </c>
      <c r="BM475" s="114">
        <f t="shared" ref="BM475:BM493" si="503">IF(AND($E$2="Monthly",$A475&gt;12),"",
SUMIFS($BC:$BC,$C:$C,$C475,$A:$A,"&lt;="&amp;$A475)
)</f>
        <v>5971.5858798735508</v>
      </c>
    </row>
    <row r="476" spans="1:65" x14ac:dyDescent="0.25">
      <c r="A476" s="228">
        <f t="shared" si="491"/>
        <v>17</v>
      </c>
      <c r="C476" s="278" t="s">
        <v>13</v>
      </c>
      <c r="E476" s="103">
        <f>IF($C476="",0,
IF(AND($E$2="Monthly",$A476&gt;12),0,
IF($E$2="Monthly",VLOOKUP($C476,'Employee information'!$B:$AM,COLUMNS('Employee information'!$B:S),0),
IF($E$2="Fortnightly",VLOOKUP($C476,'Employee information'!$B:$AM,COLUMNS('Employee information'!$B:R),0),
0))))</f>
        <v>0</v>
      </c>
      <c r="F476" s="106"/>
      <c r="G476" s="106"/>
      <c r="H476" s="106"/>
      <c r="I476" s="106"/>
      <c r="J476" s="103">
        <f t="shared" ref="J476:J493" si="504">IF($E$2="Monthly",
IF(AND($E$2="Monthly",$H476&lt;&gt;""),$H476,
IF(AND($E$2="Monthly",$E476=0),SUM($F476:$G476),
$E476)),
IF($E$2="Fortnightly",
IF(AND($E$2="Fortnightly",$H476&lt;&gt;""),$H476,
IF(AND($E$2="Fortnightly",$F476&lt;&gt;"",$E476&lt;&gt;0),$F476,
IF(AND($E$2="Fortnightly",$E476=0),SUM($F476:$G476),
$E476)))))</f>
        <v>0</v>
      </c>
      <c r="L476" s="113">
        <f>IF(AND($E$2="Monthly",$A476&gt;12),"",
IFERROR($J476*VLOOKUP($C476,'Employee information'!$B:$AI,COLUMNS('Employee information'!$B:$P),0),0))</f>
        <v>0</v>
      </c>
      <c r="M476" s="114">
        <f t="shared" ref="M476:M493" si="505">IF(AND($E$2="Monthly",$A476&gt;12),"",
SUMIFS($L:$L,$C:$C,$C476,$A:$A,"&lt;="&amp;$A476)
)</f>
        <v>1615.3846153846152</v>
      </c>
      <c r="O476" s="103">
        <f t="shared" ref="O476:O493" si="506">IF($E$2="Monthly",
IF(AND($E$2="Monthly",$H476&lt;&gt;""),$H476,
IF(AND($E$2="Monthly",$E476=0),$F476,
$E476)),
IF($E$2="Fortnightly",
IF(AND($E$2="Fortnightly",$H476&lt;&gt;""),$H476,
IF(AND($E$2="Fortnightly",$F476&lt;&gt;"",$E476&lt;&gt;0),$F476,
IF(AND($E$2="Fortnightly",$E476=0),$F476,
$E476)))))</f>
        <v>0</v>
      </c>
      <c r="P476" s="113">
        <f>IFERROR(
IF(AND($E$2="Monthly",$A476&gt;12),0,
$O476*VLOOKUP($C476,'Employee information'!$B:$AI,COLUMNS('Employee information'!$B:$P),0)),
0)</f>
        <v>0</v>
      </c>
      <c r="R476" s="114">
        <f t="shared" si="492"/>
        <v>1615.3846153846152</v>
      </c>
      <c r="T476" s="103"/>
      <c r="U476" s="103"/>
      <c r="V476" s="282">
        <f>IF($C476="","",
IF(AND($E$2="Monthly",$A476&gt;12),"",
$T476*VLOOKUP($C476,'Employee information'!$B:$P,COLUMNS('Employee information'!$B:$P),0)))</f>
        <v>0</v>
      </c>
      <c r="W476" s="282">
        <f>IF($C476="","",
IF(AND($E$2="Monthly",$A476&gt;12),"",
$U476*VLOOKUP($C476,'Employee information'!$B:$P,COLUMNS('Employee information'!$B:$P),0)))</f>
        <v>0</v>
      </c>
      <c r="X476" s="114">
        <f t="shared" si="493"/>
        <v>0</v>
      </c>
      <c r="Y476" s="114">
        <f t="shared" si="494"/>
        <v>288.46153846153845</v>
      </c>
      <c r="AA476" s="118">
        <f>IFERROR(
IF(OR('Basic payroll data'!$D$12="",'Basic payroll data'!$D$12="No"),0,
$T476*VLOOKUP($C476,'Employee information'!$B:$P,COLUMNS('Employee information'!$B:$P),0)*AL_loading_perc),
0)</f>
        <v>0</v>
      </c>
      <c r="AC476" s="118"/>
      <c r="AD476" s="118"/>
      <c r="AE476" s="283" t="str">
        <f t="shared" ref="AE476:AE493" si="507">IF(LEFT($AD476,6)="Is OTE",1,
IF(LEFT($AD476,10)="Is not OTE",0,
""))</f>
        <v/>
      </c>
      <c r="AF476" s="283" t="str">
        <f t="shared" ref="AF476:AF493" si="508">IF(RIGHT($AD476,12)="tax withheld",1,
IF(RIGHT($AD476,16)="tax not withheld",0,
""))</f>
        <v/>
      </c>
      <c r="AG476" s="118"/>
      <c r="AH476" s="118"/>
      <c r="AI476" s="283" t="str">
        <f t="shared" ref="AI476:AI493" si="509">IF($AH476="FBT",0,
IF($AH476="Not FBT",1,
""))</f>
        <v/>
      </c>
      <c r="AJ476" s="118"/>
      <c r="AK476" s="118"/>
      <c r="AM476" s="118">
        <f t="shared" ref="AM476:AM493" si="510">SUM($L476,$AA476,$AC476,$AG476,$AK476)-$AJ476</f>
        <v>0</v>
      </c>
      <c r="AN476" s="118">
        <f t="shared" si="495"/>
        <v>0</v>
      </c>
      <c r="AO476" s="118" t="str">
        <f>IFERROR(
IF(VLOOKUP($C476,'Employee information'!$B:$M,COLUMNS('Employee information'!$B:$M),0)=1,
IF($E$2="Fortnightly",
ROUND(
ROUND((((TRUNC($AN476/2,0)+0.99))*VLOOKUP((TRUNC($AN476/2,0)+0.99),'Tax scales - NAT 1004'!$A$12:$C$18,2,1)-VLOOKUP((TRUNC($AN476/2,0)+0.99),'Tax scales - NAT 1004'!$A$12:$C$18,3,1)),0)
*2,
0),
IF(AND($E$2="Monthly",ROUND($AN476-TRUNC($AN476),2)=0.33),
ROUND(
ROUND(((TRUNC(($AN476+0.01)*3/13,0)+0.99)*VLOOKUP((TRUNC(($AN476+0.01)*3/13,0)+0.99),'Tax scales - NAT 1004'!$A$12:$C$18,2,1)-VLOOKUP((TRUNC(($AN476+0.01)*3/13,0)+0.99),'Tax scales - NAT 1004'!$A$12:$C$18,3,1)),0)
*13/3,
0),
IF($E$2="Monthly",
ROUND(
ROUND(((TRUNC($AN476*3/13,0)+0.99)*VLOOKUP((TRUNC($AN476*3/13,0)+0.99),'Tax scales - NAT 1004'!$A$12:$C$18,2,1)-VLOOKUP((TRUNC($AN476*3/13,0)+0.99),'Tax scales - NAT 1004'!$A$12:$C$18,3,1)),0)
*13/3,
0),
""))),
""),
"")</f>
        <v/>
      </c>
      <c r="AP476" s="118" t="str">
        <f>IFERROR(
IF(VLOOKUP($C476,'Employee information'!$B:$M,COLUMNS('Employee information'!$B:$M),0)=2,
IF($E$2="Fortnightly",
ROUND(
ROUND((((TRUNC($AN476/2,0)+0.99))*VLOOKUP((TRUNC($AN476/2,0)+0.99),'Tax scales - NAT 1004'!$A$25:$C$33,2,1)-VLOOKUP((TRUNC($AN476/2,0)+0.99),'Tax scales - NAT 1004'!$A$25:$C$33,3,1)),0)
*2,
0),
IF(AND($E$2="Monthly",ROUND($AN476-TRUNC($AN476),2)=0.33),
ROUND(
ROUND(((TRUNC(($AN476+0.01)*3/13,0)+0.99)*VLOOKUP((TRUNC(($AN476+0.01)*3/13,0)+0.99),'Tax scales - NAT 1004'!$A$25:$C$33,2,1)-VLOOKUP((TRUNC(($AN476+0.01)*3/13,0)+0.99),'Tax scales - NAT 1004'!$A$25:$C$33,3,1)),0)
*13/3,
0),
IF($E$2="Monthly",
ROUND(
ROUND(((TRUNC($AN476*3/13,0)+0.99)*VLOOKUP((TRUNC($AN476*3/13,0)+0.99),'Tax scales - NAT 1004'!$A$25:$C$33,2,1)-VLOOKUP((TRUNC($AN476*3/13,0)+0.99),'Tax scales - NAT 1004'!$A$25:$C$33,3,1)),0)
*13/3,
0),
""))),
""),
"")</f>
        <v/>
      </c>
      <c r="AQ476" s="118" t="str">
        <f>IFERROR(
IF(VLOOKUP($C476,'Employee information'!$B:$M,COLUMNS('Employee information'!$B:$M),0)=3,
IF($E$2="Fortnightly",
ROUND(
ROUND((((TRUNC($AN476/2,0)+0.99))*VLOOKUP((TRUNC($AN476/2,0)+0.99),'Tax scales - NAT 1004'!$A$39:$C$41,2,1)-VLOOKUP((TRUNC($AN476/2,0)+0.99),'Tax scales - NAT 1004'!$A$39:$C$41,3,1)),0)
*2,
0),
IF(AND($E$2="Monthly",ROUND($AN476-TRUNC($AN476),2)=0.33),
ROUND(
ROUND(((TRUNC(($AN476+0.01)*3/13,0)+0.99)*VLOOKUP((TRUNC(($AN476+0.01)*3/13,0)+0.99),'Tax scales - NAT 1004'!$A$39:$C$41,2,1)-VLOOKUP((TRUNC(($AN476+0.01)*3/13,0)+0.99),'Tax scales - NAT 1004'!$A$39:$C$41,3,1)),0)
*13/3,
0),
IF($E$2="Monthly",
ROUND(
ROUND(((TRUNC($AN476*3/13,0)+0.99)*VLOOKUP((TRUNC($AN476*3/13,0)+0.99),'Tax scales - NAT 1004'!$A$39:$C$41,2,1)-VLOOKUP((TRUNC($AN476*3/13,0)+0.99),'Tax scales - NAT 1004'!$A$39:$C$41,3,1)),0)
*13/3,
0),
""))),
""),
"")</f>
        <v/>
      </c>
      <c r="AR476" s="118" t="str">
        <f>IFERROR(
IF(AND(VLOOKUP($C476,'Employee information'!$B:$M,COLUMNS('Employee information'!$B:$M),0)=4,
VLOOKUP($C476,'Employee information'!$B:$J,COLUMNS('Employee information'!$B:$J),0)="Resident"),
TRUNC(TRUNC($AN476)*'Tax scales - NAT 1004'!$B$47),
IF(AND(VLOOKUP($C476,'Employee information'!$B:$M,COLUMNS('Employee information'!$B:$M),0)=4,
VLOOKUP($C476,'Employee information'!$B:$J,COLUMNS('Employee information'!$B:$J),0)="Foreign resident"),
TRUNC(TRUNC($AN476)*'Tax scales - NAT 1004'!$B$48),
"")),
"")</f>
        <v/>
      </c>
      <c r="AS476" s="118" t="str">
        <f>IFERROR(
IF(VLOOKUP($C476,'Employee information'!$B:$M,COLUMNS('Employee information'!$B:$M),0)=5,
IF($E$2="Fortnightly",
ROUND(
ROUND((((TRUNC($AN476/2,0)+0.99))*VLOOKUP((TRUNC($AN476/2,0)+0.99),'Tax scales - NAT 1004'!$A$53:$C$59,2,1)-VLOOKUP((TRUNC($AN476/2,0)+0.99),'Tax scales - NAT 1004'!$A$53:$C$59,3,1)),0)
*2,
0),
IF(AND($E$2="Monthly",ROUND($AN476-TRUNC($AN476),2)=0.33),
ROUND(
ROUND(((TRUNC(($AN476+0.01)*3/13,0)+0.99)*VLOOKUP((TRUNC(($AN476+0.01)*3/13,0)+0.99),'Tax scales - NAT 1004'!$A$53:$C$59,2,1)-VLOOKUP((TRUNC(($AN476+0.01)*3/13,0)+0.99),'Tax scales - NAT 1004'!$A$53:$C$59,3,1)),0)
*13/3,
0),
IF($E$2="Monthly",
ROUND(
ROUND(((TRUNC($AN476*3/13,0)+0.99)*VLOOKUP((TRUNC($AN476*3/13,0)+0.99),'Tax scales - NAT 1004'!$A$53:$C$59,2,1)-VLOOKUP((TRUNC($AN476*3/13,0)+0.99),'Tax scales - NAT 1004'!$A$53:$C$59,3,1)),0)
*13/3,
0),
""))),
""),
"")</f>
        <v/>
      </c>
      <c r="AT476" s="118" t="str">
        <f>IFERROR(
IF(VLOOKUP($C476,'Employee information'!$B:$M,COLUMNS('Employee information'!$B:$M),0)=6,
IF($E$2="Fortnightly",
ROUND(
ROUND((((TRUNC($AN476/2,0)+0.99))*VLOOKUP((TRUNC($AN476/2,0)+0.99),'Tax scales - NAT 1004'!$A$65:$C$73,2,1)-VLOOKUP((TRUNC($AN476/2,0)+0.99),'Tax scales - NAT 1004'!$A$65:$C$73,3,1)),0)
*2,
0),
IF(AND($E$2="Monthly",ROUND($AN476-TRUNC($AN476),2)=0.33),
ROUND(
ROUND(((TRUNC(($AN476+0.01)*3/13,0)+0.99)*VLOOKUP((TRUNC(($AN476+0.01)*3/13,0)+0.99),'Tax scales - NAT 1004'!$A$65:$C$73,2,1)-VLOOKUP((TRUNC(($AN476+0.01)*3/13,0)+0.99),'Tax scales - NAT 1004'!$A$65:$C$73,3,1)),0)
*13/3,
0),
IF($E$2="Monthly",
ROUND(
ROUND(((TRUNC($AN476*3/13,0)+0.99)*VLOOKUP((TRUNC($AN476*3/13,0)+0.99),'Tax scales - NAT 1004'!$A$65:$C$73,2,1)-VLOOKUP((TRUNC($AN476*3/13,0)+0.99),'Tax scales - NAT 1004'!$A$65:$C$73,3,1)),0)
*13/3,
0),
""))),
""),
"")</f>
        <v/>
      </c>
      <c r="AU476" s="118">
        <f>IFERROR(
IF(VLOOKUP($C476,'Employee information'!$B:$M,COLUMNS('Employee information'!$B:$M),0)=11,
IF($E$2="Fortnightly",
ROUND(
ROUND((((TRUNC($AN476/2,0)+0.99))*VLOOKUP((TRUNC($AN476/2,0)+0.99),'Tax scales - NAT 3539'!$A$14:$C$38,2,1)-VLOOKUP((TRUNC($AN476/2,0)+0.99),'Tax scales - NAT 3539'!$A$14:$C$38,3,1)),0)
*2,
0),
IF(AND($E$2="Monthly",ROUND($AN476-TRUNC($AN476),2)=0.33),
ROUND(
ROUND(((TRUNC(($AN476+0.01)*3/13,0)+0.99)*VLOOKUP((TRUNC(($AN476+0.01)*3/13,0)+0.99),'Tax scales - NAT 3539'!$A$14:$C$38,2,1)-VLOOKUP((TRUNC(($AN476+0.01)*3/13,0)+0.99),'Tax scales - NAT 3539'!$A$14:$C$38,3,1)),0)
*13/3,
0),
IF($E$2="Monthly",
ROUND(
ROUND(((TRUNC($AN476*3/13,0)+0.99)*VLOOKUP((TRUNC($AN476*3/13,0)+0.99),'Tax scales - NAT 3539'!$A$14:$C$38,2,1)-VLOOKUP((TRUNC($AN476*3/13,0)+0.99),'Tax scales - NAT 3539'!$A$14:$C$38,3,1)),0)
*13/3,
0),
""))),
""),
"")</f>
        <v>0</v>
      </c>
      <c r="AV476" s="118" t="str">
        <f>IFERROR(
IF(VLOOKUP($C476,'Employee information'!$B:$M,COLUMNS('Employee information'!$B:$M),0)=22,
IF($E$2="Fortnightly",
ROUND(
ROUND((((TRUNC($AN476/2,0)+0.99))*VLOOKUP((TRUNC($AN476/2,0)+0.99),'Tax scales - NAT 3539'!$A$43:$C$69,2,1)-VLOOKUP((TRUNC($AN476/2,0)+0.99),'Tax scales - NAT 3539'!$A$43:$C$69,3,1)),0)
*2,
0),
IF(AND($E$2="Monthly",ROUND($AN476-TRUNC($AN476),2)=0.33),
ROUND(
ROUND(((TRUNC(($AN476+0.01)*3/13,0)+0.99)*VLOOKUP((TRUNC(($AN476+0.01)*3/13,0)+0.99),'Tax scales - NAT 3539'!$A$43:$C$69,2,1)-VLOOKUP((TRUNC(($AN476+0.01)*3/13,0)+0.99),'Tax scales - NAT 3539'!$A$43:$C$69,3,1)),0)
*13/3,
0),
IF($E$2="Monthly",
ROUND(
ROUND(((TRUNC($AN476*3/13,0)+0.99)*VLOOKUP((TRUNC($AN476*3/13,0)+0.99),'Tax scales - NAT 3539'!$A$43:$C$69,2,1)-VLOOKUP((TRUNC($AN476*3/13,0)+0.99),'Tax scales - NAT 3539'!$A$43:$C$69,3,1)),0)
*13/3,
0),
""))),
""),
"")</f>
        <v/>
      </c>
      <c r="AW476" s="118" t="str">
        <f>IFERROR(
IF(VLOOKUP($C476,'Employee information'!$B:$M,COLUMNS('Employee information'!$B:$M),0)=33,
IF($E$2="Fortnightly",
ROUND(
ROUND((((TRUNC($AN476/2,0)+0.99))*VLOOKUP((TRUNC($AN476/2,0)+0.99),'Tax scales - NAT 3539'!$A$74:$C$94,2,1)-VLOOKUP((TRUNC($AN476/2,0)+0.99),'Tax scales - NAT 3539'!$A$74:$C$94,3,1)),0)
*2,
0),
IF(AND($E$2="Monthly",ROUND($AN476-TRUNC($AN476),2)=0.33),
ROUND(
ROUND(((TRUNC(($AN476+0.01)*3/13,0)+0.99)*VLOOKUP((TRUNC(($AN476+0.01)*3/13,0)+0.99),'Tax scales - NAT 3539'!$A$74:$C$94,2,1)-VLOOKUP((TRUNC(($AN476+0.01)*3/13,0)+0.99),'Tax scales - NAT 3539'!$A$74:$C$94,3,1)),0)
*13/3,
0),
IF($E$2="Monthly",
ROUND(
ROUND(((TRUNC($AN476*3/13,0)+0.99)*VLOOKUP((TRUNC($AN476*3/13,0)+0.99),'Tax scales - NAT 3539'!$A$74:$C$94,2,1)-VLOOKUP((TRUNC($AN476*3/13,0)+0.99),'Tax scales - NAT 3539'!$A$74:$C$94,3,1)),0)
*13/3,
0),
""))),
""),
"")</f>
        <v/>
      </c>
      <c r="AX476" s="118" t="str">
        <f>IFERROR(
IF(VLOOKUP($C476,'Employee information'!$B:$M,COLUMNS('Employee information'!$B:$M),0)=55,
IF($E$2="Fortnightly",
ROUND(
ROUND((((TRUNC($AN476/2,0)+0.99))*VLOOKUP((TRUNC($AN476/2,0)+0.99),'Tax scales - NAT 3539'!$A$99:$C$123,2,1)-VLOOKUP((TRUNC($AN476/2,0)+0.99),'Tax scales - NAT 3539'!$A$99:$C$123,3,1)),0)
*2,
0),
IF(AND($E$2="Monthly",ROUND($AN476-TRUNC($AN476),2)=0.33),
ROUND(
ROUND(((TRUNC(($AN476+0.01)*3/13,0)+0.99)*VLOOKUP((TRUNC(($AN476+0.01)*3/13,0)+0.99),'Tax scales - NAT 3539'!$A$99:$C$123,2,1)-VLOOKUP((TRUNC(($AN476+0.01)*3/13,0)+0.99),'Tax scales - NAT 3539'!$A$99:$C$123,3,1)),0)
*13/3,
0),
IF($E$2="Monthly",
ROUND(
ROUND(((TRUNC($AN476*3/13,0)+0.99)*VLOOKUP((TRUNC($AN476*3/13,0)+0.99),'Tax scales - NAT 3539'!$A$99:$C$123,2,1)-VLOOKUP((TRUNC($AN476*3/13,0)+0.99),'Tax scales - NAT 3539'!$A$99:$C$123,3,1)),0)
*13/3,
0),
""))),
""),
"")</f>
        <v/>
      </c>
      <c r="AY476" s="118" t="str">
        <f>IFERROR(
IF(VLOOKUP($C476,'Employee information'!$B:$M,COLUMNS('Employee information'!$B:$M),0)=66,
IF($E$2="Fortnightly",
ROUND(
ROUND((((TRUNC($AN476/2,0)+0.99))*VLOOKUP((TRUNC($AN476/2,0)+0.99),'Tax scales - NAT 3539'!$A$127:$C$154,2,1)-VLOOKUP((TRUNC($AN476/2,0)+0.99),'Tax scales - NAT 3539'!$A$127:$C$154,3,1)),0)
*2,
0),
IF(AND($E$2="Monthly",ROUND($AN476-TRUNC($AN476),2)=0.33),
ROUND(
ROUND(((TRUNC(($AN476+0.01)*3/13,0)+0.99)*VLOOKUP((TRUNC(($AN476+0.01)*3/13,0)+0.99),'Tax scales - NAT 3539'!$A$127:$C$154,2,1)-VLOOKUP((TRUNC(($AN476+0.01)*3/13,0)+0.99),'Tax scales - NAT 3539'!$A$127:$C$154,3,1)),0)
*13/3,
0),
IF($E$2="Monthly",
ROUND(
ROUND(((TRUNC($AN476*3/13,0)+0.99)*VLOOKUP((TRUNC($AN476*3/13,0)+0.99),'Tax scales - NAT 3539'!$A$127:$C$154,2,1)-VLOOKUP((TRUNC($AN476*3/13,0)+0.99),'Tax scales - NAT 3539'!$A$127:$C$154,3,1)),0)
*13/3,
0),
""))),
""),
"")</f>
        <v/>
      </c>
      <c r="AZ476" s="118">
        <f>IFERROR(
HLOOKUP(VLOOKUP($C476,'Employee information'!$B:$M,COLUMNS('Employee information'!$B:$M),0),'PAYG worksheet'!$AO$474:$AY$493,COUNTA($C$475:$C476)+1,0),
0)</f>
        <v>0</v>
      </c>
      <c r="BA476" s="118"/>
      <c r="BB476" s="118">
        <f t="shared" ref="BB476:BB493" si="511">IFERROR($AM476-$AZ476-$BA476,"")</f>
        <v>0</v>
      </c>
      <c r="BC476" s="119">
        <f>IFERROR(
IF(OR($AE476=1,$AE476=""),SUM($P476,$AA476,$AC476,$AK476)*VLOOKUP($C476,'Employee information'!$B:$Q,COLUMNS('Employee information'!$B:$H),0),
IF($AE476=0,SUM($P476,$AA476,$AK476)*VLOOKUP($C476,'Employee information'!$B:$Q,COLUMNS('Employee information'!$B:$H),0),
0)),
0)</f>
        <v>0</v>
      </c>
      <c r="BE476" s="114">
        <f t="shared" si="496"/>
        <v>1615.3846153846152</v>
      </c>
      <c r="BF476" s="114">
        <f t="shared" si="497"/>
        <v>1615.3846153846152</v>
      </c>
      <c r="BG476" s="114">
        <f t="shared" si="498"/>
        <v>0</v>
      </c>
      <c r="BH476" s="114">
        <f t="shared" si="499"/>
        <v>0</v>
      </c>
      <c r="BI476" s="114">
        <f t="shared" si="500"/>
        <v>474</v>
      </c>
      <c r="BJ476" s="114">
        <f t="shared" si="501"/>
        <v>0</v>
      </c>
      <c r="BK476" s="114">
        <f t="shared" si="502"/>
        <v>0</v>
      </c>
      <c r="BL476" s="114">
        <f t="shared" ref="BL476:BL493" si="512">IF(AND($E$2="Monthly",$A476&gt;12),"",
SUMIFS($AK:$AK,$C:$C,$C476,$A:$A,"&lt;="&amp;$A476)
)</f>
        <v>0</v>
      </c>
      <c r="BM476" s="114">
        <f t="shared" si="503"/>
        <v>153.46153846153845</v>
      </c>
    </row>
    <row r="477" spans="1:65" x14ac:dyDescent="0.25">
      <c r="A477" s="228">
        <f t="shared" si="491"/>
        <v>17</v>
      </c>
      <c r="C477" s="278" t="s">
        <v>14</v>
      </c>
      <c r="E477" s="103">
        <f>IF($C477="",0,
IF(AND($E$2="Monthly",$A477&gt;12),0,
IF($E$2="Monthly",VLOOKUP($C477,'Employee information'!$B:$AM,COLUMNS('Employee information'!$B:S),0),
IF($E$2="Fortnightly",VLOOKUP($C477,'Employee information'!$B:$AM,COLUMNS('Employee information'!$B:R),0),
0))))</f>
        <v>0</v>
      </c>
      <c r="F477" s="106"/>
      <c r="G477" s="106"/>
      <c r="H477" s="106"/>
      <c r="I477" s="106"/>
      <c r="J477" s="103">
        <f t="shared" si="504"/>
        <v>0</v>
      </c>
      <c r="L477" s="113">
        <f>IF(AND($E$2="Monthly",$A477&gt;12),"",
IFERROR($J477*VLOOKUP($C477,'Employee information'!$B:$AI,COLUMNS('Employee information'!$B:$P),0),0))</f>
        <v>0</v>
      </c>
      <c r="M477" s="114">
        <f t="shared" si="505"/>
        <v>900</v>
      </c>
      <c r="O477" s="103">
        <f t="shared" si="506"/>
        <v>0</v>
      </c>
      <c r="P477" s="113">
        <f>IFERROR(
IF(AND($E$2="Monthly",$A477&gt;12),0,
$O477*VLOOKUP($C477,'Employee information'!$B:$AI,COLUMNS('Employee information'!$B:$P),0)),
0)</f>
        <v>0</v>
      </c>
      <c r="R477" s="114">
        <f t="shared" si="492"/>
        <v>900</v>
      </c>
      <c r="T477" s="103"/>
      <c r="U477" s="103"/>
      <c r="V477" s="282">
        <f>IF($C477="","",
IF(AND($E$2="Monthly",$A477&gt;12),"",
$T477*VLOOKUP($C477,'Employee information'!$B:$P,COLUMNS('Employee information'!$B:$P),0)))</f>
        <v>0</v>
      </c>
      <c r="W477" s="282">
        <f>IF($C477="","",
IF(AND($E$2="Monthly",$A477&gt;12),"",
$U477*VLOOKUP($C477,'Employee information'!$B:$P,COLUMNS('Employee information'!$B:$P),0)))</f>
        <v>0</v>
      </c>
      <c r="X477" s="114">
        <f t="shared" si="493"/>
        <v>0</v>
      </c>
      <c r="Y477" s="114">
        <f t="shared" si="494"/>
        <v>0</v>
      </c>
      <c r="AA477" s="118">
        <f>IFERROR(
IF(OR('Basic payroll data'!$D$12="",'Basic payroll data'!$D$12="No"),0,
$T477*VLOOKUP($C477,'Employee information'!$B:$P,COLUMNS('Employee information'!$B:$P),0)*AL_loading_perc),
0)</f>
        <v>0</v>
      </c>
      <c r="AC477" s="118"/>
      <c r="AD477" s="118"/>
      <c r="AE477" s="283" t="str">
        <f t="shared" si="507"/>
        <v/>
      </c>
      <c r="AF477" s="283" t="str">
        <f t="shared" si="508"/>
        <v/>
      </c>
      <c r="AG477" s="118"/>
      <c r="AH477" s="118"/>
      <c r="AI477" s="283" t="str">
        <f t="shared" si="509"/>
        <v/>
      </c>
      <c r="AJ477" s="118"/>
      <c r="AK477" s="118"/>
      <c r="AM477" s="118">
        <f t="shared" si="510"/>
        <v>0</v>
      </c>
      <c r="AN477" s="118">
        <f t="shared" si="495"/>
        <v>0</v>
      </c>
      <c r="AO477" s="118" t="str">
        <f>IFERROR(
IF(VLOOKUP($C477,'Employee information'!$B:$M,COLUMNS('Employee information'!$B:$M),0)=1,
IF($E$2="Fortnightly",
ROUND(
ROUND((((TRUNC($AN477/2,0)+0.99))*VLOOKUP((TRUNC($AN477/2,0)+0.99),'Tax scales - NAT 1004'!$A$12:$C$18,2,1)-VLOOKUP((TRUNC($AN477/2,0)+0.99),'Tax scales - NAT 1004'!$A$12:$C$18,3,1)),0)
*2,
0),
IF(AND($E$2="Monthly",ROUND($AN477-TRUNC($AN477),2)=0.33),
ROUND(
ROUND(((TRUNC(($AN477+0.01)*3/13,0)+0.99)*VLOOKUP((TRUNC(($AN477+0.01)*3/13,0)+0.99),'Tax scales - NAT 1004'!$A$12:$C$18,2,1)-VLOOKUP((TRUNC(($AN477+0.01)*3/13,0)+0.99),'Tax scales - NAT 1004'!$A$12:$C$18,3,1)),0)
*13/3,
0),
IF($E$2="Monthly",
ROUND(
ROUND(((TRUNC($AN477*3/13,0)+0.99)*VLOOKUP((TRUNC($AN477*3/13,0)+0.99),'Tax scales - NAT 1004'!$A$12:$C$18,2,1)-VLOOKUP((TRUNC($AN477*3/13,0)+0.99),'Tax scales - NAT 1004'!$A$12:$C$18,3,1)),0)
*13/3,
0),
""))),
""),
"")</f>
        <v/>
      </c>
      <c r="AP477" s="118" t="str">
        <f>IFERROR(
IF(VLOOKUP($C477,'Employee information'!$B:$M,COLUMNS('Employee information'!$B:$M),0)=2,
IF($E$2="Fortnightly",
ROUND(
ROUND((((TRUNC($AN477/2,0)+0.99))*VLOOKUP((TRUNC($AN477/2,0)+0.99),'Tax scales - NAT 1004'!$A$25:$C$33,2,1)-VLOOKUP((TRUNC($AN477/2,0)+0.99),'Tax scales - NAT 1004'!$A$25:$C$33,3,1)),0)
*2,
0),
IF(AND($E$2="Monthly",ROUND($AN477-TRUNC($AN477),2)=0.33),
ROUND(
ROUND(((TRUNC(($AN477+0.01)*3/13,0)+0.99)*VLOOKUP((TRUNC(($AN477+0.01)*3/13,0)+0.99),'Tax scales - NAT 1004'!$A$25:$C$33,2,1)-VLOOKUP((TRUNC(($AN477+0.01)*3/13,0)+0.99),'Tax scales - NAT 1004'!$A$25:$C$33,3,1)),0)
*13/3,
0),
IF($E$2="Monthly",
ROUND(
ROUND(((TRUNC($AN477*3/13,0)+0.99)*VLOOKUP((TRUNC($AN477*3/13,0)+0.99),'Tax scales - NAT 1004'!$A$25:$C$33,2,1)-VLOOKUP((TRUNC($AN477*3/13,0)+0.99),'Tax scales - NAT 1004'!$A$25:$C$33,3,1)),0)
*13/3,
0),
""))),
""),
"")</f>
        <v/>
      </c>
      <c r="AQ477" s="118" t="str">
        <f>IFERROR(
IF(VLOOKUP($C477,'Employee information'!$B:$M,COLUMNS('Employee information'!$B:$M),0)=3,
IF($E$2="Fortnightly",
ROUND(
ROUND((((TRUNC($AN477/2,0)+0.99))*VLOOKUP((TRUNC($AN477/2,0)+0.99),'Tax scales - NAT 1004'!$A$39:$C$41,2,1)-VLOOKUP((TRUNC($AN477/2,0)+0.99),'Tax scales - NAT 1004'!$A$39:$C$41,3,1)),0)
*2,
0),
IF(AND($E$2="Monthly",ROUND($AN477-TRUNC($AN477),2)=0.33),
ROUND(
ROUND(((TRUNC(($AN477+0.01)*3/13,0)+0.99)*VLOOKUP((TRUNC(($AN477+0.01)*3/13,0)+0.99),'Tax scales - NAT 1004'!$A$39:$C$41,2,1)-VLOOKUP((TRUNC(($AN477+0.01)*3/13,0)+0.99),'Tax scales - NAT 1004'!$A$39:$C$41,3,1)),0)
*13/3,
0),
IF($E$2="Monthly",
ROUND(
ROUND(((TRUNC($AN477*3/13,0)+0.99)*VLOOKUP((TRUNC($AN477*3/13,0)+0.99),'Tax scales - NAT 1004'!$A$39:$C$41,2,1)-VLOOKUP((TRUNC($AN477*3/13,0)+0.99),'Tax scales - NAT 1004'!$A$39:$C$41,3,1)),0)
*13/3,
0),
""))),
""),
"")</f>
        <v/>
      </c>
      <c r="AR477" s="118" t="str">
        <f>IFERROR(
IF(AND(VLOOKUP($C477,'Employee information'!$B:$M,COLUMNS('Employee information'!$B:$M),0)=4,
VLOOKUP($C477,'Employee information'!$B:$J,COLUMNS('Employee information'!$B:$J),0)="Resident"),
TRUNC(TRUNC($AN477)*'Tax scales - NAT 1004'!$B$47),
IF(AND(VLOOKUP($C477,'Employee information'!$B:$M,COLUMNS('Employee information'!$B:$M),0)=4,
VLOOKUP($C477,'Employee information'!$B:$J,COLUMNS('Employee information'!$B:$J),0)="Foreign resident"),
TRUNC(TRUNC($AN477)*'Tax scales - NAT 1004'!$B$48),
"")),
"")</f>
        <v/>
      </c>
      <c r="AS477" s="118" t="str">
        <f>IFERROR(
IF(VLOOKUP($C477,'Employee information'!$B:$M,COLUMNS('Employee information'!$B:$M),0)=5,
IF($E$2="Fortnightly",
ROUND(
ROUND((((TRUNC($AN477/2,0)+0.99))*VLOOKUP((TRUNC($AN477/2,0)+0.99),'Tax scales - NAT 1004'!$A$53:$C$59,2,1)-VLOOKUP((TRUNC($AN477/2,0)+0.99),'Tax scales - NAT 1004'!$A$53:$C$59,3,1)),0)
*2,
0),
IF(AND($E$2="Monthly",ROUND($AN477-TRUNC($AN477),2)=0.33),
ROUND(
ROUND(((TRUNC(($AN477+0.01)*3/13,0)+0.99)*VLOOKUP((TRUNC(($AN477+0.01)*3/13,0)+0.99),'Tax scales - NAT 1004'!$A$53:$C$59,2,1)-VLOOKUP((TRUNC(($AN477+0.01)*3/13,0)+0.99),'Tax scales - NAT 1004'!$A$53:$C$59,3,1)),0)
*13/3,
0),
IF($E$2="Monthly",
ROUND(
ROUND(((TRUNC($AN477*3/13,0)+0.99)*VLOOKUP((TRUNC($AN477*3/13,0)+0.99),'Tax scales - NAT 1004'!$A$53:$C$59,2,1)-VLOOKUP((TRUNC($AN477*3/13,0)+0.99),'Tax scales - NAT 1004'!$A$53:$C$59,3,1)),0)
*13/3,
0),
""))),
""),
"")</f>
        <v/>
      </c>
      <c r="AT477" s="118" t="str">
        <f>IFERROR(
IF(VLOOKUP($C477,'Employee information'!$B:$M,COLUMNS('Employee information'!$B:$M),0)=6,
IF($E$2="Fortnightly",
ROUND(
ROUND((((TRUNC($AN477/2,0)+0.99))*VLOOKUP((TRUNC($AN477/2,0)+0.99),'Tax scales - NAT 1004'!$A$65:$C$73,2,1)-VLOOKUP((TRUNC($AN477/2,0)+0.99),'Tax scales - NAT 1004'!$A$65:$C$73,3,1)),0)
*2,
0),
IF(AND($E$2="Monthly",ROUND($AN477-TRUNC($AN477),2)=0.33),
ROUND(
ROUND(((TRUNC(($AN477+0.01)*3/13,0)+0.99)*VLOOKUP((TRUNC(($AN477+0.01)*3/13,0)+0.99),'Tax scales - NAT 1004'!$A$65:$C$73,2,1)-VLOOKUP((TRUNC(($AN477+0.01)*3/13,0)+0.99),'Tax scales - NAT 1004'!$A$65:$C$73,3,1)),0)
*13/3,
0),
IF($E$2="Monthly",
ROUND(
ROUND(((TRUNC($AN477*3/13,0)+0.99)*VLOOKUP((TRUNC($AN477*3/13,0)+0.99),'Tax scales - NAT 1004'!$A$65:$C$73,2,1)-VLOOKUP((TRUNC($AN477*3/13,0)+0.99),'Tax scales - NAT 1004'!$A$65:$C$73,3,1)),0)
*13/3,
0),
""))),
""),
"")</f>
        <v/>
      </c>
      <c r="AU477" s="118" t="str">
        <f>IFERROR(
IF(VLOOKUP($C477,'Employee information'!$B:$M,COLUMNS('Employee information'!$B:$M),0)=11,
IF($E$2="Fortnightly",
ROUND(
ROUND((((TRUNC($AN477/2,0)+0.99))*VLOOKUP((TRUNC($AN477/2,0)+0.99),'Tax scales - NAT 3539'!$A$14:$C$38,2,1)-VLOOKUP((TRUNC($AN477/2,0)+0.99),'Tax scales - NAT 3539'!$A$14:$C$38,3,1)),0)
*2,
0),
IF(AND($E$2="Monthly",ROUND($AN477-TRUNC($AN477),2)=0.33),
ROUND(
ROUND(((TRUNC(($AN477+0.01)*3/13,0)+0.99)*VLOOKUP((TRUNC(($AN477+0.01)*3/13,0)+0.99),'Tax scales - NAT 3539'!$A$14:$C$38,2,1)-VLOOKUP((TRUNC(($AN477+0.01)*3/13,0)+0.99),'Tax scales - NAT 3539'!$A$14:$C$38,3,1)),0)
*13/3,
0),
IF($E$2="Monthly",
ROUND(
ROUND(((TRUNC($AN477*3/13,0)+0.99)*VLOOKUP((TRUNC($AN477*3/13,0)+0.99),'Tax scales - NAT 3539'!$A$14:$C$38,2,1)-VLOOKUP((TRUNC($AN477*3/13,0)+0.99),'Tax scales - NAT 3539'!$A$14:$C$38,3,1)),0)
*13/3,
0),
""))),
""),
"")</f>
        <v/>
      </c>
      <c r="AV477" s="118" t="str">
        <f>IFERROR(
IF(VLOOKUP($C477,'Employee information'!$B:$M,COLUMNS('Employee information'!$B:$M),0)=22,
IF($E$2="Fortnightly",
ROUND(
ROUND((((TRUNC($AN477/2,0)+0.99))*VLOOKUP((TRUNC($AN477/2,0)+0.99),'Tax scales - NAT 3539'!$A$43:$C$69,2,1)-VLOOKUP((TRUNC($AN477/2,0)+0.99),'Tax scales - NAT 3539'!$A$43:$C$69,3,1)),0)
*2,
0),
IF(AND($E$2="Monthly",ROUND($AN477-TRUNC($AN477),2)=0.33),
ROUND(
ROUND(((TRUNC(($AN477+0.01)*3/13,0)+0.99)*VLOOKUP((TRUNC(($AN477+0.01)*3/13,0)+0.99),'Tax scales - NAT 3539'!$A$43:$C$69,2,1)-VLOOKUP((TRUNC(($AN477+0.01)*3/13,0)+0.99),'Tax scales - NAT 3539'!$A$43:$C$69,3,1)),0)
*13/3,
0),
IF($E$2="Monthly",
ROUND(
ROUND(((TRUNC($AN477*3/13,0)+0.99)*VLOOKUP((TRUNC($AN477*3/13,0)+0.99),'Tax scales - NAT 3539'!$A$43:$C$69,2,1)-VLOOKUP((TRUNC($AN477*3/13,0)+0.99),'Tax scales - NAT 3539'!$A$43:$C$69,3,1)),0)
*13/3,
0),
""))),
""),
"")</f>
        <v/>
      </c>
      <c r="AW477" s="118">
        <f>IFERROR(
IF(VLOOKUP($C477,'Employee information'!$B:$M,COLUMNS('Employee information'!$B:$M),0)=33,
IF($E$2="Fortnightly",
ROUND(
ROUND((((TRUNC($AN477/2,0)+0.99))*VLOOKUP((TRUNC($AN477/2,0)+0.99),'Tax scales - NAT 3539'!$A$74:$C$94,2,1)-VLOOKUP((TRUNC($AN477/2,0)+0.99),'Tax scales - NAT 3539'!$A$74:$C$94,3,1)),0)
*2,
0),
IF(AND($E$2="Monthly",ROUND($AN477-TRUNC($AN477),2)=0.33),
ROUND(
ROUND(((TRUNC(($AN477+0.01)*3/13,0)+0.99)*VLOOKUP((TRUNC(($AN477+0.01)*3/13,0)+0.99),'Tax scales - NAT 3539'!$A$74:$C$94,2,1)-VLOOKUP((TRUNC(($AN477+0.01)*3/13,0)+0.99),'Tax scales - NAT 3539'!$A$74:$C$94,3,1)),0)
*13/3,
0),
IF($E$2="Monthly",
ROUND(
ROUND(((TRUNC($AN477*3/13,0)+0.99)*VLOOKUP((TRUNC($AN477*3/13,0)+0.99),'Tax scales - NAT 3539'!$A$74:$C$94,2,1)-VLOOKUP((TRUNC($AN477*3/13,0)+0.99),'Tax scales - NAT 3539'!$A$74:$C$94,3,1)),0)
*13/3,
0),
""))),
""),
"")</f>
        <v>0</v>
      </c>
      <c r="AX477" s="118" t="str">
        <f>IFERROR(
IF(VLOOKUP($C477,'Employee information'!$B:$M,COLUMNS('Employee information'!$B:$M),0)=55,
IF($E$2="Fortnightly",
ROUND(
ROUND((((TRUNC($AN477/2,0)+0.99))*VLOOKUP((TRUNC($AN477/2,0)+0.99),'Tax scales - NAT 3539'!$A$99:$C$123,2,1)-VLOOKUP((TRUNC($AN477/2,0)+0.99),'Tax scales - NAT 3539'!$A$99:$C$123,3,1)),0)
*2,
0),
IF(AND($E$2="Monthly",ROUND($AN477-TRUNC($AN477),2)=0.33),
ROUND(
ROUND(((TRUNC(($AN477+0.01)*3/13,0)+0.99)*VLOOKUP((TRUNC(($AN477+0.01)*3/13,0)+0.99),'Tax scales - NAT 3539'!$A$99:$C$123,2,1)-VLOOKUP((TRUNC(($AN477+0.01)*3/13,0)+0.99),'Tax scales - NAT 3539'!$A$99:$C$123,3,1)),0)
*13/3,
0),
IF($E$2="Monthly",
ROUND(
ROUND(((TRUNC($AN477*3/13,0)+0.99)*VLOOKUP((TRUNC($AN477*3/13,0)+0.99),'Tax scales - NAT 3539'!$A$99:$C$123,2,1)-VLOOKUP((TRUNC($AN477*3/13,0)+0.99),'Tax scales - NAT 3539'!$A$99:$C$123,3,1)),0)
*13/3,
0),
""))),
""),
"")</f>
        <v/>
      </c>
      <c r="AY477" s="118" t="str">
        <f>IFERROR(
IF(VLOOKUP($C477,'Employee information'!$B:$M,COLUMNS('Employee information'!$B:$M),0)=66,
IF($E$2="Fortnightly",
ROUND(
ROUND((((TRUNC($AN477/2,0)+0.99))*VLOOKUP((TRUNC($AN477/2,0)+0.99),'Tax scales - NAT 3539'!$A$127:$C$154,2,1)-VLOOKUP((TRUNC($AN477/2,0)+0.99),'Tax scales - NAT 3539'!$A$127:$C$154,3,1)),0)
*2,
0),
IF(AND($E$2="Monthly",ROUND($AN477-TRUNC($AN477),2)=0.33),
ROUND(
ROUND(((TRUNC(($AN477+0.01)*3/13,0)+0.99)*VLOOKUP((TRUNC(($AN477+0.01)*3/13,0)+0.99),'Tax scales - NAT 3539'!$A$127:$C$154,2,1)-VLOOKUP((TRUNC(($AN477+0.01)*3/13,0)+0.99),'Tax scales - NAT 3539'!$A$127:$C$154,3,1)),0)
*13/3,
0),
IF($E$2="Monthly",
ROUND(
ROUND(((TRUNC($AN477*3/13,0)+0.99)*VLOOKUP((TRUNC($AN477*3/13,0)+0.99),'Tax scales - NAT 3539'!$A$127:$C$154,2,1)-VLOOKUP((TRUNC($AN477*3/13,0)+0.99),'Tax scales - NAT 3539'!$A$127:$C$154,3,1)),0)
*13/3,
0),
""))),
""),
"")</f>
        <v/>
      </c>
      <c r="AZ477" s="118">
        <f>IFERROR(
HLOOKUP(VLOOKUP($C477,'Employee information'!$B:$M,COLUMNS('Employee information'!$B:$M),0),'PAYG worksheet'!$AO$474:$AY$493,COUNTA($C$475:$C477)+1,0),
0)</f>
        <v>0</v>
      </c>
      <c r="BA477" s="118"/>
      <c r="BB477" s="118">
        <f t="shared" si="511"/>
        <v>0</v>
      </c>
      <c r="BC477" s="119">
        <f>IFERROR(
IF(OR($AE477=1,$AE477=""),SUM($P477,$AA477,$AC477,$AK477)*VLOOKUP($C477,'Employee information'!$B:$Q,COLUMNS('Employee information'!$B:$H),0),
IF($AE477=0,SUM($P477,$AA477,$AK477)*VLOOKUP($C477,'Employee information'!$B:$Q,COLUMNS('Employee information'!$B:$H),0),
0)),
0)</f>
        <v>0</v>
      </c>
      <c r="BE477" s="114">
        <f t="shared" si="496"/>
        <v>900</v>
      </c>
      <c r="BF477" s="114">
        <f t="shared" si="497"/>
        <v>900</v>
      </c>
      <c r="BG477" s="114">
        <f t="shared" si="498"/>
        <v>0</v>
      </c>
      <c r="BH477" s="114">
        <f t="shared" si="499"/>
        <v>0</v>
      </c>
      <c r="BI477" s="114">
        <f t="shared" si="500"/>
        <v>292</v>
      </c>
      <c r="BJ477" s="114">
        <f t="shared" si="501"/>
        <v>0</v>
      </c>
      <c r="BK477" s="114">
        <f t="shared" si="502"/>
        <v>0</v>
      </c>
      <c r="BL477" s="114">
        <f t="shared" si="512"/>
        <v>0</v>
      </c>
      <c r="BM477" s="114">
        <f t="shared" si="503"/>
        <v>85.5</v>
      </c>
    </row>
    <row r="478" spans="1:65" x14ac:dyDescent="0.25">
      <c r="A478" s="228">
        <f t="shared" si="491"/>
        <v>17</v>
      </c>
      <c r="C478" s="278" t="s">
        <v>15</v>
      </c>
      <c r="E478" s="103">
        <f>IF($C478="",0,
IF(AND($E$2="Monthly",$A478&gt;12),0,
IF($E$2="Monthly",VLOOKUP($C478,'Employee information'!$B:$AM,COLUMNS('Employee information'!$B:S),0),
IF($E$2="Fortnightly",VLOOKUP($C478,'Employee information'!$B:$AM,COLUMNS('Employee information'!$B:R),0),
0))))</f>
        <v>75</v>
      </c>
      <c r="F478" s="106"/>
      <c r="G478" s="106"/>
      <c r="H478" s="106"/>
      <c r="I478" s="106"/>
      <c r="J478" s="103">
        <f t="shared" si="504"/>
        <v>75</v>
      </c>
      <c r="L478" s="113">
        <f>IF(AND($E$2="Monthly",$A478&gt;12),"",
IFERROR($J478*VLOOKUP($C478,'Employee information'!$B:$AI,COLUMNS('Employee information'!$B:$P),0),0))</f>
        <v>7692.3076923076924</v>
      </c>
      <c r="M478" s="114">
        <f t="shared" si="505"/>
        <v>130769.23076923074</v>
      </c>
      <c r="O478" s="103">
        <f t="shared" si="506"/>
        <v>75</v>
      </c>
      <c r="P478" s="113">
        <f>IFERROR(
IF(AND($E$2="Monthly",$A478&gt;12),0,
$O478*VLOOKUP($C478,'Employee information'!$B:$AI,COLUMNS('Employee information'!$B:$P),0)),
0)</f>
        <v>7692.3076923076924</v>
      </c>
      <c r="R478" s="114">
        <f t="shared" si="492"/>
        <v>130769.23076923074</v>
      </c>
      <c r="T478" s="103"/>
      <c r="U478" s="103"/>
      <c r="V478" s="282">
        <f>IF($C478="","",
IF(AND($E$2="Monthly",$A478&gt;12),"",
$T478*VLOOKUP($C478,'Employee information'!$B:$P,COLUMNS('Employee information'!$B:$P),0)))</f>
        <v>0</v>
      </c>
      <c r="W478" s="282">
        <f>IF($C478="","",
IF(AND($E$2="Monthly",$A478&gt;12),"",
$U478*VLOOKUP($C478,'Employee information'!$B:$P,COLUMNS('Employee information'!$B:$P),0)))</f>
        <v>0</v>
      </c>
      <c r="X478" s="114">
        <f t="shared" si="493"/>
        <v>1538.4615384615386</v>
      </c>
      <c r="Y478" s="114">
        <f t="shared" si="494"/>
        <v>512.82051282051282</v>
      </c>
      <c r="AA478" s="118">
        <f>IFERROR(
IF(OR('Basic payroll data'!$D$12="",'Basic payroll data'!$D$12="No"),0,
$T478*VLOOKUP($C478,'Employee information'!$B:$P,COLUMNS('Employee information'!$B:$P),0)*AL_loading_perc),
0)</f>
        <v>0</v>
      </c>
      <c r="AC478" s="118"/>
      <c r="AD478" s="118"/>
      <c r="AE478" s="283" t="str">
        <f t="shared" si="507"/>
        <v/>
      </c>
      <c r="AF478" s="283" t="str">
        <f t="shared" si="508"/>
        <v/>
      </c>
      <c r="AG478" s="118"/>
      <c r="AH478" s="118"/>
      <c r="AI478" s="283" t="str">
        <f t="shared" si="509"/>
        <v/>
      </c>
      <c r="AJ478" s="118"/>
      <c r="AK478" s="118"/>
      <c r="AM478" s="118">
        <f t="shared" si="510"/>
        <v>7692.3076923076924</v>
      </c>
      <c r="AN478" s="118">
        <f t="shared" si="495"/>
        <v>7692.3076923076924</v>
      </c>
      <c r="AO478" s="118" t="str">
        <f>IFERROR(
IF(VLOOKUP($C478,'Employee information'!$B:$M,COLUMNS('Employee information'!$B:$M),0)=1,
IF($E$2="Fortnightly",
ROUND(
ROUND((((TRUNC($AN478/2,0)+0.99))*VLOOKUP((TRUNC($AN478/2,0)+0.99),'Tax scales - NAT 1004'!$A$12:$C$18,2,1)-VLOOKUP((TRUNC($AN478/2,0)+0.99),'Tax scales - NAT 1004'!$A$12:$C$18,3,1)),0)
*2,
0),
IF(AND($E$2="Monthly",ROUND($AN478-TRUNC($AN478),2)=0.33),
ROUND(
ROUND(((TRUNC(($AN478+0.01)*3/13,0)+0.99)*VLOOKUP((TRUNC(($AN478+0.01)*3/13,0)+0.99),'Tax scales - NAT 1004'!$A$12:$C$18,2,1)-VLOOKUP((TRUNC(($AN478+0.01)*3/13,0)+0.99),'Tax scales - NAT 1004'!$A$12:$C$18,3,1)),0)
*13/3,
0),
IF($E$2="Monthly",
ROUND(
ROUND(((TRUNC($AN478*3/13,0)+0.99)*VLOOKUP((TRUNC($AN478*3/13,0)+0.99),'Tax scales - NAT 1004'!$A$12:$C$18,2,1)-VLOOKUP((TRUNC($AN478*3/13,0)+0.99),'Tax scales - NAT 1004'!$A$12:$C$18,3,1)),0)
*13/3,
0),
""))),
""),
"")</f>
        <v/>
      </c>
      <c r="AP478" s="118" t="str">
        <f>IFERROR(
IF(VLOOKUP($C478,'Employee information'!$B:$M,COLUMNS('Employee information'!$B:$M),0)=2,
IF($E$2="Fortnightly",
ROUND(
ROUND((((TRUNC($AN478/2,0)+0.99))*VLOOKUP((TRUNC($AN478/2,0)+0.99),'Tax scales - NAT 1004'!$A$25:$C$33,2,1)-VLOOKUP((TRUNC($AN478/2,0)+0.99),'Tax scales - NAT 1004'!$A$25:$C$33,3,1)),0)
*2,
0),
IF(AND($E$2="Monthly",ROUND($AN478-TRUNC($AN478),2)=0.33),
ROUND(
ROUND(((TRUNC(($AN478+0.01)*3/13,0)+0.99)*VLOOKUP((TRUNC(($AN478+0.01)*3/13,0)+0.99),'Tax scales - NAT 1004'!$A$25:$C$33,2,1)-VLOOKUP((TRUNC(($AN478+0.01)*3/13,0)+0.99),'Tax scales - NAT 1004'!$A$25:$C$33,3,1)),0)
*13/3,
0),
IF($E$2="Monthly",
ROUND(
ROUND(((TRUNC($AN478*3/13,0)+0.99)*VLOOKUP((TRUNC($AN478*3/13,0)+0.99),'Tax scales - NAT 1004'!$A$25:$C$33,2,1)-VLOOKUP((TRUNC($AN478*3/13,0)+0.99),'Tax scales - NAT 1004'!$A$25:$C$33,3,1)),0)
*13/3,
0),
""))),
""),
"")</f>
        <v/>
      </c>
      <c r="AQ478" s="118" t="str">
        <f>IFERROR(
IF(VLOOKUP($C478,'Employee information'!$B:$M,COLUMNS('Employee information'!$B:$M),0)=3,
IF($E$2="Fortnightly",
ROUND(
ROUND((((TRUNC($AN478/2,0)+0.99))*VLOOKUP((TRUNC($AN478/2,0)+0.99),'Tax scales - NAT 1004'!$A$39:$C$41,2,1)-VLOOKUP((TRUNC($AN478/2,0)+0.99),'Tax scales - NAT 1004'!$A$39:$C$41,3,1)),0)
*2,
0),
IF(AND($E$2="Monthly",ROUND($AN478-TRUNC($AN478),2)=0.33),
ROUND(
ROUND(((TRUNC(($AN478+0.01)*3/13,0)+0.99)*VLOOKUP((TRUNC(($AN478+0.01)*3/13,0)+0.99),'Tax scales - NAT 1004'!$A$39:$C$41,2,1)-VLOOKUP((TRUNC(($AN478+0.01)*3/13,0)+0.99),'Tax scales - NAT 1004'!$A$39:$C$41,3,1)),0)
*13/3,
0),
IF($E$2="Monthly",
ROUND(
ROUND(((TRUNC($AN478*3/13,0)+0.99)*VLOOKUP((TRUNC($AN478*3/13,0)+0.99),'Tax scales - NAT 1004'!$A$39:$C$41,2,1)-VLOOKUP((TRUNC($AN478*3/13,0)+0.99),'Tax scales - NAT 1004'!$A$39:$C$41,3,1)),0)
*13/3,
0),
""))),
""),
"")</f>
        <v/>
      </c>
      <c r="AR478" s="118" t="str">
        <f>IFERROR(
IF(AND(VLOOKUP($C478,'Employee information'!$B:$M,COLUMNS('Employee information'!$B:$M),0)=4,
VLOOKUP($C478,'Employee information'!$B:$J,COLUMNS('Employee information'!$B:$J),0)="Resident"),
TRUNC(TRUNC($AN478)*'Tax scales - NAT 1004'!$B$47),
IF(AND(VLOOKUP($C478,'Employee information'!$B:$M,COLUMNS('Employee information'!$B:$M),0)=4,
VLOOKUP($C478,'Employee information'!$B:$J,COLUMNS('Employee information'!$B:$J),0)="Foreign resident"),
TRUNC(TRUNC($AN478)*'Tax scales - NAT 1004'!$B$48),
"")),
"")</f>
        <v/>
      </c>
      <c r="AS478" s="118" t="str">
        <f>IFERROR(
IF(VLOOKUP($C478,'Employee information'!$B:$M,COLUMNS('Employee information'!$B:$M),0)=5,
IF($E$2="Fortnightly",
ROUND(
ROUND((((TRUNC($AN478/2,0)+0.99))*VLOOKUP((TRUNC($AN478/2,0)+0.99),'Tax scales - NAT 1004'!$A$53:$C$59,2,1)-VLOOKUP((TRUNC($AN478/2,0)+0.99),'Tax scales - NAT 1004'!$A$53:$C$59,3,1)),0)
*2,
0),
IF(AND($E$2="Monthly",ROUND($AN478-TRUNC($AN478),2)=0.33),
ROUND(
ROUND(((TRUNC(($AN478+0.01)*3/13,0)+0.99)*VLOOKUP((TRUNC(($AN478+0.01)*3/13,0)+0.99),'Tax scales - NAT 1004'!$A$53:$C$59,2,1)-VLOOKUP((TRUNC(($AN478+0.01)*3/13,0)+0.99),'Tax scales - NAT 1004'!$A$53:$C$59,3,1)),0)
*13/3,
0),
IF($E$2="Monthly",
ROUND(
ROUND(((TRUNC($AN478*3/13,0)+0.99)*VLOOKUP((TRUNC($AN478*3/13,0)+0.99),'Tax scales - NAT 1004'!$A$53:$C$59,2,1)-VLOOKUP((TRUNC($AN478*3/13,0)+0.99),'Tax scales - NAT 1004'!$A$53:$C$59,3,1)),0)
*13/3,
0),
""))),
""),
"")</f>
        <v/>
      </c>
      <c r="AT478" s="118" t="str">
        <f>IFERROR(
IF(VLOOKUP($C478,'Employee information'!$B:$M,COLUMNS('Employee information'!$B:$M),0)=6,
IF($E$2="Fortnightly",
ROUND(
ROUND((((TRUNC($AN478/2,0)+0.99))*VLOOKUP((TRUNC($AN478/2,0)+0.99),'Tax scales - NAT 1004'!$A$65:$C$73,2,1)-VLOOKUP((TRUNC($AN478/2,0)+0.99),'Tax scales - NAT 1004'!$A$65:$C$73,3,1)),0)
*2,
0),
IF(AND($E$2="Monthly",ROUND($AN478-TRUNC($AN478),2)=0.33),
ROUND(
ROUND(((TRUNC(($AN478+0.01)*3/13,0)+0.99)*VLOOKUP((TRUNC(($AN478+0.01)*3/13,0)+0.99),'Tax scales - NAT 1004'!$A$65:$C$73,2,1)-VLOOKUP((TRUNC(($AN478+0.01)*3/13,0)+0.99),'Tax scales - NAT 1004'!$A$65:$C$73,3,1)),0)
*13/3,
0),
IF($E$2="Monthly",
ROUND(
ROUND(((TRUNC($AN478*3/13,0)+0.99)*VLOOKUP((TRUNC($AN478*3/13,0)+0.99),'Tax scales - NAT 1004'!$A$65:$C$73,2,1)-VLOOKUP((TRUNC($AN478*3/13,0)+0.99),'Tax scales - NAT 1004'!$A$65:$C$73,3,1)),0)
*13/3,
0),
""))),
""),
"")</f>
        <v/>
      </c>
      <c r="AU478" s="118" t="str">
        <f>IFERROR(
IF(VLOOKUP($C478,'Employee information'!$B:$M,COLUMNS('Employee information'!$B:$M),0)=11,
IF($E$2="Fortnightly",
ROUND(
ROUND((((TRUNC($AN478/2,0)+0.99))*VLOOKUP((TRUNC($AN478/2,0)+0.99),'Tax scales - NAT 3539'!$A$14:$C$38,2,1)-VLOOKUP((TRUNC($AN478/2,0)+0.99),'Tax scales - NAT 3539'!$A$14:$C$38,3,1)),0)
*2,
0),
IF(AND($E$2="Monthly",ROUND($AN478-TRUNC($AN478),2)=0.33),
ROUND(
ROUND(((TRUNC(($AN478+0.01)*3/13,0)+0.99)*VLOOKUP((TRUNC(($AN478+0.01)*3/13,0)+0.99),'Tax scales - NAT 3539'!$A$14:$C$38,2,1)-VLOOKUP((TRUNC(($AN478+0.01)*3/13,0)+0.99),'Tax scales - NAT 3539'!$A$14:$C$38,3,1)),0)
*13/3,
0),
IF($E$2="Monthly",
ROUND(
ROUND(((TRUNC($AN478*3/13,0)+0.99)*VLOOKUP((TRUNC($AN478*3/13,0)+0.99),'Tax scales - NAT 3539'!$A$14:$C$38,2,1)-VLOOKUP((TRUNC($AN478*3/13,0)+0.99),'Tax scales - NAT 3539'!$A$14:$C$38,3,1)),0)
*13/3,
0),
""))),
""),
"")</f>
        <v/>
      </c>
      <c r="AV478" s="118" t="str">
        <f>IFERROR(
IF(VLOOKUP($C478,'Employee information'!$B:$M,COLUMNS('Employee information'!$B:$M),0)=22,
IF($E$2="Fortnightly",
ROUND(
ROUND((((TRUNC($AN478/2,0)+0.99))*VLOOKUP((TRUNC($AN478/2,0)+0.99),'Tax scales - NAT 3539'!$A$43:$C$69,2,1)-VLOOKUP((TRUNC($AN478/2,0)+0.99),'Tax scales - NAT 3539'!$A$43:$C$69,3,1)),0)
*2,
0),
IF(AND($E$2="Monthly",ROUND($AN478-TRUNC($AN478),2)=0.33),
ROUND(
ROUND(((TRUNC(($AN478+0.01)*3/13,0)+0.99)*VLOOKUP((TRUNC(($AN478+0.01)*3/13,0)+0.99),'Tax scales - NAT 3539'!$A$43:$C$69,2,1)-VLOOKUP((TRUNC(($AN478+0.01)*3/13,0)+0.99),'Tax scales - NAT 3539'!$A$43:$C$69,3,1)),0)
*13/3,
0),
IF($E$2="Monthly",
ROUND(
ROUND(((TRUNC($AN478*3/13,0)+0.99)*VLOOKUP((TRUNC($AN478*3/13,0)+0.99),'Tax scales - NAT 3539'!$A$43:$C$69,2,1)-VLOOKUP((TRUNC($AN478*3/13,0)+0.99),'Tax scales - NAT 3539'!$A$43:$C$69,3,1)),0)
*13/3,
0),
""))),
""),
"")</f>
        <v/>
      </c>
      <c r="AW478" s="118" t="str">
        <f>IFERROR(
IF(VLOOKUP($C478,'Employee information'!$B:$M,COLUMNS('Employee information'!$B:$M),0)=33,
IF($E$2="Fortnightly",
ROUND(
ROUND((((TRUNC($AN478/2,0)+0.99))*VLOOKUP((TRUNC($AN478/2,0)+0.99),'Tax scales - NAT 3539'!$A$74:$C$94,2,1)-VLOOKUP((TRUNC($AN478/2,0)+0.99),'Tax scales - NAT 3539'!$A$74:$C$94,3,1)),0)
*2,
0),
IF(AND($E$2="Monthly",ROUND($AN478-TRUNC($AN478),2)=0.33),
ROUND(
ROUND(((TRUNC(($AN478+0.01)*3/13,0)+0.99)*VLOOKUP((TRUNC(($AN478+0.01)*3/13,0)+0.99),'Tax scales - NAT 3539'!$A$74:$C$94,2,1)-VLOOKUP((TRUNC(($AN478+0.01)*3/13,0)+0.99),'Tax scales - NAT 3539'!$A$74:$C$94,3,1)),0)
*13/3,
0),
IF($E$2="Monthly",
ROUND(
ROUND(((TRUNC($AN478*3/13,0)+0.99)*VLOOKUP((TRUNC($AN478*3/13,0)+0.99),'Tax scales - NAT 3539'!$A$74:$C$94,2,1)-VLOOKUP((TRUNC($AN478*3/13,0)+0.99),'Tax scales - NAT 3539'!$A$74:$C$94,3,1)),0)
*13/3,
0),
""))),
""),
"")</f>
        <v/>
      </c>
      <c r="AX478" s="118">
        <f>IFERROR(
IF(VLOOKUP($C478,'Employee information'!$B:$M,COLUMNS('Employee information'!$B:$M),0)=55,
IF($E$2="Fortnightly",
ROUND(
ROUND((((TRUNC($AN478/2,0)+0.99))*VLOOKUP((TRUNC($AN478/2,0)+0.99),'Tax scales - NAT 3539'!$A$99:$C$123,2,1)-VLOOKUP((TRUNC($AN478/2,0)+0.99),'Tax scales - NAT 3539'!$A$99:$C$123,3,1)),0)
*2,
0),
IF(AND($E$2="Monthly",ROUND($AN478-TRUNC($AN478),2)=0.33),
ROUND(
ROUND(((TRUNC(($AN478+0.01)*3/13,0)+0.99)*VLOOKUP((TRUNC(($AN478+0.01)*3/13,0)+0.99),'Tax scales - NAT 3539'!$A$99:$C$123,2,1)-VLOOKUP((TRUNC(($AN478+0.01)*3/13,0)+0.99),'Tax scales - NAT 3539'!$A$99:$C$123,3,1)),0)
*13/3,
0),
IF($E$2="Monthly",
ROUND(
ROUND(((TRUNC($AN478*3/13,0)+0.99)*VLOOKUP((TRUNC($AN478*3/13,0)+0.99),'Tax scales - NAT 3539'!$A$99:$C$123,2,1)-VLOOKUP((TRUNC($AN478*3/13,0)+0.99),'Tax scales - NAT 3539'!$A$99:$C$123,3,1)),0)
*13/3,
0),
""))),
""),
"")</f>
        <v>3104</v>
      </c>
      <c r="AY478" s="118" t="str">
        <f>IFERROR(
IF(VLOOKUP($C478,'Employee information'!$B:$M,COLUMNS('Employee information'!$B:$M),0)=66,
IF($E$2="Fortnightly",
ROUND(
ROUND((((TRUNC($AN478/2,0)+0.99))*VLOOKUP((TRUNC($AN478/2,0)+0.99),'Tax scales - NAT 3539'!$A$127:$C$154,2,1)-VLOOKUP((TRUNC($AN478/2,0)+0.99),'Tax scales - NAT 3539'!$A$127:$C$154,3,1)),0)
*2,
0),
IF(AND($E$2="Monthly",ROUND($AN478-TRUNC($AN478),2)=0.33),
ROUND(
ROUND(((TRUNC(($AN478+0.01)*3/13,0)+0.99)*VLOOKUP((TRUNC(($AN478+0.01)*3/13,0)+0.99),'Tax scales - NAT 3539'!$A$127:$C$154,2,1)-VLOOKUP((TRUNC(($AN478+0.01)*3/13,0)+0.99),'Tax scales - NAT 3539'!$A$127:$C$154,3,1)),0)
*13/3,
0),
IF($E$2="Monthly",
ROUND(
ROUND(((TRUNC($AN478*3/13,0)+0.99)*VLOOKUP((TRUNC($AN478*3/13,0)+0.99),'Tax scales - NAT 3539'!$A$127:$C$154,2,1)-VLOOKUP((TRUNC($AN478*3/13,0)+0.99),'Tax scales - NAT 3539'!$A$127:$C$154,3,1)),0)
*13/3,
0),
""))),
""),
"")</f>
        <v/>
      </c>
      <c r="AZ478" s="118">
        <f>IFERROR(
HLOOKUP(VLOOKUP($C478,'Employee information'!$B:$M,COLUMNS('Employee information'!$B:$M),0),'PAYG worksheet'!$AO$474:$AY$493,COUNTA($C$475:$C478)+1,0),
0)</f>
        <v>3104</v>
      </c>
      <c r="BA478" s="118"/>
      <c r="BB478" s="118">
        <f t="shared" si="511"/>
        <v>4588.3076923076924</v>
      </c>
      <c r="BC478" s="119">
        <f>IFERROR(
IF(OR($AE478=1,$AE478=""),SUM($P478,$AA478,$AC478,$AK478)*VLOOKUP($C478,'Employee information'!$B:$Q,COLUMNS('Employee information'!$B:$H),0),
IF($AE478=0,SUM($P478,$AA478,$AK478)*VLOOKUP($C478,'Employee information'!$B:$Q,COLUMNS('Employee information'!$B:$H),0),
0)),
0)</f>
        <v>730.76923076923083</v>
      </c>
      <c r="BE478" s="114">
        <f t="shared" si="496"/>
        <v>130909.23076923074</v>
      </c>
      <c r="BF478" s="114">
        <f t="shared" si="497"/>
        <v>130769.23076923074</v>
      </c>
      <c r="BG478" s="114">
        <f t="shared" si="498"/>
        <v>0</v>
      </c>
      <c r="BH478" s="114">
        <f t="shared" si="499"/>
        <v>140</v>
      </c>
      <c r="BI478" s="114">
        <f t="shared" si="500"/>
        <v>52768</v>
      </c>
      <c r="BJ478" s="114">
        <f t="shared" si="501"/>
        <v>0</v>
      </c>
      <c r="BK478" s="114">
        <f t="shared" si="502"/>
        <v>0</v>
      </c>
      <c r="BL478" s="114">
        <f t="shared" si="512"/>
        <v>0</v>
      </c>
      <c r="BM478" s="114">
        <f t="shared" si="503"/>
        <v>12423.07692307692</v>
      </c>
    </row>
    <row r="479" spans="1:65" x14ac:dyDescent="0.25">
      <c r="A479" s="228">
        <f t="shared" si="491"/>
        <v>17</v>
      </c>
      <c r="C479" s="278" t="s">
        <v>16</v>
      </c>
      <c r="E479" s="103">
        <f>IF($C479="",0,
IF(AND($E$2="Monthly",$A479&gt;12),0,
IF($E$2="Monthly",VLOOKUP($C479,'Employee information'!$B:$AM,COLUMNS('Employee information'!$B:S),0),
IF($E$2="Fortnightly",VLOOKUP($C479,'Employee information'!$B:$AM,COLUMNS('Employee information'!$B:R),0),
0))))</f>
        <v>75</v>
      </c>
      <c r="F479" s="106"/>
      <c r="G479" s="106"/>
      <c r="H479" s="106"/>
      <c r="I479" s="106"/>
      <c r="J479" s="103">
        <f t="shared" si="504"/>
        <v>75</v>
      </c>
      <c r="L479" s="113">
        <f>IF(AND($E$2="Monthly",$A479&gt;12),"",
IFERROR($J479*VLOOKUP($C479,'Employee information'!$B:$AI,COLUMNS('Employee information'!$B:$P),0),0))</f>
        <v>4125</v>
      </c>
      <c r="M479" s="114">
        <f t="shared" si="505"/>
        <v>70125</v>
      </c>
      <c r="O479" s="103">
        <f t="shared" si="506"/>
        <v>75</v>
      </c>
      <c r="P479" s="113">
        <f>IFERROR(
IF(AND($E$2="Monthly",$A479&gt;12),0,
$O479*VLOOKUP($C479,'Employee information'!$B:$AI,COLUMNS('Employee information'!$B:$P),0)),
0)</f>
        <v>4125</v>
      </c>
      <c r="R479" s="114">
        <f t="shared" si="492"/>
        <v>70125</v>
      </c>
      <c r="T479" s="103"/>
      <c r="U479" s="103"/>
      <c r="V479" s="282">
        <f>IF($C479="","",
IF(AND($E$2="Monthly",$A479&gt;12),"",
$T479*VLOOKUP($C479,'Employee information'!$B:$P,COLUMNS('Employee information'!$B:$P),0)))</f>
        <v>0</v>
      </c>
      <c r="W479" s="282">
        <f>IF($C479="","",
IF(AND($E$2="Monthly",$A479&gt;12),"",
$U479*VLOOKUP($C479,'Employee information'!$B:$P,COLUMNS('Employee information'!$B:$P),0)))</f>
        <v>0</v>
      </c>
      <c r="X479" s="114">
        <f t="shared" si="493"/>
        <v>0</v>
      </c>
      <c r="Y479" s="114">
        <f t="shared" si="494"/>
        <v>0</v>
      </c>
      <c r="AA479" s="118">
        <f>IFERROR(
IF(OR('Basic payroll data'!$D$12="",'Basic payroll data'!$D$12="No"),0,
$T479*VLOOKUP($C479,'Employee information'!$B:$P,COLUMNS('Employee information'!$B:$P),0)*AL_loading_perc),
0)</f>
        <v>0</v>
      </c>
      <c r="AC479" s="118"/>
      <c r="AD479" s="118"/>
      <c r="AE479" s="283" t="str">
        <f t="shared" si="507"/>
        <v/>
      </c>
      <c r="AF479" s="283" t="str">
        <f t="shared" si="508"/>
        <v/>
      </c>
      <c r="AG479" s="118"/>
      <c r="AH479" s="118"/>
      <c r="AI479" s="283" t="str">
        <f t="shared" si="509"/>
        <v/>
      </c>
      <c r="AJ479" s="118"/>
      <c r="AK479" s="118"/>
      <c r="AM479" s="118">
        <f t="shared" si="510"/>
        <v>4125</v>
      </c>
      <c r="AN479" s="118">
        <f t="shared" si="495"/>
        <v>4125</v>
      </c>
      <c r="AO479" s="118" t="str">
        <f>IFERROR(
IF(VLOOKUP($C479,'Employee information'!$B:$M,COLUMNS('Employee information'!$B:$M),0)=1,
IF($E$2="Fortnightly",
ROUND(
ROUND((((TRUNC($AN479/2,0)+0.99))*VLOOKUP((TRUNC($AN479/2,0)+0.99),'Tax scales - NAT 1004'!$A$12:$C$18,2,1)-VLOOKUP((TRUNC($AN479/2,0)+0.99),'Tax scales - NAT 1004'!$A$12:$C$18,3,1)),0)
*2,
0),
IF(AND($E$2="Monthly",ROUND($AN479-TRUNC($AN479),2)=0.33),
ROUND(
ROUND(((TRUNC(($AN479+0.01)*3/13,0)+0.99)*VLOOKUP((TRUNC(($AN479+0.01)*3/13,0)+0.99),'Tax scales - NAT 1004'!$A$12:$C$18,2,1)-VLOOKUP((TRUNC(($AN479+0.01)*3/13,0)+0.99),'Tax scales - NAT 1004'!$A$12:$C$18,3,1)),0)
*13/3,
0),
IF($E$2="Monthly",
ROUND(
ROUND(((TRUNC($AN479*3/13,0)+0.99)*VLOOKUP((TRUNC($AN479*3/13,0)+0.99),'Tax scales - NAT 1004'!$A$12:$C$18,2,1)-VLOOKUP((TRUNC($AN479*3/13,0)+0.99),'Tax scales - NAT 1004'!$A$12:$C$18,3,1)),0)
*13/3,
0),
""))),
""),
"")</f>
        <v/>
      </c>
      <c r="AP479" s="118" t="str">
        <f>IFERROR(
IF(VLOOKUP($C479,'Employee information'!$B:$M,COLUMNS('Employee information'!$B:$M),0)=2,
IF($E$2="Fortnightly",
ROUND(
ROUND((((TRUNC($AN479/2,0)+0.99))*VLOOKUP((TRUNC($AN479/2,0)+0.99),'Tax scales - NAT 1004'!$A$25:$C$33,2,1)-VLOOKUP((TRUNC($AN479/2,0)+0.99),'Tax scales - NAT 1004'!$A$25:$C$33,3,1)),0)
*2,
0),
IF(AND($E$2="Monthly",ROUND($AN479-TRUNC($AN479),2)=0.33),
ROUND(
ROUND(((TRUNC(($AN479+0.01)*3/13,0)+0.99)*VLOOKUP((TRUNC(($AN479+0.01)*3/13,0)+0.99),'Tax scales - NAT 1004'!$A$25:$C$33,2,1)-VLOOKUP((TRUNC(($AN479+0.01)*3/13,0)+0.99),'Tax scales - NAT 1004'!$A$25:$C$33,3,1)),0)
*13/3,
0),
IF($E$2="Monthly",
ROUND(
ROUND(((TRUNC($AN479*3/13,0)+0.99)*VLOOKUP((TRUNC($AN479*3/13,0)+0.99),'Tax scales - NAT 1004'!$A$25:$C$33,2,1)-VLOOKUP((TRUNC($AN479*3/13,0)+0.99),'Tax scales - NAT 1004'!$A$25:$C$33,3,1)),0)
*13/3,
0),
""))),
""),
"")</f>
        <v/>
      </c>
      <c r="AQ479" s="118" t="str">
        <f>IFERROR(
IF(VLOOKUP($C479,'Employee information'!$B:$M,COLUMNS('Employee information'!$B:$M),0)=3,
IF($E$2="Fortnightly",
ROUND(
ROUND((((TRUNC($AN479/2,0)+0.99))*VLOOKUP((TRUNC($AN479/2,0)+0.99),'Tax scales - NAT 1004'!$A$39:$C$41,2,1)-VLOOKUP((TRUNC($AN479/2,0)+0.99),'Tax scales - NAT 1004'!$A$39:$C$41,3,1)),0)
*2,
0),
IF(AND($E$2="Monthly",ROUND($AN479-TRUNC($AN479),2)=0.33),
ROUND(
ROUND(((TRUNC(($AN479+0.01)*3/13,0)+0.99)*VLOOKUP((TRUNC(($AN479+0.01)*3/13,0)+0.99),'Tax scales - NAT 1004'!$A$39:$C$41,2,1)-VLOOKUP((TRUNC(($AN479+0.01)*3/13,0)+0.99),'Tax scales - NAT 1004'!$A$39:$C$41,3,1)),0)
*13/3,
0),
IF($E$2="Monthly",
ROUND(
ROUND(((TRUNC($AN479*3/13,0)+0.99)*VLOOKUP((TRUNC($AN479*3/13,0)+0.99),'Tax scales - NAT 1004'!$A$39:$C$41,2,1)-VLOOKUP((TRUNC($AN479*3/13,0)+0.99),'Tax scales - NAT 1004'!$A$39:$C$41,3,1)),0)
*13/3,
0),
""))),
""),
"")</f>
        <v/>
      </c>
      <c r="AR479" s="118" t="str">
        <f>IFERROR(
IF(AND(VLOOKUP($C479,'Employee information'!$B:$M,COLUMNS('Employee information'!$B:$M),0)=4,
VLOOKUP($C479,'Employee information'!$B:$J,COLUMNS('Employee information'!$B:$J),0)="Resident"),
TRUNC(TRUNC($AN479)*'Tax scales - NAT 1004'!$B$47),
IF(AND(VLOOKUP($C479,'Employee information'!$B:$M,COLUMNS('Employee information'!$B:$M),0)=4,
VLOOKUP($C479,'Employee information'!$B:$J,COLUMNS('Employee information'!$B:$J),0)="Foreign resident"),
TRUNC(TRUNC($AN479)*'Tax scales - NAT 1004'!$B$48),
"")),
"")</f>
        <v/>
      </c>
      <c r="AS479" s="118" t="str">
        <f>IFERROR(
IF(VLOOKUP($C479,'Employee information'!$B:$M,COLUMNS('Employee information'!$B:$M),0)=5,
IF($E$2="Fortnightly",
ROUND(
ROUND((((TRUNC($AN479/2,0)+0.99))*VLOOKUP((TRUNC($AN479/2,0)+0.99),'Tax scales - NAT 1004'!$A$53:$C$59,2,1)-VLOOKUP((TRUNC($AN479/2,0)+0.99),'Tax scales - NAT 1004'!$A$53:$C$59,3,1)),0)
*2,
0),
IF(AND($E$2="Monthly",ROUND($AN479-TRUNC($AN479),2)=0.33),
ROUND(
ROUND(((TRUNC(($AN479+0.01)*3/13,0)+0.99)*VLOOKUP((TRUNC(($AN479+0.01)*3/13,0)+0.99),'Tax scales - NAT 1004'!$A$53:$C$59,2,1)-VLOOKUP((TRUNC(($AN479+0.01)*3/13,0)+0.99),'Tax scales - NAT 1004'!$A$53:$C$59,3,1)),0)
*13/3,
0),
IF($E$2="Monthly",
ROUND(
ROUND(((TRUNC($AN479*3/13,0)+0.99)*VLOOKUP((TRUNC($AN479*3/13,0)+0.99),'Tax scales - NAT 1004'!$A$53:$C$59,2,1)-VLOOKUP((TRUNC($AN479*3/13,0)+0.99),'Tax scales - NAT 1004'!$A$53:$C$59,3,1)),0)
*13/3,
0),
""))),
""),
"")</f>
        <v/>
      </c>
      <c r="AT479" s="118" t="str">
        <f>IFERROR(
IF(VLOOKUP($C479,'Employee information'!$B:$M,COLUMNS('Employee information'!$B:$M),0)=6,
IF($E$2="Fortnightly",
ROUND(
ROUND((((TRUNC($AN479/2,0)+0.99))*VLOOKUP((TRUNC($AN479/2,0)+0.99),'Tax scales - NAT 1004'!$A$65:$C$73,2,1)-VLOOKUP((TRUNC($AN479/2,0)+0.99),'Tax scales - NAT 1004'!$A$65:$C$73,3,1)),0)
*2,
0),
IF(AND($E$2="Monthly",ROUND($AN479-TRUNC($AN479),2)=0.33),
ROUND(
ROUND(((TRUNC(($AN479+0.01)*3/13,0)+0.99)*VLOOKUP((TRUNC(($AN479+0.01)*3/13,0)+0.99),'Tax scales - NAT 1004'!$A$65:$C$73,2,1)-VLOOKUP((TRUNC(($AN479+0.01)*3/13,0)+0.99),'Tax scales - NAT 1004'!$A$65:$C$73,3,1)),0)
*13/3,
0),
IF($E$2="Monthly",
ROUND(
ROUND(((TRUNC($AN479*3/13,0)+0.99)*VLOOKUP((TRUNC($AN479*3/13,0)+0.99),'Tax scales - NAT 1004'!$A$65:$C$73,2,1)-VLOOKUP((TRUNC($AN479*3/13,0)+0.99),'Tax scales - NAT 1004'!$A$65:$C$73,3,1)),0)
*13/3,
0),
""))),
""),
"")</f>
        <v/>
      </c>
      <c r="AU479" s="118">
        <f>IFERROR(
IF(VLOOKUP($C479,'Employee information'!$B:$M,COLUMNS('Employee information'!$B:$M),0)=11,
IF($E$2="Fortnightly",
ROUND(
ROUND((((TRUNC($AN479/2,0)+0.99))*VLOOKUP((TRUNC($AN479/2,0)+0.99),'Tax scales - NAT 3539'!$A$14:$C$38,2,1)-VLOOKUP((TRUNC($AN479/2,0)+0.99),'Tax scales - NAT 3539'!$A$14:$C$38,3,1)),0)
*2,
0),
IF(AND($E$2="Monthly",ROUND($AN479-TRUNC($AN479),2)=0.33),
ROUND(
ROUND(((TRUNC(($AN479+0.01)*3/13,0)+0.99)*VLOOKUP((TRUNC(($AN479+0.01)*3/13,0)+0.99),'Tax scales - NAT 3539'!$A$14:$C$38,2,1)-VLOOKUP((TRUNC(($AN479+0.01)*3/13,0)+0.99),'Tax scales - NAT 3539'!$A$14:$C$38,3,1)),0)
*13/3,
0),
IF($E$2="Monthly",
ROUND(
ROUND(((TRUNC($AN479*3/13,0)+0.99)*VLOOKUP((TRUNC($AN479*3/13,0)+0.99),'Tax scales - NAT 3539'!$A$14:$C$38,2,1)-VLOOKUP((TRUNC($AN479*3/13,0)+0.99),'Tax scales - NAT 3539'!$A$14:$C$38,3,1)),0)
*13/3,
0),
""))),
""),
"")</f>
        <v>1680</v>
      </c>
      <c r="AV479" s="118" t="str">
        <f>IFERROR(
IF(VLOOKUP($C479,'Employee information'!$B:$M,COLUMNS('Employee information'!$B:$M),0)=22,
IF($E$2="Fortnightly",
ROUND(
ROUND((((TRUNC($AN479/2,0)+0.99))*VLOOKUP((TRUNC($AN479/2,0)+0.99),'Tax scales - NAT 3539'!$A$43:$C$69,2,1)-VLOOKUP((TRUNC($AN479/2,0)+0.99),'Tax scales - NAT 3539'!$A$43:$C$69,3,1)),0)
*2,
0),
IF(AND($E$2="Monthly",ROUND($AN479-TRUNC($AN479),2)=0.33),
ROUND(
ROUND(((TRUNC(($AN479+0.01)*3/13,0)+0.99)*VLOOKUP((TRUNC(($AN479+0.01)*3/13,0)+0.99),'Tax scales - NAT 3539'!$A$43:$C$69,2,1)-VLOOKUP((TRUNC(($AN479+0.01)*3/13,0)+0.99),'Tax scales - NAT 3539'!$A$43:$C$69,3,1)),0)
*13/3,
0),
IF($E$2="Monthly",
ROUND(
ROUND(((TRUNC($AN479*3/13,0)+0.99)*VLOOKUP((TRUNC($AN479*3/13,0)+0.99),'Tax scales - NAT 3539'!$A$43:$C$69,2,1)-VLOOKUP((TRUNC($AN479*3/13,0)+0.99),'Tax scales - NAT 3539'!$A$43:$C$69,3,1)),0)
*13/3,
0),
""))),
""),
"")</f>
        <v/>
      </c>
      <c r="AW479" s="118" t="str">
        <f>IFERROR(
IF(VLOOKUP($C479,'Employee information'!$B:$M,COLUMNS('Employee information'!$B:$M),0)=33,
IF($E$2="Fortnightly",
ROUND(
ROUND((((TRUNC($AN479/2,0)+0.99))*VLOOKUP((TRUNC($AN479/2,0)+0.99),'Tax scales - NAT 3539'!$A$74:$C$94,2,1)-VLOOKUP((TRUNC($AN479/2,0)+0.99),'Tax scales - NAT 3539'!$A$74:$C$94,3,1)),0)
*2,
0),
IF(AND($E$2="Monthly",ROUND($AN479-TRUNC($AN479),2)=0.33),
ROUND(
ROUND(((TRUNC(($AN479+0.01)*3/13,0)+0.99)*VLOOKUP((TRUNC(($AN479+0.01)*3/13,0)+0.99),'Tax scales - NAT 3539'!$A$74:$C$94,2,1)-VLOOKUP((TRUNC(($AN479+0.01)*3/13,0)+0.99),'Tax scales - NAT 3539'!$A$74:$C$94,3,1)),0)
*13/3,
0),
IF($E$2="Monthly",
ROUND(
ROUND(((TRUNC($AN479*3/13,0)+0.99)*VLOOKUP((TRUNC($AN479*3/13,0)+0.99),'Tax scales - NAT 3539'!$A$74:$C$94,2,1)-VLOOKUP((TRUNC($AN479*3/13,0)+0.99),'Tax scales - NAT 3539'!$A$74:$C$94,3,1)),0)
*13/3,
0),
""))),
""),
"")</f>
        <v/>
      </c>
      <c r="AX479" s="118" t="str">
        <f>IFERROR(
IF(VLOOKUP($C479,'Employee information'!$B:$M,COLUMNS('Employee information'!$B:$M),0)=55,
IF($E$2="Fortnightly",
ROUND(
ROUND((((TRUNC($AN479/2,0)+0.99))*VLOOKUP((TRUNC($AN479/2,0)+0.99),'Tax scales - NAT 3539'!$A$99:$C$123,2,1)-VLOOKUP((TRUNC($AN479/2,0)+0.99),'Tax scales - NAT 3539'!$A$99:$C$123,3,1)),0)
*2,
0),
IF(AND($E$2="Monthly",ROUND($AN479-TRUNC($AN479),2)=0.33),
ROUND(
ROUND(((TRUNC(($AN479+0.01)*3/13,0)+0.99)*VLOOKUP((TRUNC(($AN479+0.01)*3/13,0)+0.99),'Tax scales - NAT 3539'!$A$99:$C$123,2,1)-VLOOKUP((TRUNC(($AN479+0.01)*3/13,0)+0.99),'Tax scales - NAT 3539'!$A$99:$C$123,3,1)),0)
*13/3,
0),
IF($E$2="Monthly",
ROUND(
ROUND(((TRUNC($AN479*3/13,0)+0.99)*VLOOKUP((TRUNC($AN479*3/13,0)+0.99),'Tax scales - NAT 3539'!$A$99:$C$123,2,1)-VLOOKUP((TRUNC($AN479*3/13,0)+0.99),'Tax scales - NAT 3539'!$A$99:$C$123,3,1)),0)
*13/3,
0),
""))),
""),
"")</f>
        <v/>
      </c>
      <c r="AY479" s="118" t="str">
        <f>IFERROR(
IF(VLOOKUP($C479,'Employee information'!$B:$M,COLUMNS('Employee information'!$B:$M),0)=66,
IF($E$2="Fortnightly",
ROUND(
ROUND((((TRUNC($AN479/2,0)+0.99))*VLOOKUP((TRUNC($AN479/2,0)+0.99),'Tax scales - NAT 3539'!$A$127:$C$154,2,1)-VLOOKUP((TRUNC($AN479/2,0)+0.99),'Tax scales - NAT 3539'!$A$127:$C$154,3,1)),0)
*2,
0),
IF(AND($E$2="Monthly",ROUND($AN479-TRUNC($AN479),2)=0.33),
ROUND(
ROUND(((TRUNC(($AN479+0.01)*3/13,0)+0.99)*VLOOKUP((TRUNC(($AN479+0.01)*3/13,0)+0.99),'Tax scales - NAT 3539'!$A$127:$C$154,2,1)-VLOOKUP((TRUNC(($AN479+0.01)*3/13,0)+0.99),'Tax scales - NAT 3539'!$A$127:$C$154,3,1)),0)
*13/3,
0),
IF($E$2="Monthly",
ROUND(
ROUND(((TRUNC($AN479*3/13,0)+0.99)*VLOOKUP((TRUNC($AN479*3/13,0)+0.99),'Tax scales - NAT 3539'!$A$127:$C$154,2,1)-VLOOKUP((TRUNC($AN479*3/13,0)+0.99),'Tax scales - NAT 3539'!$A$127:$C$154,3,1)),0)
*13/3,
0),
""))),
""),
"")</f>
        <v/>
      </c>
      <c r="AZ479" s="118">
        <f>IFERROR(
HLOOKUP(VLOOKUP($C479,'Employee information'!$B:$M,COLUMNS('Employee information'!$B:$M),0),'PAYG worksheet'!$AO$474:$AY$493,COUNTA($C$475:$C479)+1,0),
0)</f>
        <v>1680</v>
      </c>
      <c r="BA479" s="118"/>
      <c r="BB479" s="118">
        <f t="shared" si="511"/>
        <v>2445</v>
      </c>
      <c r="BC479" s="119">
        <f>IFERROR(
IF(OR($AE479=1,$AE479=""),SUM($P479,$AA479,$AC479,$AK479)*VLOOKUP($C479,'Employee information'!$B:$Q,COLUMNS('Employee information'!$B:$H),0),
IF($AE479=0,SUM($P479,$AA479,$AK479)*VLOOKUP($C479,'Employee information'!$B:$Q,COLUMNS('Employee information'!$B:$H),0),
0)),
0)</f>
        <v>391.875</v>
      </c>
      <c r="BE479" s="114">
        <f t="shared" si="496"/>
        <v>70225</v>
      </c>
      <c r="BF479" s="114">
        <f t="shared" si="497"/>
        <v>70225</v>
      </c>
      <c r="BG479" s="114">
        <f t="shared" si="498"/>
        <v>0</v>
      </c>
      <c r="BH479" s="114">
        <f t="shared" si="499"/>
        <v>0</v>
      </c>
      <c r="BI479" s="114">
        <f t="shared" si="500"/>
        <v>28608</v>
      </c>
      <c r="BJ479" s="114">
        <f t="shared" si="501"/>
        <v>0</v>
      </c>
      <c r="BK479" s="114">
        <f t="shared" si="502"/>
        <v>0</v>
      </c>
      <c r="BL479" s="114">
        <f t="shared" si="512"/>
        <v>100</v>
      </c>
      <c r="BM479" s="114">
        <f t="shared" si="503"/>
        <v>6671.375</v>
      </c>
    </row>
    <row r="480" spans="1:65" x14ac:dyDescent="0.25">
      <c r="A480" s="228">
        <f t="shared" si="491"/>
        <v>17</v>
      </c>
      <c r="C480" s="278" t="s">
        <v>17</v>
      </c>
      <c r="E480" s="103">
        <f>IF($C480="",0,
IF(AND($E$2="Monthly",$A480&gt;12),0,
IF($E$2="Monthly",VLOOKUP($C480,'Employee information'!$B:$AM,COLUMNS('Employee information'!$B:S),0),
IF($E$2="Fortnightly",VLOOKUP($C480,'Employee information'!$B:$AM,COLUMNS('Employee information'!$B:R),0),
0))))</f>
        <v>75</v>
      </c>
      <c r="F480" s="106"/>
      <c r="G480" s="106"/>
      <c r="H480" s="106"/>
      <c r="I480" s="106"/>
      <c r="J480" s="103">
        <f t="shared" si="504"/>
        <v>75</v>
      </c>
      <c r="L480" s="113">
        <f>IF(AND($E$2="Monthly",$A480&gt;12),"",
IFERROR($J480*VLOOKUP($C480,'Employee information'!$B:$AI,COLUMNS('Employee information'!$B:$P),0),0))</f>
        <v>2500</v>
      </c>
      <c r="M480" s="114">
        <f t="shared" si="505"/>
        <v>42500</v>
      </c>
      <c r="O480" s="103">
        <f t="shared" si="506"/>
        <v>75</v>
      </c>
      <c r="P480" s="113">
        <f>IFERROR(
IF(AND($E$2="Monthly",$A480&gt;12),0,
$O480*VLOOKUP($C480,'Employee information'!$B:$AI,COLUMNS('Employee information'!$B:$P),0)),
0)</f>
        <v>2500</v>
      </c>
      <c r="R480" s="114">
        <f t="shared" si="492"/>
        <v>42500</v>
      </c>
      <c r="T480" s="103"/>
      <c r="U480" s="103"/>
      <c r="V480" s="282">
        <f>IF($C480="","",
IF(AND($E$2="Monthly",$A480&gt;12),"",
$T480*VLOOKUP($C480,'Employee information'!$B:$P,COLUMNS('Employee information'!$B:$P),0)))</f>
        <v>0</v>
      </c>
      <c r="W480" s="282">
        <f>IF($C480="","",
IF(AND($E$2="Monthly",$A480&gt;12),"",
$U480*VLOOKUP($C480,'Employee information'!$B:$P,COLUMNS('Employee information'!$B:$P),0)))</f>
        <v>0</v>
      </c>
      <c r="X480" s="114">
        <f t="shared" si="493"/>
        <v>0</v>
      </c>
      <c r="Y480" s="114">
        <f t="shared" si="494"/>
        <v>0</v>
      </c>
      <c r="AA480" s="118">
        <f>IFERROR(
IF(OR('Basic payroll data'!$D$12="",'Basic payroll data'!$D$12="No"),0,
$T480*VLOOKUP($C480,'Employee information'!$B:$P,COLUMNS('Employee information'!$B:$P),0)*AL_loading_perc),
0)</f>
        <v>0</v>
      </c>
      <c r="AC480" s="118"/>
      <c r="AD480" s="118"/>
      <c r="AE480" s="283" t="str">
        <f t="shared" si="507"/>
        <v/>
      </c>
      <c r="AF480" s="283" t="str">
        <f t="shared" si="508"/>
        <v/>
      </c>
      <c r="AG480" s="118"/>
      <c r="AH480" s="118"/>
      <c r="AI480" s="283" t="str">
        <f t="shared" si="509"/>
        <v/>
      </c>
      <c r="AJ480" s="118"/>
      <c r="AK480" s="118"/>
      <c r="AM480" s="118">
        <f t="shared" si="510"/>
        <v>2500</v>
      </c>
      <c r="AN480" s="118">
        <f t="shared" si="495"/>
        <v>2500</v>
      </c>
      <c r="AO480" s="118" t="str">
        <f>IFERROR(
IF(VLOOKUP($C480,'Employee information'!$B:$M,COLUMNS('Employee information'!$B:$M),0)=1,
IF($E$2="Fortnightly",
ROUND(
ROUND((((TRUNC($AN480/2,0)+0.99))*VLOOKUP((TRUNC($AN480/2,0)+0.99),'Tax scales - NAT 1004'!$A$12:$C$18,2,1)-VLOOKUP((TRUNC($AN480/2,0)+0.99),'Tax scales - NAT 1004'!$A$12:$C$18,3,1)),0)
*2,
0),
IF(AND($E$2="Monthly",ROUND($AN480-TRUNC($AN480),2)=0.33),
ROUND(
ROUND(((TRUNC(($AN480+0.01)*3/13,0)+0.99)*VLOOKUP((TRUNC(($AN480+0.01)*3/13,0)+0.99),'Tax scales - NAT 1004'!$A$12:$C$18,2,1)-VLOOKUP((TRUNC(($AN480+0.01)*3/13,0)+0.99),'Tax scales - NAT 1004'!$A$12:$C$18,3,1)),0)
*13/3,
0),
IF($E$2="Monthly",
ROUND(
ROUND(((TRUNC($AN480*3/13,0)+0.99)*VLOOKUP((TRUNC($AN480*3/13,0)+0.99),'Tax scales - NAT 1004'!$A$12:$C$18,2,1)-VLOOKUP((TRUNC($AN480*3/13,0)+0.99),'Tax scales - NAT 1004'!$A$12:$C$18,3,1)),0)
*13/3,
0),
""))),
""),
"")</f>
        <v/>
      </c>
      <c r="AP480" s="118" t="str">
        <f>IFERROR(
IF(VLOOKUP($C480,'Employee information'!$B:$M,COLUMNS('Employee information'!$B:$M),0)=2,
IF($E$2="Fortnightly",
ROUND(
ROUND((((TRUNC($AN480/2,0)+0.99))*VLOOKUP((TRUNC($AN480/2,0)+0.99),'Tax scales - NAT 1004'!$A$25:$C$33,2,1)-VLOOKUP((TRUNC($AN480/2,0)+0.99),'Tax scales - NAT 1004'!$A$25:$C$33,3,1)),0)
*2,
0),
IF(AND($E$2="Monthly",ROUND($AN480-TRUNC($AN480),2)=0.33),
ROUND(
ROUND(((TRUNC(($AN480+0.01)*3/13,0)+0.99)*VLOOKUP((TRUNC(($AN480+0.01)*3/13,0)+0.99),'Tax scales - NAT 1004'!$A$25:$C$33,2,1)-VLOOKUP((TRUNC(($AN480+0.01)*3/13,0)+0.99),'Tax scales - NAT 1004'!$A$25:$C$33,3,1)),0)
*13/3,
0),
IF($E$2="Monthly",
ROUND(
ROUND(((TRUNC($AN480*3/13,0)+0.99)*VLOOKUP((TRUNC($AN480*3/13,0)+0.99),'Tax scales - NAT 1004'!$A$25:$C$33,2,1)-VLOOKUP((TRUNC($AN480*3/13,0)+0.99),'Tax scales - NAT 1004'!$A$25:$C$33,3,1)),0)
*13/3,
0),
""))),
""),
"")</f>
        <v/>
      </c>
      <c r="AQ480" s="118" t="str">
        <f>IFERROR(
IF(VLOOKUP($C480,'Employee information'!$B:$M,COLUMNS('Employee information'!$B:$M),0)=3,
IF($E$2="Fortnightly",
ROUND(
ROUND((((TRUNC($AN480/2,0)+0.99))*VLOOKUP((TRUNC($AN480/2,0)+0.99),'Tax scales - NAT 1004'!$A$39:$C$41,2,1)-VLOOKUP((TRUNC($AN480/2,0)+0.99),'Tax scales - NAT 1004'!$A$39:$C$41,3,1)),0)
*2,
0),
IF(AND($E$2="Monthly",ROUND($AN480-TRUNC($AN480),2)=0.33),
ROUND(
ROUND(((TRUNC(($AN480+0.01)*3/13,0)+0.99)*VLOOKUP((TRUNC(($AN480+0.01)*3/13,0)+0.99),'Tax scales - NAT 1004'!$A$39:$C$41,2,1)-VLOOKUP((TRUNC(($AN480+0.01)*3/13,0)+0.99),'Tax scales - NAT 1004'!$A$39:$C$41,3,1)),0)
*13/3,
0),
IF($E$2="Monthly",
ROUND(
ROUND(((TRUNC($AN480*3/13,0)+0.99)*VLOOKUP((TRUNC($AN480*3/13,0)+0.99),'Tax scales - NAT 1004'!$A$39:$C$41,2,1)-VLOOKUP((TRUNC($AN480*3/13,0)+0.99),'Tax scales - NAT 1004'!$A$39:$C$41,3,1)),0)
*13/3,
0),
""))),
""),
"")</f>
        <v/>
      </c>
      <c r="AR480" s="118">
        <f>IFERROR(
IF(AND(VLOOKUP($C480,'Employee information'!$B:$M,COLUMNS('Employee information'!$B:$M),0)=4,
VLOOKUP($C480,'Employee information'!$B:$J,COLUMNS('Employee information'!$B:$J),0)="Resident"),
TRUNC(TRUNC($AN480)*'Tax scales - NAT 1004'!$B$47),
IF(AND(VLOOKUP($C480,'Employee information'!$B:$M,COLUMNS('Employee information'!$B:$M),0)=4,
VLOOKUP($C480,'Employee information'!$B:$J,COLUMNS('Employee information'!$B:$J),0)="Foreign resident"),
TRUNC(TRUNC($AN480)*'Tax scales - NAT 1004'!$B$48),
"")),
"")</f>
        <v>1175</v>
      </c>
      <c r="AS480" s="118" t="str">
        <f>IFERROR(
IF(VLOOKUP($C480,'Employee information'!$B:$M,COLUMNS('Employee information'!$B:$M),0)=5,
IF($E$2="Fortnightly",
ROUND(
ROUND((((TRUNC($AN480/2,0)+0.99))*VLOOKUP((TRUNC($AN480/2,0)+0.99),'Tax scales - NAT 1004'!$A$53:$C$59,2,1)-VLOOKUP((TRUNC($AN480/2,0)+0.99),'Tax scales - NAT 1004'!$A$53:$C$59,3,1)),0)
*2,
0),
IF(AND($E$2="Monthly",ROUND($AN480-TRUNC($AN480),2)=0.33),
ROUND(
ROUND(((TRUNC(($AN480+0.01)*3/13,0)+0.99)*VLOOKUP((TRUNC(($AN480+0.01)*3/13,0)+0.99),'Tax scales - NAT 1004'!$A$53:$C$59,2,1)-VLOOKUP((TRUNC(($AN480+0.01)*3/13,0)+0.99),'Tax scales - NAT 1004'!$A$53:$C$59,3,1)),0)
*13/3,
0),
IF($E$2="Monthly",
ROUND(
ROUND(((TRUNC($AN480*3/13,0)+0.99)*VLOOKUP((TRUNC($AN480*3/13,0)+0.99),'Tax scales - NAT 1004'!$A$53:$C$59,2,1)-VLOOKUP((TRUNC($AN480*3/13,0)+0.99),'Tax scales - NAT 1004'!$A$53:$C$59,3,1)),0)
*13/3,
0),
""))),
""),
"")</f>
        <v/>
      </c>
      <c r="AT480" s="118" t="str">
        <f>IFERROR(
IF(VLOOKUP($C480,'Employee information'!$B:$M,COLUMNS('Employee information'!$B:$M),0)=6,
IF($E$2="Fortnightly",
ROUND(
ROUND((((TRUNC($AN480/2,0)+0.99))*VLOOKUP((TRUNC($AN480/2,0)+0.99),'Tax scales - NAT 1004'!$A$65:$C$73,2,1)-VLOOKUP((TRUNC($AN480/2,0)+0.99),'Tax scales - NAT 1004'!$A$65:$C$73,3,1)),0)
*2,
0),
IF(AND($E$2="Monthly",ROUND($AN480-TRUNC($AN480),2)=0.33),
ROUND(
ROUND(((TRUNC(($AN480+0.01)*3/13,0)+0.99)*VLOOKUP((TRUNC(($AN480+0.01)*3/13,0)+0.99),'Tax scales - NAT 1004'!$A$65:$C$73,2,1)-VLOOKUP((TRUNC(($AN480+0.01)*3/13,0)+0.99),'Tax scales - NAT 1004'!$A$65:$C$73,3,1)),0)
*13/3,
0),
IF($E$2="Monthly",
ROUND(
ROUND(((TRUNC($AN480*3/13,0)+0.99)*VLOOKUP((TRUNC($AN480*3/13,0)+0.99),'Tax scales - NAT 1004'!$A$65:$C$73,2,1)-VLOOKUP((TRUNC($AN480*3/13,0)+0.99),'Tax scales - NAT 1004'!$A$65:$C$73,3,1)),0)
*13/3,
0),
""))),
""),
"")</f>
        <v/>
      </c>
      <c r="AU480" s="118" t="str">
        <f>IFERROR(
IF(VLOOKUP($C480,'Employee information'!$B:$M,COLUMNS('Employee information'!$B:$M),0)=11,
IF($E$2="Fortnightly",
ROUND(
ROUND((((TRUNC($AN480/2,0)+0.99))*VLOOKUP((TRUNC($AN480/2,0)+0.99),'Tax scales - NAT 3539'!$A$14:$C$38,2,1)-VLOOKUP((TRUNC($AN480/2,0)+0.99),'Tax scales - NAT 3539'!$A$14:$C$38,3,1)),0)
*2,
0),
IF(AND($E$2="Monthly",ROUND($AN480-TRUNC($AN480),2)=0.33),
ROUND(
ROUND(((TRUNC(($AN480+0.01)*3/13,0)+0.99)*VLOOKUP((TRUNC(($AN480+0.01)*3/13,0)+0.99),'Tax scales - NAT 3539'!$A$14:$C$38,2,1)-VLOOKUP((TRUNC(($AN480+0.01)*3/13,0)+0.99),'Tax scales - NAT 3539'!$A$14:$C$38,3,1)),0)
*13/3,
0),
IF($E$2="Monthly",
ROUND(
ROUND(((TRUNC($AN480*3/13,0)+0.99)*VLOOKUP((TRUNC($AN480*3/13,0)+0.99),'Tax scales - NAT 3539'!$A$14:$C$38,2,1)-VLOOKUP((TRUNC($AN480*3/13,0)+0.99),'Tax scales - NAT 3539'!$A$14:$C$38,3,1)),0)
*13/3,
0),
""))),
""),
"")</f>
        <v/>
      </c>
      <c r="AV480" s="118" t="str">
        <f>IFERROR(
IF(VLOOKUP($C480,'Employee information'!$B:$M,COLUMNS('Employee information'!$B:$M),0)=22,
IF($E$2="Fortnightly",
ROUND(
ROUND((((TRUNC($AN480/2,0)+0.99))*VLOOKUP((TRUNC($AN480/2,0)+0.99),'Tax scales - NAT 3539'!$A$43:$C$69,2,1)-VLOOKUP((TRUNC($AN480/2,0)+0.99),'Tax scales - NAT 3539'!$A$43:$C$69,3,1)),0)
*2,
0),
IF(AND($E$2="Monthly",ROUND($AN480-TRUNC($AN480),2)=0.33),
ROUND(
ROUND(((TRUNC(($AN480+0.01)*3/13,0)+0.99)*VLOOKUP((TRUNC(($AN480+0.01)*3/13,0)+0.99),'Tax scales - NAT 3539'!$A$43:$C$69,2,1)-VLOOKUP((TRUNC(($AN480+0.01)*3/13,0)+0.99),'Tax scales - NAT 3539'!$A$43:$C$69,3,1)),0)
*13/3,
0),
IF($E$2="Monthly",
ROUND(
ROUND(((TRUNC($AN480*3/13,0)+0.99)*VLOOKUP((TRUNC($AN480*3/13,0)+0.99),'Tax scales - NAT 3539'!$A$43:$C$69,2,1)-VLOOKUP((TRUNC($AN480*3/13,0)+0.99),'Tax scales - NAT 3539'!$A$43:$C$69,3,1)),0)
*13/3,
0),
""))),
""),
"")</f>
        <v/>
      </c>
      <c r="AW480" s="118" t="str">
        <f>IFERROR(
IF(VLOOKUP($C480,'Employee information'!$B:$M,COLUMNS('Employee information'!$B:$M),0)=33,
IF($E$2="Fortnightly",
ROUND(
ROUND((((TRUNC($AN480/2,0)+0.99))*VLOOKUP((TRUNC($AN480/2,0)+0.99),'Tax scales - NAT 3539'!$A$74:$C$94,2,1)-VLOOKUP((TRUNC($AN480/2,0)+0.99),'Tax scales - NAT 3539'!$A$74:$C$94,3,1)),0)
*2,
0),
IF(AND($E$2="Monthly",ROUND($AN480-TRUNC($AN480),2)=0.33),
ROUND(
ROUND(((TRUNC(($AN480+0.01)*3/13,0)+0.99)*VLOOKUP((TRUNC(($AN480+0.01)*3/13,0)+0.99),'Tax scales - NAT 3539'!$A$74:$C$94,2,1)-VLOOKUP((TRUNC(($AN480+0.01)*3/13,0)+0.99),'Tax scales - NAT 3539'!$A$74:$C$94,3,1)),0)
*13/3,
0),
IF($E$2="Monthly",
ROUND(
ROUND(((TRUNC($AN480*3/13,0)+0.99)*VLOOKUP((TRUNC($AN480*3/13,0)+0.99),'Tax scales - NAT 3539'!$A$74:$C$94,2,1)-VLOOKUP((TRUNC($AN480*3/13,0)+0.99),'Tax scales - NAT 3539'!$A$74:$C$94,3,1)),0)
*13/3,
0),
""))),
""),
"")</f>
        <v/>
      </c>
      <c r="AX480" s="118" t="str">
        <f>IFERROR(
IF(VLOOKUP($C480,'Employee information'!$B:$M,COLUMNS('Employee information'!$B:$M),0)=55,
IF($E$2="Fortnightly",
ROUND(
ROUND((((TRUNC($AN480/2,0)+0.99))*VLOOKUP((TRUNC($AN480/2,0)+0.99),'Tax scales - NAT 3539'!$A$99:$C$123,2,1)-VLOOKUP((TRUNC($AN480/2,0)+0.99),'Tax scales - NAT 3539'!$A$99:$C$123,3,1)),0)
*2,
0),
IF(AND($E$2="Monthly",ROUND($AN480-TRUNC($AN480),2)=0.33),
ROUND(
ROUND(((TRUNC(($AN480+0.01)*3/13,0)+0.99)*VLOOKUP((TRUNC(($AN480+0.01)*3/13,0)+0.99),'Tax scales - NAT 3539'!$A$99:$C$123,2,1)-VLOOKUP((TRUNC(($AN480+0.01)*3/13,0)+0.99),'Tax scales - NAT 3539'!$A$99:$C$123,3,1)),0)
*13/3,
0),
IF($E$2="Monthly",
ROUND(
ROUND(((TRUNC($AN480*3/13,0)+0.99)*VLOOKUP((TRUNC($AN480*3/13,0)+0.99),'Tax scales - NAT 3539'!$A$99:$C$123,2,1)-VLOOKUP((TRUNC($AN480*3/13,0)+0.99),'Tax scales - NAT 3539'!$A$99:$C$123,3,1)),0)
*13/3,
0),
""))),
""),
"")</f>
        <v/>
      </c>
      <c r="AY480" s="118" t="str">
        <f>IFERROR(
IF(VLOOKUP($C480,'Employee information'!$B:$M,COLUMNS('Employee information'!$B:$M),0)=66,
IF($E$2="Fortnightly",
ROUND(
ROUND((((TRUNC($AN480/2,0)+0.99))*VLOOKUP((TRUNC($AN480/2,0)+0.99),'Tax scales - NAT 3539'!$A$127:$C$154,2,1)-VLOOKUP((TRUNC($AN480/2,0)+0.99),'Tax scales - NAT 3539'!$A$127:$C$154,3,1)),0)
*2,
0),
IF(AND($E$2="Monthly",ROUND($AN480-TRUNC($AN480),2)=0.33),
ROUND(
ROUND(((TRUNC(($AN480+0.01)*3/13,0)+0.99)*VLOOKUP((TRUNC(($AN480+0.01)*3/13,0)+0.99),'Tax scales - NAT 3539'!$A$127:$C$154,2,1)-VLOOKUP((TRUNC(($AN480+0.01)*3/13,0)+0.99),'Tax scales - NAT 3539'!$A$127:$C$154,3,1)),0)
*13/3,
0),
IF($E$2="Monthly",
ROUND(
ROUND(((TRUNC($AN480*3/13,0)+0.99)*VLOOKUP((TRUNC($AN480*3/13,0)+0.99),'Tax scales - NAT 3539'!$A$127:$C$154,2,1)-VLOOKUP((TRUNC($AN480*3/13,0)+0.99),'Tax scales - NAT 3539'!$A$127:$C$154,3,1)),0)
*13/3,
0),
""))),
""),
"")</f>
        <v/>
      </c>
      <c r="AZ480" s="118">
        <f>IFERROR(
HLOOKUP(VLOOKUP($C480,'Employee information'!$B:$M,COLUMNS('Employee information'!$B:$M),0),'PAYG worksheet'!$AO$474:$AY$493,COUNTA($C$475:$C480)+1,0),
0)</f>
        <v>1175</v>
      </c>
      <c r="BA480" s="118"/>
      <c r="BB480" s="118">
        <f t="shared" si="511"/>
        <v>1325</v>
      </c>
      <c r="BC480" s="119">
        <f>IFERROR(
IF(OR($AE480=1,$AE480=""),SUM($P480,$AA480,$AC480,$AK480)*VLOOKUP($C480,'Employee information'!$B:$Q,COLUMNS('Employee information'!$B:$H),0),
IF($AE480=0,SUM($P480,$AA480,$AK480)*VLOOKUP($C480,'Employee information'!$B:$Q,COLUMNS('Employee information'!$B:$H),0),
0)),
0)</f>
        <v>237.5</v>
      </c>
      <c r="BE480" s="114">
        <f t="shared" si="496"/>
        <v>42500</v>
      </c>
      <c r="BF480" s="114">
        <f t="shared" si="497"/>
        <v>42500</v>
      </c>
      <c r="BG480" s="114">
        <f t="shared" si="498"/>
        <v>0</v>
      </c>
      <c r="BH480" s="114">
        <f t="shared" si="499"/>
        <v>0</v>
      </c>
      <c r="BI480" s="114">
        <f t="shared" si="500"/>
        <v>19975</v>
      </c>
      <c r="BJ480" s="114">
        <f t="shared" si="501"/>
        <v>0</v>
      </c>
      <c r="BK480" s="114">
        <f t="shared" si="502"/>
        <v>0</v>
      </c>
      <c r="BL480" s="114">
        <f t="shared" si="512"/>
        <v>0</v>
      </c>
      <c r="BM480" s="114">
        <f t="shared" si="503"/>
        <v>4037.5</v>
      </c>
    </row>
    <row r="481" spans="1:65" x14ac:dyDescent="0.25">
      <c r="A481" s="228">
        <f t="shared" si="491"/>
        <v>17</v>
      </c>
      <c r="C481" s="278" t="s">
        <v>95</v>
      </c>
      <c r="E481" s="103">
        <f>IF($C481="",0,
IF(AND($E$2="Monthly",$A481&gt;12),0,
IF($E$2="Monthly",VLOOKUP($C481,'Employee information'!$B:$AM,COLUMNS('Employee information'!$B:S),0),
IF($E$2="Fortnightly",VLOOKUP($C481,'Employee information'!$B:$AM,COLUMNS('Employee information'!$B:R),0),
0))))</f>
        <v>45</v>
      </c>
      <c r="F481" s="106"/>
      <c r="G481" s="106"/>
      <c r="H481" s="106"/>
      <c r="I481" s="106"/>
      <c r="J481" s="103">
        <f t="shared" si="504"/>
        <v>45</v>
      </c>
      <c r="L481" s="113">
        <f>IF(AND($E$2="Monthly",$A481&gt;12),"",
IFERROR($J481*VLOOKUP($C481,'Employee information'!$B:$AI,COLUMNS('Employee information'!$B:$P),0),0))</f>
        <v>1107.6923076923078</v>
      </c>
      <c r="M481" s="114">
        <f t="shared" si="505"/>
        <v>18830.769230769238</v>
      </c>
      <c r="O481" s="103">
        <f t="shared" si="506"/>
        <v>45</v>
      </c>
      <c r="P481" s="113">
        <f>IFERROR(
IF(AND($E$2="Monthly",$A481&gt;12),0,
$O481*VLOOKUP($C481,'Employee information'!$B:$AI,COLUMNS('Employee information'!$B:$P),0)),
0)</f>
        <v>1107.6923076923078</v>
      </c>
      <c r="R481" s="114">
        <f t="shared" si="492"/>
        <v>18830.769230769238</v>
      </c>
      <c r="T481" s="103"/>
      <c r="U481" s="103"/>
      <c r="V481" s="282">
        <f>IF($C481="","",
IF(AND($E$2="Monthly",$A481&gt;12),"",
$T481*VLOOKUP($C481,'Employee information'!$B:$P,COLUMNS('Employee information'!$B:$P),0)))</f>
        <v>0</v>
      </c>
      <c r="W481" s="282">
        <f>IF($C481="","",
IF(AND($E$2="Monthly",$A481&gt;12),"",
$U481*VLOOKUP($C481,'Employee information'!$B:$P,COLUMNS('Employee information'!$B:$P),0)))</f>
        <v>0</v>
      </c>
      <c r="X481" s="114">
        <f t="shared" si="493"/>
        <v>0</v>
      </c>
      <c r="Y481" s="114">
        <f t="shared" si="494"/>
        <v>0</v>
      </c>
      <c r="AA481" s="118">
        <f>IFERROR(
IF(OR('Basic payroll data'!$D$12="",'Basic payroll data'!$D$12="No"),0,
$T481*VLOOKUP($C481,'Employee information'!$B:$P,COLUMNS('Employee information'!$B:$P),0)*AL_loading_perc),
0)</f>
        <v>0</v>
      </c>
      <c r="AC481" s="118"/>
      <c r="AD481" s="118"/>
      <c r="AE481" s="283" t="str">
        <f t="shared" si="507"/>
        <v/>
      </c>
      <c r="AF481" s="283" t="str">
        <f t="shared" si="508"/>
        <v/>
      </c>
      <c r="AG481" s="118"/>
      <c r="AH481" s="118"/>
      <c r="AI481" s="283" t="str">
        <f t="shared" si="509"/>
        <v/>
      </c>
      <c r="AJ481" s="118"/>
      <c r="AK481" s="118"/>
      <c r="AM481" s="118">
        <f t="shared" si="510"/>
        <v>1107.6923076923078</v>
      </c>
      <c r="AN481" s="118">
        <f t="shared" si="495"/>
        <v>1107.6923076923078</v>
      </c>
      <c r="AO481" s="118" t="str">
        <f>IFERROR(
IF(VLOOKUP($C481,'Employee information'!$B:$M,COLUMNS('Employee information'!$B:$M),0)=1,
IF($E$2="Fortnightly",
ROUND(
ROUND((((TRUNC($AN481/2,0)+0.99))*VLOOKUP((TRUNC($AN481/2,0)+0.99),'Tax scales - NAT 1004'!$A$12:$C$18,2,1)-VLOOKUP((TRUNC($AN481/2,0)+0.99),'Tax scales - NAT 1004'!$A$12:$C$18,3,1)),0)
*2,
0),
IF(AND($E$2="Monthly",ROUND($AN481-TRUNC($AN481),2)=0.33),
ROUND(
ROUND(((TRUNC(($AN481+0.01)*3/13,0)+0.99)*VLOOKUP((TRUNC(($AN481+0.01)*3/13,0)+0.99),'Tax scales - NAT 1004'!$A$12:$C$18,2,1)-VLOOKUP((TRUNC(($AN481+0.01)*3/13,0)+0.99),'Tax scales - NAT 1004'!$A$12:$C$18,3,1)),0)
*13/3,
0),
IF($E$2="Monthly",
ROUND(
ROUND(((TRUNC($AN481*3/13,0)+0.99)*VLOOKUP((TRUNC($AN481*3/13,0)+0.99),'Tax scales - NAT 1004'!$A$12:$C$18,2,1)-VLOOKUP((TRUNC($AN481*3/13,0)+0.99),'Tax scales - NAT 1004'!$A$12:$C$18,3,1)),0)
*13/3,
0),
""))),
""),
"")</f>
        <v/>
      </c>
      <c r="AP481" s="118" t="str">
        <f>IFERROR(
IF(VLOOKUP($C481,'Employee information'!$B:$M,COLUMNS('Employee information'!$B:$M),0)=2,
IF($E$2="Fortnightly",
ROUND(
ROUND((((TRUNC($AN481/2,0)+0.99))*VLOOKUP((TRUNC($AN481/2,0)+0.99),'Tax scales - NAT 1004'!$A$25:$C$33,2,1)-VLOOKUP((TRUNC($AN481/2,0)+0.99),'Tax scales - NAT 1004'!$A$25:$C$33,3,1)),0)
*2,
0),
IF(AND($E$2="Monthly",ROUND($AN481-TRUNC($AN481),2)=0.33),
ROUND(
ROUND(((TRUNC(($AN481+0.01)*3/13,0)+0.99)*VLOOKUP((TRUNC(($AN481+0.01)*3/13,0)+0.99),'Tax scales - NAT 1004'!$A$25:$C$33,2,1)-VLOOKUP((TRUNC(($AN481+0.01)*3/13,0)+0.99),'Tax scales - NAT 1004'!$A$25:$C$33,3,1)),0)
*13/3,
0),
IF($E$2="Monthly",
ROUND(
ROUND(((TRUNC($AN481*3/13,0)+0.99)*VLOOKUP((TRUNC($AN481*3/13,0)+0.99),'Tax scales - NAT 1004'!$A$25:$C$33,2,1)-VLOOKUP((TRUNC($AN481*3/13,0)+0.99),'Tax scales - NAT 1004'!$A$25:$C$33,3,1)),0)
*13/3,
0),
""))),
""),
"")</f>
        <v/>
      </c>
      <c r="AQ481" s="118" t="str">
        <f>IFERROR(
IF(VLOOKUP($C481,'Employee information'!$B:$M,COLUMNS('Employee information'!$B:$M),0)=3,
IF($E$2="Fortnightly",
ROUND(
ROUND((((TRUNC($AN481/2,0)+0.99))*VLOOKUP((TRUNC($AN481/2,0)+0.99),'Tax scales - NAT 1004'!$A$39:$C$41,2,1)-VLOOKUP((TRUNC($AN481/2,0)+0.99),'Tax scales - NAT 1004'!$A$39:$C$41,3,1)),0)
*2,
0),
IF(AND($E$2="Monthly",ROUND($AN481-TRUNC($AN481),2)=0.33),
ROUND(
ROUND(((TRUNC(($AN481+0.01)*3/13,0)+0.99)*VLOOKUP((TRUNC(($AN481+0.01)*3/13,0)+0.99),'Tax scales - NAT 1004'!$A$39:$C$41,2,1)-VLOOKUP((TRUNC(($AN481+0.01)*3/13,0)+0.99),'Tax scales - NAT 1004'!$A$39:$C$41,3,1)),0)
*13/3,
0),
IF($E$2="Monthly",
ROUND(
ROUND(((TRUNC($AN481*3/13,0)+0.99)*VLOOKUP((TRUNC($AN481*3/13,0)+0.99),'Tax scales - NAT 1004'!$A$39:$C$41,2,1)-VLOOKUP((TRUNC($AN481*3/13,0)+0.99),'Tax scales - NAT 1004'!$A$39:$C$41,3,1)),0)
*13/3,
0),
""))),
""),
"")</f>
        <v/>
      </c>
      <c r="AR481" s="118" t="str">
        <f>IFERROR(
IF(AND(VLOOKUP($C481,'Employee information'!$B:$M,COLUMNS('Employee information'!$B:$M),0)=4,
VLOOKUP($C481,'Employee information'!$B:$J,COLUMNS('Employee information'!$B:$J),0)="Resident"),
TRUNC(TRUNC($AN481)*'Tax scales - NAT 1004'!$B$47),
IF(AND(VLOOKUP($C481,'Employee information'!$B:$M,COLUMNS('Employee information'!$B:$M),0)=4,
VLOOKUP($C481,'Employee information'!$B:$J,COLUMNS('Employee information'!$B:$J),0)="Foreign resident"),
TRUNC(TRUNC($AN481)*'Tax scales - NAT 1004'!$B$48),
"")),
"")</f>
        <v/>
      </c>
      <c r="AS481" s="118" t="str">
        <f>IFERROR(
IF(VLOOKUP($C481,'Employee information'!$B:$M,COLUMNS('Employee information'!$B:$M),0)=5,
IF($E$2="Fortnightly",
ROUND(
ROUND((((TRUNC($AN481/2,0)+0.99))*VLOOKUP((TRUNC($AN481/2,0)+0.99),'Tax scales - NAT 1004'!$A$53:$C$59,2,1)-VLOOKUP((TRUNC($AN481/2,0)+0.99),'Tax scales - NAT 1004'!$A$53:$C$59,3,1)),0)
*2,
0),
IF(AND($E$2="Monthly",ROUND($AN481-TRUNC($AN481),2)=0.33),
ROUND(
ROUND(((TRUNC(($AN481+0.01)*3/13,0)+0.99)*VLOOKUP((TRUNC(($AN481+0.01)*3/13,0)+0.99),'Tax scales - NAT 1004'!$A$53:$C$59,2,1)-VLOOKUP((TRUNC(($AN481+0.01)*3/13,0)+0.99),'Tax scales - NAT 1004'!$A$53:$C$59,3,1)),0)
*13/3,
0),
IF($E$2="Monthly",
ROUND(
ROUND(((TRUNC($AN481*3/13,0)+0.99)*VLOOKUP((TRUNC($AN481*3/13,0)+0.99),'Tax scales - NAT 1004'!$A$53:$C$59,2,1)-VLOOKUP((TRUNC($AN481*3/13,0)+0.99),'Tax scales - NAT 1004'!$A$53:$C$59,3,1)),0)
*13/3,
0),
""))),
""),
"")</f>
        <v/>
      </c>
      <c r="AT481" s="118" t="str">
        <f>IFERROR(
IF(VLOOKUP($C481,'Employee information'!$B:$M,COLUMNS('Employee information'!$B:$M),0)=6,
IF($E$2="Fortnightly",
ROUND(
ROUND((((TRUNC($AN481/2,0)+0.99))*VLOOKUP((TRUNC($AN481/2,0)+0.99),'Tax scales - NAT 1004'!$A$65:$C$73,2,1)-VLOOKUP((TRUNC($AN481/2,0)+0.99),'Tax scales - NAT 1004'!$A$65:$C$73,3,1)),0)
*2,
0),
IF(AND($E$2="Monthly",ROUND($AN481-TRUNC($AN481),2)=0.33),
ROUND(
ROUND(((TRUNC(($AN481+0.01)*3/13,0)+0.99)*VLOOKUP((TRUNC(($AN481+0.01)*3/13,0)+0.99),'Tax scales - NAT 1004'!$A$65:$C$73,2,1)-VLOOKUP((TRUNC(($AN481+0.01)*3/13,0)+0.99),'Tax scales - NAT 1004'!$A$65:$C$73,3,1)),0)
*13/3,
0),
IF($E$2="Monthly",
ROUND(
ROUND(((TRUNC($AN481*3/13,0)+0.99)*VLOOKUP((TRUNC($AN481*3/13,0)+0.99),'Tax scales - NAT 1004'!$A$65:$C$73,2,1)-VLOOKUP((TRUNC($AN481*3/13,0)+0.99),'Tax scales - NAT 1004'!$A$65:$C$73,3,1)),0)
*13/3,
0),
""))),
""),
"")</f>
        <v/>
      </c>
      <c r="AU481" s="118" t="str">
        <f>IFERROR(
IF(VLOOKUP($C481,'Employee information'!$B:$M,COLUMNS('Employee information'!$B:$M),0)=11,
IF($E$2="Fortnightly",
ROUND(
ROUND((((TRUNC($AN481/2,0)+0.99))*VLOOKUP((TRUNC($AN481/2,0)+0.99),'Tax scales - NAT 3539'!$A$14:$C$38,2,1)-VLOOKUP((TRUNC($AN481/2,0)+0.99),'Tax scales - NAT 3539'!$A$14:$C$38,3,1)),0)
*2,
0),
IF(AND($E$2="Monthly",ROUND($AN481-TRUNC($AN481),2)=0.33),
ROUND(
ROUND(((TRUNC(($AN481+0.01)*3/13,0)+0.99)*VLOOKUP((TRUNC(($AN481+0.01)*3/13,0)+0.99),'Tax scales - NAT 3539'!$A$14:$C$38,2,1)-VLOOKUP((TRUNC(($AN481+0.01)*3/13,0)+0.99),'Tax scales - NAT 3539'!$A$14:$C$38,3,1)),0)
*13/3,
0),
IF($E$2="Monthly",
ROUND(
ROUND(((TRUNC($AN481*3/13,0)+0.99)*VLOOKUP((TRUNC($AN481*3/13,0)+0.99),'Tax scales - NAT 3539'!$A$14:$C$38,2,1)-VLOOKUP((TRUNC($AN481*3/13,0)+0.99),'Tax scales - NAT 3539'!$A$14:$C$38,3,1)),0)
*13/3,
0),
""))),
""),
"")</f>
        <v/>
      </c>
      <c r="AV481" s="118" t="str">
        <f>IFERROR(
IF(VLOOKUP($C481,'Employee information'!$B:$M,COLUMNS('Employee information'!$B:$M),0)=22,
IF($E$2="Fortnightly",
ROUND(
ROUND((((TRUNC($AN481/2,0)+0.99))*VLOOKUP((TRUNC($AN481/2,0)+0.99),'Tax scales - NAT 3539'!$A$43:$C$69,2,1)-VLOOKUP((TRUNC($AN481/2,0)+0.99),'Tax scales - NAT 3539'!$A$43:$C$69,3,1)),0)
*2,
0),
IF(AND($E$2="Monthly",ROUND($AN481-TRUNC($AN481),2)=0.33),
ROUND(
ROUND(((TRUNC(($AN481+0.01)*3/13,0)+0.99)*VLOOKUP((TRUNC(($AN481+0.01)*3/13,0)+0.99),'Tax scales - NAT 3539'!$A$43:$C$69,2,1)-VLOOKUP((TRUNC(($AN481+0.01)*3/13,0)+0.99),'Tax scales - NAT 3539'!$A$43:$C$69,3,1)),0)
*13/3,
0),
IF($E$2="Monthly",
ROUND(
ROUND(((TRUNC($AN481*3/13,0)+0.99)*VLOOKUP((TRUNC($AN481*3/13,0)+0.99),'Tax scales - NAT 3539'!$A$43:$C$69,2,1)-VLOOKUP((TRUNC($AN481*3/13,0)+0.99),'Tax scales - NAT 3539'!$A$43:$C$69,3,1)),0)
*13/3,
0),
""))),
""),
"")</f>
        <v/>
      </c>
      <c r="AW481" s="118" t="str">
        <f>IFERROR(
IF(VLOOKUP($C481,'Employee information'!$B:$M,COLUMNS('Employee information'!$B:$M),0)=33,
IF($E$2="Fortnightly",
ROUND(
ROUND((((TRUNC($AN481/2,0)+0.99))*VLOOKUP((TRUNC($AN481/2,0)+0.99),'Tax scales - NAT 3539'!$A$74:$C$94,2,1)-VLOOKUP((TRUNC($AN481/2,0)+0.99),'Tax scales - NAT 3539'!$A$74:$C$94,3,1)),0)
*2,
0),
IF(AND($E$2="Monthly",ROUND($AN481-TRUNC($AN481),2)=0.33),
ROUND(
ROUND(((TRUNC(($AN481+0.01)*3/13,0)+0.99)*VLOOKUP((TRUNC(($AN481+0.01)*3/13,0)+0.99),'Tax scales - NAT 3539'!$A$74:$C$94,2,1)-VLOOKUP((TRUNC(($AN481+0.01)*3/13,0)+0.99),'Tax scales - NAT 3539'!$A$74:$C$94,3,1)),0)
*13/3,
0),
IF($E$2="Monthly",
ROUND(
ROUND(((TRUNC($AN481*3/13,0)+0.99)*VLOOKUP((TRUNC($AN481*3/13,0)+0.99),'Tax scales - NAT 3539'!$A$74:$C$94,2,1)-VLOOKUP((TRUNC($AN481*3/13,0)+0.99),'Tax scales - NAT 3539'!$A$74:$C$94,3,1)),0)
*13/3,
0),
""))),
""),
"")</f>
        <v/>
      </c>
      <c r="AX481" s="118" t="str">
        <f>IFERROR(
IF(VLOOKUP($C481,'Employee information'!$B:$M,COLUMNS('Employee information'!$B:$M),0)=55,
IF($E$2="Fortnightly",
ROUND(
ROUND((((TRUNC($AN481/2,0)+0.99))*VLOOKUP((TRUNC($AN481/2,0)+0.99),'Tax scales - NAT 3539'!$A$99:$C$123,2,1)-VLOOKUP((TRUNC($AN481/2,0)+0.99),'Tax scales - NAT 3539'!$A$99:$C$123,3,1)),0)
*2,
0),
IF(AND($E$2="Monthly",ROUND($AN481-TRUNC($AN481),2)=0.33),
ROUND(
ROUND(((TRUNC(($AN481+0.01)*3/13,0)+0.99)*VLOOKUP((TRUNC(($AN481+0.01)*3/13,0)+0.99),'Tax scales - NAT 3539'!$A$99:$C$123,2,1)-VLOOKUP((TRUNC(($AN481+0.01)*3/13,0)+0.99),'Tax scales - NAT 3539'!$A$99:$C$123,3,1)),0)
*13/3,
0),
IF($E$2="Monthly",
ROUND(
ROUND(((TRUNC($AN481*3/13,0)+0.99)*VLOOKUP((TRUNC($AN481*3/13,0)+0.99),'Tax scales - NAT 3539'!$A$99:$C$123,2,1)-VLOOKUP((TRUNC($AN481*3/13,0)+0.99),'Tax scales - NAT 3539'!$A$99:$C$123,3,1)),0)
*13/3,
0),
""))),
""),
"")</f>
        <v/>
      </c>
      <c r="AY481" s="118">
        <f>IFERROR(
IF(VLOOKUP($C481,'Employee information'!$B:$M,COLUMNS('Employee information'!$B:$M),0)=66,
IF($E$2="Fortnightly",
ROUND(
ROUND((((TRUNC($AN481/2,0)+0.99))*VLOOKUP((TRUNC($AN481/2,0)+0.99),'Tax scales - NAT 3539'!$A$127:$C$154,2,1)-VLOOKUP((TRUNC($AN481/2,0)+0.99),'Tax scales - NAT 3539'!$A$127:$C$154,3,1)),0)
*2,
0),
IF(AND($E$2="Monthly",ROUND($AN481-TRUNC($AN481),2)=0.33),
ROUND(
ROUND(((TRUNC(($AN481+0.01)*3/13,0)+0.99)*VLOOKUP((TRUNC(($AN481+0.01)*3/13,0)+0.99),'Tax scales - NAT 3539'!$A$127:$C$154,2,1)-VLOOKUP((TRUNC(($AN481+0.01)*3/13,0)+0.99),'Tax scales - NAT 3539'!$A$127:$C$154,3,1)),0)
*13/3,
0),
IF($E$2="Monthly",
ROUND(
ROUND(((TRUNC($AN481*3/13,0)+0.99)*VLOOKUP((TRUNC($AN481*3/13,0)+0.99),'Tax scales - NAT 3539'!$A$127:$C$154,2,1)-VLOOKUP((TRUNC($AN481*3/13,0)+0.99),'Tax scales - NAT 3539'!$A$127:$C$154,3,1)),0)
*13/3,
0),
""))),
""),
"")</f>
        <v>74</v>
      </c>
      <c r="AZ481" s="118">
        <f>IFERROR(
HLOOKUP(VLOOKUP($C481,'Employee information'!$B:$M,COLUMNS('Employee information'!$B:$M),0),'PAYG worksheet'!$AO$474:$AY$493,COUNTA($C$475:$C481)+1,0),
0)</f>
        <v>74</v>
      </c>
      <c r="BA481" s="118"/>
      <c r="BB481" s="118">
        <f t="shared" si="511"/>
        <v>1033.6923076923078</v>
      </c>
      <c r="BC481" s="119">
        <f>IFERROR(
IF(OR($AE481=1,$AE481=""),SUM($P481,$AA481,$AC481,$AK481)*VLOOKUP($C481,'Employee information'!$B:$Q,COLUMNS('Employee information'!$B:$H),0),
IF($AE481=0,SUM($P481,$AA481,$AK481)*VLOOKUP($C481,'Employee information'!$B:$Q,COLUMNS('Employee information'!$B:$H),0),
0)),
0)</f>
        <v>105.23076923076924</v>
      </c>
      <c r="BE481" s="114">
        <f t="shared" si="496"/>
        <v>18830.769230769238</v>
      </c>
      <c r="BF481" s="114">
        <f t="shared" si="497"/>
        <v>18830.769230769238</v>
      </c>
      <c r="BG481" s="114">
        <f t="shared" si="498"/>
        <v>0</v>
      </c>
      <c r="BH481" s="114">
        <f t="shared" si="499"/>
        <v>0</v>
      </c>
      <c r="BI481" s="114">
        <f t="shared" si="500"/>
        <v>1258</v>
      </c>
      <c r="BJ481" s="114">
        <f t="shared" si="501"/>
        <v>0</v>
      </c>
      <c r="BK481" s="114">
        <f t="shared" si="502"/>
        <v>0</v>
      </c>
      <c r="BL481" s="114">
        <f t="shared" si="512"/>
        <v>0</v>
      </c>
      <c r="BM481" s="114">
        <f t="shared" si="503"/>
        <v>1788.9230769230776</v>
      </c>
    </row>
    <row r="482" spans="1:65" x14ac:dyDescent="0.25">
      <c r="A482" s="228">
        <f t="shared" si="491"/>
        <v>17</v>
      </c>
      <c r="C482" s="278"/>
      <c r="E482" s="103">
        <f>IF($C482="",0,
IF(AND($E$2="Monthly",$A482&gt;12),0,
IF($E$2="Monthly",VLOOKUP($C482,'Employee information'!$B:$AM,COLUMNS('Employee information'!$B:S),0),
IF($E$2="Fortnightly",VLOOKUP($C482,'Employee information'!$B:$AM,COLUMNS('Employee information'!$B:R),0),
0))))</f>
        <v>0</v>
      </c>
      <c r="F482" s="106"/>
      <c r="G482" s="106"/>
      <c r="H482" s="106"/>
      <c r="I482" s="106"/>
      <c r="J482" s="103">
        <f>IF($E$2="Monthly",
IF(AND($E$2="Monthly",$H482&lt;&gt;""),$H482,
IF(AND($E$2="Monthly",$E482=0),SUM($F482:$G482),
$E482)),
IF($E$2="Fortnightly",
IF(AND($E$2="Fortnightly",$H482&lt;&gt;""),$H482,
IF(AND($E$2="Fortnightly",$F482&lt;&gt;"",$E482&lt;&gt;0),$F482,
IF(AND($E$2="Fortnightly",$E482=0),SUM($F482:$G482),
$E482)))))</f>
        <v>0</v>
      </c>
      <c r="L482" s="113">
        <f>IF(AND($E$2="Monthly",$A482&gt;12),"",
IFERROR($J482*VLOOKUP($C482,'Employee information'!$B:$AI,COLUMNS('Employee information'!$B:$P),0),0))</f>
        <v>0</v>
      </c>
      <c r="M482" s="114">
        <f t="shared" si="505"/>
        <v>0</v>
      </c>
      <c r="O482" s="103">
        <f t="shared" si="506"/>
        <v>0</v>
      </c>
      <c r="P482" s="113">
        <f>IFERROR(
IF(AND($E$2="Monthly",$A482&gt;12),0,
$O482*VLOOKUP($C482,'Employee information'!$B:$AI,COLUMNS('Employee information'!$B:$P),0)),
0)</f>
        <v>0</v>
      </c>
      <c r="R482" s="114">
        <f t="shared" si="492"/>
        <v>0</v>
      </c>
      <c r="T482" s="103"/>
      <c r="U482" s="103"/>
      <c r="V482" s="282" t="str">
        <f>IF($C482="","",
IF(AND($E$2="Monthly",$A482&gt;12),"",
$T482*VLOOKUP($C482,'Employee information'!$B:$P,COLUMNS('Employee information'!$B:$P),0)))</f>
        <v/>
      </c>
      <c r="W482" s="282" t="str">
        <f>IF($C482="","",
IF(AND($E$2="Monthly",$A482&gt;12),"",
$U482*VLOOKUP($C482,'Employee information'!$B:$P,COLUMNS('Employee information'!$B:$P),0)))</f>
        <v/>
      </c>
      <c r="X482" s="114">
        <f t="shared" si="493"/>
        <v>0</v>
      </c>
      <c r="Y482" s="114">
        <f t="shared" si="494"/>
        <v>0</v>
      </c>
      <c r="AA482" s="118">
        <f>IFERROR(
IF(OR('Basic payroll data'!$D$12="",'Basic payroll data'!$D$12="No"),0,
$T482*VLOOKUP($C482,'Employee information'!$B:$P,COLUMNS('Employee information'!$B:$P),0)*AL_loading_perc),
0)</f>
        <v>0</v>
      </c>
      <c r="AC482" s="118"/>
      <c r="AD482" s="118"/>
      <c r="AE482" s="283" t="str">
        <f t="shared" si="507"/>
        <v/>
      </c>
      <c r="AF482" s="283" t="str">
        <f t="shared" si="508"/>
        <v/>
      </c>
      <c r="AG482" s="118"/>
      <c r="AH482" s="118"/>
      <c r="AI482" s="283" t="str">
        <f t="shared" si="509"/>
        <v/>
      </c>
      <c r="AJ482" s="118"/>
      <c r="AK482" s="118"/>
      <c r="AM482" s="118">
        <f t="shared" si="510"/>
        <v>0</v>
      </c>
      <c r="AN482" s="118">
        <f t="shared" si="495"/>
        <v>0</v>
      </c>
      <c r="AO482" s="118" t="str">
        <f>IFERROR(
IF(VLOOKUP($C482,'Employee information'!$B:$M,COLUMNS('Employee information'!$B:$M),0)=1,
IF($E$2="Fortnightly",
ROUND(
ROUND((((TRUNC($AN482/2,0)+0.99))*VLOOKUP((TRUNC($AN482/2,0)+0.99),'Tax scales - NAT 1004'!$A$12:$C$18,2,1)-VLOOKUP((TRUNC($AN482/2,0)+0.99),'Tax scales - NAT 1004'!$A$12:$C$18,3,1)),0)
*2,
0),
IF(AND($E$2="Monthly",ROUND($AN482-TRUNC($AN482),2)=0.33),
ROUND(
ROUND(((TRUNC(($AN482+0.01)*3/13,0)+0.99)*VLOOKUP((TRUNC(($AN482+0.01)*3/13,0)+0.99),'Tax scales - NAT 1004'!$A$12:$C$18,2,1)-VLOOKUP((TRUNC(($AN482+0.01)*3/13,0)+0.99),'Tax scales - NAT 1004'!$A$12:$C$18,3,1)),0)
*13/3,
0),
IF($E$2="Monthly",
ROUND(
ROUND(((TRUNC($AN482*3/13,0)+0.99)*VLOOKUP((TRUNC($AN482*3/13,0)+0.99),'Tax scales - NAT 1004'!$A$12:$C$18,2,1)-VLOOKUP((TRUNC($AN482*3/13,0)+0.99),'Tax scales - NAT 1004'!$A$12:$C$18,3,1)),0)
*13/3,
0),
""))),
""),
"")</f>
        <v/>
      </c>
      <c r="AP482" s="118" t="str">
        <f>IFERROR(
IF(VLOOKUP($C482,'Employee information'!$B:$M,COLUMNS('Employee information'!$B:$M),0)=2,
IF($E$2="Fortnightly",
ROUND(
ROUND((((TRUNC($AN482/2,0)+0.99))*VLOOKUP((TRUNC($AN482/2,0)+0.99),'Tax scales - NAT 1004'!$A$25:$C$33,2,1)-VLOOKUP((TRUNC($AN482/2,0)+0.99),'Tax scales - NAT 1004'!$A$25:$C$33,3,1)),0)
*2,
0),
IF(AND($E$2="Monthly",ROUND($AN482-TRUNC($AN482),2)=0.33),
ROUND(
ROUND(((TRUNC(($AN482+0.01)*3/13,0)+0.99)*VLOOKUP((TRUNC(($AN482+0.01)*3/13,0)+0.99),'Tax scales - NAT 1004'!$A$25:$C$33,2,1)-VLOOKUP((TRUNC(($AN482+0.01)*3/13,0)+0.99),'Tax scales - NAT 1004'!$A$25:$C$33,3,1)),0)
*13/3,
0),
IF($E$2="Monthly",
ROUND(
ROUND(((TRUNC($AN482*3/13,0)+0.99)*VLOOKUP((TRUNC($AN482*3/13,0)+0.99),'Tax scales - NAT 1004'!$A$25:$C$33,2,1)-VLOOKUP((TRUNC($AN482*3/13,0)+0.99),'Tax scales - NAT 1004'!$A$25:$C$33,3,1)),0)
*13/3,
0),
""))),
""),
"")</f>
        <v/>
      </c>
      <c r="AQ482" s="118" t="str">
        <f>IFERROR(
IF(VLOOKUP($C482,'Employee information'!$B:$M,COLUMNS('Employee information'!$B:$M),0)=3,
IF($E$2="Fortnightly",
ROUND(
ROUND((((TRUNC($AN482/2,0)+0.99))*VLOOKUP((TRUNC($AN482/2,0)+0.99),'Tax scales - NAT 1004'!$A$39:$C$41,2,1)-VLOOKUP((TRUNC($AN482/2,0)+0.99),'Tax scales - NAT 1004'!$A$39:$C$41,3,1)),0)
*2,
0),
IF(AND($E$2="Monthly",ROUND($AN482-TRUNC($AN482),2)=0.33),
ROUND(
ROUND(((TRUNC(($AN482+0.01)*3/13,0)+0.99)*VLOOKUP((TRUNC(($AN482+0.01)*3/13,0)+0.99),'Tax scales - NAT 1004'!$A$39:$C$41,2,1)-VLOOKUP((TRUNC(($AN482+0.01)*3/13,0)+0.99),'Tax scales - NAT 1004'!$A$39:$C$41,3,1)),0)
*13/3,
0),
IF($E$2="Monthly",
ROUND(
ROUND(((TRUNC($AN482*3/13,0)+0.99)*VLOOKUP((TRUNC($AN482*3/13,0)+0.99),'Tax scales - NAT 1004'!$A$39:$C$41,2,1)-VLOOKUP((TRUNC($AN482*3/13,0)+0.99),'Tax scales - NAT 1004'!$A$39:$C$41,3,1)),0)
*13/3,
0),
""))),
""),
"")</f>
        <v/>
      </c>
      <c r="AR482" s="118" t="str">
        <f>IFERROR(
IF(AND(VLOOKUP($C482,'Employee information'!$B:$M,COLUMNS('Employee information'!$B:$M),0)=4,
VLOOKUP($C482,'Employee information'!$B:$J,COLUMNS('Employee information'!$B:$J),0)="Resident"),
TRUNC(TRUNC($AN482)*'Tax scales - NAT 1004'!$B$47),
IF(AND(VLOOKUP($C482,'Employee information'!$B:$M,COLUMNS('Employee information'!$B:$M),0)=4,
VLOOKUP($C482,'Employee information'!$B:$J,COLUMNS('Employee information'!$B:$J),0)="Foreign resident"),
TRUNC(TRUNC($AN482)*'Tax scales - NAT 1004'!$B$48),
"")),
"")</f>
        <v/>
      </c>
      <c r="AS482" s="118" t="str">
        <f>IFERROR(
IF(VLOOKUP($C482,'Employee information'!$B:$M,COLUMNS('Employee information'!$B:$M),0)=5,
IF($E$2="Fortnightly",
ROUND(
ROUND((((TRUNC($AN482/2,0)+0.99))*VLOOKUP((TRUNC($AN482/2,0)+0.99),'Tax scales - NAT 1004'!$A$53:$C$59,2,1)-VLOOKUP((TRUNC($AN482/2,0)+0.99),'Tax scales - NAT 1004'!$A$53:$C$59,3,1)),0)
*2,
0),
IF(AND($E$2="Monthly",ROUND($AN482-TRUNC($AN482),2)=0.33),
ROUND(
ROUND(((TRUNC(($AN482+0.01)*3/13,0)+0.99)*VLOOKUP((TRUNC(($AN482+0.01)*3/13,0)+0.99),'Tax scales - NAT 1004'!$A$53:$C$59,2,1)-VLOOKUP((TRUNC(($AN482+0.01)*3/13,0)+0.99),'Tax scales - NAT 1004'!$A$53:$C$59,3,1)),0)
*13/3,
0),
IF($E$2="Monthly",
ROUND(
ROUND(((TRUNC($AN482*3/13,0)+0.99)*VLOOKUP((TRUNC($AN482*3/13,0)+0.99),'Tax scales - NAT 1004'!$A$53:$C$59,2,1)-VLOOKUP((TRUNC($AN482*3/13,0)+0.99),'Tax scales - NAT 1004'!$A$53:$C$59,3,1)),0)
*13/3,
0),
""))),
""),
"")</f>
        <v/>
      </c>
      <c r="AT482" s="118" t="str">
        <f>IFERROR(
IF(VLOOKUP($C482,'Employee information'!$B:$M,COLUMNS('Employee information'!$B:$M),0)=6,
IF($E$2="Fortnightly",
ROUND(
ROUND((((TRUNC($AN482/2,0)+0.99))*VLOOKUP((TRUNC($AN482/2,0)+0.99),'Tax scales - NAT 1004'!$A$65:$C$73,2,1)-VLOOKUP((TRUNC($AN482/2,0)+0.99),'Tax scales - NAT 1004'!$A$65:$C$73,3,1)),0)
*2,
0),
IF(AND($E$2="Monthly",ROUND($AN482-TRUNC($AN482),2)=0.33),
ROUND(
ROUND(((TRUNC(($AN482+0.01)*3/13,0)+0.99)*VLOOKUP((TRUNC(($AN482+0.01)*3/13,0)+0.99),'Tax scales - NAT 1004'!$A$65:$C$73,2,1)-VLOOKUP((TRUNC(($AN482+0.01)*3/13,0)+0.99),'Tax scales - NAT 1004'!$A$65:$C$73,3,1)),0)
*13/3,
0),
IF($E$2="Monthly",
ROUND(
ROUND(((TRUNC($AN482*3/13,0)+0.99)*VLOOKUP((TRUNC($AN482*3/13,0)+0.99),'Tax scales - NAT 1004'!$A$65:$C$73,2,1)-VLOOKUP((TRUNC($AN482*3/13,0)+0.99),'Tax scales - NAT 1004'!$A$65:$C$73,3,1)),0)
*13/3,
0),
""))),
""),
"")</f>
        <v/>
      </c>
      <c r="AU482" s="118" t="str">
        <f>IFERROR(
IF(VLOOKUP($C482,'Employee information'!$B:$M,COLUMNS('Employee information'!$B:$M),0)=11,
IF($E$2="Fortnightly",
ROUND(
ROUND((((TRUNC($AN482/2,0)+0.99))*VLOOKUP((TRUNC($AN482/2,0)+0.99),'Tax scales - NAT 3539'!$A$14:$C$38,2,1)-VLOOKUP((TRUNC($AN482/2,0)+0.99),'Tax scales - NAT 3539'!$A$14:$C$38,3,1)),0)
*2,
0),
IF(AND($E$2="Monthly",ROUND($AN482-TRUNC($AN482),2)=0.33),
ROUND(
ROUND(((TRUNC(($AN482+0.01)*3/13,0)+0.99)*VLOOKUP((TRUNC(($AN482+0.01)*3/13,0)+0.99),'Tax scales - NAT 3539'!$A$14:$C$38,2,1)-VLOOKUP((TRUNC(($AN482+0.01)*3/13,0)+0.99),'Tax scales - NAT 3539'!$A$14:$C$38,3,1)),0)
*13/3,
0),
IF($E$2="Monthly",
ROUND(
ROUND(((TRUNC($AN482*3/13,0)+0.99)*VLOOKUP((TRUNC($AN482*3/13,0)+0.99),'Tax scales - NAT 3539'!$A$14:$C$38,2,1)-VLOOKUP((TRUNC($AN482*3/13,0)+0.99),'Tax scales - NAT 3539'!$A$14:$C$38,3,1)),0)
*13/3,
0),
""))),
""),
"")</f>
        <v/>
      </c>
      <c r="AV482" s="118" t="str">
        <f>IFERROR(
IF(VLOOKUP($C482,'Employee information'!$B:$M,COLUMNS('Employee information'!$B:$M),0)=22,
IF($E$2="Fortnightly",
ROUND(
ROUND((((TRUNC($AN482/2,0)+0.99))*VLOOKUP((TRUNC($AN482/2,0)+0.99),'Tax scales - NAT 3539'!$A$43:$C$69,2,1)-VLOOKUP((TRUNC($AN482/2,0)+0.99),'Tax scales - NAT 3539'!$A$43:$C$69,3,1)),0)
*2,
0),
IF(AND($E$2="Monthly",ROUND($AN482-TRUNC($AN482),2)=0.33),
ROUND(
ROUND(((TRUNC(($AN482+0.01)*3/13,0)+0.99)*VLOOKUP((TRUNC(($AN482+0.01)*3/13,0)+0.99),'Tax scales - NAT 3539'!$A$43:$C$69,2,1)-VLOOKUP((TRUNC(($AN482+0.01)*3/13,0)+0.99),'Tax scales - NAT 3539'!$A$43:$C$69,3,1)),0)
*13/3,
0),
IF($E$2="Monthly",
ROUND(
ROUND(((TRUNC($AN482*3/13,0)+0.99)*VLOOKUP((TRUNC($AN482*3/13,0)+0.99),'Tax scales - NAT 3539'!$A$43:$C$69,2,1)-VLOOKUP((TRUNC($AN482*3/13,0)+0.99),'Tax scales - NAT 3539'!$A$43:$C$69,3,1)),0)
*13/3,
0),
""))),
""),
"")</f>
        <v/>
      </c>
      <c r="AW482" s="118" t="str">
        <f>IFERROR(
IF(VLOOKUP($C482,'Employee information'!$B:$M,COLUMNS('Employee information'!$B:$M),0)=33,
IF($E$2="Fortnightly",
ROUND(
ROUND((((TRUNC($AN482/2,0)+0.99))*VLOOKUP((TRUNC($AN482/2,0)+0.99),'Tax scales - NAT 3539'!$A$74:$C$94,2,1)-VLOOKUP((TRUNC($AN482/2,0)+0.99),'Tax scales - NAT 3539'!$A$74:$C$94,3,1)),0)
*2,
0),
IF(AND($E$2="Monthly",ROUND($AN482-TRUNC($AN482),2)=0.33),
ROUND(
ROUND(((TRUNC(($AN482+0.01)*3/13,0)+0.99)*VLOOKUP((TRUNC(($AN482+0.01)*3/13,0)+0.99),'Tax scales - NAT 3539'!$A$74:$C$94,2,1)-VLOOKUP((TRUNC(($AN482+0.01)*3/13,0)+0.99),'Tax scales - NAT 3539'!$A$74:$C$94,3,1)),0)
*13/3,
0),
IF($E$2="Monthly",
ROUND(
ROUND(((TRUNC($AN482*3/13,0)+0.99)*VLOOKUP((TRUNC($AN482*3/13,0)+0.99),'Tax scales - NAT 3539'!$A$74:$C$94,2,1)-VLOOKUP((TRUNC($AN482*3/13,0)+0.99),'Tax scales - NAT 3539'!$A$74:$C$94,3,1)),0)
*13/3,
0),
""))),
""),
"")</f>
        <v/>
      </c>
      <c r="AX482" s="118" t="str">
        <f>IFERROR(
IF(VLOOKUP($C482,'Employee information'!$B:$M,COLUMNS('Employee information'!$B:$M),0)=55,
IF($E$2="Fortnightly",
ROUND(
ROUND((((TRUNC($AN482/2,0)+0.99))*VLOOKUP((TRUNC($AN482/2,0)+0.99),'Tax scales - NAT 3539'!$A$99:$C$123,2,1)-VLOOKUP((TRUNC($AN482/2,0)+0.99),'Tax scales - NAT 3539'!$A$99:$C$123,3,1)),0)
*2,
0),
IF(AND($E$2="Monthly",ROUND($AN482-TRUNC($AN482),2)=0.33),
ROUND(
ROUND(((TRUNC(($AN482+0.01)*3/13,0)+0.99)*VLOOKUP((TRUNC(($AN482+0.01)*3/13,0)+0.99),'Tax scales - NAT 3539'!$A$99:$C$123,2,1)-VLOOKUP((TRUNC(($AN482+0.01)*3/13,0)+0.99),'Tax scales - NAT 3539'!$A$99:$C$123,3,1)),0)
*13/3,
0),
IF($E$2="Monthly",
ROUND(
ROUND(((TRUNC($AN482*3/13,0)+0.99)*VLOOKUP((TRUNC($AN482*3/13,0)+0.99),'Tax scales - NAT 3539'!$A$99:$C$123,2,1)-VLOOKUP((TRUNC($AN482*3/13,0)+0.99),'Tax scales - NAT 3539'!$A$99:$C$123,3,1)),0)
*13/3,
0),
""))),
""),
"")</f>
        <v/>
      </c>
      <c r="AY482" s="118" t="str">
        <f>IFERROR(
IF(VLOOKUP($C482,'Employee information'!$B:$M,COLUMNS('Employee information'!$B:$M),0)=66,
IF($E$2="Fortnightly",
ROUND(
ROUND((((TRUNC($AN482/2,0)+0.99))*VLOOKUP((TRUNC($AN482/2,0)+0.99),'Tax scales - NAT 3539'!$A$127:$C$154,2,1)-VLOOKUP((TRUNC($AN482/2,0)+0.99),'Tax scales - NAT 3539'!$A$127:$C$154,3,1)),0)
*2,
0),
IF(AND($E$2="Monthly",ROUND($AN482-TRUNC($AN482),2)=0.33),
ROUND(
ROUND(((TRUNC(($AN482+0.01)*3/13,0)+0.99)*VLOOKUP((TRUNC(($AN482+0.01)*3/13,0)+0.99),'Tax scales - NAT 3539'!$A$127:$C$154,2,1)-VLOOKUP((TRUNC(($AN482+0.01)*3/13,0)+0.99),'Tax scales - NAT 3539'!$A$127:$C$154,3,1)),0)
*13/3,
0),
IF($E$2="Monthly",
ROUND(
ROUND(((TRUNC($AN482*3/13,0)+0.99)*VLOOKUP((TRUNC($AN482*3/13,0)+0.99),'Tax scales - NAT 3539'!$A$127:$C$154,2,1)-VLOOKUP((TRUNC($AN482*3/13,0)+0.99),'Tax scales - NAT 3539'!$A$127:$C$154,3,1)),0)
*13/3,
0),
""))),
""),
"")</f>
        <v/>
      </c>
      <c r="AZ482" s="118">
        <f>IFERROR(
HLOOKUP(VLOOKUP($C482,'Employee information'!$B:$M,COLUMNS('Employee information'!$B:$M),0),'PAYG worksheet'!$AO$474:$AY$493,COUNTA($C$475:$C482)+1,0),
0)</f>
        <v>0</v>
      </c>
      <c r="BA482" s="118"/>
      <c r="BB482" s="118">
        <f t="shared" si="511"/>
        <v>0</v>
      </c>
      <c r="BC482" s="119">
        <f>IFERROR(
IF(OR($AE482=1,$AE482=""),SUM($P482,$AA482,$AC482,$AK482)*VLOOKUP($C482,'Employee information'!$B:$Q,COLUMNS('Employee information'!$B:$H),0),
IF($AE482=0,SUM($P482,$AA482,$AK482)*VLOOKUP($C482,'Employee information'!$B:$Q,COLUMNS('Employee information'!$B:$H),0),
0)),
0)</f>
        <v>0</v>
      </c>
      <c r="BE482" s="114">
        <f t="shared" si="496"/>
        <v>0</v>
      </c>
      <c r="BF482" s="114">
        <f t="shared" si="497"/>
        <v>0</v>
      </c>
      <c r="BG482" s="114">
        <f t="shared" si="498"/>
        <v>0</v>
      </c>
      <c r="BH482" s="114">
        <f t="shared" si="499"/>
        <v>0</v>
      </c>
      <c r="BI482" s="114">
        <f t="shared" si="500"/>
        <v>0</v>
      </c>
      <c r="BJ482" s="114">
        <f t="shared" si="501"/>
        <v>0</v>
      </c>
      <c r="BK482" s="114">
        <f t="shared" si="502"/>
        <v>0</v>
      </c>
      <c r="BL482" s="114">
        <f t="shared" si="512"/>
        <v>0</v>
      </c>
      <c r="BM482" s="114">
        <f t="shared" si="503"/>
        <v>0</v>
      </c>
    </row>
    <row r="483" spans="1:65" x14ac:dyDescent="0.25">
      <c r="A483" s="228">
        <f t="shared" si="491"/>
        <v>17</v>
      </c>
      <c r="C483" s="278"/>
      <c r="E483" s="103">
        <f>IF($C483="",0,
IF(AND($E$2="Monthly",$A483&gt;12),0,
IF($E$2="Monthly",VLOOKUP($C483,'Employee information'!$B:$AM,COLUMNS('Employee information'!$B:S),0),
IF($E$2="Fortnightly",VLOOKUP($C483,'Employee information'!$B:$AM,COLUMNS('Employee information'!$B:R),0),
0))))</f>
        <v>0</v>
      </c>
      <c r="F483" s="106"/>
      <c r="G483" s="106"/>
      <c r="H483" s="106"/>
      <c r="I483" s="106"/>
      <c r="J483" s="103">
        <f t="shared" si="504"/>
        <v>0</v>
      </c>
      <c r="L483" s="113">
        <f>IF(AND($E$2="Monthly",$A483&gt;12),"",
IFERROR($J483*VLOOKUP($C483,'Employee information'!$B:$AI,COLUMNS('Employee information'!$B:$P),0),0))</f>
        <v>0</v>
      </c>
      <c r="M483" s="114">
        <f t="shared" si="505"/>
        <v>0</v>
      </c>
      <c r="O483" s="103">
        <f t="shared" si="506"/>
        <v>0</v>
      </c>
      <c r="P483" s="113">
        <f>IFERROR(
IF(AND($E$2="Monthly",$A483&gt;12),0,
$O483*VLOOKUP($C483,'Employee information'!$B:$AI,COLUMNS('Employee information'!$B:$P),0)),
0)</f>
        <v>0</v>
      </c>
      <c r="R483" s="114">
        <f t="shared" si="492"/>
        <v>0</v>
      </c>
      <c r="T483" s="103"/>
      <c r="U483" s="103"/>
      <c r="V483" s="282" t="str">
        <f>IF($C483="","",
IF(AND($E$2="Monthly",$A483&gt;12),"",
$T483*VLOOKUP($C483,'Employee information'!$B:$P,COLUMNS('Employee information'!$B:$P),0)))</f>
        <v/>
      </c>
      <c r="W483" s="282" t="str">
        <f>IF($C483="","",
IF(AND($E$2="Monthly",$A483&gt;12),"",
$U483*VLOOKUP($C483,'Employee information'!$B:$P,COLUMNS('Employee information'!$B:$P),0)))</f>
        <v/>
      </c>
      <c r="X483" s="114">
        <f t="shared" si="493"/>
        <v>0</v>
      </c>
      <c r="Y483" s="114">
        <f t="shared" si="494"/>
        <v>0</v>
      </c>
      <c r="AA483" s="118">
        <f>IFERROR(
IF(OR('Basic payroll data'!$D$12="",'Basic payroll data'!$D$12="No"),0,
$T483*VLOOKUP($C483,'Employee information'!$B:$P,COLUMNS('Employee information'!$B:$P),0)*AL_loading_perc),
0)</f>
        <v>0</v>
      </c>
      <c r="AC483" s="118"/>
      <c r="AD483" s="118"/>
      <c r="AE483" s="283" t="str">
        <f t="shared" si="507"/>
        <v/>
      </c>
      <c r="AF483" s="283" t="str">
        <f t="shared" si="508"/>
        <v/>
      </c>
      <c r="AG483" s="118"/>
      <c r="AH483" s="118"/>
      <c r="AI483" s="283" t="str">
        <f t="shared" si="509"/>
        <v/>
      </c>
      <c r="AJ483" s="118"/>
      <c r="AK483" s="118"/>
      <c r="AM483" s="118">
        <f t="shared" si="510"/>
        <v>0</v>
      </c>
      <c r="AN483" s="118">
        <f t="shared" si="495"/>
        <v>0</v>
      </c>
      <c r="AO483" s="118" t="str">
        <f>IFERROR(
IF(VLOOKUP($C483,'Employee information'!$B:$M,COLUMNS('Employee information'!$B:$M),0)=1,
IF($E$2="Fortnightly",
ROUND(
ROUND((((TRUNC($AN483/2,0)+0.99))*VLOOKUP((TRUNC($AN483/2,0)+0.99),'Tax scales - NAT 1004'!$A$12:$C$18,2,1)-VLOOKUP((TRUNC($AN483/2,0)+0.99),'Tax scales - NAT 1004'!$A$12:$C$18,3,1)),0)
*2,
0),
IF(AND($E$2="Monthly",ROUND($AN483-TRUNC($AN483),2)=0.33),
ROUND(
ROUND(((TRUNC(($AN483+0.01)*3/13,0)+0.99)*VLOOKUP((TRUNC(($AN483+0.01)*3/13,0)+0.99),'Tax scales - NAT 1004'!$A$12:$C$18,2,1)-VLOOKUP((TRUNC(($AN483+0.01)*3/13,0)+0.99),'Tax scales - NAT 1004'!$A$12:$C$18,3,1)),0)
*13/3,
0),
IF($E$2="Monthly",
ROUND(
ROUND(((TRUNC($AN483*3/13,0)+0.99)*VLOOKUP((TRUNC($AN483*3/13,0)+0.99),'Tax scales - NAT 1004'!$A$12:$C$18,2,1)-VLOOKUP((TRUNC($AN483*3/13,0)+0.99),'Tax scales - NAT 1004'!$A$12:$C$18,3,1)),0)
*13/3,
0),
""))),
""),
"")</f>
        <v/>
      </c>
      <c r="AP483" s="118" t="str">
        <f>IFERROR(
IF(VLOOKUP($C483,'Employee information'!$B:$M,COLUMNS('Employee information'!$B:$M),0)=2,
IF($E$2="Fortnightly",
ROUND(
ROUND((((TRUNC($AN483/2,0)+0.99))*VLOOKUP((TRUNC($AN483/2,0)+0.99),'Tax scales - NAT 1004'!$A$25:$C$33,2,1)-VLOOKUP((TRUNC($AN483/2,0)+0.99),'Tax scales - NAT 1004'!$A$25:$C$33,3,1)),0)
*2,
0),
IF(AND($E$2="Monthly",ROUND($AN483-TRUNC($AN483),2)=0.33),
ROUND(
ROUND(((TRUNC(($AN483+0.01)*3/13,0)+0.99)*VLOOKUP((TRUNC(($AN483+0.01)*3/13,0)+0.99),'Tax scales - NAT 1004'!$A$25:$C$33,2,1)-VLOOKUP((TRUNC(($AN483+0.01)*3/13,0)+0.99),'Tax scales - NAT 1004'!$A$25:$C$33,3,1)),0)
*13/3,
0),
IF($E$2="Monthly",
ROUND(
ROUND(((TRUNC($AN483*3/13,0)+0.99)*VLOOKUP((TRUNC($AN483*3/13,0)+0.99),'Tax scales - NAT 1004'!$A$25:$C$33,2,1)-VLOOKUP((TRUNC($AN483*3/13,0)+0.99),'Tax scales - NAT 1004'!$A$25:$C$33,3,1)),0)
*13/3,
0),
""))),
""),
"")</f>
        <v/>
      </c>
      <c r="AQ483" s="118" t="str">
        <f>IFERROR(
IF(VLOOKUP($C483,'Employee information'!$B:$M,COLUMNS('Employee information'!$B:$M),0)=3,
IF($E$2="Fortnightly",
ROUND(
ROUND((((TRUNC($AN483/2,0)+0.99))*VLOOKUP((TRUNC($AN483/2,0)+0.99),'Tax scales - NAT 1004'!$A$39:$C$41,2,1)-VLOOKUP((TRUNC($AN483/2,0)+0.99),'Tax scales - NAT 1004'!$A$39:$C$41,3,1)),0)
*2,
0),
IF(AND($E$2="Monthly",ROUND($AN483-TRUNC($AN483),2)=0.33),
ROUND(
ROUND(((TRUNC(($AN483+0.01)*3/13,0)+0.99)*VLOOKUP((TRUNC(($AN483+0.01)*3/13,0)+0.99),'Tax scales - NAT 1004'!$A$39:$C$41,2,1)-VLOOKUP((TRUNC(($AN483+0.01)*3/13,0)+0.99),'Tax scales - NAT 1004'!$A$39:$C$41,3,1)),0)
*13/3,
0),
IF($E$2="Monthly",
ROUND(
ROUND(((TRUNC($AN483*3/13,0)+0.99)*VLOOKUP((TRUNC($AN483*3/13,0)+0.99),'Tax scales - NAT 1004'!$A$39:$C$41,2,1)-VLOOKUP((TRUNC($AN483*3/13,0)+0.99),'Tax scales - NAT 1004'!$A$39:$C$41,3,1)),0)
*13/3,
0),
""))),
""),
"")</f>
        <v/>
      </c>
      <c r="AR483" s="118" t="str">
        <f>IFERROR(
IF(AND(VLOOKUP($C483,'Employee information'!$B:$M,COLUMNS('Employee information'!$B:$M),0)=4,
VLOOKUP($C483,'Employee information'!$B:$J,COLUMNS('Employee information'!$B:$J),0)="Resident"),
TRUNC(TRUNC($AN483)*'Tax scales - NAT 1004'!$B$47),
IF(AND(VLOOKUP($C483,'Employee information'!$B:$M,COLUMNS('Employee information'!$B:$M),0)=4,
VLOOKUP($C483,'Employee information'!$B:$J,COLUMNS('Employee information'!$B:$J),0)="Foreign resident"),
TRUNC(TRUNC($AN483)*'Tax scales - NAT 1004'!$B$48),
"")),
"")</f>
        <v/>
      </c>
      <c r="AS483" s="118" t="str">
        <f>IFERROR(
IF(VLOOKUP($C483,'Employee information'!$B:$M,COLUMNS('Employee information'!$B:$M),0)=5,
IF($E$2="Fortnightly",
ROUND(
ROUND((((TRUNC($AN483/2,0)+0.99))*VLOOKUP((TRUNC($AN483/2,0)+0.99),'Tax scales - NAT 1004'!$A$53:$C$59,2,1)-VLOOKUP((TRUNC($AN483/2,0)+0.99),'Tax scales - NAT 1004'!$A$53:$C$59,3,1)),0)
*2,
0),
IF(AND($E$2="Monthly",ROUND($AN483-TRUNC($AN483),2)=0.33),
ROUND(
ROUND(((TRUNC(($AN483+0.01)*3/13,0)+0.99)*VLOOKUP((TRUNC(($AN483+0.01)*3/13,0)+0.99),'Tax scales - NAT 1004'!$A$53:$C$59,2,1)-VLOOKUP((TRUNC(($AN483+0.01)*3/13,0)+0.99),'Tax scales - NAT 1004'!$A$53:$C$59,3,1)),0)
*13/3,
0),
IF($E$2="Monthly",
ROUND(
ROUND(((TRUNC($AN483*3/13,0)+0.99)*VLOOKUP((TRUNC($AN483*3/13,0)+0.99),'Tax scales - NAT 1004'!$A$53:$C$59,2,1)-VLOOKUP((TRUNC($AN483*3/13,0)+0.99),'Tax scales - NAT 1004'!$A$53:$C$59,3,1)),0)
*13/3,
0),
""))),
""),
"")</f>
        <v/>
      </c>
      <c r="AT483" s="118" t="str">
        <f>IFERROR(
IF(VLOOKUP($C483,'Employee information'!$B:$M,COLUMNS('Employee information'!$B:$M),0)=6,
IF($E$2="Fortnightly",
ROUND(
ROUND((((TRUNC($AN483/2,0)+0.99))*VLOOKUP((TRUNC($AN483/2,0)+0.99),'Tax scales - NAT 1004'!$A$65:$C$73,2,1)-VLOOKUP((TRUNC($AN483/2,0)+0.99),'Tax scales - NAT 1004'!$A$65:$C$73,3,1)),0)
*2,
0),
IF(AND($E$2="Monthly",ROUND($AN483-TRUNC($AN483),2)=0.33),
ROUND(
ROUND(((TRUNC(($AN483+0.01)*3/13,0)+0.99)*VLOOKUP((TRUNC(($AN483+0.01)*3/13,0)+0.99),'Tax scales - NAT 1004'!$A$65:$C$73,2,1)-VLOOKUP((TRUNC(($AN483+0.01)*3/13,0)+0.99),'Tax scales - NAT 1004'!$A$65:$C$73,3,1)),0)
*13/3,
0),
IF($E$2="Monthly",
ROUND(
ROUND(((TRUNC($AN483*3/13,0)+0.99)*VLOOKUP((TRUNC($AN483*3/13,0)+0.99),'Tax scales - NAT 1004'!$A$65:$C$73,2,1)-VLOOKUP((TRUNC($AN483*3/13,0)+0.99),'Tax scales - NAT 1004'!$A$65:$C$73,3,1)),0)
*13/3,
0),
""))),
""),
"")</f>
        <v/>
      </c>
      <c r="AU483" s="118" t="str">
        <f>IFERROR(
IF(VLOOKUP($C483,'Employee information'!$B:$M,COLUMNS('Employee information'!$B:$M),0)=11,
IF($E$2="Fortnightly",
ROUND(
ROUND((((TRUNC($AN483/2,0)+0.99))*VLOOKUP((TRUNC($AN483/2,0)+0.99),'Tax scales - NAT 3539'!$A$14:$C$38,2,1)-VLOOKUP((TRUNC($AN483/2,0)+0.99),'Tax scales - NAT 3539'!$A$14:$C$38,3,1)),0)
*2,
0),
IF(AND($E$2="Monthly",ROUND($AN483-TRUNC($AN483),2)=0.33),
ROUND(
ROUND(((TRUNC(($AN483+0.01)*3/13,0)+0.99)*VLOOKUP((TRUNC(($AN483+0.01)*3/13,0)+0.99),'Tax scales - NAT 3539'!$A$14:$C$38,2,1)-VLOOKUP((TRUNC(($AN483+0.01)*3/13,0)+0.99),'Tax scales - NAT 3539'!$A$14:$C$38,3,1)),0)
*13/3,
0),
IF($E$2="Monthly",
ROUND(
ROUND(((TRUNC($AN483*3/13,0)+0.99)*VLOOKUP((TRUNC($AN483*3/13,0)+0.99),'Tax scales - NAT 3539'!$A$14:$C$38,2,1)-VLOOKUP((TRUNC($AN483*3/13,0)+0.99),'Tax scales - NAT 3539'!$A$14:$C$38,3,1)),0)
*13/3,
0),
""))),
""),
"")</f>
        <v/>
      </c>
      <c r="AV483" s="118" t="str">
        <f>IFERROR(
IF(VLOOKUP($C483,'Employee information'!$B:$M,COLUMNS('Employee information'!$B:$M),0)=22,
IF($E$2="Fortnightly",
ROUND(
ROUND((((TRUNC($AN483/2,0)+0.99))*VLOOKUP((TRUNC($AN483/2,0)+0.99),'Tax scales - NAT 3539'!$A$43:$C$69,2,1)-VLOOKUP((TRUNC($AN483/2,0)+0.99),'Tax scales - NAT 3539'!$A$43:$C$69,3,1)),0)
*2,
0),
IF(AND($E$2="Monthly",ROUND($AN483-TRUNC($AN483),2)=0.33),
ROUND(
ROUND(((TRUNC(($AN483+0.01)*3/13,0)+0.99)*VLOOKUP((TRUNC(($AN483+0.01)*3/13,0)+0.99),'Tax scales - NAT 3539'!$A$43:$C$69,2,1)-VLOOKUP((TRUNC(($AN483+0.01)*3/13,0)+0.99),'Tax scales - NAT 3539'!$A$43:$C$69,3,1)),0)
*13/3,
0),
IF($E$2="Monthly",
ROUND(
ROUND(((TRUNC($AN483*3/13,0)+0.99)*VLOOKUP((TRUNC($AN483*3/13,0)+0.99),'Tax scales - NAT 3539'!$A$43:$C$69,2,1)-VLOOKUP((TRUNC($AN483*3/13,0)+0.99),'Tax scales - NAT 3539'!$A$43:$C$69,3,1)),0)
*13/3,
0),
""))),
""),
"")</f>
        <v/>
      </c>
      <c r="AW483" s="118" t="str">
        <f>IFERROR(
IF(VLOOKUP($C483,'Employee information'!$B:$M,COLUMNS('Employee information'!$B:$M),0)=33,
IF($E$2="Fortnightly",
ROUND(
ROUND((((TRUNC($AN483/2,0)+0.99))*VLOOKUP((TRUNC($AN483/2,0)+0.99),'Tax scales - NAT 3539'!$A$74:$C$94,2,1)-VLOOKUP((TRUNC($AN483/2,0)+0.99),'Tax scales - NAT 3539'!$A$74:$C$94,3,1)),0)
*2,
0),
IF(AND($E$2="Monthly",ROUND($AN483-TRUNC($AN483),2)=0.33),
ROUND(
ROUND(((TRUNC(($AN483+0.01)*3/13,0)+0.99)*VLOOKUP((TRUNC(($AN483+0.01)*3/13,0)+0.99),'Tax scales - NAT 3539'!$A$74:$C$94,2,1)-VLOOKUP((TRUNC(($AN483+0.01)*3/13,0)+0.99),'Tax scales - NAT 3539'!$A$74:$C$94,3,1)),0)
*13/3,
0),
IF($E$2="Monthly",
ROUND(
ROUND(((TRUNC($AN483*3/13,0)+0.99)*VLOOKUP((TRUNC($AN483*3/13,0)+0.99),'Tax scales - NAT 3539'!$A$74:$C$94,2,1)-VLOOKUP((TRUNC($AN483*3/13,0)+0.99),'Tax scales - NAT 3539'!$A$74:$C$94,3,1)),0)
*13/3,
0),
""))),
""),
"")</f>
        <v/>
      </c>
      <c r="AX483" s="118" t="str">
        <f>IFERROR(
IF(VLOOKUP($C483,'Employee information'!$B:$M,COLUMNS('Employee information'!$B:$M),0)=55,
IF($E$2="Fortnightly",
ROUND(
ROUND((((TRUNC($AN483/2,0)+0.99))*VLOOKUP((TRUNC($AN483/2,0)+0.99),'Tax scales - NAT 3539'!$A$99:$C$123,2,1)-VLOOKUP((TRUNC($AN483/2,0)+0.99),'Tax scales - NAT 3539'!$A$99:$C$123,3,1)),0)
*2,
0),
IF(AND($E$2="Monthly",ROUND($AN483-TRUNC($AN483),2)=0.33),
ROUND(
ROUND(((TRUNC(($AN483+0.01)*3/13,0)+0.99)*VLOOKUP((TRUNC(($AN483+0.01)*3/13,0)+0.99),'Tax scales - NAT 3539'!$A$99:$C$123,2,1)-VLOOKUP((TRUNC(($AN483+0.01)*3/13,0)+0.99),'Tax scales - NAT 3539'!$A$99:$C$123,3,1)),0)
*13/3,
0),
IF($E$2="Monthly",
ROUND(
ROUND(((TRUNC($AN483*3/13,0)+0.99)*VLOOKUP((TRUNC($AN483*3/13,0)+0.99),'Tax scales - NAT 3539'!$A$99:$C$123,2,1)-VLOOKUP((TRUNC($AN483*3/13,0)+0.99),'Tax scales - NAT 3539'!$A$99:$C$123,3,1)),0)
*13/3,
0),
""))),
""),
"")</f>
        <v/>
      </c>
      <c r="AY483" s="118" t="str">
        <f>IFERROR(
IF(VLOOKUP($C483,'Employee information'!$B:$M,COLUMNS('Employee information'!$B:$M),0)=66,
IF($E$2="Fortnightly",
ROUND(
ROUND((((TRUNC($AN483/2,0)+0.99))*VLOOKUP((TRUNC($AN483/2,0)+0.99),'Tax scales - NAT 3539'!$A$127:$C$154,2,1)-VLOOKUP((TRUNC($AN483/2,0)+0.99),'Tax scales - NAT 3539'!$A$127:$C$154,3,1)),0)
*2,
0),
IF(AND($E$2="Monthly",ROUND($AN483-TRUNC($AN483),2)=0.33),
ROUND(
ROUND(((TRUNC(($AN483+0.01)*3/13,0)+0.99)*VLOOKUP((TRUNC(($AN483+0.01)*3/13,0)+0.99),'Tax scales - NAT 3539'!$A$127:$C$154,2,1)-VLOOKUP((TRUNC(($AN483+0.01)*3/13,0)+0.99),'Tax scales - NAT 3539'!$A$127:$C$154,3,1)),0)
*13/3,
0),
IF($E$2="Monthly",
ROUND(
ROUND(((TRUNC($AN483*3/13,0)+0.99)*VLOOKUP((TRUNC($AN483*3/13,0)+0.99),'Tax scales - NAT 3539'!$A$127:$C$154,2,1)-VLOOKUP((TRUNC($AN483*3/13,0)+0.99),'Tax scales - NAT 3539'!$A$127:$C$154,3,1)),0)
*13/3,
0),
""))),
""),
"")</f>
        <v/>
      </c>
      <c r="AZ483" s="118">
        <f>IFERROR(
HLOOKUP(VLOOKUP($C483,'Employee information'!$B:$M,COLUMNS('Employee information'!$B:$M),0),'PAYG worksheet'!$AO$474:$AY$493,COUNTA($C$475:$C483)+1,0),
0)</f>
        <v>0</v>
      </c>
      <c r="BA483" s="118"/>
      <c r="BB483" s="118">
        <f t="shared" si="511"/>
        <v>0</v>
      </c>
      <c r="BC483" s="119">
        <f>IFERROR(
IF(OR($AE483=1,$AE483=""),SUM($P483,$AA483,$AC483,$AK483)*VLOOKUP($C483,'Employee information'!$B:$Q,COLUMNS('Employee information'!$B:$H),0),
IF($AE483=0,SUM($P483,$AA483,$AK483)*VLOOKUP($C483,'Employee information'!$B:$Q,COLUMNS('Employee information'!$B:$H),0),
0)),
0)</f>
        <v>0</v>
      </c>
      <c r="BE483" s="114">
        <f t="shared" si="496"/>
        <v>0</v>
      </c>
      <c r="BF483" s="114">
        <f t="shared" si="497"/>
        <v>0</v>
      </c>
      <c r="BG483" s="114">
        <f t="shared" si="498"/>
        <v>0</v>
      </c>
      <c r="BH483" s="114">
        <f t="shared" si="499"/>
        <v>0</v>
      </c>
      <c r="BI483" s="114">
        <f t="shared" si="500"/>
        <v>0</v>
      </c>
      <c r="BJ483" s="114">
        <f t="shared" si="501"/>
        <v>0</v>
      </c>
      <c r="BK483" s="114">
        <f t="shared" si="502"/>
        <v>0</v>
      </c>
      <c r="BL483" s="114">
        <f t="shared" si="512"/>
        <v>0</v>
      </c>
      <c r="BM483" s="114">
        <f t="shared" si="503"/>
        <v>0</v>
      </c>
    </row>
    <row r="484" spans="1:65" x14ac:dyDescent="0.25">
      <c r="A484" s="228">
        <f t="shared" si="491"/>
        <v>17</v>
      </c>
      <c r="C484" s="278"/>
      <c r="E484" s="103">
        <f>IF($C484="",0,
IF(AND($E$2="Monthly",$A484&gt;12),0,
IF($E$2="Monthly",VLOOKUP($C484,'Employee information'!$B:$AM,COLUMNS('Employee information'!$B:S),0),
IF($E$2="Fortnightly",VLOOKUP($C484,'Employee information'!$B:$AM,COLUMNS('Employee information'!$B:R),0),
0))))</f>
        <v>0</v>
      </c>
      <c r="F484" s="106"/>
      <c r="G484" s="106"/>
      <c r="H484" s="106"/>
      <c r="I484" s="106"/>
      <c r="J484" s="103">
        <f t="shared" si="504"/>
        <v>0</v>
      </c>
      <c r="L484" s="113">
        <f>IF(AND($E$2="Monthly",$A484&gt;12),"",
IFERROR($J484*VLOOKUP($C484,'Employee information'!$B:$AI,COLUMNS('Employee information'!$B:$P),0),0))</f>
        <v>0</v>
      </c>
      <c r="M484" s="114">
        <f t="shared" si="505"/>
        <v>0</v>
      </c>
      <c r="O484" s="103">
        <f>IF($E$2="Monthly",
IF(AND($E$2="Monthly",$H484&lt;&gt;""),$H484,
IF(AND($E$2="Monthly",$E484=0),$F484,
$E484)),
IF($E$2="Fortnightly",
IF(AND($E$2="Fortnightly",$H484&lt;&gt;""),$H484,
IF(AND($E$2="Fortnightly",$F484&lt;&gt;"",$E484&lt;&gt;0),$F484,
IF(AND($E$2="Fortnightly",$E484=0),$F484,
$E484)))))</f>
        <v>0</v>
      </c>
      <c r="P484" s="113">
        <f>IFERROR(
IF(AND($E$2="Monthly",$A484&gt;12),0,
$O484*VLOOKUP($C484,'Employee information'!$B:$AI,COLUMNS('Employee information'!$B:$P),0)),
0)</f>
        <v>0</v>
      </c>
      <c r="R484" s="114">
        <f t="shared" si="492"/>
        <v>0</v>
      </c>
      <c r="T484" s="103"/>
      <c r="U484" s="103"/>
      <c r="V484" s="282" t="str">
        <f>IF($C484="","",
IF(AND($E$2="Monthly",$A484&gt;12),"",
$T484*VLOOKUP($C484,'Employee information'!$B:$P,COLUMNS('Employee information'!$B:$P),0)))</f>
        <v/>
      </c>
      <c r="W484" s="282" t="str">
        <f>IF($C484="","",
IF(AND($E$2="Monthly",$A484&gt;12),"",
$U484*VLOOKUP($C484,'Employee information'!$B:$P,COLUMNS('Employee information'!$B:$P),0)))</f>
        <v/>
      </c>
      <c r="X484" s="114">
        <f t="shared" si="493"/>
        <v>0</v>
      </c>
      <c r="Y484" s="114">
        <f t="shared" si="494"/>
        <v>0</v>
      </c>
      <c r="AA484" s="118">
        <f>IFERROR(
IF(OR('Basic payroll data'!$D$12="",'Basic payroll data'!$D$12="No"),0,
$T484*VLOOKUP($C484,'Employee information'!$B:$P,COLUMNS('Employee information'!$B:$P),0)*AL_loading_perc),
0)</f>
        <v>0</v>
      </c>
      <c r="AC484" s="118"/>
      <c r="AD484" s="118"/>
      <c r="AE484" s="283" t="str">
        <f t="shared" si="507"/>
        <v/>
      </c>
      <c r="AF484" s="283" t="str">
        <f t="shared" si="508"/>
        <v/>
      </c>
      <c r="AG484" s="118"/>
      <c r="AH484" s="118"/>
      <c r="AI484" s="283" t="str">
        <f t="shared" si="509"/>
        <v/>
      </c>
      <c r="AJ484" s="118"/>
      <c r="AK484" s="118"/>
      <c r="AM484" s="118">
        <f t="shared" si="510"/>
        <v>0</v>
      </c>
      <c r="AN484" s="118">
        <f t="shared" si="495"/>
        <v>0</v>
      </c>
      <c r="AO484" s="118" t="str">
        <f>IFERROR(
IF(VLOOKUP($C484,'Employee information'!$B:$M,COLUMNS('Employee information'!$B:$M),0)=1,
IF($E$2="Fortnightly",
ROUND(
ROUND((((TRUNC($AN484/2,0)+0.99))*VLOOKUP((TRUNC($AN484/2,0)+0.99),'Tax scales - NAT 1004'!$A$12:$C$18,2,1)-VLOOKUP((TRUNC($AN484/2,0)+0.99),'Tax scales - NAT 1004'!$A$12:$C$18,3,1)),0)
*2,
0),
IF(AND($E$2="Monthly",ROUND($AN484-TRUNC($AN484),2)=0.33),
ROUND(
ROUND(((TRUNC(($AN484+0.01)*3/13,0)+0.99)*VLOOKUP((TRUNC(($AN484+0.01)*3/13,0)+0.99),'Tax scales - NAT 1004'!$A$12:$C$18,2,1)-VLOOKUP((TRUNC(($AN484+0.01)*3/13,0)+0.99),'Tax scales - NAT 1004'!$A$12:$C$18,3,1)),0)
*13/3,
0),
IF($E$2="Monthly",
ROUND(
ROUND(((TRUNC($AN484*3/13,0)+0.99)*VLOOKUP((TRUNC($AN484*3/13,0)+0.99),'Tax scales - NAT 1004'!$A$12:$C$18,2,1)-VLOOKUP((TRUNC($AN484*3/13,0)+0.99),'Tax scales - NAT 1004'!$A$12:$C$18,3,1)),0)
*13/3,
0),
""))),
""),
"")</f>
        <v/>
      </c>
      <c r="AP484" s="118" t="str">
        <f>IFERROR(
IF(VLOOKUP($C484,'Employee information'!$B:$M,COLUMNS('Employee information'!$B:$M),0)=2,
IF($E$2="Fortnightly",
ROUND(
ROUND((((TRUNC($AN484/2,0)+0.99))*VLOOKUP((TRUNC($AN484/2,0)+0.99),'Tax scales - NAT 1004'!$A$25:$C$33,2,1)-VLOOKUP((TRUNC($AN484/2,0)+0.99),'Tax scales - NAT 1004'!$A$25:$C$33,3,1)),0)
*2,
0),
IF(AND($E$2="Monthly",ROUND($AN484-TRUNC($AN484),2)=0.33),
ROUND(
ROUND(((TRUNC(($AN484+0.01)*3/13,0)+0.99)*VLOOKUP((TRUNC(($AN484+0.01)*3/13,0)+0.99),'Tax scales - NAT 1004'!$A$25:$C$33,2,1)-VLOOKUP((TRUNC(($AN484+0.01)*3/13,0)+0.99),'Tax scales - NAT 1004'!$A$25:$C$33,3,1)),0)
*13/3,
0),
IF($E$2="Monthly",
ROUND(
ROUND(((TRUNC($AN484*3/13,0)+0.99)*VLOOKUP((TRUNC($AN484*3/13,0)+0.99),'Tax scales - NAT 1004'!$A$25:$C$33,2,1)-VLOOKUP((TRUNC($AN484*3/13,0)+0.99),'Tax scales - NAT 1004'!$A$25:$C$33,3,1)),0)
*13/3,
0),
""))),
""),
"")</f>
        <v/>
      </c>
      <c r="AQ484" s="118" t="str">
        <f>IFERROR(
IF(VLOOKUP($C484,'Employee information'!$B:$M,COLUMNS('Employee information'!$B:$M),0)=3,
IF($E$2="Fortnightly",
ROUND(
ROUND((((TRUNC($AN484/2,0)+0.99))*VLOOKUP((TRUNC($AN484/2,0)+0.99),'Tax scales - NAT 1004'!$A$39:$C$41,2,1)-VLOOKUP((TRUNC($AN484/2,0)+0.99),'Tax scales - NAT 1004'!$A$39:$C$41,3,1)),0)
*2,
0),
IF(AND($E$2="Monthly",ROUND($AN484-TRUNC($AN484),2)=0.33),
ROUND(
ROUND(((TRUNC(($AN484+0.01)*3/13,0)+0.99)*VLOOKUP((TRUNC(($AN484+0.01)*3/13,0)+0.99),'Tax scales - NAT 1004'!$A$39:$C$41,2,1)-VLOOKUP((TRUNC(($AN484+0.01)*3/13,0)+0.99),'Tax scales - NAT 1004'!$A$39:$C$41,3,1)),0)
*13/3,
0),
IF($E$2="Monthly",
ROUND(
ROUND(((TRUNC($AN484*3/13,0)+0.99)*VLOOKUP((TRUNC($AN484*3/13,0)+0.99),'Tax scales - NAT 1004'!$A$39:$C$41,2,1)-VLOOKUP((TRUNC($AN484*3/13,0)+0.99),'Tax scales - NAT 1004'!$A$39:$C$41,3,1)),0)
*13/3,
0),
""))),
""),
"")</f>
        <v/>
      </c>
      <c r="AR484" s="118" t="str">
        <f>IFERROR(
IF(AND(VLOOKUP($C484,'Employee information'!$B:$M,COLUMNS('Employee information'!$B:$M),0)=4,
VLOOKUP($C484,'Employee information'!$B:$J,COLUMNS('Employee information'!$B:$J),0)="Resident"),
TRUNC(TRUNC($AN484)*'Tax scales - NAT 1004'!$B$47),
IF(AND(VLOOKUP($C484,'Employee information'!$B:$M,COLUMNS('Employee information'!$B:$M),0)=4,
VLOOKUP($C484,'Employee information'!$B:$J,COLUMNS('Employee information'!$B:$J),0)="Foreign resident"),
TRUNC(TRUNC($AN484)*'Tax scales - NAT 1004'!$B$48),
"")),
"")</f>
        <v/>
      </c>
      <c r="AS484" s="118" t="str">
        <f>IFERROR(
IF(VLOOKUP($C484,'Employee information'!$B:$M,COLUMNS('Employee information'!$B:$M),0)=5,
IF($E$2="Fortnightly",
ROUND(
ROUND((((TRUNC($AN484/2,0)+0.99))*VLOOKUP((TRUNC($AN484/2,0)+0.99),'Tax scales - NAT 1004'!$A$53:$C$59,2,1)-VLOOKUP((TRUNC($AN484/2,0)+0.99),'Tax scales - NAT 1004'!$A$53:$C$59,3,1)),0)
*2,
0),
IF(AND($E$2="Monthly",ROUND($AN484-TRUNC($AN484),2)=0.33),
ROUND(
ROUND(((TRUNC(($AN484+0.01)*3/13,0)+0.99)*VLOOKUP((TRUNC(($AN484+0.01)*3/13,0)+0.99),'Tax scales - NAT 1004'!$A$53:$C$59,2,1)-VLOOKUP((TRUNC(($AN484+0.01)*3/13,0)+0.99),'Tax scales - NAT 1004'!$A$53:$C$59,3,1)),0)
*13/3,
0),
IF($E$2="Monthly",
ROUND(
ROUND(((TRUNC($AN484*3/13,0)+0.99)*VLOOKUP((TRUNC($AN484*3/13,0)+0.99),'Tax scales - NAT 1004'!$A$53:$C$59,2,1)-VLOOKUP((TRUNC($AN484*3/13,0)+0.99),'Tax scales - NAT 1004'!$A$53:$C$59,3,1)),0)
*13/3,
0),
""))),
""),
"")</f>
        <v/>
      </c>
      <c r="AT484" s="118" t="str">
        <f>IFERROR(
IF(VLOOKUP($C484,'Employee information'!$B:$M,COLUMNS('Employee information'!$B:$M),0)=6,
IF($E$2="Fortnightly",
ROUND(
ROUND((((TRUNC($AN484/2,0)+0.99))*VLOOKUP((TRUNC($AN484/2,0)+0.99),'Tax scales - NAT 1004'!$A$65:$C$73,2,1)-VLOOKUP((TRUNC($AN484/2,0)+0.99),'Tax scales - NAT 1004'!$A$65:$C$73,3,1)),0)
*2,
0),
IF(AND($E$2="Monthly",ROUND($AN484-TRUNC($AN484),2)=0.33),
ROUND(
ROUND(((TRUNC(($AN484+0.01)*3/13,0)+0.99)*VLOOKUP((TRUNC(($AN484+0.01)*3/13,0)+0.99),'Tax scales - NAT 1004'!$A$65:$C$73,2,1)-VLOOKUP((TRUNC(($AN484+0.01)*3/13,0)+0.99),'Tax scales - NAT 1004'!$A$65:$C$73,3,1)),0)
*13/3,
0),
IF($E$2="Monthly",
ROUND(
ROUND(((TRUNC($AN484*3/13,0)+0.99)*VLOOKUP((TRUNC($AN484*3/13,0)+0.99),'Tax scales - NAT 1004'!$A$65:$C$73,2,1)-VLOOKUP((TRUNC($AN484*3/13,0)+0.99),'Tax scales - NAT 1004'!$A$65:$C$73,3,1)),0)
*13/3,
0),
""))),
""),
"")</f>
        <v/>
      </c>
      <c r="AU484" s="118" t="str">
        <f>IFERROR(
IF(VLOOKUP($C484,'Employee information'!$B:$M,COLUMNS('Employee information'!$B:$M),0)=11,
IF($E$2="Fortnightly",
ROUND(
ROUND((((TRUNC($AN484/2,0)+0.99))*VLOOKUP((TRUNC($AN484/2,0)+0.99),'Tax scales - NAT 3539'!$A$14:$C$38,2,1)-VLOOKUP((TRUNC($AN484/2,0)+0.99),'Tax scales - NAT 3539'!$A$14:$C$38,3,1)),0)
*2,
0),
IF(AND($E$2="Monthly",ROUND($AN484-TRUNC($AN484),2)=0.33),
ROUND(
ROUND(((TRUNC(($AN484+0.01)*3/13,0)+0.99)*VLOOKUP((TRUNC(($AN484+0.01)*3/13,0)+0.99),'Tax scales - NAT 3539'!$A$14:$C$38,2,1)-VLOOKUP((TRUNC(($AN484+0.01)*3/13,0)+0.99),'Tax scales - NAT 3539'!$A$14:$C$38,3,1)),0)
*13/3,
0),
IF($E$2="Monthly",
ROUND(
ROUND(((TRUNC($AN484*3/13,0)+0.99)*VLOOKUP((TRUNC($AN484*3/13,0)+0.99),'Tax scales - NAT 3539'!$A$14:$C$38,2,1)-VLOOKUP((TRUNC($AN484*3/13,0)+0.99),'Tax scales - NAT 3539'!$A$14:$C$38,3,1)),0)
*13/3,
0),
""))),
""),
"")</f>
        <v/>
      </c>
      <c r="AV484" s="118" t="str">
        <f>IFERROR(
IF(VLOOKUP($C484,'Employee information'!$B:$M,COLUMNS('Employee information'!$B:$M),0)=22,
IF($E$2="Fortnightly",
ROUND(
ROUND((((TRUNC($AN484/2,0)+0.99))*VLOOKUP((TRUNC($AN484/2,0)+0.99),'Tax scales - NAT 3539'!$A$43:$C$69,2,1)-VLOOKUP((TRUNC($AN484/2,0)+0.99),'Tax scales - NAT 3539'!$A$43:$C$69,3,1)),0)
*2,
0),
IF(AND($E$2="Monthly",ROUND($AN484-TRUNC($AN484),2)=0.33),
ROUND(
ROUND(((TRUNC(($AN484+0.01)*3/13,0)+0.99)*VLOOKUP((TRUNC(($AN484+0.01)*3/13,0)+0.99),'Tax scales - NAT 3539'!$A$43:$C$69,2,1)-VLOOKUP((TRUNC(($AN484+0.01)*3/13,0)+0.99),'Tax scales - NAT 3539'!$A$43:$C$69,3,1)),0)
*13/3,
0),
IF($E$2="Monthly",
ROUND(
ROUND(((TRUNC($AN484*3/13,0)+0.99)*VLOOKUP((TRUNC($AN484*3/13,0)+0.99),'Tax scales - NAT 3539'!$A$43:$C$69,2,1)-VLOOKUP((TRUNC($AN484*3/13,0)+0.99),'Tax scales - NAT 3539'!$A$43:$C$69,3,1)),0)
*13/3,
0),
""))),
""),
"")</f>
        <v/>
      </c>
      <c r="AW484" s="118" t="str">
        <f>IFERROR(
IF(VLOOKUP($C484,'Employee information'!$B:$M,COLUMNS('Employee information'!$B:$M),0)=33,
IF($E$2="Fortnightly",
ROUND(
ROUND((((TRUNC($AN484/2,0)+0.99))*VLOOKUP((TRUNC($AN484/2,0)+0.99),'Tax scales - NAT 3539'!$A$74:$C$94,2,1)-VLOOKUP((TRUNC($AN484/2,0)+0.99),'Tax scales - NAT 3539'!$A$74:$C$94,3,1)),0)
*2,
0),
IF(AND($E$2="Monthly",ROUND($AN484-TRUNC($AN484),2)=0.33),
ROUND(
ROUND(((TRUNC(($AN484+0.01)*3/13,0)+0.99)*VLOOKUP((TRUNC(($AN484+0.01)*3/13,0)+0.99),'Tax scales - NAT 3539'!$A$74:$C$94,2,1)-VLOOKUP((TRUNC(($AN484+0.01)*3/13,0)+0.99),'Tax scales - NAT 3539'!$A$74:$C$94,3,1)),0)
*13/3,
0),
IF($E$2="Monthly",
ROUND(
ROUND(((TRUNC($AN484*3/13,0)+0.99)*VLOOKUP((TRUNC($AN484*3/13,0)+0.99),'Tax scales - NAT 3539'!$A$74:$C$94,2,1)-VLOOKUP((TRUNC($AN484*3/13,0)+0.99),'Tax scales - NAT 3539'!$A$74:$C$94,3,1)),0)
*13/3,
0),
""))),
""),
"")</f>
        <v/>
      </c>
      <c r="AX484" s="118" t="str">
        <f>IFERROR(
IF(VLOOKUP($C484,'Employee information'!$B:$M,COLUMNS('Employee information'!$B:$M),0)=55,
IF($E$2="Fortnightly",
ROUND(
ROUND((((TRUNC($AN484/2,0)+0.99))*VLOOKUP((TRUNC($AN484/2,0)+0.99),'Tax scales - NAT 3539'!$A$99:$C$123,2,1)-VLOOKUP((TRUNC($AN484/2,0)+0.99),'Tax scales - NAT 3539'!$A$99:$C$123,3,1)),0)
*2,
0),
IF(AND($E$2="Monthly",ROUND($AN484-TRUNC($AN484),2)=0.33),
ROUND(
ROUND(((TRUNC(($AN484+0.01)*3/13,0)+0.99)*VLOOKUP((TRUNC(($AN484+0.01)*3/13,0)+0.99),'Tax scales - NAT 3539'!$A$99:$C$123,2,1)-VLOOKUP((TRUNC(($AN484+0.01)*3/13,0)+0.99),'Tax scales - NAT 3539'!$A$99:$C$123,3,1)),0)
*13/3,
0),
IF($E$2="Monthly",
ROUND(
ROUND(((TRUNC($AN484*3/13,0)+0.99)*VLOOKUP((TRUNC($AN484*3/13,0)+0.99),'Tax scales - NAT 3539'!$A$99:$C$123,2,1)-VLOOKUP((TRUNC($AN484*3/13,0)+0.99),'Tax scales - NAT 3539'!$A$99:$C$123,3,1)),0)
*13/3,
0),
""))),
""),
"")</f>
        <v/>
      </c>
      <c r="AY484" s="118" t="str">
        <f>IFERROR(
IF(VLOOKUP($C484,'Employee information'!$B:$M,COLUMNS('Employee information'!$B:$M),0)=66,
IF($E$2="Fortnightly",
ROUND(
ROUND((((TRUNC($AN484/2,0)+0.99))*VLOOKUP((TRUNC($AN484/2,0)+0.99),'Tax scales - NAT 3539'!$A$127:$C$154,2,1)-VLOOKUP((TRUNC($AN484/2,0)+0.99),'Tax scales - NAT 3539'!$A$127:$C$154,3,1)),0)
*2,
0),
IF(AND($E$2="Monthly",ROUND($AN484-TRUNC($AN484),2)=0.33),
ROUND(
ROUND(((TRUNC(($AN484+0.01)*3/13,0)+0.99)*VLOOKUP((TRUNC(($AN484+0.01)*3/13,0)+0.99),'Tax scales - NAT 3539'!$A$127:$C$154,2,1)-VLOOKUP((TRUNC(($AN484+0.01)*3/13,0)+0.99),'Tax scales - NAT 3539'!$A$127:$C$154,3,1)),0)
*13/3,
0),
IF($E$2="Monthly",
ROUND(
ROUND(((TRUNC($AN484*3/13,0)+0.99)*VLOOKUP((TRUNC($AN484*3/13,0)+0.99),'Tax scales - NAT 3539'!$A$127:$C$154,2,1)-VLOOKUP((TRUNC($AN484*3/13,0)+0.99),'Tax scales - NAT 3539'!$A$127:$C$154,3,1)),0)
*13/3,
0),
""))),
""),
"")</f>
        <v/>
      </c>
      <c r="AZ484" s="118">
        <f>IFERROR(
HLOOKUP(VLOOKUP($C484,'Employee information'!$B:$M,COLUMNS('Employee information'!$B:$M),0),'PAYG worksheet'!$AO$474:$AY$493,COUNTA($C$475:$C484)+1,0),
0)</f>
        <v>0</v>
      </c>
      <c r="BA484" s="118"/>
      <c r="BB484" s="118">
        <f t="shared" si="511"/>
        <v>0</v>
      </c>
      <c r="BC484" s="119">
        <f>IFERROR(
IF(OR($AE484=1,$AE484=""),SUM($P484,$AA484,$AC484,$AK484)*VLOOKUP($C484,'Employee information'!$B:$Q,COLUMNS('Employee information'!$B:$H),0),
IF($AE484=0,SUM($P484,$AA484,$AK484)*VLOOKUP($C484,'Employee information'!$B:$Q,COLUMNS('Employee information'!$B:$H),0),
0)),
0)</f>
        <v>0</v>
      </c>
      <c r="BE484" s="114">
        <f t="shared" si="496"/>
        <v>0</v>
      </c>
      <c r="BF484" s="114">
        <f t="shared" si="497"/>
        <v>0</v>
      </c>
      <c r="BG484" s="114">
        <f t="shared" si="498"/>
        <v>0</v>
      </c>
      <c r="BH484" s="114">
        <f t="shared" si="499"/>
        <v>0</v>
      </c>
      <c r="BI484" s="114">
        <f t="shared" si="500"/>
        <v>0</v>
      </c>
      <c r="BJ484" s="114">
        <f t="shared" si="501"/>
        <v>0</v>
      </c>
      <c r="BK484" s="114">
        <f t="shared" si="502"/>
        <v>0</v>
      </c>
      <c r="BL484" s="114">
        <f t="shared" si="512"/>
        <v>0</v>
      </c>
      <c r="BM484" s="114">
        <f t="shared" si="503"/>
        <v>0</v>
      </c>
    </row>
    <row r="485" spans="1:65" x14ac:dyDescent="0.25">
      <c r="A485" s="228">
        <f t="shared" si="491"/>
        <v>17</v>
      </c>
      <c r="C485" s="278"/>
      <c r="E485" s="103">
        <f>IF($C485="",0,
IF(AND($E$2="Monthly",$A485&gt;12),0,
IF($E$2="Monthly",VLOOKUP($C485,'Employee information'!$B:$AM,COLUMNS('Employee information'!$B:S),0),
IF($E$2="Fortnightly",VLOOKUP($C485,'Employee information'!$B:$AM,COLUMNS('Employee information'!$B:R),0),
0))))</f>
        <v>0</v>
      </c>
      <c r="F485" s="106"/>
      <c r="G485" s="106"/>
      <c r="H485" s="106"/>
      <c r="I485" s="106"/>
      <c r="J485" s="103">
        <f t="shared" si="504"/>
        <v>0</v>
      </c>
      <c r="L485" s="113">
        <f>IF(AND($E$2="Monthly",$A485&gt;12),"",
IFERROR($J485*VLOOKUP($C485,'Employee information'!$B:$AI,COLUMNS('Employee information'!$B:$P),0),0))</f>
        <v>0</v>
      </c>
      <c r="M485" s="114">
        <f t="shared" si="505"/>
        <v>0</v>
      </c>
      <c r="O485" s="103">
        <f t="shared" si="506"/>
        <v>0</v>
      </c>
      <c r="P485" s="113">
        <f>IFERROR(
IF(AND($E$2="Monthly",$A485&gt;12),0,
$O485*VLOOKUP($C485,'Employee information'!$B:$AI,COLUMNS('Employee information'!$B:$P),0)),
0)</f>
        <v>0</v>
      </c>
      <c r="R485" s="114">
        <f t="shared" si="492"/>
        <v>0</v>
      </c>
      <c r="T485" s="103"/>
      <c r="U485" s="103"/>
      <c r="V485" s="282" t="str">
        <f>IF($C485="","",
IF(AND($E$2="Monthly",$A485&gt;12),"",
$T485*VLOOKUP($C485,'Employee information'!$B:$P,COLUMNS('Employee information'!$B:$P),0)))</f>
        <v/>
      </c>
      <c r="W485" s="282" t="str">
        <f>IF($C485="","",
IF(AND($E$2="Monthly",$A485&gt;12),"",
$U485*VLOOKUP($C485,'Employee information'!$B:$P,COLUMNS('Employee information'!$B:$P),0)))</f>
        <v/>
      </c>
      <c r="X485" s="114">
        <f t="shared" si="493"/>
        <v>0</v>
      </c>
      <c r="Y485" s="114">
        <f t="shared" si="494"/>
        <v>0</v>
      </c>
      <c r="AA485" s="118">
        <f>IFERROR(
IF(OR('Basic payroll data'!$D$12="",'Basic payroll data'!$D$12="No"),0,
$T485*VLOOKUP($C485,'Employee information'!$B:$P,COLUMNS('Employee information'!$B:$P),0)*AL_loading_perc),
0)</f>
        <v>0</v>
      </c>
      <c r="AC485" s="118"/>
      <c r="AD485" s="118"/>
      <c r="AE485" s="283" t="str">
        <f t="shared" si="507"/>
        <v/>
      </c>
      <c r="AF485" s="283" t="str">
        <f t="shared" si="508"/>
        <v/>
      </c>
      <c r="AG485" s="118"/>
      <c r="AH485" s="118"/>
      <c r="AI485" s="283" t="str">
        <f t="shared" si="509"/>
        <v/>
      </c>
      <c r="AJ485" s="118"/>
      <c r="AK485" s="118"/>
      <c r="AM485" s="118">
        <f t="shared" si="510"/>
        <v>0</v>
      </c>
      <c r="AN485" s="118">
        <f t="shared" si="495"/>
        <v>0</v>
      </c>
      <c r="AO485" s="118" t="str">
        <f>IFERROR(
IF(VLOOKUP($C485,'Employee information'!$B:$M,COLUMNS('Employee information'!$B:$M),0)=1,
IF($E$2="Fortnightly",
ROUND(
ROUND((((TRUNC($AN485/2,0)+0.99))*VLOOKUP((TRUNC($AN485/2,0)+0.99),'Tax scales - NAT 1004'!$A$12:$C$18,2,1)-VLOOKUP((TRUNC($AN485/2,0)+0.99),'Tax scales - NAT 1004'!$A$12:$C$18,3,1)),0)
*2,
0),
IF(AND($E$2="Monthly",ROUND($AN485-TRUNC($AN485),2)=0.33),
ROUND(
ROUND(((TRUNC(($AN485+0.01)*3/13,0)+0.99)*VLOOKUP((TRUNC(($AN485+0.01)*3/13,0)+0.99),'Tax scales - NAT 1004'!$A$12:$C$18,2,1)-VLOOKUP((TRUNC(($AN485+0.01)*3/13,0)+0.99),'Tax scales - NAT 1004'!$A$12:$C$18,3,1)),0)
*13/3,
0),
IF($E$2="Monthly",
ROUND(
ROUND(((TRUNC($AN485*3/13,0)+0.99)*VLOOKUP((TRUNC($AN485*3/13,0)+0.99),'Tax scales - NAT 1004'!$A$12:$C$18,2,1)-VLOOKUP((TRUNC($AN485*3/13,0)+0.99),'Tax scales - NAT 1004'!$A$12:$C$18,3,1)),0)
*13/3,
0),
""))),
""),
"")</f>
        <v/>
      </c>
      <c r="AP485" s="118" t="str">
        <f>IFERROR(
IF(VLOOKUP($C485,'Employee information'!$B:$M,COLUMNS('Employee information'!$B:$M),0)=2,
IF($E$2="Fortnightly",
ROUND(
ROUND((((TRUNC($AN485/2,0)+0.99))*VLOOKUP((TRUNC($AN485/2,0)+0.99),'Tax scales - NAT 1004'!$A$25:$C$33,2,1)-VLOOKUP((TRUNC($AN485/2,0)+0.99),'Tax scales - NAT 1004'!$A$25:$C$33,3,1)),0)
*2,
0),
IF(AND($E$2="Monthly",ROUND($AN485-TRUNC($AN485),2)=0.33),
ROUND(
ROUND(((TRUNC(($AN485+0.01)*3/13,0)+0.99)*VLOOKUP((TRUNC(($AN485+0.01)*3/13,0)+0.99),'Tax scales - NAT 1004'!$A$25:$C$33,2,1)-VLOOKUP((TRUNC(($AN485+0.01)*3/13,0)+0.99),'Tax scales - NAT 1004'!$A$25:$C$33,3,1)),0)
*13/3,
0),
IF($E$2="Monthly",
ROUND(
ROUND(((TRUNC($AN485*3/13,0)+0.99)*VLOOKUP((TRUNC($AN485*3/13,0)+0.99),'Tax scales - NAT 1004'!$A$25:$C$33,2,1)-VLOOKUP((TRUNC($AN485*3/13,0)+0.99),'Tax scales - NAT 1004'!$A$25:$C$33,3,1)),0)
*13/3,
0),
""))),
""),
"")</f>
        <v/>
      </c>
      <c r="AQ485" s="118" t="str">
        <f>IFERROR(
IF(VLOOKUP($C485,'Employee information'!$B:$M,COLUMNS('Employee information'!$B:$M),0)=3,
IF($E$2="Fortnightly",
ROUND(
ROUND((((TRUNC($AN485/2,0)+0.99))*VLOOKUP((TRUNC($AN485/2,0)+0.99),'Tax scales - NAT 1004'!$A$39:$C$41,2,1)-VLOOKUP((TRUNC($AN485/2,0)+0.99),'Tax scales - NAT 1004'!$A$39:$C$41,3,1)),0)
*2,
0),
IF(AND($E$2="Monthly",ROUND($AN485-TRUNC($AN485),2)=0.33),
ROUND(
ROUND(((TRUNC(($AN485+0.01)*3/13,0)+0.99)*VLOOKUP((TRUNC(($AN485+0.01)*3/13,0)+0.99),'Tax scales - NAT 1004'!$A$39:$C$41,2,1)-VLOOKUP((TRUNC(($AN485+0.01)*3/13,0)+0.99),'Tax scales - NAT 1004'!$A$39:$C$41,3,1)),0)
*13/3,
0),
IF($E$2="Monthly",
ROUND(
ROUND(((TRUNC($AN485*3/13,0)+0.99)*VLOOKUP((TRUNC($AN485*3/13,0)+0.99),'Tax scales - NAT 1004'!$A$39:$C$41,2,1)-VLOOKUP((TRUNC($AN485*3/13,0)+0.99),'Tax scales - NAT 1004'!$A$39:$C$41,3,1)),0)
*13/3,
0),
""))),
""),
"")</f>
        <v/>
      </c>
      <c r="AR485" s="118" t="str">
        <f>IFERROR(
IF(AND(VLOOKUP($C485,'Employee information'!$B:$M,COLUMNS('Employee information'!$B:$M),0)=4,
VLOOKUP($C485,'Employee information'!$B:$J,COLUMNS('Employee information'!$B:$J),0)="Resident"),
TRUNC(TRUNC($AN485)*'Tax scales - NAT 1004'!$B$47),
IF(AND(VLOOKUP($C485,'Employee information'!$B:$M,COLUMNS('Employee information'!$B:$M),0)=4,
VLOOKUP($C485,'Employee information'!$B:$J,COLUMNS('Employee information'!$B:$J),0)="Foreign resident"),
TRUNC(TRUNC($AN485)*'Tax scales - NAT 1004'!$B$48),
"")),
"")</f>
        <v/>
      </c>
      <c r="AS485" s="118" t="str">
        <f>IFERROR(
IF(VLOOKUP($C485,'Employee information'!$B:$M,COLUMNS('Employee information'!$B:$M),0)=5,
IF($E$2="Fortnightly",
ROUND(
ROUND((((TRUNC($AN485/2,0)+0.99))*VLOOKUP((TRUNC($AN485/2,0)+0.99),'Tax scales - NAT 1004'!$A$53:$C$59,2,1)-VLOOKUP((TRUNC($AN485/2,0)+0.99),'Tax scales - NAT 1004'!$A$53:$C$59,3,1)),0)
*2,
0),
IF(AND($E$2="Monthly",ROUND($AN485-TRUNC($AN485),2)=0.33),
ROUND(
ROUND(((TRUNC(($AN485+0.01)*3/13,0)+0.99)*VLOOKUP((TRUNC(($AN485+0.01)*3/13,0)+0.99),'Tax scales - NAT 1004'!$A$53:$C$59,2,1)-VLOOKUP((TRUNC(($AN485+0.01)*3/13,0)+0.99),'Tax scales - NAT 1004'!$A$53:$C$59,3,1)),0)
*13/3,
0),
IF($E$2="Monthly",
ROUND(
ROUND(((TRUNC($AN485*3/13,0)+0.99)*VLOOKUP((TRUNC($AN485*3/13,0)+0.99),'Tax scales - NAT 1004'!$A$53:$C$59,2,1)-VLOOKUP((TRUNC($AN485*3/13,0)+0.99),'Tax scales - NAT 1004'!$A$53:$C$59,3,1)),0)
*13/3,
0),
""))),
""),
"")</f>
        <v/>
      </c>
      <c r="AT485" s="118" t="str">
        <f>IFERROR(
IF(VLOOKUP($C485,'Employee information'!$B:$M,COLUMNS('Employee information'!$B:$M),0)=6,
IF($E$2="Fortnightly",
ROUND(
ROUND((((TRUNC($AN485/2,0)+0.99))*VLOOKUP((TRUNC($AN485/2,0)+0.99),'Tax scales - NAT 1004'!$A$65:$C$73,2,1)-VLOOKUP((TRUNC($AN485/2,0)+0.99),'Tax scales - NAT 1004'!$A$65:$C$73,3,1)),0)
*2,
0),
IF(AND($E$2="Monthly",ROUND($AN485-TRUNC($AN485),2)=0.33),
ROUND(
ROUND(((TRUNC(($AN485+0.01)*3/13,0)+0.99)*VLOOKUP((TRUNC(($AN485+0.01)*3/13,0)+0.99),'Tax scales - NAT 1004'!$A$65:$C$73,2,1)-VLOOKUP((TRUNC(($AN485+0.01)*3/13,0)+0.99),'Tax scales - NAT 1004'!$A$65:$C$73,3,1)),0)
*13/3,
0),
IF($E$2="Monthly",
ROUND(
ROUND(((TRUNC($AN485*3/13,0)+0.99)*VLOOKUP((TRUNC($AN485*3/13,0)+0.99),'Tax scales - NAT 1004'!$A$65:$C$73,2,1)-VLOOKUP((TRUNC($AN485*3/13,0)+0.99),'Tax scales - NAT 1004'!$A$65:$C$73,3,1)),0)
*13/3,
0),
""))),
""),
"")</f>
        <v/>
      </c>
      <c r="AU485" s="118" t="str">
        <f>IFERROR(
IF(VLOOKUP($C485,'Employee information'!$B:$M,COLUMNS('Employee information'!$B:$M),0)=11,
IF($E$2="Fortnightly",
ROUND(
ROUND((((TRUNC($AN485/2,0)+0.99))*VLOOKUP((TRUNC($AN485/2,0)+0.99),'Tax scales - NAT 3539'!$A$14:$C$38,2,1)-VLOOKUP((TRUNC($AN485/2,0)+0.99),'Tax scales - NAT 3539'!$A$14:$C$38,3,1)),0)
*2,
0),
IF(AND($E$2="Monthly",ROUND($AN485-TRUNC($AN485),2)=0.33),
ROUND(
ROUND(((TRUNC(($AN485+0.01)*3/13,0)+0.99)*VLOOKUP((TRUNC(($AN485+0.01)*3/13,0)+0.99),'Tax scales - NAT 3539'!$A$14:$C$38,2,1)-VLOOKUP((TRUNC(($AN485+0.01)*3/13,0)+0.99),'Tax scales - NAT 3539'!$A$14:$C$38,3,1)),0)
*13/3,
0),
IF($E$2="Monthly",
ROUND(
ROUND(((TRUNC($AN485*3/13,0)+0.99)*VLOOKUP((TRUNC($AN485*3/13,0)+0.99),'Tax scales - NAT 3539'!$A$14:$C$38,2,1)-VLOOKUP((TRUNC($AN485*3/13,0)+0.99),'Tax scales - NAT 3539'!$A$14:$C$38,3,1)),0)
*13/3,
0),
""))),
""),
"")</f>
        <v/>
      </c>
      <c r="AV485" s="118" t="str">
        <f>IFERROR(
IF(VLOOKUP($C485,'Employee information'!$B:$M,COLUMNS('Employee information'!$B:$M),0)=22,
IF($E$2="Fortnightly",
ROUND(
ROUND((((TRUNC($AN485/2,0)+0.99))*VLOOKUP((TRUNC($AN485/2,0)+0.99),'Tax scales - NAT 3539'!$A$43:$C$69,2,1)-VLOOKUP((TRUNC($AN485/2,0)+0.99),'Tax scales - NAT 3539'!$A$43:$C$69,3,1)),0)
*2,
0),
IF(AND($E$2="Monthly",ROUND($AN485-TRUNC($AN485),2)=0.33),
ROUND(
ROUND(((TRUNC(($AN485+0.01)*3/13,0)+0.99)*VLOOKUP((TRUNC(($AN485+0.01)*3/13,0)+0.99),'Tax scales - NAT 3539'!$A$43:$C$69,2,1)-VLOOKUP((TRUNC(($AN485+0.01)*3/13,0)+0.99),'Tax scales - NAT 3539'!$A$43:$C$69,3,1)),0)
*13/3,
0),
IF($E$2="Monthly",
ROUND(
ROUND(((TRUNC($AN485*3/13,0)+0.99)*VLOOKUP((TRUNC($AN485*3/13,0)+0.99),'Tax scales - NAT 3539'!$A$43:$C$69,2,1)-VLOOKUP((TRUNC($AN485*3/13,0)+0.99),'Tax scales - NAT 3539'!$A$43:$C$69,3,1)),0)
*13/3,
0),
""))),
""),
"")</f>
        <v/>
      </c>
      <c r="AW485" s="118" t="str">
        <f>IFERROR(
IF(VLOOKUP($C485,'Employee information'!$B:$M,COLUMNS('Employee information'!$B:$M),0)=33,
IF($E$2="Fortnightly",
ROUND(
ROUND((((TRUNC($AN485/2,0)+0.99))*VLOOKUP((TRUNC($AN485/2,0)+0.99),'Tax scales - NAT 3539'!$A$74:$C$94,2,1)-VLOOKUP((TRUNC($AN485/2,0)+0.99),'Tax scales - NAT 3539'!$A$74:$C$94,3,1)),0)
*2,
0),
IF(AND($E$2="Monthly",ROUND($AN485-TRUNC($AN485),2)=0.33),
ROUND(
ROUND(((TRUNC(($AN485+0.01)*3/13,0)+0.99)*VLOOKUP((TRUNC(($AN485+0.01)*3/13,0)+0.99),'Tax scales - NAT 3539'!$A$74:$C$94,2,1)-VLOOKUP((TRUNC(($AN485+0.01)*3/13,0)+0.99),'Tax scales - NAT 3539'!$A$74:$C$94,3,1)),0)
*13/3,
0),
IF($E$2="Monthly",
ROUND(
ROUND(((TRUNC($AN485*3/13,0)+0.99)*VLOOKUP((TRUNC($AN485*3/13,0)+0.99),'Tax scales - NAT 3539'!$A$74:$C$94,2,1)-VLOOKUP((TRUNC($AN485*3/13,0)+0.99),'Tax scales - NAT 3539'!$A$74:$C$94,3,1)),0)
*13/3,
0),
""))),
""),
"")</f>
        <v/>
      </c>
      <c r="AX485" s="118" t="str">
        <f>IFERROR(
IF(VLOOKUP($C485,'Employee information'!$B:$M,COLUMNS('Employee information'!$B:$M),0)=55,
IF($E$2="Fortnightly",
ROUND(
ROUND((((TRUNC($AN485/2,0)+0.99))*VLOOKUP((TRUNC($AN485/2,0)+0.99),'Tax scales - NAT 3539'!$A$99:$C$123,2,1)-VLOOKUP((TRUNC($AN485/2,0)+0.99),'Tax scales - NAT 3539'!$A$99:$C$123,3,1)),0)
*2,
0),
IF(AND($E$2="Monthly",ROUND($AN485-TRUNC($AN485),2)=0.33),
ROUND(
ROUND(((TRUNC(($AN485+0.01)*3/13,0)+0.99)*VLOOKUP((TRUNC(($AN485+0.01)*3/13,0)+0.99),'Tax scales - NAT 3539'!$A$99:$C$123,2,1)-VLOOKUP((TRUNC(($AN485+0.01)*3/13,0)+0.99),'Tax scales - NAT 3539'!$A$99:$C$123,3,1)),0)
*13/3,
0),
IF($E$2="Monthly",
ROUND(
ROUND(((TRUNC($AN485*3/13,0)+0.99)*VLOOKUP((TRUNC($AN485*3/13,0)+0.99),'Tax scales - NAT 3539'!$A$99:$C$123,2,1)-VLOOKUP((TRUNC($AN485*3/13,0)+0.99),'Tax scales - NAT 3539'!$A$99:$C$123,3,1)),0)
*13/3,
0),
""))),
""),
"")</f>
        <v/>
      </c>
      <c r="AY485" s="118" t="str">
        <f>IFERROR(
IF(VLOOKUP($C485,'Employee information'!$B:$M,COLUMNS('Employee information'!$B:$M),0)=66,
IF($E$2="Fortnightly",
ROUND(
ROUND((((TRUNC($AN485/2,0)+0.99))*VLOOKUP((TRUNC($AN485/2,0)+0.99),'Tax scales - NAT 3539'!$A$127:$C$154,2,1)-VLOOKUP((TRUNC($AN485/2,0)+0.99),'Tax scales - NAT 3539'!$A$127:$C$154,3,1)),0)
*2,
0),
IF(AND($E$2="Monthly",ROUND($AN485-TRUNC($AN485),2)=0.33),
ROUND(
ROUND(((TRUNC(($AN485+0.01)*3/13,0)+0.99)*VLOOKUP((TRUNC(($AN485+0.01)*3/13,0)+0.99),'Tax scales - NAT 3539'!$A$127:$C$154,2,1)-VLOOKUP((TRUNC(($AN485+0.01)*3/13,0)+0.99),'Tax scales - NAT 3539'!$A$127:$C$154,3,1)),0)
*13/3,
0),
IF($E$2="Monthly",
ROUND(
ROUND(((TRUNC($AN485*3/13,0)+0.99)*VLOOKUP((TRUNC($AN485*3/13,0)+0.99),'Tax scales - NAT 3539'!$A$127:$C$154,2,1)-VLOOKUP((TRUNC($AN485*3/13,0)+0.99),'Tax scales - NAT 3539'!$A$127:$C$154,3,1)),0)
*13/3,
0),
""))),
""),
"")</f>
        <v/>
      </c>
      <c r="AZ485" s="118">
        <f>IFERROR(
HLOOKUP(VLOOKUP($C485,'Employee information'!$B:$M,COLUMNS('Employee information'!$B:$M),0),'PAYG worksheet'!$AO$474:$AY$493,COUNTA($C$475:$C485)+1,0),
0)</f>
        <v>0</v>
      </c>
      <c r="BA485" s="118"/>
      <c r="BB485" s="118">
        <f t="shared" si="511"/>
        <v>0</v>
      </c>
      <c r="BC485" s="119">
        <f>IFERROR(
IF(OR($AE485=1,$AE485=""),SUM($P485,$AA485,$AC485,$AK485)*VLOOKUP($C485,'Employee information'!$B:$Q,COLUMNS('Employee information'!$B:$H),0),
IF($AE485=0,SUM($P485,$AA485,$AK485)*VLOOKUP($C485,'Employee information'!$B:$Q,COLUMNS('Employee information'!$B:$H),0),
0)),
0)</f>
        <v>0</v>
      </c>
      <c r="BE485" s="114">
        <f t="shared" si="496"/>
        <v>0</v>
      </c>
      <c r="BF485" s="114">
        <f t="shared" si="497"/>
        <v>0</v>
      </c>
      <c r="BG485" s="114">
        <f t="shared" si="498"/>
        <v>0</v>
      </c>
      <c r="BH485" s="114">
        <f t="shared" si="499"/>
        <v>0</v>
      </c>
      <c r="BI485" s="114">
        <f t="shared" si="500"/>
        <v>0</v>
      </c>
      <c r="BJ485" s="114">
        <f t="shared" si="501"/>
        <v>0</v>
      </c>
      <c r="BK485" s="114">
        <f t="shared" si="502"/>
        <v>0</v>
      </c>
      <c r="BL485" s="114">
        <f t="shared" si="512"/>
        <v>0</v>
      </c>
      <c r="BM485" s="114">
        <f t="shared" si="503"/>
        <v>0</v>
      </c>
    </row>
    <row r="486" spans="1:65" x14ac:dyDescent="0.25">
      <c r="A486" s="228">
        <f t="shared" si="491"/>
        <v>17</v>
      </c>
      <c r="C486" s="278"/>
      <c r="E486" s="103">
        <f>IF($C486="",0,
IF(AND($E$2="Monthly",$A486&gt;12),0,
IF($E$2="Monthly",VLOOKUP($C486,'Employee information'!$B:$AM,COLUMNS('Employee information'!$B:S),0),
IF($E$2="Fortnightly",VLOOKUP($C486,'Employee information'!$B:$AM,COLUMNS('Employee information'!$B:R),0),
0))))</f>
        <v>0</v>
      </c>
      <c r="F486" s="106"/>
      <c r="G486" s="106"/>
      <c r="H486" s="106"/>
      <c r="I486" s="106"/>
      <c r="J486" s="103">
        <f t="shared" si="504"/>
        <v>0</v>
      </c>
      <c r="L486" s="113">
        <f>IF(AND($E$2="Monthly",$A486&gt;12),"",
IFERROR($J486*VLOOKUP($C486,'Employee information'!$B:$AI,COLUMNS('Employee information'!$B:$P),0),0))</f>
        <v>0</v>
      </c>
      <c r="M486" s="114">
        <f t="shared" si="505"/>
        <v>0</v>
      </c>
      <c r="O486" s="103">
        <f t="shared" si="506"/>
        <v>0</v>
      </c>
      <c r="P486" s="113">
        <f>IFERROR(
IF(AND($E$2="Monthly",$A486&gt;12),0,
$O486*VLOOKUP($C486,'Employee information'!$B:$AI,COLUMNS('Employee information'!$B:$P),0)),
0)</f>
        <v>0</v>
      </c>
      <c r="R486" s="114">
        <f t="shared" si="492"/>
        <v>0</v>
      </c>
      <c r="T486" s="103"/>
      <c r="U486" s="103"/>
      <c r="V486" s="282" t="str">
        <f>IF($C486="","",
IF(AND($E$2="Monthly",$A486&gt;12),"",
$T486*VLOOKUP($C486,'Employee information'!$B:$P,COLUMNS('Employee information'!$B:$P),0)))</f>
        <v/>
      </c>
      <c r="W486" s="282" t="str">
        <f>IF($C486="","",
IF(AND($E$2="Monthly",$A486&gt;12),"",
$U486*VLOOKUP($C486,'Employee information'!$B:$P,COLUMNS('Employee information'!$B:$P),0)))</f>
        <v/>
      </c>
      <c r="X486" s="114">
        <f t="shared" si="493"/>
        <v>0</v>
      </c>
      <c r="Y486" s="114">
        <f t="shared" si="494"/>
        <v>0</v>
      </c>
      <c r="AA486" s="118">
        <f>IFERROR(
IF(OR('Basic payroll data'!$D$12="",'Basic payroll data'!$D$12="No"),0,
$T486*VLOOKUP($C486,'Employee information'!$B:$P,COLUMNS('Employee information'!$B:$P),0)*AL_loading_perc),
0)</f>
        <v>0</v>
      </c>
      <c r="AC486" s="118"/>
      <c r="AD486" s="118"/>
      <c r="AE486" s="283" t="str">
        <f t="shared" si="507"/>
        <v/>
      </c>
      <c r="AF486" s="283" t="str">
        <f t="shared" si="508"/>
        <v/>
      </c>
      <c r="AG486" s="118"/>
      <c r="AH486" s="118"/>
      <c r="AI486" s="283" t="str">
        <f t="shared" si="509"/>
        <v/>
      </c>
      <c r="AJ486" s="118"/>
      <c r="AK486" s="118"/>
      <c r="AM486" s="118">
        <f t="shared" si="510"/>
        <v>0</v>
      </c>
      <c r="AN486" s="118">
        <f t="shared" si="495"/>
        <v>0</v>
      </c>
      <c r="AO486" s="118" t="str">
        <f>IFERROR(
IF(VLOOKUP($C486,'Employee information'!$B:$M,COLUMNS('Employee information'!$B:$M),0)=1,
IF($E$2="Fortnightly",
ROUND(
ROUND((((TRUNC($AN486/2,0)+0.99))*VLOOKUP((TRUNC($AN486/2,0)+0.99),'Tax scales - NAT 1004'!$A$12:$C$18,2,1)-VLOOKUP((TRUNC($AN486/2,0)+0.99),'Tax scales - NAT 1004'!$A$12:$C$18,3,1)),0)
*2,
0),
IF(AND($E$2="Monthly",ROUND($AN486-TRUNC($AN486),2)=0.33),
ROUND(
ROUND(((TRUNC(($AN486+0.01)*3/13,0)+0.99)*VLOOKUP((TRUNC(($AN486+0.01)*3/13,0)+0.99),'Tax scales - NAT 1004'!$A$12:$C$18,2,1)-VLOOKUP((TRUNC(($AN486+0.01)*3/13,0)+0.99),'Tax scales - NAT 1004'!$A$12:$C$18,3,1)),0)
*13/3,
0),
IF($E$2="Monthly",
ROUND(
ROUND(((TRUNC($AN486*3/13,0)+0.99)*VLOOKUP((TRUNC($AN486*3/13,0)+0.99),'Tax scales - NAT 1004'!$A$12:$C$18,2,1)-VLOOKUP((TRUNC($AN486*3/13,0)+0.99),'Tax scales - NAT 1004'!$A$12:$C$18,3,1)),0)
*13/3,
0),
""))),
""),
"")</f>
        <v/>
      </c>
      <c r="AP486" s="118" t="str">
        <f>IFERROR(
IF(VLOOKUP($C486,'Employee information'!$B:$M,COLUMNS('Employee information'!$B:$M),0)=2,
IF($E$2="Fortnightly",
ROUND(
ROUND((((TRUNC($AN486/2,0)+0.99))*VLOOKUP((TRUNC($AN486/2,0)+0.99),'Tax scales - NAT 1004'!$A$25:$C$33,2,1)-VLOOKUP((TRUNC($AN486/2,0)+0.99),'Tax scales - NAT 1004'!$A$25:$C$33,3,1)),0)
*2,
0),
IF(AND($E$2="Monthly",ROUND($AN486-TRUNC($AN486),2)=0.33),
ROUND(
ROUND(((TRUNC(($AN486+0.01)*3/13,0)+0.99)*VLOOKUP((TRUNC(($AN486+0.01)*3/13,0)+0.99),'Tax scales - NAT 1004'!$A$25:$C$33,2,1)-VLOOKUP((TRUNC(($AN486+0.01)*3/13,0)+0.99),'Tax scales - NAT 1004'!$A$25:$C$33,3,1)),0)
*13/3,
0),
IF($E$2="Monthly",
ROUND(
ROUND(((TRUNC($AN486*3/13,0)+0.99)*VLOOKUP((TRUNC($AN486*3/13,0)+0.99),'Tax scales - NAT 1004'!$A$25:$C$33,2,1)-VLOOKUP((TRUNC($AN486*3/13,0)+0.99),'Tax scales - NAT 1004'!$A$25:$C$33,3,1)),0)
*13/3,
0),
""))),
""),
"")</f>
        <v/>
      </c>
      <c r="AQ486" s="118" t="str">
        <f>IFERROR(
IF(VLOOKUP($C486,'Employee information'!$B:$M,COLUMNS('Employee information'!$B:$M),0)=3,
IF($E$2="Fortnightly",
ROUND(
ROUND((((TRUNC($AN486/2,0)+0.99))*VLOOKUP((TRUNC($AN486/2,0)+0.99),'Tax scales - NAT 1004'!$A$39:$C$41,2,1)-VLOOKUP((TRUNC($AN486/2,0)+0.99),'Tax scales - NAT 1004'!$A$39:$C$41,3,1)),0)
*2,
0),
IF(AND($E$2="Monthly",ROUND($AN486-TRUNC($AN486),2)=0.33),
ROUND(
ROUND(((TRUNC(($AN486+0.01)*3/13,0)+0.99)*VLOOKUP((TRUNC(($AN486+0.01)*3/13,0)+0.99),'Tax scales - NAT 1004'!$A$39:$C$41,2,1)-VLOOKUP((TRUNC(($AN486+0.01)*3/13,0)+0.99),'Tax scales - NAT 1004'!$A$39:$C$41,3,1)),0)
*13/3,
0),
IF($E$2="Monthly",
ROUND(
ROUND(((TRUNC($AN486*3/13,0)+0.99)*VLOOKUP((TRUNC($AN486*3/13,0)+0.99),'Tax scales - NAT 1004'!$A$39:$C$41,2,1)-VLOOKUP((TRUNC($AN486*3/13,0)+0.99),'Tax scales - NAT 1004'!$A$39:$C$41,3,1)),0)
*13/3,
0),
""))),
""),
"")</f>
        <v/>
      </c>
      <c r="AR486" s="118" t="str">
        <f>IFERROR(
IF(AND(VLOOKUP($C486,'Employee information'!$B:$M,COLUMNS('Employee information'!$B:$M),0)=4,
VLOOKUP($C486,'Employee information'!$B:$J,COLUMNS('Employee information'!$B:$J),0)="Resident"),
TRUNC(TRUNC($AN486)*'Tax scales - NAT 1004'!$B$47),
IF(AND(VLOOKUP($C486,'Employee information'!$B:$M,COLUMNS('Employee information'!$B:$M),0)=4,
VLOOKUP($C486,'Employee information'!$B:$J,COLUMNS('Employee information'!$B:$J),0)="Foreign resident"),
TRUNC(TRUNC($AN486)*'Tax scales - NAT 1004'!$B$48),
"")),
"")</f>
        <v/>
      </c>
      <c r="AS486" s="118" t="str">
        <f>IFERROR(
IF(VLOOKUP($C486,'Employee information'!$B:$M,COLUMNS('Employee information'!$B:$M),0)=5,
IF($E$2="Fortnightly",
ROUND(
ROUND((((TRUNC($AN486/2,0)+0.99))*VLOOKUP((TRUNC($AN486/2,0)+0.99),'Tax scales - NAT 1004'!$A$53:$C$59,2,1)-VLOOKUP((TRUNC($AN486/2,0)+0.99),'Tax scales - NAT 1004'!$A$53:$C$59,3,1)),0)
*2,
0),
IF(AND($E$2="Monthly",ROUND($AN486-TRUNC($AN486),2)=0.33),
ROUND(
ROUND(((TRUNC(($AN486+0.01)*3/13,0)+0.99)*VLOOKUP((TRUNC(($AN486+0.01)*3/13,0)+0.99),'Tax scales - NAT 1004'!$A$53:$C$59,2,1)-VLOOKUP((TRUNC(($AN486+0.01)*3/13,0)+0.99),'Tax scales - NAT 1004'!$A$53:$C$59,3,1)),0)
*13/3,
0),
IF($E$2="Monthly",
ROUND(
ROUND(((TRUNC($AN486*3/13,0)+0.99)*VLOOKUP((TRUNC($AN486*3/13,0)+0.99),'Tax scales - NAT 1004'!$A$53:$C$59,2,1)-VLOOKUP((TRUNC($AN486*3/13,0)+0.99),'Tax scales - NAT 1004'!$A$53:$C$59,3,1)),0)
*13/3,
0),
""))),
""),
"")</f>
        <v/>
      </c>
      <c r="AT486" s="118" t="str">
        <f>IFERROR(
IF(VLOOKUP($C486,'Employee information'!$B:$M,COLUMNS('Employee information'!$B:$M),0)=6,
IF($E$2="Fortnightly",
ROUND(
ROUND((((TRUNC($AN486/2,0)+0.99))*VLOOKUP((TRUNC($AN486/2,0)+0.99),'Tax scales - NAT 1004'!$A$65:$C$73,2,1)-VLOOKUP((TRUNC($AN486/2,0)+0.99),'Tax scales - NAT 1004'!$A$65:$C$73,3,1)),0)
*2,
0),
IF(AND($E$2="Monthly",ROUND($AN486-TRUNC($AN486),2)=0.33),
ROUND(
ROUND(((TRUNC(($AN486+0.01)*3/13,0)+0.99)*VLOOKUP((TRUNC(($AN486+0.01)*3/13,0)+0.99),'Tax scales - NAT 1004'!$A$65:$C$73,2,1)-VLOOKUP((TRUNC(($AN486+0.01)*3/13,0)+0.99),'Tax scales - NAT 1004'!$A$65:$C$73,3,1)),0)
*13/3,
0),
IF($E$2="Monthly",
ROUND(
ROUND(((TRUNC($AN486*3/13,0)+0.99)*VLOOKUP((TRUNC($AN486*3/13,0)+0.99),'Tax scales - NAT 1004'!$A$65:$C$73,2,1)-VLOOKUP((TRUNC($AN486*3/13,0)+0.99),'Tax scales - NAT 1004'!$A$65:$C$73,3,1)),0)
*13/3,
0),
""))),
""),
"")</f>
        <v/>
      </c>
      <c r="AU486" s="118" t="str">
        <f>IFERROR(
IF(VLOOKUP($C486,'Employee information'!$B:$M,COLUMNS('Employee information'!$B:$M),0)=11,
IF($E$2="Fortnightly",
ROUND(
ROUND((((TRUNC($AN486/2,0)+0.99))*VLOOKUP((TRUNC($AN486/2,0)+0.99),'Tax scales - NAT 3539'!$A$14:$C$38,2,1)-VLOOKUP((TRUNC($AN486/2,0)+0.99),'Tax scales - NAT 3539'!$A$14:$C$38,3,1)),0)
*2,
0),
IF(AND($E$2="Monthly",ROUND($AN486-TRUNC($AN486),2)=0.33),
ROUND(
ROUND(((TRUNC(($AN486+0.01)*3/13,0)+0.99)*VLOOKUP((TRUNC(($AN486+0.01)*3/13,0)+0.99),'Tax scales - NAT 3539'!$A$14:$C$38,2,1)-VLOOKUP((TRUNC(($AN486+0.01)*3/13,0)+0.99),'Tax scales - NAT 3539'!$A$14:$C$38,3,1)),0)
*13/3,
0),
IF($E$2="Monthly",
ROUND(
ROUND(((TRUNC($AN486*3/13,0)+0.99)*VLOOKUP((TRUNC($AN486*3/13,0)+0.99),'Tax scales - NAT 3539'!$A$14:$C$38,2,1)-VLOOKUP((TRUNC($AN486*3/13,0)+0.99),'Tax scales - NAT 3539'!$A$14:$C$38,3,1)),0)
*13/3,
0),
""))),
""),
"")</f>
        <v/>
      </c>
      <c r="AV486" s="118" t="str">
        <f>IFERROR(
IF(VLOOKUP($C486,'Employee information'!$B:$M,COLUMNS('Employee information'!$B:$M),0)=22,
IF($E$2="Fortnightly",
ROUND(
ROUND((((TRUNC($AN486/2,0)+0.99))*VLOOKUP((TRUNC($AN486/2,0)+0.99),'Tax scales - NAT 3539'!$A$43:$C$69,2,1)-VLOOKUP((TRUNC($AN486/2,0)+0.99),'Tax scales - NAT 3539'!$A$43:$C$69,3,1)),0)
*2,
0),
IF(AND($E$2="Monthly",ROUND($AN486-TRUNC($AN486),2)=0.33),
ROUND(
ROUND(((TRUNC(($AN486+0.01)*3/13,0)+0.99)*VLOOKUP((TRUNC(($AN486+0.01)*3/13,0)+0.99),'Tax scales - NAT 3539'!$A$43:$C$69,2,1)-VLOOKUP((TRUNC(($AN486+0.01)*3/13,0)+0.99),'Tax scales - NAT 3539'!$A$43:$C$69,3,1)),0)
*13/3,
0),
IF($E$2="Monthly",
ROUND(
ROUND(((TRUNC($AN486*3/13,0)+0.99)*VLOOKUP((TRUNC($AN486*3/13,0)+0.99),'Tax scales - NAT 3539'!$A$43:$C$69,2,1)-VLOOKUP((TRUNC($AN486*3/13,0)+0.99),'Tax scales - NAT 3539'!$A$43:$C$69,3,1)),0)
*13/3,
0),
""))),
""),
"")</f>
        <v/>
      </c>
      <c r="AW486" s="118" t="str">
        <f>IFERROR(
IF(VLOOKUP($C486,'Employee information'!$B:$M,COLUMNS('Employee information'!$B:$M),0)=33,
IF($E$2="Fortnightly",
ROUND(
ROUND((((TRUNC($AN486/2,0)+0.99))*VLOOKUP((TRUNC($AN486/2,0)+0.99),'Tax scales - NAT 3539'!$A$74:$C$94,2,1)-VLOOKUP((TRUNC($AN486/2,0)+0.99),'Tax scales - NAT 3539'!$A$74:$C$94,3,1)),0)
*2,
0),
IF(AND($E$2="Monthly",ROUND($AN486-TRUNC($AN486),2)=0.33),
ROUND(
ROUND(((TRUNC(($AN486+0.01)*3/13,0)+0.99)*VLOOKUP((TRUNC(($AN486+0.01)*3/13,0)+0.99),'Tax scales - NAT 3539'!$A$74:$C$94,2,1)-VLOOKUP((TRUNC(($AN486+0.01)*3/13,0)+0.99),'Tax scales - NAT 3539'!$A$74:$C$94,3,1)),0)
*13/3,
0),
IF($E$2="Monthly",
ROUND(
ROUND(((TRUNC($AN486*3/13,0)+0.99)*VLOOKUP((TRUNC($AN486*3/13,0)+0.99),'Tax scales - NAT 3539'!$A$74:$C$94,2,1)-VLOOKUP((TRUNC($AN486*3/13,0)+0.99),'Tax scales - NAT 3539'!$A$74:$C$94,3,1)),0)
*13/3,
0),
""))),
""),
"")</f>
        <v/>
      </c>
      <c r="AX486" s="118" t="str">
        <f>IFERROR(
IF(VLOOKUP($C486,'Employee information'!$B:$M,COLUMNS('Employee information'!$B:$M),0)=55,
IF($E$2="Fortnightly",
ROUND(
ROUND((((TRUNC($AN486/2,0)+0.99))*VLOOKUP((TRUNC($AN486/2,0)+0.99),'Tax scales - NAT 3539'!$A$99:$C$123,2,1)-VLOOKUP((TRUNC($AN486/2,0)+0.99),'Tax scales - NAT 3539'!$A$99:$C$123,3,1)),0)
*2,
0),
IF(AND($E$2="Monthly",ROUND($AN486-TRUNC($AN486),2)=0.33),
ROUND(
ROUND(((TRUNC(($AN486+0.01)*3/13,0)+0.99)*VLOOKUP((TRUNC(($AN486+0.01)*3/13,0)+0.99),'Tax scales - NAT 3539'!$A$99:$C$123,2,1)-VLOOKUP((TRUNC(($AN486+0.01)*3/13,0)+0.99),'Tax scales - NAT 3539'!$A$99:$C$123,3,1)),0)
*13/3,
0),
IF($E$2="Monthly",
ROUND(
ROUND(((TRUNC($AN486*3/13,0)+0.99)*VLOOKUP((TRUNC($AN486*3/13,0)+0.99),'Tax scales - NAT 3539'!$A$99:$C$123,2,1)-VLOOKUP((TRUNC($AN486*3/13,0)+0.99),'Tax scales - NAT 3539'!$A$99:$C$123,3,1)),0)
*13/3,
0),
""))),
""),
"")</f>
        <v/>
      </c>
      <c r="AY486" s="118" t="str">
        <f>IFERROR(
IF(VLOOKUP($C486,'Employee information'!$B:$M,COLUMNS('Employee information'!$B:$M),0)=66,
IF($E$2="Fortnightly",
ROUND(
ROUND((((TRUNC($AN486/2,0)+0.99))*VLOOKUP((TRUNC($AN486/2,0)+0.99),'Tax scales - NAT 3539'!$A$127:$C$154,2,1)-VLOOKUP((TRUNC($AN486/2,0)+0.99),'Tax scales - NAT 3539'!$A$127:$C$154,3,1)),0)
*2,
0),
IF(AND($E$2="Monthly",ROUND($AN486-TRUNC($AN486),2)=0.33),
ROUND(
ROUND(((TRUNC(($AN486+0.01)*3/13,0)+0.99)*VLOOKUP((TRUNC(($AN486+0.01)*3/13,0)+0.99),'Tax scales - NAT 3539'!$A$127:$C$154,2,1)-VLOOKUP((TRUNC(($AN486+0.01)*3/13,0)+0.99),'Tax scales - NAT 3539'!$A$127:$C$154,3,1)),0)
*13/3,
0),
IF($E$2="Monthly",
ROUND(
ROUND(((TRUNC($AN486*3/13,0)+0.99)*VLOOKUP((TRUNC($AN486*3/13,0)+0.99),'Tax scales - NAT 3539'!$A$127:$C$154,2,1)-VLOOKUP((TRUNC($AN486*3/13,0)+0.99),'Tax scales - NAT 3539'!$A$127:$C$154,3,1)),0)
*13/3,
0),
""))),
""),
"")</f>
        <v/>
      </c>
      <c r="AZ486" s="118">
        <f>IFERROR(
HLOOKUP(VLOOKUP($C486,'Employee information'!$B:$M,COLUMNS('Employee information'!$B:$M),0),'PAYG worksheet'!$AO$474:$AY$493,COUNTA($C$475:$C486)+1,0),
0)</f>
        <v>0</v>
      </c>
      <c r="BA486" s="118"/>
      <c r="BB486" s="118">
        <f t="shared" si="511"/>
        <v>0</v>
      </c>
      <c r="BC486" s="119">
        <f>IFERROR(
IF(OR($AE486=1,$AE486=""),SUM($P486,$AA486,$AC486,$AK486)*VLOOKUP($C486,'Employee information'!$B:$Q,COLUMNS('Employee information'!$B:$H),0),
IF($AE486=0,SUM($P486,$AA486,$AK486)*VLOOKUP($C486,'Employee information'!$B:$Q,COLUMNS('Employee information'!$B:$H),0),
0)),
0)</f>
        <v>0</v>
      </c>
      <c r="BE486" s="114">
        <f t="shared" si="496"/>
        <v>0</v>
      </c>
      <c r="BF486" s="114">
        <f t="shared" si="497"/>
        <v>0</v>
      </c>
      <c r="BG486" s="114">
        <f t="shared" si="498"/>
        <v>0</v>
      </c>
      <c r="BH486" s="114">
        <f t="shared" si="499"/>
        <v>0</v>
      </c>
      <c r="BI486" s="114">
        <f t="shared" si="500"/>
        <v>0</v>
      </c>
      <c r="BJ486" s="114">
        <f t="shared" si="501"/>
        <v>0</v>
      </c>
      <c r="BK486" s="114">
        <f t="shared" si="502"/>
        <v>0</v>
      </c>
      <c r="BL486" s="114">
        <f t="shared" si="512"/>
        <v>0</v>
      </c>
      <c r="BM486" s="114">
        <f t="shared" si="503"/>
        <v>0</v>
      </c>
    </row>
    <row r="487" spans="1:65" x14ac:dyDescent="0.25">
      <c r="A487" s="228">
        <f t="shared" si="491"/>
        <v>17</v>
      </c>
      <c r="C487" s="278"/>
      <c r="E487" s="103">
        <f>IF($C487="",0,
IF(AND($E$2="Monthly",$A487&gt;12),0,
IF($E$2="Monthly",VLOOKUP($C487,'Employee information'!$B:$AM,COLUMNS('Employee information'!$B:S),0),
IF($E$2="Fortnightly",VLOOKUP($C487,'Employee information'!$B:$AM,COLUMNS('Employee information'!$B:R),0),
0))))</f>
        <v>0</v>
      </c>
      <c r="F487" s="106"/>
      <c r="G487" s="106"/>
      <c r="H487" s="106"/>
      <c r="I487" s="106"/>
      <c r="J487" s="103">
        <f t="shared" si="504"/>
        <v>0</v>
      </c>
      <c r="L487" s="113">
        <f>IF(AND($E$2="Monthly",$A487&gt;12),"",
IFERROR($J487*VLOOKUP($C487,'Employee information'!$B:$AI,COLUMNS('Employee information'!$B:$P),0),0))</f>
        <v>0</v>
      </c>
      <c r="M487" s="114">
        <f t="shared" si="505"/>
        <v>0</v>
      </c>
      <c r="O487" s="103">
        <f t="shared" si="506"/>
        <v>0</v>
      </c>
      <c r="P487" s="113">
        <f>IFERROR(
IF(AND($E$2="Monthly",$A487&gt;12),0,
$O487*VLOOKUP($C487,'Employee information'!$B:$AI,COLUMNS('Employee information'!$B:$P),0)),
0)</f>
        <v>0</v>
      </c>
      <c r="R487" s="114">
        <f t="shared" si="492"/>
        <v>0</v>
      </c>
      <c r="T487" s="103"/>
      <c r="U487" s="103"/>
      <c r="V487" s="282" t="str">
        <f>IF($C487="","",
IF(AND($E$2="Monthly",$A487&gt;12),"",
$T487*VLOOKUP($C487,'Employee information'!$B:$P,COLUMNS('Employee information'!$B:$P),0)))</f>
        <v/>
      </c>
      <c r="W487" s="282" t="str">
        <f>IF($C487="","",
IF(AND($E$2="Monthly",$A487&gt;12),"",
$U487*VLOOKUP($C487,'Employee information'!$B:$P,COLUMNS('Employee information'!$B:$P),0)))</f>
        <v/>
      </c>
      <c r="X487" s="114">
        <f t="shared" si="493"/>
        <v>0</v>
      </c>
      <c r="Y487" s="114">
        <f t="shared" si="494"/>
        <v>0</v>
      </c>
      <c r="AA487" s="118">
        <f>IFERROR(
IF(OR('Basic payroll data'!$D$12="",'Basic payroll data'!$D$12="No"),0,
$T487*VLOOKUP($C487,'Employee information'!$B:$P,COLUMNS('Employee information'!$B:$P),0)*AL_loading_perc),
0)</f>
        <v>0</v>
      </c>
      <c r="AC487" s="118"/>
      <c r="AD487" s="118"/>
      <c r="AE487" s="283" t="str">
        <f t="shared" si="507"/>
        <v/>
      </c>
      <c r="AF487" s="283" t="str">
        <f t="shared" si="508"/>
        <v/>
      </c>
      <c r="AG487" s="118"/>
      <c r="AH487" s="118"/>
      <c r="AI487" s="283" t="str">
        <f t="shared" si="509"/>
        <v/>
      </c>
      <c r="AJ487" s="118"/>
      <c r="AK487" s="118"/>
      <c r="AM487" s="118">
        <f t="shared" si="510"/>
        <v>0</v>
      </c>
      <c r="AN487" s="118">
        <f t="shared" si="495"/>
        <v>0</v>
      </c>
      <c r="AO487" s="118" t="str">
        <f>IFERROR(
IF(VLOOKUP($C487,'Employee information'!$B:$M,COLUMNS('Employee information'!$B:$M),0)=1,
IF($E$2="Fortnightly",
ROUND(
ROUND((((TRUNC($AN487/2,0)+0.99))*VLOOKUP((TRUNC($AN487/2,0)+0.99),'Tax scales - NAT 1004'!$A$12:$C$18,2,1)-VLOOKUP((TRUNC($AN487/2,0)+0.99),'Tax scales - NAT 1004'!$A$12:$C$18,3,1)),0)
*2,
0),
IF(AND($E$2="Monthly",ROUND($AN487-TRUNC($AN487),2)=0.33),
ROUND(
ROUND(((TRUNC(($AN487+0.01)*3/13,0)+0.99)*VLOOKUP((TRUNC(($AN487+0.01)*3/13,0)+0.99),'Tax scales - NAT 1004'!$A$12:$C$18,2,1)-VLOOKUP((TRUNC(($AN487+0.01)*3/13,0)+0.99),'Tax scales - NAT 1004'!$A$12:$C$18,3,1)),0)
*13/3,
0),
IF($E$2="Monthly",
ROUND(
ROUND(((TRUNC($AN487*3/13,0)+0.99)*VLOOKUP((TRUNC($AN487*3/13,0)+0.99),'Tax scales - NAT 1004'!$A$12:$C$18,2,1)-VLOOKUP((TRUNC($AN487*3/13,0)+0.99),'Tax scales - NAT 1004'!$A$12:$C$18,3,1)),0)
*13/3,
0),
""))),
""),
"")</f>
        <v/>
      </c>
      <c r="AP487" s="118" t="str">
        <f>IFERROR(
IF(VLOOKUP($C487,'Employee information'!$B:$M,COLUMNS('Employee information'!$B:$M),0)=2,
IF($E$2="Fortnightly",
ROUND(
ROUND((((TRUNC($AN487/2,0)+0.99))*VLOOKUP((TRUNC($AN487/2,0)+0.99),'Tax scales - NAT 1004'!$A$25:$C$33,2,1)-VLOOKUP((TRUNC($AN487/2,0)+0.99),'Tax scales - NAT 1004'!$A$25:$C$33,3,1)),0)
*2,
0),
IF(AND($E$2="Monthly",ROUND($AN487-TRUNC($AN487),2)=0.33),
ROUND(
ROUND(((TRUNC(($AN487+0.01)*3/13,0)+0.99)*VLOOKUP((TRUNC(($AN487+0.01)*3/13,0)+0.99),'Tax scales - NAT 1004'!$A$25:$C$33,2,1)-VLOOKUP((TRUNC(($AN487+0.01)*3/13,0)+0.99),'Tax scales - NAT 1004'!$A$25:$C$33,3,1)),0)
*13/3,
0),
IF($E$2="Monthly",
ROUND(
ROUND(((TRUNC($AN487*3/13,0)+0.99)*VLOOKUP((TRUNC($AN487*3/13,0)+0.99),'Tax scales - NAT 1004'!$A$25:$C$33,2,1)-VLOOKUP((TRUNC($AN487*3/13,0)+0.99),'Tax scales - NAT 1004'!$A$25:$C$33,3,1)),0)
*13/3,
0),
""))),
""),
"")</f>
        <v/>
      </c>
      <c r="AQ487" s="118" t="str">
        <f>IFERROR(
IF(VLOOKUP($C487,'Employee information'!$B:$M,COLUMNS('Employee information'!$B:$M),0)=3,
IF($E$2="Fortnightly",
ROUND(
ROUND((((TRUNC($AN487/2,0)+0.99))*VLOOKUP((TRUNC($AN487/2,0)+0.99),'Tax scales - NAT 1004'!$A$39:$C$41,2,1)-VLOOKUP((TRUNC($AN487/2,0)+0.99),'Tax scales - NAT 1004'!$A$39:$C$41,3,1)),0)
*2,
0),
IF(AND($E$2="Monthly",ROUND($AN487-TRUNC($AN487),2)=0.33),
ROUND(
ROUND(((TRUNC(($AN487+0.01)*3/13,0)+0.99)*VLOOKUP((TRUNC(($AN487+0.01)*3/13,0)+0.99),'Tax scales - NAT 1004'!$A$39:$C$41,2,1)-VLOOKUP((TRUNC(($AN487+0.01)*3/13,0)+0.99),'Tax scales - NAT 1004'!$A$39:$C$41,3,1)),0)
*13/3,
0),
IF($E$2="Monthly",
ROUND(
ROUND(((TRUNC($AN487*3/13,0)+0.99)*VLOOKUP((TRUNC($AN487*3/13,0)+0.99),'Tax scales - NAT 1004'!$A$39:$C$41,2,1)-VLOOKUP((TRUNC($AN487*3/13,0)+0.99),'Tax scales - NAT 1004'!$A$39:$C$41,3,1)),0)
*13/3,
0),
""))),
""),
"")</f>
        <v/>
      </c>
      <c r="AR487" s="118" t="str">
        <f>IFERROR(
IF(AND(VLOOKUP($C487,'Employee information'!$B:$M,COLUMNS('Employee information'!$B:$M),0)=4,
VLOOKUP($C487,'Employee information'!$B:$J,COLUMNS('Employee information'!$B:$J),0)="Resident"),
TRUNC(TRUNC($AN487)*'Tax scales - NAT 1004'!$B$47),
IF(AND(VLOOKUP($C487,'Employee information'!$B:$M,COLUMNS('Employee information'!$B:$M),0)=4,
VLOOKUP($C487,'Employee information'!$B:$J,COLUMNS('Employee information'!$B:$J),0)="Foreign resident"),
TRUNC(TRUNC($AN487)*'Tax scales - NAT 1004'!$B$48),
"")),
"")</f>
        <v/>
      </c>
      <c r="AS487" s="118" t="str">
        <f>IFERROR(
IF(VLOOKUP($C487,'Employee information'!$B:$M,COLUMNS('Employee information'!$B:$M),0)=5,
IF($E$2="Fortnightly",
ROUND(
ROUND((((TRUNC($AN487/2,0)+0.99))*VLOOKUP((TRUNC($AN487/2,0)+0.99),'Tax scales - NAT 1004'!$A$53:$C$59,2,1)-VLOOKUP((TRUNC($AN487/2,0)+0.99),'Tax scales - NAT 1004'!$A$53:$C$59,3,1)),0)
*2,
0),
IF(AND($E$2="Monthly",ROUND($AN487-TRUNC($AN487),2)=0.33),
ROUND(
ROUND(((TRUNC(($AN487+0.01)*3/13,0)+0.99)*VLOOKUP((TRUNC(($AN487+0.01)*3/13,0)+0.99),'Tax scales - NAT 1004'!$A$53:$C$59,2,1)-VLOOKUP((TRUNC(($AN487+0.01)*3/13,0)+0.99),'Tax scales - NAT 1004'!$A$53:$C$59,3,1)),0)
*13/3,
0),
IF($E$2="Monthly",
ROUND(
ROUND(((TRUNC($AN487*3/13,0)+0.99)*VLOOKUP((TRUNC($AN487*3/13,0)+0.99),'Tax scales - NAT 1004'!$A$53:$C$59,2,1)-VLOOKUP((TRUNC($AN487*3/13,0)+0.99),'Tax scales - NAT 1004'!$A$53:$C$59,3,1)),0)
*13/3,
0),
""))),
""),
"")</f>
        <v/>
      </c>
      <c r="AT487" s="118" t="str">
        <f>IFERROR(
IF(VLOOKUP($C487,'Employee information'!$B:$M,COLUMNS('Employee information'!$B:$M),0)=6,
IF($E$2="Fortnightly",
ROUND(
ROUND((((TRUNC($AN487/2,0)+0.99))*VLOOKUP((TRUNC($AN487/2,0)+0.99),'Tax scales - NAT 1004'!$A$65:$C$73,2,1)-VLOOKUP((TRUNC($AN487/2,0)+0.99),'Tax scales - NAT 1004'!$A$65:$C$73,3,1)),0)
*2,
0),
IF(AND($E$2="Monthly",ROUND($AN487-TRUNC($AN487),2)=0.33),
ROUND(
ROUND(((TRUNC(($AN487+0.01)*3/13,0)+0.99)*VLOOKUP((TRUNC(($AN487+0.01)*3/13,0)+0.99),'Tax scales - NAT 1004'!$A$65:$C$73,2,1)-VLOOKUP((TRUNC(($AN487+0.01)*3/13,0)+0.99),'Tax scales - NAT 1004'!$A$65:$C$73,3,1)),0)
*13/3,
0),
IF($E$2="Monthly",
ROUND(
ROUND(((TRUNC($AN487*3/13,0)+0.99)*VLOOKUP((TRUNC($AN487*3/13,0)+0.99),'Tax scales - NAT 1004'!$A$65:$C$73,2,1)-VLOOKUP((TRUNC($AN487*3/13,0)+0.99),'Tax scales - NAT 1004'!$A$65:$C$73,3,1)),0)
*13/3,
0),
""))),
""),
"")</f>
        <v/>
      </c>
      <c r="AU487" s="118" t="str">
        <f>IFERROR(
IF(VLOOKUP($C487,'Employee information'!$B:$M,COLUMNS('Employee information'!$B:$M),0)=11,
IF($E$2="Fortnightly",
ROUND(
ROUND((((TRUNC($AN487/2,0)+0.99))*VLOOKUP((TRUNC($AN487/2,0)+0.99),'Tax scales - NAT 3539'!$A$14:$C$38,2,1)-VLOOKUP((TRUNC($AN487/2,0)+0.99),'Tax scales - NAT 3539'!$A$14:$C$38,3,1)),0)
*2,
0),
IF(AND($E$2="Monthly",ROUND($AN487-TRUNC($AN487),2)=0.33),
ROUND(
ROUND(((TRUNC(($AN487+0.01)*3/13,0)+0.99)*VLOOKUP((TRUNC(($AN487+0.01)*3/13,0)+0.99),'Tax scales - NAT 3539'!$A$14:$C$38,2,1)-VLOOKUP((TRUNC(($AN487+0.01)*3/13,0)+0.99),'Tax scales - NAT 3539'!$A$14:$C$38,3,1)),0)
*13/3,
0),
IF($E$2="Monthly",
ROUND(
ROUND(((TRUNC($AN487*3/13,0)+0.99)*VLOOKUP((TRUNC($AN487*3/13,0)+0.99),'Tax scales - NAT 3539'!$A$14:$C$38,2,1)-VLOOKUP((TRUNC($AN487*3/13,0)+0.99),'Tax scales - NAT 3539'!$A$14:$C$38,3,1)),0)
*13/3,
0),
""))),
""),
"")</f>
        <v/>
      </c>
      <c r="AV487" s="118" t="str">
        <f>IFERROR(
IF(VLOOKUP($C487,'Employee information'!$B:$M,COLUMNS('Employee information'!$B:$M),0)=22,
IF($E$2="Fortnightly",
ROUND(
ROUND((((TRUNC($AN487/2,0)+0.99))*VLOOKUP((TRUNC($AN487/2,0)+0.99),'Tax scales - NAT 3539'!$A$43:$C$69,2,1)-VLOOKUP((TRUNC($AN487/2,0)+0.99),'Tax scales - NAT 3539'!$A$43:$C$69,3,1)),0)
*2,
0),
IF(AND($E$2="Monthly",ROUND($AN487-TRUNC($AN487),2)=0.33),
ROUND(
ROUND(((TRUNC(($AN487+0.01)*3/13,0)+0.99)*VLOOKUP((TRUNC(($AN487+0.01)*3/13,0)+0.99),'Tax scales - NAT 3539'!$A$43:$C$69,2,1)-VLOOKUP((TRUNC(($AN487+0.01)*3/13,0)+0.99),'Tax scales - NAT 3539'!$A$43:$C$69,3,1)),0)
*13/3,
0),
IF($E$2="Monthly",
ROUND(
ROUND(((TRUNC($AN487*3/13,0)+0.99)*VLOOKUP((TRUNC($AN487*3/13,0)+0.99),'Tax scales - NAT 3539'!$A$43:$C$69,2,1)-VLOOKUP((TRUNC($AN487*3/13,0)+0.99),'Tax scales - NAT 3539'!$A$43:$C$69,3,1)),0)
*13/3,
0),
""))),
""),
"")</f>
        <v/>
      </c>
      <c r="AW487" s="118" t="str">
        <f>IFERROR(
IF(VLOOKUP($C487,'Employee information'!$B:$M,COLUMNS('Employee information'!$B:$M),0)=33,
IF($E$2="Fortnightly",
ROUND(
ROUND((((TRUNC($AN487/2,0)+0.99))*VLOOKUP((TRUNC($AN487/2,0)+0.99),'Tax scales - NAT 3539'!$A$74:$C$94,2,1)-VLOOKUP((TRUNC($AN487/2,0)+0.99),'Tax scales - NAT 3539'!$A$74:$C$94,3,1)),0)
*2,
0),
IF(AND($E$2="Monthly",ROUND($AN487-TRUNC($AN487),2)=0.33),
ROUND(
ROUND(((TRUNC(($AN487+0.01)*3/13,0)+0.99)*VLOOKUP((TRUNC(($AN487+0.01)*3/13,0)+0.99),'Tax scales - NAT 3539'!$A$74:$C$94,2,1)-VLOOKUP((TRUNC(($AN487+0.01)*3/13,0)+0.99),'Tax scales - NAT 3539'!$A$74:$C$94,3,1)),0)
*13/3,
0),
IF($E$2="Monthly",
ROUND(
ROUND(((TRUNC($AN487*3/13,0)+0.99)*VLOOKUP((TRUNC($AN487*3/13,0)+0.99),'Tax scales - NAT 3539'!$A$74:$C$94,2,1)-VLOOKUP((TRUNC($AN487*3/13,0)+0.99),'Tax scales - NAT 3539'!$A$74:$C$94,3,1)),0)
*13/3,
0),
""))),
""),
"")</f>
        <v/>
      </c>
      <c r="AX487" s="118" t="str">
        <f>IFERROR(
IF(VLOOKUP($C487,'Employee information'!$B:$M,COLUMNS('Employee information'!$B:$M),0)=55,
IF($E$2="Fortnightly",
ROUND(
ROUND((((TRUNC($AN487/2,0)+0.99))*VLOOKUP((TRUNC($AN487/2,0)+0.99),'Tax scales - NAT 3539'!$A$99:$C$123,2,1)-VLOOKUP((TRUNC($AN487/2,0)+0.99),'Tax scales - NAT 3539'!$A$99:$C$123,3,1)),0)
*2,
0),
IF(AND($E$2="Monthly",ROUND($AN487-TRUNC($AN487),2)=0.33),
ROUND(
ROUND(((TRUNC(($AN487+0.01)*3/13,0)+0.99)*VLOOKUP((TRUNC(($AN487+0.01)*3/13,0)+0.99),'Tax scales - NAT 3539'!$A$99:$C$123,2,1)-VLOOKUP((TRUNC(($AN487+0.01)*3/13,0)+0.99),'Tax scales - NAT 3539'!$A$99:$C$123,3,1)),0)
*13/3,
0),
IF($E$2="Monthly",
ROUND(
ROUND(((TRUNC($AN487*3/13,0)+0.99)*VLOOKUP((TRUNC($AN487*3/13,0)+0.99),'Tax scales - NAT 3539'!$A$99:$C$123,2,1)-VLOOKUP((TRUNC($AN487*3/13,0)+0.99),'Tax scales - NAT 3539'!$A$99:$C$123,3,1)),0)
*13/3,
0),
""))),
""),
"")</f>
        <v/>
      </c>
      <c r="AY487" s="118" t="str">
        <f>IFERROR(
IF(VLOOKUP($C487,'Employee information'!$B:$M,COLUMNS('Employee information'!$B:$M),0)=66,
IF($E$2="Fortnightly",
ROUND(
ROUND((((TRUNC($AN487/2,0)+0.99))*VLOOKUP((TRUNC($AN487/2,0)+0.99),'Tax scales - NAT 3539'!$A$127:$C$154,2,1)-VLOOKUP((TRUNC($AN487/2,0)+0.99),'Tax scales - NAT 3539'!$A$127:$C$154,3,1)),0)
*2,
0),
IF(AND($E$2="Monthly",ROUND($AN487-TRUNC($AN487),2)=0.33),
ROUND(
ROUND(((TRUNC(($AN487+0.01)*3/13,0)+0.99)*VLOOKUP((TRUNC(($AN487+0.01)*3/13,0)+0.99),'Tax scales - NAT 3539'!$A$127:$C$154,2,1)-VLOOKUP((TRUNC(($AN487+0.01)*3/13,0)+0.99),'Tax scales - NAT 3539'!$A$127:$C$154,3,1)),0)
*13/3,
0),
IF($E$2="Monthly",
ROUND(
ROUND(((TRUNC($AN487*3/13,0)+0.99)*VLOOKUP((TRUNC($AN487*3/13,0)+0.99),'Tax scales - NAT 3539'!$A$127:$C$154,2,1)-VLOOKUP((TRUNC($AN487*3/13,0)+0.99),'Tax scales - NAT 3539'!$A$127:$C$154,3,1)),0)
*13/3,
0),
""))),
""),
"")</f>
        <v/>
      </c>
      <c r="AZ487" s="118">
        <f>IFERROR(
HLOOKUP(VLOOKUP($C487,'Employee information'!$B:$M,COLUMNS('Employee information'!$B:$M),0),'PAYG worksheet'!$AO$474:$AY$493,COUNTA($C$475:$C487)+1,0),
0)</f>
        <v>0</v>
      </c>
      <c r="BA487" s="118"/>
      <c r="BB487" s="118">
        <f t="shared" si="511"/>
        <v>0</v>
      </c>
      <c r="BC487" s="119">
        <f>IFERROR(
IF(OR($AE487=1,$AE487=""),SUM($P487,$AA487,$AC487,$AK487)*VLOOKUP($C487,'Employee information'!$B:$Q,COLUMNS('Employee information'!$B:$H),0),
IF($AE487=0,SUM($P487,$AA487,$AK487)*VLOOKUP($C487,'Employee information'!$B:$Q,COLUMNS('Employee information'!$B:$H),0),
0)),
0)</f>
        <v>0</v>
      </c>
      <c r="BE487" s="114">
        <f t="shared" si="496"/>
        <v>0</v>
      </c>
      <c r="BF487" s="114">
        <f t="shared" si="497"/>
        <v>0</v>
      </c>
      <c r="BG487" s="114">
        <f t="shared" si="498"/>
        <v>0</v>
      </c>
      <c r="BH487" s="114">
        <f t="shared" si="499"/>
        <v>0</v>
      </c>
      <c r="BI487" s="114">
        <f t="shared" si="500"/>
        <v>0</v>
      </c>
      <c r="BJ487" s="114">
        <f t="shared" si="501"/>
        <v>0</v>
      </c>
      <c r="BK487" s="114">
        <f t="shared" si="502"/>
        <v>0</v>
      </c>
      <c r="BL487" s="114">
        <f t="shared" si="512"/>
        <v>0</v>
      </c>
      <c r="BM487" s="114">
        <f t="shared" si="503"/>
        <v>0</v>
      </c>
    </row>
    <row r="488" spans="1:65" x14ac:dyDescent="0.25">
      <c r="A488" s="228">
        <f t="shared" si="491"/>
        <v>17</v>
      </c>
      <c r="C488" s="278"/>
      <c r="E488" s="103">
        <f>IF($C488="",0,
IF(AND($E$2="Monthly",$A488&gt;12),0,
IF($E$2="Monthly",VLOOKUP($C488,'Employee information'!$B:$AM,COLUMNS('Employee information'!$B:S),0),
IF($E$2="Fortnightly",VLOOKUP($C488,'Employee information'!$B:$AM,COLUMNS('Employee information'!$B:R),0),
0))))</f>
        <v>0</v>
      </c>
      <c r="F488" s="106"/>
      <c r="G488" s="106"/>
      <c r="H488" s="106"/>
      <c r="I488" s="106"/>
      <c r="J488" s="103">
        <f t="shared" si="504"/>
        <v>0</v>
      </c>
      <c r="L488" s="113">
        <f>IF(AND($E$2="Monthly",$A488&gt;12),"",
IFERROR($J488*VLOOKUP($C488,'Employee information'!$B:$AI,COLUMNS('Employee information'!$B:$P),0),0))</f>
        <v>0</v>
      </c>
      <c r="M488" s="114">
        <f t="shared" si="505"/>
        <v>0</v>
      </c>
      <c r="O488" s="103">
        <f t="shared" si="506"/>
        <v>0</v>
      </c>
      <c r="P488" s="113">
        <f>IFERROR(
IF(AND($E$2="Monthly",$A488&gt;12),0,
$O488*VLOOKUP($C488,'Employee information'!$B:$AI,COLUMNS('Employee information'!$B:$P),0)),
0)</f>
        <v>0</v>
      </c>
      <c r="R488" s="114">
        <f t="shared" si="492"/>
        <v>0</v>
      </c>
      <c r="T488" s="103"/>
      <c r="U488" s="103"/>
      <c r="V488" s="282" t="str">
        <f>IF($C488="","",
IF(AND($E$2="Monthly",$A488&gt;12),"",
$T488*VLOOKUP($C488,'Employee information'!$B:$P,COLUMNS('Employee information'!$B:$P),0)))</f>
        <v/>
      </c>
      <c r="W488" s="282" t="str">
        <f>IF($C488="","",
IF(AND($E$2="Monthly",$A488&gt;12),"",
$U488*VLOOKUP($C488,'Employee information'!$B:$P,COLUMNS('Employee information'!$B:$P),0)))</f>
        <v/>
      </c>
      <c r="X488" s="114">
        <f t="shared" si="493"/>
        <v>0</v>
      </c>
      <c r="Y488" s="114">
        <f t="shared" si="494"/>
        <v>0</v>
      </c>
      <c r="AA488" s="118">
        <f>IFERROR(
IF(OR('Basic payroll data'!$D$12="",'Basic payroll data'!$D$12="No"),0,
$T488*VLOOKUP($C488,'Employee information'!$B:$P,COLUMNS('Employee information'!$B:$P),0)*AL_loading_perc),
0)</f>
        <v>0</v>
      </c>
      <c r="AC488" s="118"/>
      <c r="AD488" s="118"/>
      <c r="AE488" s="283" t="str">
        <f t="shared" si="507"/>
        <v/>
      </c>
      <c r="AF488" s="283" t="str">
        <f t="shared" si="508"/>
        <v/>
      </c>
      <c r="AG488" s="118"/>
      <c r="AH488" s="118"/>
      <c r="AI488" s="283" t="str">
        <f t="shared" si="509"/>
        <v/>
      </c>
      <c r="AJ488" s="118"/>
      <c r="AK488" s="118"/>
      <c r="AM488" s="118">
        <f t="shared" si="510"/>
        <v>0</v>
      </c>
      <c r="AN488" s="118">
        <f t="shared" si="495"/>
        <v>0</v>
      </c>
      <c r="AO488" s="118" t="str">
        <f>IFERROR(
IF(VLOOKUP($C488,'Employee information'!$B:$M,COLUMNS('Employee information'!$B:$M),0)=1,
IF($E$2="Fortnightly",
ROUND(
ROUND((((TRUNC($AN488/2,0)+0.99))*VLOOKUP((TRUNC($AN488/2,0)+0.99),'Tax scales - NAT 1004'!$A$12:$C$18,2,1)-VLOOKUP((TRUNC($AN488/2,0)+0.99),'Tax scales - NAT 1004'!$A$12:$C$18,3,1)),0)
*2,
0),
IF(AND($E$2="Monthly",ROUND($AN488-TRUNC($AN488),2)=0.33),
ROUND(
ROUND(((TRUNC(($AN488+0.01)*3/13,0)+0.99)*VLOOKUP((TRUNC(($AN488+0.01)*3/13,0)+0.99),'Tax scales - NAT 1004'!$A$12:$C$18,2,1)-VLOOKUP((TRUNC(($AN488+0.01)*3/13,0)+0.99),'Tax scales - NAT 1004'!$A$12:$C$18,3,1)),0)
*13/3,
0),
IF($E$2="Monthly",
ROUND(
ROUND(((TRUNC($AN488*3/13,0)+0.99)*VLOOKUP((TRUNC($AN488*3/13,0)+0.99),'Tax scales - NAT 1004'!$A$12:$C$18,2,1)-VLOOKUP((TRUNC($AN488*3/13,0)+0.99),'Tax scales - NAT 1004'!$A$12:$C$18,3,1)),0)
*13/3,
0),
""))),
""),
"")</f>
        <v/>
      </c>
      <c r="AP488" s="118" t="str">
        <f>IFERROR(
IF(VLOOKUP($C488,'Employee information'!$B:$M,COLUMNS('Employee information'!$B:$M),0)=2,
IF($E$2="Fortnightly",
ROUND(
ROUND((((TRUNC($AN488/2,0)+0.99))*VLOOKUP((TRUNC($AN488/2,0)+0.99),'Tax scales - NAT 1004'!$A$25:$C$33,2,1)-VLOOKUP((TRUNC($AN488/2,0)+0.99),'Tax scales - NAT 1004'!$A$25:$C$33,3,1)),0)
*2,
0),
IF(AND($E$2="Monthly",ROUND($AN488-TRUNC($AN488),2)=0.33),
ROUND(
ROUND(((TRUNC(($AN488+0.01)*3/13,0)+0.99)*VLOOKUP((TRUNC(($AN488+0.01)*3/13,0)+0.99),'Tax scales - NAT 1004'!$A$25:$C$33,2,1)-VLOOKUP((TRUNC(($AN488+0.01)*3/13,0)+0.99),'Tax scales - NAT 1004'!$A$25:$C$33,3,1)),0)
*13/3,
0),
IF($E$2="Monthly",
ROUND(
ROUND(((TRUNC($AN488*3/13,0)+0.99)*VLOOKUP((TRUNC($AN488*3/13,0)+0.99),'Tax scales - NAT 1004'!$A$25:$C$33,2,1)-VLOOKUP((TRUNC($AN488*3/13,0)+0.99),'Tax scales - NAT 1004'!$A$25:$C$33,3,1)),0)
*13/3,
0),
""))),
""),
"")</f>
        <v/>
      </c>
      <c r="AQ488" s="118" t="str">
        <f>IFERROR(
IF(VLOOKUP($C488,'Employee information'!$B:$M,COLUMNS('Employee information'!$B:$M),0)=3,
IF($E$2="Fortnightly",
ROUND(
ROUND((((TRUNC($AN488/2,0)+0.99))*VLOOKUP((TRUNC($AN488/2,0)+0.99),'Tax scales - NAT 1004'!$A$39:$C$41,2,1)-VLOOKUP((TRUNC($AN488/2,0)+0.99),'Tax scales - NAT 1004'!$A$39:$C$41,3,1)),0)
*2,
0),
IF(AND($E$2="Monthly",ROUND($AN488-TRUNC($AN488),2)=0.33),
ROUND(
ROUND(((TRUNC(($AN488+0.01)*3/13,0)+0.99)*VLOOKUP((TRUNC(($AN488+0.01)*3/13,0)+0.99),'Tax scales - NAT 1004'!$A$39:$C$41,2,1)-VLOOKUP((TRUNC(($AN488+0.01)*3/13,0)+0.99),'Tax scales - NAT 1004'!$A$39:$C$41,3,1)),0)
*13/3,
0),
IF($E$2="Monthly",
ROUND(
ROUND(((TRUNC($AN488*3/13,0)+0.99)*VLOOKUP((TRUNC($AN488*3/13,0)+0.99),'Tax scales - NAT 1004'!$A$39:$C$41,2,1)-VLOOKUP((TRUNC($AN488*3/13,0)+0.99),'Tax scales - NAT 1004'!$A$39:$C$41,3,1)),0)
*13/3,
0),
""))),
""),
"")</f>
        <v/>
      </c>
      <c r="AR488" s="118" t="str">
        <f>IFERROR(
IF(AND(VLOOKUP($C488,'Employee information'!$B:$M,COLUMNS('Employee information'!$B:$M),0)=4,
VLOOKUP($C488,'Employee information'!$B:$J,COLUMNS('Employee information'!$B:$J),0)="Resident"),
TRUNC(TRUNC($AN488)*'Tax scales - NAT 1004'!$B$47),
IF(AND(VLOOKUP($C488,'Employee information'!$B:$M,COLUMNS('Employee information'!$B:$M),0)=4,
VLOOKUP($C488,'Employee information'!$B:$J,COLUMNS('Employee information'!$B:$J),0)="Foreign resident"),
TRUNC(TRUNC($AN488)*'Tax scales - NAT 1004'!$B$48),
"")),
"")</f>
        <v/>
      </c>
      <c r="AS488" s="118" t="str">
        <f>IFERROR(
IF(VLOOKUP($C488,'Employee information'!$B:$M,COLUMNS('Employee information'!$B:$M),0)=5,
IF($E$2="Fortnightly",
ROUND(
ROUND((((TRUNC($AN488/2,0)+0.99))*VLOOKUP((TRUNC($AN488/2,0)+0.99),'Tax scales - NAT 1004'!$A$53:$C$59,2,1)-VLOOKUP((TRUNC($AN488/2,0)+0.99),'Tax scales - NAT 1004'!$A$53:$C$59,3,1)),0)
*2,
0),
IF(AND($E$2="Monthly",ROUND($AN488-TRUNC($AN488),2)=0.33),
ROUND(
ROUND(((TRUNC(($AN488+0.01)*3/13,0)+0.99)*VLOOKUP((TRUNC(($AN488+0.01)*3/13,0)+0.99),'Tax scales - NAT 1004'!$A$53:$C$59,2,1)-VLOOKUP((TRUNC(($AN488+0.01)*3/13,0)+0.99),'Tax scales - NAT 1004'!$A$53:$C$59,3,1)),0)
*13/3,
0),
IF($E$2="Monthly",
ROUND(
ROUND(((TRUNC($AN488*3/13,0)+0.99)*VLOOKUP((TRUNC($AN488*3/13,0)+0.99),'Tax scales - NAT 1004'!$A$53:$C$59,2,1)-VLOOKUP((TRUNC($AN488*3/13,0)+0.99),'Tax scales - NAT 1004'!$A$53:$C$59,3,1)),0)
*13/3,
0),
""))),
""),
"")</f>
        <v/>
      </c>
      <c r="AT488" s="118" t="str">
        <f>IFERROR(
IF(VLOOKUP($C488,'Employee information'!$B:$M,COLUMNS('Employee information'!$B:$M),0)=6,
IF($E$2="Fortnightly",
ROUND(
ROUND((((TRUNC($AN488/2,0)+0.99))*VLOOKUP((TRUNC($AN488/2,0)+0.99),'Tax scales - NAT 1004'!$A$65:$C$73,2,1)-VLOOKUP((TRUNC($AN488/2,0)+0.99),'Tax scales - NAT 1004'!$A$65:$C$73,3,1)),0)
*2,
0),
IF(AND($E$2="Monthly",ROUND($AN488-TRUNC($AN488),2)=0.33),
ROUND(
ROUND(((TRUNC(($AN488+0.01)*3/13,0)+0.99)*VLOOKUP((TRUNC(($AN488+0.01)*3/13,0)+0.99),'Tax scales - NAT 1004'!$A$65:$C$73,2,1)-VLOOKUP((TRUNC(($AN488+0.01)*3/13,0)+0.99),'Tax scales - NAT 1004'!$A$65:$C$73,3,1)),0)
*13/3,
0),
IF($E$2="Monthly",
ROUND(
ROUND(((TRUNC($AN488*3/13,0)+0.99)*VLOOKUP((TRUNC($AN488*3/13,0)+0.99),'Tax scales - NAT 1004'!$A$65:$C$73,2,1)-VLOOKUP((TRUNC($AN488*3/13,0)+0.99),'Tax scales - NAT 1004'!$A$65:$C$73,3,1)),0)
*13/3,
0),
""))),
""),
"")</f>
        <v/>
      </c>
      <c r="AU488" s="118" t="str">
        <f>IFERROR(
IF(VLOOKUP($C488,'Employee information'!$B:$M,COLUMNS('Employee information'!$B:$M),0)=11,
IF($E$2="Fortnightly",
ROUND(
ROUND((((TRUNC($AN488/2,0)+0.99))*VLOOKUP((TRUNC($AN488/2,0)+0.99),'Tax scales - NAT 3539'!$A$14:$C$38,2,1)-VLOOKUP((TRUNC($AN488/2,0)+0.99),'Tax scales - NAT 3539'!$A$14:$C$38,3,1)),0)
*2,
0),
IF(AND($E$2="Monthly",ROUND($AN488-TRUNC($AN488),2)=0.33),
ROUND(
ROUND(((TRUNC(($AN488+0.01)*3/13,0)+0.99)*VLOOKUP((TRUNC(($AN488+0.01)*3/13,0)+0.99),'Tax scales - NAT 3539'!$A$14:$C$38,2,1)-VLOOKUP((TRUNC(($AN488+0.01)*3/13,0)+0.99),'Tax scales - NAT 3539'!$A$14:$C$38,3,1)),0)
*13/3,
0),
IF($E$2="Monthly",
ROUND(
ROUND(((TRUNC($AN488*3/13,0)+0.99)*VLOOKUP((TRUNC($AN488*3/13,0)+0.99),'Tax scales - NAT 3539'!$A$14:$C$38,2,1)-VLOOKUP((TRUNC($AN488*3/13,0)+0.99),'Tax scales - NAT 3539'!$A$14:$C$38,3,1)),0)
*13/3,
0),
""))),
""),
"")</f>
        <v/>
      </c>
      <c r="AV488" s="118" t="str">
        <f>IFERROR(
IF(VLOOKUP($C488,'Employee information'!$B:$M,COLUMNS('Employee information'!$B:$M),0)=22,
IF($E$2="Fortnightly",
ROUND(
ROUND((((TRUNC($AN488/2,0)+0.99))*VLOOKUP((TRUNC($AN488/2,0)+0.99),'Tax scales - NAT 3539'!$A$43:$C$69,2,1)-VLOOKUP((TRUNC($AN488/2,0)+0.99),'Tax scales - NAT 3539'!$A$43:$C$69,3,1)),0)
*2,
0),
IF(AND($E$2="Monthly",ROUND($AN488-TRUNC($AN488),2)=0.33),
ROUND(
ROUND(((TRUNC(($AN488+0.01)*3/13,0)+0.99)*VLOOKUP((TRUNC(($AN488+0.01)*3/13,0)+0.99),'Tax scales - NAT 3539'!$A$43:$C$69,2,1)-VLOOKUP((TRUNC(($AN488+0.01)*3/13,0)+0.99),'Tax scales - NAT 3539'!$A$43:$C$69,3,1)),0)
*13/3,
0),
IF($E$2="Monthly",
ROUND(
ROUND(((TRUNC($AN488*3/13,0)+0.99)*VLOOKUP((TRUNC($AN488*3/13,0)+0.99),'Tax scales - NAT 3539'!$A$43:$C$69,2,1)-VLOOKUP((TRUNC($AN488*3/13,0)+0.99),'Tax scales - NAT 3539'!$A$43:$C$69,3,1)),0)
*13/3,
0),
""))),
""),
"")</f>
        <v/>
      </c>
      <c r="AW488" s="118" t="str">
        <f>IFERROR(
IF(VLOOKUP($C488,'Employee information'!$B:$M,COLUMNS('Employee information'!$B:$M),0)=33,
IF($E$2="Fortnightly",
ROUND(
ROUND((((TRUNC($AN488/2,0)+0.99))*VLOOKUP((TRUNC($AN488/2,0)+0.99),'Tax scales - NAT 3539'!$A$74:$C$94,2,1)-VLOOKUP((TRUNC($AN488/2,0)+0.99),'Tax scales - NAT 3539'!$A$74:$C$94,3,1)),0)
*2,
0),
IF(AND($E$2="Monthly",ROUND($AN488-TRUNC($AN488),2)=0.33),
ROUND(
ROUND(((TRUNC(($AN488+0.01)*3/13,0)+0.99)*VLOOKUP((TRUNC(($AN488+0.01)*3/13,0)+0.99),'Tax scales - NAT 3539'!$A$74:$C$94,2,1)-VLOOKUP((TRUNC(($AN488+0.01)*3/13,0)+0.99),'Tax scales - NAT 3539'!$A$74:$C$94,3,1)),0)
*13/3,
0),
IF($E$2="Monthly",
ROUND(
ROUND(((TRUNC($AN488*3/13,0)+0.99)*VLOOKUP((TRUNC($AN488*3/13,0)+0.99),'Tax scales - NAT 3539'!$A$74:$C$94,2,1)-VLOOKUP((TRUNC($AN488*3/13,0)+0.99),'Tax scales - NAT 3539'!$A$74:$C$94,3,1)),0)
*13/3,
0),
""))),
""),
"")</f>
        <v/>
      </c>
      <c r="AX488" s="118" t="str">
        <f>IFERROR(
IF(VLOOKUP($C488,'Employee information'!$B:$M,COLUMNS('Employee information'!$B:$M),0)=55,
IF($E$2="Fortnightly",
ROUND(
ROUND((((TRUNC($AN488/2,0)+0.99))*VLOOKUP((TRUNC($AN488/2,0)+0.99),'Tax scales - NAT 3539'!$A$99:$C$123,2,1)-VLOOKUP((TRUNC($AN488/2,0)+0.99),'Tax scales - NAT 3539'!$A$99:$C$123,3,1)),0)
*2,
0),
IF(AND($E$2="Monthly",ROUND($AN488-TRUNC($AN488),2)=0.33),
ROUND(
ROUND(((TRUNC(($AN488+0.01)*3/13,0)+0.99)*VLOOKUP((TRUNC(($AN488+0.01)*3/13,0)+0.99),'Tax scales - NAT 3539'!$A$99:$C$123,2,1)-VLOOKUP((TRUNC(($AN488+0.01)*3/13,0)+0.99),'Tax scales - NAT 3539'!$A$99:$C$123,3,1)),0)
*13/3,
0),
IF($E$2="Monthly",
ROUND(
ROUND(((TRUNC($AN488*3/13,0)+0.99)*VLOOKUP((TRUNC($AN488*3/13,0)+0.99),'Tax scales - NAT 3539'!$A$99:$C$123,2,1)-VLOOKUP((TRUNC($AN488*3/13,0)+0.99),'Tax scales - NAT 3539'!$A$99:$C$123,3,1)),0)
*13/3,
0),
""))),
""),
"")</f>
        <v/>
      </c>
      <c r="AY488" s="118" t="str">
        <f>IFERROR(
IF(VLOOKUP($C488,'Employee information'!$B:$M,COLUMNS('Employee information'!$B:$M),0)=66,
IF($E$2="Fortnightly",
ROUND(
ROUND((((TRUNC($AN488/2,0)+0.99))*VLOOKUP((TRUNC($AN488/2,0)+0.99),'Tax scales - NAT 3539'!$A$127:$C$154,2,1)-VLOOKUP((TRUNC($AN488/2,0)+0.99),'Tax scales - NAT 3539'!$A$127:$C$154,3,1)),0)
*2,
0),
IF(AND($E$2="Monthly",ROUND($AN488-TRUNC($AN488),2)=0.33),
ROUND(
ROUND(((TRUNC(($AN488+0.01)*3/13,0)+0.99)*VLOOKUP((TRUNC(($AN488+0.01)*3/13,0)+0.99),'Tax scales - NAT 3539'!$A$127:$C$154,2,1)-VLOOKUP((TRUNC(($AN488+0.01)*3/13,0)+0.99),'Tax scales - NAT 3539'!$A$127:$C$154,3,1)),0)
*13/3,
0),
IF($E$2="Monthly",
ROUND(
ROUND(((TRUNC($AN488*3/13,0)+0.99)*VLOOKUP((TRUNC($AN488*3/13,0)+0.99),'Tax scales - NAT 3539'!$A$127:$C$154,2,1)-VLOOKUP((TRUNC($AN488*3/13,0)+0.99),'Tax scales - NAT 3539'!$A$127:$C$154,3,1)),0)
*13/3,
0),
""))),
""),
"")</f>
        <v/>
      </c>
      <c r="AZ488" s="118">
        <f>IFERROR(
HLOOKUP(VLOOKUP($C488,'Employee information'!$B:$M,COLUMNS('Employee information'!$B:$M),0),'PAYG worksheet'!$AO$474:$AY$493,COUNTA($C$475:$C488)+1,0),
0)</f>
        <v>0</v>
      </c>
      <c r="BA488" s="118"/>
      <c r="BB488" s="118">
        <f t="shared" si="511"/>
        <v>0</v>
      </c>
      <c r="BC488" s="119">
        <f>IFERROR(
IF(OR($AE488=1,$AE488=""),SUM($P488,$AA488,$AC488,$AK488)*VLOOKUP($C488,'Employee information'!$B:$Q,COLUMNS('Employee information'!$B:$H),0),
IF($AE488=0,SUM($P488,$AA488,$AK488)*VLOOKUP($C488,'Employee information'!$B:$Q,COLUMNS('Employee information'!$B:$H),0),
0)),
0)</f>
        <v>0</v>
      </c>
      <c r="BE488" s="114">
        <f t="shared" si="496"/>
        <v>0</v>
      </c>
      <c r="BF488" s="114">
        <f t="shared" si="497"/>
        <v>0</v>
      </c>
      <c r="BG488" s="114">
        <f t="shared" si="498"/>
        <v>0</v>
      </c>
      <c r="BH488" s="114">
        <f t="shared" si="499"/>
        <v>0</v>
      </c>
      <c r="BI488" s="114">
        <f t="shared" si="500"/>
        <v>0</v>
      </c>
      <c r="BJ488" s="114">
        <f t="shared" si="501"/>
        <v>0</v>
      </c>
      <c r="BK488" s="114">
        <f t="shared" si="502"/>
        <v>0</v>
      </c>
      <c r="BL488" s="114">
        <f t="shared" si="512"/>
        <v>0</v>
      </c>
      <c r="BM488" s="114">
        <f t="shared" si="503"/>
        <v>0</v>
      </c>
    </row>
    <row r="489" spans="1:65" x14ac:dyDescent="0.25">
      <c r="A489" s="228">
        <f t="shared" si="491"/>
        <v>17</v>
      </c>
      <c r="C489" s="278"/>
      <c r="E489" s="103">
        <f>IF($C489="",0,
IF(AND($E$2="Monthly",$A489&gt;12),0,
IF($E$2="Monthly",VLOOKUP($C489,'Employee information'!$B:$AM,COLUMNS('Employee information'!$B:S),0),
IF($E$2="Fortnightly",VLOOKUP($C489,'Employee information'!$B:$AM,COLUMNS('Employee information'!$B:R),0),
0))))</f>
        <v>0</v>
      </c>
      <c r="F489" s="106"/>
      <c r="G489" s="106"/>
      <c r="H489" s="106"/>
      <c r="I489" s="106"/>
      <c r="J489" s="103">
        <f t="shared" si="504"/>
        <v>0</v>
      </c>
      <c r="L489" s="113">
        <f>IF(AND($E$2="Monthly",$A489&gt;12),"",
IFERROR($J489*VLOOKUP($C489,'Employee information'!$B:$AI,COLUMNS('Employee information'!$B:$P),0),0))</f>
        <v>0</v>
      </c>
      <c r="M489" s="114">
        <f t="shared" si="505"/>
        <v>0</v>
      </c>
      <c r="O489" s="103">
        <f t="shared" si="506"/>
        <v>0</v>
      </c>
      <c r="P489" s="113">
        <f>IFERROR(
IF(AND($E$2="Monthly",$A489&gt;12),0,
$O489*VLOOKUP($C489,'Employee information'!$B:$AI,COLUMNS('Employee information'!$B:$P),0)),
0)</f>
        <v>0</v>
      </c>
      <c r="R489" s="114">
        <f t="shared" si="492"/>
        <v>0</v>
      </c>
      <c r="T489" s="103"/>
      <c r="U489" s="103"/>
      <c r="V489" s="282" t="str">
        <f>IF($C489="","",
IF(AND($E$2="Monthly",$A489&gt;12),"",
$T489*VLOOKUP($C489,'Employee information'!$B:$P,COLUMNS('Employee information'!$B:$P),0)))</f>
        <v/>
      </c>
      <c r="W489" s="282" t="str">
        <f>IF($C489="","",
IF(AND($E$2="Monthly",$A489&gt;12),"",
$U489*VLOOKUP($C489,'Employee information'!$B:$P,COLUMNS('Employee information'!$B:$P),0)))</f>
        <v/>
      </c>
      <c r="X489" s="114">
        <f t="shared" si="493"/>
        <v>0</v>
      </c>
      <c r="Y489" s="114">
        <f t="shared" si="494"/>
        <v>0</v>
      </c>
      <c r="AA489" s="118">
        <f>IFERROR(
IF(OR('Basic payroll data'!$D$12="",'Basic payroll data'!$D$12="No"),0,
$T489*VLOOKUP($C489,'Employee information'!$B:$P,COLUMNS('Employee information'!$B:$P),0)*AL_loading_perc),
0)</f>
        <v>0</v>
      </c>
      <c r="AC489" s="118"/>
      <c r="AD489" s="118"/>
      <c r="AE489" s="283" t="str">
        <f t="shared" si="507"/>
        <v/>
      </c>
      <c r="AF489" s="283" t="str">
        <f t="shared" si="508"/>
        <v/>
      </c>
      <c r="AG489" s="118"/>
      <c r="AH489" s="118"/>
      <c r="AI489" s="283" t="str">
        <f t="shared" si="509"/>
        <v/>
      </c>
      <c r="AJ489" s="118"/>
      <c r="AK489" s="118"/>
      <c r="AM489" s="118">
        <f t="shared" si="510"/>
        <v>0</v>
      </c>
      <c r="AN489" s="118">
        <f t="shared" si="495"/>
        <v>0</v>
      </c>
      <c r="AO489" s="118" t="str">
        <f>IFERROR(
IF(VLOOKUP($C489,'Employee information'!$B:$M,COLUMNS('Employee information'!$B:$M),0)=1,
IF($E$2="Fortnightly",
ROUND(
ROUND((((TRUNC($AN489/2,0)+0.99))*VLOOKUP((TRUNC($AN489/2,0)+0.99),'Tax scales - NAT 1004'!$A$12:$C$18,2,1)-VLOOKUP((TRUNC($AN489/2,0)+0.99),'Tax scales - NAT 1004'!$A$12:$C$18,3,1)),0)
*2,
0),
IF(AND($E$2="Monthly",ROUND($AN489-TRUNC($AN489),2)=0.33),
ROUND(
ROUND(((TRUNC(($AN489+0.01)*3/13,0)+0.99)*VLOOKUP((TRUNC(($AN489+0.01)*3/13,0)+0.99),'Tax scales - NAT 1004'!$A$12:$C$18,2,1)-VLOOKUP((TRUNC(($AN489+0.01)*3/13,0)+0.99),'Tax scales - NAT 1004'!$A$12:$C$18,3,1)),0)
*13/3,
0),
IF($E$2="Monthly",
ROUND(
ROUND(((TRUNC($AN489*3/13,0)+0.99)*VLOOKUP((TRUNC($AN489*3/13,0)+0.99),'Tax scales - NAT 1004'!$A$12:$C$18,2,1)-VLOOKUP((TRUNC($AN489*3/13,0)+0.99),'Tax scales - NAT 1004'!$A$12:$C$18,3,1)),0)
*13/3,
0),
""))),
""),
"")</f>
        <v/>
      </c>
      <c r="AP489" s="118" t="str">
        <f>IFERROR(
IF(VLOOKUP($C489,'Employee information'!$B:$M,COLUMNS('Employee information'!$B:$M),0)=2,
IF($E$2="Fortnightly",
ROUND(
ROUND((((TRUNC($AN489/2,0)+0.99))*VLOOKUP((TRUNC($AN489/2,0)+0.99),'Tax scales - NAT 1004'!$A$25:$C$33,2,1)-VLOOKUP((TRUNC($AN489/2,0)+0.99),'Tax scales - NAT 1004'!$A$25:$C$33,3,1)),0)
*2,
0),
IF(AND($E$2="Monthly",ROUND($AN489-TRUNC($AN489),2)=0.33),
ROUND(
ROUND(((TRUNC(($AN489+0.01)*3/13,0)+0.99)*VLOOKUP((TRUNC(($AN489+0.01)*3/13,0)+0.99),'Tax scales - NAT 1004'!$A$25:$C$33,2,1)-VLOOKUP((TRUNC(($AN489+0.01)*3/13,0)+0.99),'Tax scales - NAT 1004'!$A$25:$C$33,3,1)),0)
*13/3,
0),
IF($E$2="Monthly",
ROUND(
ROUND(((TRUNC($AN489*3/13,0)+0.99)*VLOOKUP((TRUNC($AN489*3/13,0)+0.99),'Tax scales - NAT 1004'!$A$25:$C$33,2,1)-VLOOKUP((TRUNC($AN489*3/13,0)+0.99),'Tax scales - NAT 1004'!$A$25:$C$33,3,1)),0)
*13/3,
0),
""))),
""),
"")</f>
        <v/>
      </c>
      <c r="AQ489" s="118" t="str">
        <f>IFERROR(
IF(VLOOKUP($C489,'Employee information'!$B:$M,COLUMNS('Employee information'!$B:$M),0)=3,
IF($E$2="Fortnightly",
ROUND(
ROUND((((TRUNC($AN489/2,0)+0.99))*VLOOKUP((TRUNC($AN489/2,0)+0.99),'Tax scales - NAT 1004'!$A$39:$C$41,2,1)-VLOOKUP((TRUNC($AN489/2,0)+0.99),'Tax scales - NAT 1004'!$A$39:$C$41,3,1)),0)
*2,
0),
IF(AND($E$2="Monthly",ROUND($AN489-TRUNC($AN489),2)=0.33),
ROUND(
ROUND(((TRUNC(($AN489+0.01)*3/13,0)+0.99)*VLOOKUP((TRUNC(($AN489+0.01)*3/13,0)+0.99),'Tax scales - NAT 1004'!$A$39:$C$41,2,1)-VLOOKUP((TRUNC(($AN489+0.01)*3/13,0)+0.99),'Tax scales - NAT 1004'!$A$39:$C$41,3,1)),0)
*13/3,
0),
IF($E$2="Monthly",
ROUND(
ROUND(((TRUNC($AN489*3/13,0)+0.99)*VLOOKUP((TRUNC($AN489*3/13,0)+0.99),'Tax scales - NAT 1004'!$A$39:$C$41,2,1)-VLOOKUP((TRUNC($AN489*3/13,0)+0.99),'Tax scales - NAT 1004'!$A$39:$C$41,3,1)),0)
*13/3,
0),
""))),
""),
"")</f>
        <v/>
      </c>
      <c r="AR489" s="118" t="str">
        <f>IFERROR(
IF(AND(VLOOKUP($C489,'Employee information'!$B:$M,COLUMNS('Employee information'!$B:$M),0)=4,
VLOOKUP($C489,'Employee information'!$B:$J,COLUMNS('Employee information'!$B:$J),0)="Resident"),
TRUNC(TRUNC($AN489)*'Tax scales - NAT 1004'!$B$47),
IF(AND(VLOOKUP($C489,'Employee information'!$B:$M,COLUMNS('Employee information'!$B:$M),0)=4,
VLOOKUP($C489,'Employee information'!$B:$J,COLUMNS('Employee information'!$B:$J),0)="Foreign resident"),
TRUNC(TRUNC($AN489)*'Tax scales - NAT 1004'!$B$48),
"")),
"")</f>
        <v/>
      </c>
      <c r="AS489" s="118" t="str">
        <f>IFERROR(
IF(VLOOKUP($C489,'Employee information'!$B:$M,COLUMNS('Employee information'!$B:$M),0)=5,
IF($E$2="Fortnightly",
ROUND(
ROUND((((TRUNC($AN489/2,0)+0.99))*VLOOKUP((TRUNC($AN489/2,0)+0.99),'Tax scales - NAT 1004'!$A$53:$C$59,2,1)-VLOOKUP((TRUNC($AN489/2,0)+0.99),'Tax scales - NAT 1004'!$A$53:$C$59,3,1)),0)
*2,
0),
IF(AND($E$2="Monthly",ROUND($AN489-TRUNC($AN489),2)=0.33),
ROUND(
ROUND(((TRUNC(($AN489+0.01)*3/13,0)+0.99)*VLOOKUP((TRUNC(($AN489+0.01)*3/13,0)+0.99),'Tax scales - NAT 1004'!$A$53:$C$59,2,1)-VLOOKUP((TRUNC(($AN489+0.01)*3/13,0)+0.99),'Tax scales - NAT 1004'!$A$53:$C$59,3,1)),0)
*13/3,
0),
IF($E$2="Monthly",
ROUND(
ROUND(((TRUNC($AN489*3/13,0)+0.99)*VLOOKUP((TRUNC($AN489*3/13,0)+0.99),'Tax scales - NAT 1004'!$A$53:$C$59,2,1)-VLOOKUP((TRUNC($AN489*3/13,0)+0.99),'Tax scales - NAT 1004'!$A$53:$C$59,3,1)),0)
*13/3,
0),
""))),
""),
"")</f>
        <v/>
      </c>
      <c r="AT489" s="118" t="str">
        <f>IFERROR(
IF(VLOOKUP($C489,'Employee information'!$B:$M,COLUMNS('Employee information'!$B:$M),0)=6,
IF($E$2="Fortnightly",
ROUND(
ROUND((((TRUNC($AN489/2,0)+0.99))*VLOOKUP((TRUNC($AN489/2,0)+0.99),'Tax scales - NAT 1004'!$A$65:$C$73,2,1)-VLOOKUP((TRUNC($AN489/2,0)+0.99),'Tax scales - NAT 1004'!$A$65:$C$73,3,1)),0)
*2,
0),
IF(AND($E$2="Monthly",ROUND($AN489-TRUNC($AN489),2)=0.33),
ROUND(
ROUND(((TRUNC(($AN489+0.01)*3/13,0)+0.99)*VLOOKUP((TRUNC(($AN489+0.01)*3/13,0)+0.99),'Tax scales - NAT 1004'!$A$65:$C$73,2,1)-VLOOKUP((TRUNC(($AN489+0.01)*3/13,0)+0.99),'Tax scales - NAT 1004'!$A$65:$C$73,3,1)),0)
*13/3,
0),
IF($E$2="Monthly",
ROUND(
ROUND(((TRUNC($AN489*3/13,0)+0.99)*VLOOKUP((TRUNC($AN489*3/13,0)+0.99),'Tax scales - NAT 1004'!$A$65:$C$73,2,1)-VLOOKUP((TRUNC($AN489*3/13,0)+0.99),'Tax scales - NAT 1004'!$A$65:$C$73,3,1)),0)
*13/3,
0),
""))),
""),
"")</f>
        <v/>
      </c>
      <c r="AU489" s="118" t="str">
        <f>IFERROR(
IF(VLOOKUP($C489,'Employee information'!$B:$M,COLUMNS('Employee information'!$B:$M),0)=11,
IF($E$2="Fortnightly",
ROUND(
ROUND((((TRUNC($AN489/2,0)+0.99))*VLOOKUP((TRUNC($AN489/2,0)+0.99),'Tax scales - NAT 3539'!$A$14:$C$38,2,1)-VLOOKUP((TRUNC($AN489/2,0)+0.99),'Tax scales - NAT 3539'!$A$14:$C$38,3,1)),0)
*2,
0),
IF(AND($E$2="Monthly",ROUND($AN489-TRUNC($AN489),2)=0.33),
ROUND(
ROUND(((TRUNC(($AN489+0.01)*3/13,0)+0.99)*VLOOKUP((TRUNC(($AN489+0.01)*3/13,0)+0.99),'Tax scales - NAT 3539'!$A$14:$C$38,2,1)-VLOOKUP((TRUNC(($AN489+0.01)*3/13,0)+0.99),'Tax scales - NAT 3539'!$A$14:$C$38,3,1)),0)
*13/3,
0),
IF($E$2="Monthly",
ROUND(
ROUND(((TRUNC($AN489*3/13,0)+0.99)*VLOOKUP((TRUNC($AN489*3/13,0)+0.99),'Tax scales - NAT 3539'!$A$14:$C$38,2,1)-VLOOKUP((TRUNC($AN489*3/13,0)+0.99),'Tax scales - NAT 3539'!$A$14:$C$38,3,1)),0)
*13/3,
0),
""))),
""),
"")</f>
        <v/>
      </c>
      <c r="AV489" s="118" t="str">
        <f>IFERROR(
IF(VLOOKUP($C489,'Employee information'!$B:$M,COLUMNS('Employee information'!$B:$M),0)=22,
IF($E$2="Fortnightly",
ROUND(
ROUND((((TRUNC($AN489/2,0)+0.99))*VLOOKUP((TRUNC($AN489/2,0)+0.99),'Tax scales - NAT 3539'!$A$43:$C$69,2,1)-VLOOKUP((TRUNC($AN489/2,0)+0.99),'Tax scales - NAT 3539'!$A$43:$C$69,3,1)),0)
*2,
0),
IF(AND($E$2="Monthly",ROUND($AN489-TRUNC($AN489),2)=0.33),
ROUND(
ROUND(((TRUNC(($AN489+0.01)*3/13,0)+0.99)*VLOOKUP((TRUNC(($AN489+0.01)*3/13,0)+0.99),'Tax scales - NAT 3539'!$A$43:$C$69,2,1)-VLOOKUP((TRUNC(($AN489+0.01)*3/13,0)+0.99),'Tax scales - NAT 3539'!$A$43:$C$69,3,1)),0)
*13/3,
0),
IF($E$2="Monthly",
ROUND(
ROUND(((TRUNC($AN489*3/13,0)+0.99)*VLOOKUP((TRUNC($AN489*3/13,0)+0.99),'Tax scales - NAT 3539'!$A$43:$C$69,2,1)-VLOOKUP((TRUNC($AN489*3/13,0)+0.99),'Tax scales - NAT 3539'!$A$43:$C$69,3,1)),0)
*13/3,
0),
""))),
""),
"")</f>
        <v/>
      </c>
      <c r="AW489" s="118" t="str">
        <f>IFERROR(
IF(VLOOKUP($C489,'Employee information'!$B:$M,COLUMNS('Employee information'!$B:$M),0)=33,
IF($E$2="Fortnightly",
ROUND(
ROUND((((TRUNC($AN489/2,0)+0.99))*VLOOKUP((TRUNC($AN489/2,0)+0.99),'Tax scales - NAT 3539'!$A$74:$C$94,2,1)-VLOOKUP((TRUNC($AN489/2,0)+0.99),'Tax scales - NAT 3539'!$A$74:$C$94,3,1)),0)
*2,
0),
IF(AND($E$2="Monthly",ROUND($AN489-TRUNC($AN489),2)=0.33),
ROUND(
ROUND(((TRUNC(($AN489+0.01)*3/13,0)+0.99)*VLOOKUP((TRUNC(($AN489+0.01)*3/13,0)+0.99),'Tax scales - NAT 3539'!$A$74:$C$94,2,1)-VLOOKUP((TRUNC(($AN489+0.01)*3/13,0)+0.99),'Tax scales - NAT 3539'!$A$74:$C$94,3,1)),0)
*13/3,
0),
IF($E$2="Monthly",
ROUND(
ROUND(((TRUNC($AN489*3/13,0)+0.99)*VLOOKUP((TRUNC($AN489*3/13,0)+0.99),'Tax scales - NAT 3539'!$A$74:$C$94,2,1)-VLOOKUP((TRUNC($AN489*3/13,0)+0.99),'Tax scales - NAT 3539'!$A$74:$C$94,3,1)),0)
*13/3,
0),
""))),
""),
"")</f>
        <v/>
      </c>
      <c r="AX489" s="118" t="str">
        <f>IFERROR(
IF(VLOOKUP($C489,'Employee information'!$B:$M,COLUMNS('Employee information'!$B:$M),0)=55,
IF($E$2="Fortnightly",
ROUND(
ROUND((((TRUNC($AN489/2,0)+0.99))*VLOOKUP((TRUNC($AN489/2,0)+0.99),'Tax scales - NAT 3539'!$A$99:$C$123,2,1)-VLOOKUP((TRUNC($AN489/2,0)+0.99),'Tax scales - NAT 3539'!$A$99:$C$123,3,1)),0)
*2,
0),
IF(AND($E$2="Monthly",ROUND($AN489-TRUNC($AN489),2)=0.33),
ROUND(
ROUND(((TRUNC(($AN489+0.01)*3/13,0)+0.99)*VLOOKUP((TRUNC(($AN489+0.01)*3/13,0)+0.99),'Tax scales - NAT 3539'!$A$99:$C$123,2,1)-VLOOKUP((TRUNC(($AN489+0.01)*3/13,0)+0.99),'Tax scales - NAT 3539'!$A$99:$C$123,3,1)),0)
*13/3,
0),
IF($E$2="Monthly",
ROUND(
ROUND(((TRUNC($AN489*3/13,0)+0.99)*VLOOKUP((TRUNC($AN489*3/13,0)+0.99),'Tax scales - NAT 3539'!$A$99:$C$123,2,1)-VLOOKUP((TRUNC($AN489*3/13,0)+0.99),'Tax scales - NAT 3539'!$A$99:$C$123,3,1)),0)
*13/3,
0),
""))),
""),
"")</f>
        <v/>
      </c>
      <c r="AY489" s="118" t="str">
        <f>IFERROR(
IF(VLOOKUP($C489,'Employee information'!$B:$M,COLUMNS('Employee information'!$B:$M),0)=66,
IF($E$2="Fortnightly",
ROUND(
ROUND((((TRUNC($AN489/2,0)+0.99))*VLOOKUP((TRUNC($AN489/2,0)+0.99),'Tax scales - NAT 3539'!$A$127:$C$154,2,1)-VLOOKUP((TRUNC($AN489/2,0)+0.99),'Tax scales - NAT 3539'!$A$127:$C$154,3,1)),0)
*2,
0),
IF(AND($E$2="Monthly",ROUND($AN489-TRUNC($AN489),2)=0.33),
ROUND(
ROUND(((TRUNC(($AN489+0.01)*3/13,0)+0.99)*VLOOKUP((TRUNC(($AN489+0.01)*3/13,0)+0.99),'Tax scales - NAT 3539'!$A$127:$C$154,2,1)-VLOOKUP((TRUNC(($AN489+0.01)*3/13,0)+0.99),'Tax scales - NAT 3539'!$A$127:$C$154,3,1)),0)
*13/3,
0),
IF($E$2="Monthly",
ROUND(
ROUND(((TRUNC($AN489*3/13,0)+0.99)*VLOOKUP((TRUNC($AN489*3/13,0)+0.99),'Tax scales - NAT 3539'!$A$127:$C$154,2,1)-VLOOKUP((TRUNC($AN489*3/13,0)+0.99),'Tax scales - NAT 3539'!$A$127:$C$154,3,1)),0)
*13/3,
0),
""))),
""),
"")</f>
        <v/>
      </c>
      <c r="AZ489" s="118">
        <f>IFERROR(
HLOOKUP(VLOOKUP($C489,'Employee information'!$B:$M,COLUMNS('Employee information'!$B:$M),0),'PAYG worksheet'!$AO$474:$AY$493,COUNTA($C$475:$C489)+1,0),
0)</f>
        <v>0</v>
      </c>
      <c r="BA489" s="118"/>
      <c r="BB489" s="118">
        <f t="shared" si="511"/>
        <v>0</v>
      </c>
      <c r="BC489" s="119">
        <f>IFERROR(
IF(OR($AE489=1,$AE489=""),SUM($P489,$AA489,$AC489,$AK489)*VLOOKUP($C489,'Employee information'!$B:$Q,COLUMNS('Employee information'!$B:$H),0),
IF($AE489=0,SUM($P489,$AA489,$AK489)*VLOOKUP($C489,'Employee information'!$B:$Q,COLUMNS('Employee information'!$B:$H),0),
0)),
0)</f>
        <v>0</v>
      </c>
      <c r="BE489" s="114">
        <f t="shared" si="496"/>
        <v>0</v>
      </c>
      <c r="BF489" s="114">
        <f t="shared" si="497"/>
        <v>0</v>
      </c>
      <c r="BG489" s="114">
        <f t="shared" si="498"/>
        <v>0</v>
      </c>
      <c r="BH489" s="114">
        <f t="shared" si="499"/>
        <v>0</v>
      </c>
      <c r="BI489" s="114">
        <f t="shared" si="500"/>
        <v>0</v>
      </c>
      <c r="BJ489" s="114">
        <f t="shared" si="501"/>
        <v>0</v>
      </c>
      <c r="BK489" s="114">
        <f t="shared" si="502"/>
        <v>0</v>
      </c>
      <c r="BL489" s="114">
        <f t="shared" si="512"/>
        <v>0</v>
      </c>
      <c r="BM489" s="114">
        <f t="shared" si="503"/>
        <v>0</v>
      </c>
    </row>
    <row r="490" spans="1:65" x14ac:dyDescent="0.25">
      <c r="A490" s="228">
        <f t="shared" si="491"/>
        <v>17</v>
      </c>
      <c r="C490" s="278"/>
      <c r="E490" s="103">
        <f>IF($C490="",0,
IF(AND($E$2="Monthly",$A490&gt;12),0,
IF($E$2="Monthly",VLOOKUP($C490,'Employee information'!$B:$AM,COLUMNS('Employee information'!$B:S),0),
IF($E$2="Fortnightly",VLOOKUP($C490,'Employee information'!$B:$AM,COLUMNS('Employee information'!$B:R),0),
0))))</f>
        <v>0</v>
      </c>
      <c r="F490" s="106"/>
      <c r="G490" s="106"/>
      <c r="H490" s="106"/>
      <c r="I490" s="106"/>
      <c r="J490" s="103">
        <f t="shared" si="504"/>
        <v>0</v>
      </c>
      <c r="L490" s="113">
        <f>IF(AND($E$2="Monthly",$A490&gt;12),"",
IFERROR($J490*VLOOKUP($C490,'Employee information'!$B:$AI,COLUMNS('Employee information'!$B:$P),0),0))</f>
        <v>0</v>
      </c>
      <c r="M490" s="114">
        <f t="shared" si="505"/>
        <v>0</v>
      </c>
      <c r="O490" s="103">
        <f t="shared" si="506"/>
        <v>0</v>
      </c>
      <c r="P490" s="113">
        <f>IFERROR(
IF(AND($E$2="Monthly",$A490&gt;12),0,
$O490*VLOOKUP($C490,'Employee information'!$B:$AI,COLUMNS('Employee information'!$B:$P),0)),
0)</f>
        <v>0</v>
      </c>
      <c r="R490" s="114">
        <f t="shared" si="492"/>
        <v>0</v>
      </c>
      <c r="T490" s="103"/>
      <c r="U490" s="103"/>
      <c r="V490" s="282" t="str">
        <f>IF($C490="","",
IF(AND($E$2="Monthly",$A490&gt;12),"",
$T490*VLOOKUP($C490,'Employee information'!$B:$P,COLUMNS('Employee information'!$B:$P),0)))</f>
        <v/>
      </c>
      <c r="W490" s="282" t="str">
        <f>IF($C490="","",
IF(AND($E$2="Monthly",$A490&gt;12),"",
$U490*VLOOKUP($C490,'Employee information'!$B:$P,COLUMNS('Employee information'!$B:$P),0)))</f>
        <v/>
      </c>
      <c r="X490" s="114">
        <f t="shared" si="493"/>
        <v>0</v>
      </c>
      <c r="Y490" s="114">
        <f t="shared" si="494"/>
        <v>0</v>
      </c>
      <c r="AA490" s="118">
        <f>IFERROR(
IF(OR('Basic payroll data'!$D$12="",'Basic payroll data'!$D$12="No"),0,
$T490*VLOOKUP($C490,'Employee information'!$B:$P,COLUMNS('Employee information'!$B:$P),0)*AL_loading_perc),
0)</f>
        <v>0</v>
      </c>
      <c r="AC490" s="118"/>
      <c r="AD490" s="118"/>
      <c r="AE490" s="283" t="str">
        <f t="shared" si="507"/>
        <v/>
      </c>
      <c r="AF490" s="283" t="str">
        <f t="shared" si="508"/>
        <v/>
      </c>
      <c r="AG490" s="118"/>
      <c r="AH490" s="118"/>
      <c r="AI490" s="283" t="str">
        <f t="shared" si="509"/>
        <v/>
      </c>
      <c r="AJ490" s="118"/>
      <c r="AK490" s="118"/>
      <c r="AM490" s="118">
        <f t="shared" si="510"/>
        <v>0</v>
      </c>
      <c r="AN490" s="118">
        <f t="shared" si="495"/>
        <v>0</v>
      </c>
      <c r="AO490" s="118" t="str">
        <f>IFERROR(
IF(VLOOKUP($C490,'Employee information'!$B:$M,COLUMNS('Employee information'!$B:$M),0)=1,
IF($E$2="Fortnightly",
ROUND(
ROUND((((TRUNC($AN490/2,0)+0.99))*VLOOKUP((TRUNC($AN490/2,0)+0.99),'Tax scales - NAT 1004'!$A$12:$C$18,2,1)-VLOOKUP((TRUNC($AN490/2,0)+0.99),'Tax scales - NAT 1004'!$A$12:$C$18,3,1)),0)
*2,
0),
IF(AND($E$2="Monthly",ROUND($AN490-TRUNC($AN490),2)=0.33),
ROUND(
ROUND(((TRUNC(($AN490+0.01)*3/13,0)+0.99)*VLOOKUP((TRUNC(($AN490+0.01)*3/13,0)+0.99),'Tax scales - NAT 1004'!$A$12:$C$18,2,1)-VLOOKUP((TRUNC(($AN490+0.01)*3/13,0)+0.99),'Tax scales - NAT 1004'!$A$12:$C$18,3,1)),0)
*13/3,
0),
IF($E$2="Monthly",
ROUND(
ROUND(((TRUNC($AN490*3/13,0)+0.99)*VLOOKUP((TRUNC($AN490*3/13,0)+0.99),'Tax scales - NAT 1004'!$A$12:$C$18,2,1)-VLOOKUP((TRUNC($AN490*3/13,0)+0.99),'Tax scales - NAT 1004'!$A$12:$C$18,3,1)),0)
*13/3,
0),
""))),
""),
"")</f>
        <v/>
      </c>
      <c r="AP490" s="118" t="str">
        <f>IFERROR(
IF(VLOOKUP($C490,'Employee information'!$B:$M,COLUMNS('Employee information'!$B:$M),0)=2,
IF($E$2="Fortnightly",
ROUND(
ROUND((((TRUNC($AN490/2,0)+0.99))*VLOOKUP((TRUNC($AN490/2,0)+0.99),'Tax scales - NAT 1004'!$A$25:$C$33,2,1)-VLOOKUP((TRUNC($AN490/2,0)+0.99),'Tax scales - NAT 1004'!$A$25:$C$33,3,1)),0)
*2,
0),
IF(AND($E$2="Monthly",ROUND($AN490-TRUNC($AN490),2)=0.33),
ROUND(
ROUND(((TRUNC(($AN490+0.01)*3/13,0)+0.99)*VLOOKUP((TRUNC(($AN490+0.01)*3/13,0)+0.99),'Tax scales - NAT 1004'!$A$25:$C$33,2,1)-VLOOKUP((TRUNC(($AN490+0.01)*3/13,0)+0.99),'Tax scales - NAT 1004'!$A$25:$C$33,3,1)),0)
*13/3,
0),
IF($E$2="Monthly",
ROUND(
ROUND(((TRUNC($AN490*3/13,0)+0.99)*VLOOKUP((TRUNC($AN490*3/13,0)+0.99),'Tax scales - NAT 1004'!$A$25:$C$33,2,1)-VLOOKUP((TRUNC($AN490*3/13,0)+0.99),'Tax scales - NAT 1004'!$A$25:$C$33,3,1)),0)
*13/3,
0),
""))),
""),
"")</f>
        <v/>
      </c>
      <c r="AQ490" s="118" t="str">
        <f>IFERROR(
IF(VLOOKUP($C490,'Employee information'!$B:$M,COLUMNS('Employee information'!$B:$M),0)=3,
IF($E$2="Fortnightly",
ROUND(
ROUND((((TRUNC($AN490/2,0)+0.99))*VLOOKUP((TRUNC($AN490/2,0)+0.99),'Tax scales - NAT 1004'!$A$39:$C$41,2,1)-VLOOKUP((TRUNC($AN490/2,0)+0.99),'Tax scales - NAT 1004'!$A$39:$C$41,3,1)),0)
*2,
0),
IF(AND($E$2="Monthly",ROUND($AN490-TRUNC($AN490),2)=0.33),
ROUND(
ROUND(((TRUNC(($AN490+0.01)*3/13,0)+0.99)*VLOOKUP((TRUNC(($AN490+0.01)*3/13,0)+0.99),'Tax scales - NAT 1004'!$A$39:$C$41,2,1)-VLOOKUP((TRUNC(($AN490+0.01)*3/13,0)+0.99),'Tax scales - NAT 1004'!$A$39:$C$41,3,1)),0)
*13/3,
0),
IF($E$2="Monthly",
ROUND(
ROUND(((TRUNC($AN490*3/13,0)+0.99)*VLOOKUP((TRUNC($AN490*3/13,0)+0.99),'Tax scales - NAT 1004'!$A$39:$C$41,2,1)-VLOOKUP((TRUNC($AN490*3/13,0)+0.99),'Tax scales - NAT 1004'!$A$39:$C$41,3,1)),0)
*13/3,
0),
""))),
""),
"")</f>
        <v/>
      </c>
      <c r="AR490" s="118" t="str">
        <f>IFERROR(
IF(AND(VLOOKUP($C490,'Employee information'!$B:$M,COLUMNS('Employee information'!$B:$M),0)=4,
VLOOKUP($C490,'Employee information'!$B:$J,COLUMNS('Employee information'!$B:$J),0)="Resident"),
TRUNC(TRUNC($AN490)*'Tax scales - NAT 1004'!$B$47),
IF(AND(VLOOKUP($C490,'Employee information'!$B:$M,COLUMNS('Employee information'!$B:$M),0)=4,
VLOOKUP($C490,'Employee information'!$B:$J,COLUMNS('Employee information'!$B:$J),0)="Foreign resident"),
TRUNC(TRUNC($AN490)*'Tax scales - NAT 1004'!$B$48),
"")),
"")</f>
        <v/>
      </c>
      <c r="AS490" s="118" t="str">
        <f>IFERROR(
IF(VLOOKUP($C490,'Employee information'!$B:$M,COLUMNS('Employee information'!$B:$M),0)=5,
IF($E$2="Fortnightly",
ROUND(
ROUND((((TRUNC($AN490/2,0)+0.99))*VLOOKUP((TRUNC($AN490/2,0)+0.99),'Tax scales - NAT 1004'!$A$53:$C$59,2,1)-VLOOKUP((TRUNC($AN490/2,0)+0.99),'Tax scales - NAT 1004'!$A$53:$C$59,3,1)),0)
*2,
0),
IF(AND($E$2="Monthly",ROUND($AN490-TRUNC($AN490),2)=0.33),
ROUND(
ROUND(((TRUNC(($AN490+0.01)*3/13,0)+0.99)*VLOOKUP((TRUNC(($AN490+0.01)*3/13,0)+0.99),'Tax scales - NAT 1004'!$A$53:$C$59,2,1)-VLOOKUP((TRUNC(($AN490+0.01)*3/13,0)+0.99),'Tax scales - NAT 1004'!$A$53:$C$59,3,1)),0)
*13/3,
0),
IF($E$2="Monthly",
ROUND(
ROUND(((TRUNC($AN490*3/13,0)+0.99)*VLOOKUP((TRUNC($AN490*3/13,0)+0.99),'Tax scales - NAT 1004'!$A$53:$C$59,2,1)-VLOOKUP((TRUNC($AN490*3/13,0)+0.99),'Tax scales - NAT 1004'!$A$53:$C$59,3,1)),0)
*13/3,
0),
""))),
""),
"")</f>
        <v/>
      </c>
      <c r="AT490" s="118" t="str">
        <f>IFERROR(
IF(VLOOKUP($C490,'Employee information'!$B:$M,COLUMNS('Employee information'!$B:$M),0)=6,
IF($E$2="Fortnightly",
ROUND(
ROUND((((TRUNC($AN490/2,0)+0.99))*VLOOKUP((TRUNC($AN490/2,0)+0.99),'Tax scales - NAT 1004'!$A$65:$C$73,2,1)-VLOOKUP((TRUNC($AN490/2,0)+0.99),'Tax scales - NAT 1004'!$A$65:$C$73,3,1)),0)
*2,
0),
IF(AND($E$2="Monthly",ROUND($AN490-TRUNC($AN490),2)=0.33),
ROUND(
ROUND(((TRUNC(($AN490+0.01)*3/13,0)+0.99)*VLOOKUP((TRUNC(($AN490+0.01)*3/13,0)+0.99),'Tax scales - NAT 1004'!$A$65:$C$73,2,1)-VLOOKUP((TRUNC(($AN490+0.01)*3/13,0)+0.99),'Tax scales - NAT 1004'!$A$65:$C$73,3,1)),0)
*13/3,
0),
IF($E$2="Monthly",
ROUND(
ROUND(((TRUNC($AN490*3/13,0)+0.99)*VLOOKUP((TRUNC($AN490*3/13,0)+0.99),'Tax scales - NAT 1004'!$A$65:$C$73,2,1)-VLOOKUP((TRUNC($AN490*3/13,0)+0.99),'Tax scales - NAT 1004'!$A$65:$C$73,3,1)),0)
*13/3,
0),
""))),
""),
"")</f>
        <v/>
      </c>
      <c r="AU490" s="118" t="str">
        <f>IFERROR(
IF(VLOOKUP($C490,'Employee information'!$B:$M,COLUMNS('Employee information'!$B:$M),0)=11,
IF($E$2="Fortnightly",
ROUND(
ROUND((((TRUNC($AN490/2,0)+0.99))*VLOOKUP((TRUNC($AN490/2,0)+0.99),'Tax scales - NAT 3539'!$A$14:$C$38,2,1)-VLOOKUP((TRUNC($AN490/2,0)+0.99),'Tax scales - NAT 3539'!$A$14:$C$38,3,1)),0)
*2,
0),
IF(AND($E$2="Monthly",ROUND($AN490-TRUNC($AN490),2)=0.33),
ROUND(
ROUND(((TRUNC(($AN490+0.01)*3/13,0)+0.99)*VLOOKUP((TRUNC(($AN490+0.01)*3/13,0)+0.99),'Tax scales - NAT 3539'!$A$14:$C$38,2,1)-VLOOKUP((TRUNC(($AN490+0.01)*3/13,0)+0.99),'Tax scales - NAT 3539'!$A$14:$C$38,3,1)),0)
*13/3,
0),
IF($E$2="Monthly",
ROUND(
ROUND(((TRUNC($AN490*3/13,0)+0.99)*VLOOKUP((TRUNC($AN490*3/13,0)+0.99),'Tax scales - NAT 3539'!$A$14:$C$38,2,1)-VLOOKUP((TRUNC($AN490*3/13,0)+0.99),'Tax scales - NAT 3539'!$A$14:$C$38,3,1)),0)
*13/3,
0),
""))),
""),
"")</f>
        <v/>
      </c>
      <c r="AV490" s="118" t="str">
        <f>IFERROR(
IF(VLOOKUP($C490,'Employee information'!$B:$M,COLUMNS('Employee information'!$B:$M),0)=22,
IF($E$2="Fortnightly",
ROUND(
ROUND((((TRUNC($AN490/2,0)+0.99))*VLOOKUP((TRUNC($AN490/2,0)+0.99),'Tax scales - NAT 3539'!$A$43:$C$69,2,1)-VLOOKUP((TRUNC($AN490/2,0)+0.99),'Tax scales - NAT 3539'!$A$43:$C$69,3,1)),0)
*2,
0),
IF(AND($E$2="Monthly",ROUND($AN490-TRUNC($AN490),2)=0.33),
ROUND(
ROUND(((TRUNC(($AN490+0.01)*3/13,0)+0.99)*VLOOKUP((TRUNC(($AN490+0.01)*3/13,0)+0.99),'Tax scales - NAT 3539'!$A$43:$C$69,2,1)-VLOOKUP((TRUNC(($AN490+0.01)*3/13,0)+0.99),'Tax scales - NAT 3539'!$A$43:$C$69,3,1)),0)
*13/3,
0),
IF($E$2="Monthly",
ROUND(
ROUND(((TRUNC($AN490*3/13,0)+0.99)*VLOOKUP((TRUNC($AN490*3/13,0)+0.99),'Tax scales - NAT 3539'!$A$43:$C$69,2,1)-VLOOKUP((TRUNC($AN490*3/13,0)+0.99),'Tax scales - NAT 3539'!$A$43:$C$69,3,1)),0)
*13/3,
0),
""))),
""),
"")</f>
        <v/>
      </c>
      <c r="AW490" s="118" t="str">
        <f>IFERROR(
IF(VLOOKUP($C490,'Employee information'!$B:$M,COLUMNS('Employee information'!$B:$M),0)=33,
IF($E$2="Fortnightly",
ROUND(
ROUND((((TRUNC($AN490/2,0)+0.99))*VLOOKUP((TRUNC($AN490/2,0)+0.99),'Tax scales - NAT 3539'!$A$74:$C$94,2,1)-VLOOKUP((TRUNC($AN490/2,0)+0.99),'Tax scales - NAT 3539'!$A$74:$C$94,3,1)),0)
*2,
0),
IF(AND($E$2="Monthly",ROUND($AN490-TRUNC($AN490),2)=0.33),
ROUND(
ROUND(((TRUNC(($AN490+0.01)*3/13,0)+0.99)*VLOOKUP((TRUNC(($AN490+0.01)*3/13,0)+0.99),'Tax scales - NAT 3539'!$A$74:$C$94,2,1)-VLOOKUP((TRUNC(($AN490+0.01)*3/13,0)+0.99),'Tax scales - NAT 3539'!$A$74:$C$94,3,1)),0)
*13/3,
0),
IF($E$2="Monthly",
ROUND(
ROUND(((TRUNC($AN490*3/13,0)+0.99)*VLOOKUP((TRUNC($AN490*3/13,0)+0.99),'Tax scales - NAT 3539'!$A$74:$C$94,2,1)-VLOOKUP((TRUNC($AN490*3/13,0)+0.99),'Tax scales - NAT 3539'!$A$74:$C$94,3,1)),0)
*13/3,
0),
""))),
""),
"")</f>
        <v/>
      </c>
      <c r="AX490" s="118" t="str">
        <f>IFERROR(
IF(VLOOKUP($C490,'Employee information'!$B:$M,COLUMNS('Employee information'!$B:$M),0)=55,
IF($E$2="Fortnightly",
ROUND(
ROUND((((TRUNC($AN490/2,0)+0.99))*VLOOKUP((TRUNC($AN490/2,0)+0.99),'Tax scales - NAT 3539'!$A$99:$C$123,2,1)-VLOOKUP((TRUNC($AN490/2,0)+0.99),'Tax scales - NAT 3539'!$A$99:$C$123,3,1)),0)
*2,
0),
IF(AND($E$2="Monthly",ROUND($AN490-TRUNC($AN490),2)=0.33),
ROUND(
ROUND(((TRUNC(($AN490+0.01)*3/13,0)+0.99)*VLOOKUP((TRUNC(($AN490+0.01)*3/13,0)+0.99),'Tax scales - NAT 3539'!$A$99:$C$123,2,1)-VLOOKUP((TRUNC(($AN490+0.01)*3/13,0)+0.99),'Tax scales - NAT 3539'!$A$99:$C$123,3,1)),0)
*13/3,
0),
IF($E$2="Monthly",
ROUND(
ROUND(((TRUNC($AN490*3/13,0)+0.99)*VLOOKUP((TRUNC($AN490*3/13,0)+0.99),'Tax scales - NAT 3539'!$A$99:$C$123,2,1)-VLOOKUP((TRUNC($AN490*3/13,0)+0.99),'Tax scales - NAT 3539'!$A$99:$C$123,3,1)),0)
*13/3,
0),
""))),
""),
"")</f>
        <v/>
      </c>
      <c r="AY490" s="118" t="str">
        <f>IFERROR(
IF(VLOOKUP($C490,'Employee information'!$B:$M,COLUMNS('Employee information'!$B:$M),0)=66,
IF($E$2="Fortnightly",
ROUND(
ROUND((((TRUNC($AN490/2,0)+0.99))*VLOOKUP((TRUNC($AN490/2,0)+0.99),'Tax scales - NAT 3539'!$A$127:$C$154,2,1)-VLOOKUP((TRUNC($AN490/2,0)+0.99),'Tax scales - NAT 3539'!$A$127:$C$154,3,1)),0)
*2,
0),
IF(AND($E$2="Monthly",ROUND($AN490-TRUNC($AN490),2)=0.33),
ROUND(
ROUND(((TRUNC(($AN490+0.01)*3/13,0)+0.99)*VLOOKUP((TRUNC(($AN490+0.01)*3/13,0)+0.99),'Tax scales - NAT 3539'!$A$127:$C$154,2,1)-VLOOKUP((TRUNC(($AN490+0.01)*3/13,0)+0.99),'Tax scales - NAT 3539'!$A$127:$C$154,3,1)),0)
*13/3,
0),
IF($E$2="Monthly",
ROUND(
ROUND(((TRUNC($AN490*3/13,0)+0.99)*VLOOKUP((TRUNC($AN490*3/13,0)+0.99),'Tax scales - NAT 3539'!$A$127:$C$154,2,1)-VLOOKUP((TRUNC($AN490*3/13,0)+0.99),'Tax scales - NAT 3539'!$A$127:$C$154,3,1)),0)
*13/3,
0),
""))),
""),
"")</f>
        <v/>
      </c>
      <c r="AZ490" s="118">
        <f>IFERROR(
HLOOKUP(VLOOKUP($C490,'Employee information'!$B:$M,COLUMNS('Employee information'!$B:$M),0),'PAYG worksheet'!$AO$474:$AY$493,COUNTA($C$475:$C490)+1,0),
0)</f>
        <v>0</v>
      </c>
      <c r="BA490" s="118"/>
      <c r="BB490" s="118">
        <f t="shared" si="511"/>
        <v>0</v>
      </c>
      <c r="BC490" s="119">
        <f>IFERROR(
IF(OR($AE490=1,$AE490=""),SUM($P490,$AA490,$AC490,$AK490)*VLOOKUP($C490,'Employee information'!$B:$Q,COLUMNS('Employee information'!$B:$H),0),
IF($AE490=0,SUM($P490,$AA490,$AK490)*VLOOKUP($C490,'Employee information'!$B:$Q,COLUMNS('Employee information'!$B:$H),0),
0)),
0)</f>
        <v>0</v>
      </c>
      <c r="BE490" s="114">
        <f t="shared" si="496"/>
        <v>0</v>
      </c>
      <c r="BF490" s="114">
        <f t="shared" si="497"/>
        <v>0</v>
      </c>
      <c r="BG490" s="114">
        <f t="shared" si="498"/>
        <v>0</v>
      </c>
      <c r="BH490" s="114">
        <f t="shared" si="499"/>
        <v>0</v>
      </c>
      <c r="BI490" s="114">
        <f t="shared" si="500"/>
        <v>0</v>
      </c>
      <c r="BJ490" s="114">
        <f t="shared" si="501"/>
        <v>0</v>
      </c>
      <c r="BK490" s="114">
        <f t="shared" si="502"/>
        <v>0</v>
      </c>
      <c r="BL490" s="114">
        <f t="shared" si="512"/>
        <v>0</v>
      </c>
      <c r="BM490" s="114">
        <f t="shared" si="503"/>
        <v>0</v>
      </c>
    </row>
    <row r="491" spans="1:65" x14ac:dyDescent="0.25">
      <c r="A491" s="228">
        <f t="shared" si="491"/>
        <v>17</v>
      </c>
      <c r="C491" s="278"/>
      <c r="E491" s="103">
        <f>IF($C491="",0,
IF(AND($E$2="Monthly",$A491&gt;12),0,
IF($E$2="Monthly",VLOOKUP($C491,'Employee information'!$B:$AM,COLUMNS('Employee information'!$B:S),0),
IF($E$2="Fortnightly",VLOOKUP($C491,'Employee information'!$B:$AM,COLUMNS('Employee information'!$B:R),0),
0))))</f>
        <v>0</v>
      </c>
      <c r="F491" s="106"/>
      <c r="G491" s="106"/>
      <c r="H491" s="106"/>
      <c r="I491" s="106"/>
      <c r="J491" s="103">
        <f t="shared" si="504"/>
        <v>0</v>
      </c>
      <c r="L491" s="113">
        <f>IF(AND($E$2="Monthly",$A491&gt;12),"",
IFERROR($J491*VLOOKUP($C491,'Employee information'!$B:$AI,COLUMNS('Employee information'!$B:$P),0),0))</f>
        <v>0</v>
      </c>
      <c r="M491" s="114">
        <f t="shared" si="505"/>
        <v>0</v>
      </c>
      <c r="O491" s="103">
        <f t="shared" si="506"/>
        <v>0</v>
      </c>
      <c r="P491" s="113">
        <f>IFERROR(
IF(AND($E$2="Monthly",$A491&gt;12),0,
$O491*VLOOKUP($C491,'Employee information'!$B:$AI,COLUMNS('Employee information'!$B:$P),0)),
0)</f>
        <v>0</v>
      </c>
      <c r="R491" s="114">
        <f t="shared" si="492"/>
        <v>0</v>
      </c>
      <c r="T491" s="103"/>
      <c r="U491" s="103"/>
      <c r="V491" s="282" t="str">
        <f>IF($C491="","",
IF(AND($E$2="Monthly",$A491&gt;12),"",
$T491*VLOOKUP($C491,'Employee information'!$B:$P,COLUMNS('Employee information'!$B:$P),0)))</f>
        <v/>
      </c>
      <c r="W491" s="282" t="str">
        <f>IF($C491="","",
IF(AND($E$2="Monthly",$A491&gt;12),"",
$U491*VLOOKUP($C491,'Employee information'!$B:$P,COLUMNS('Employee information'!$B:$P),0)))</f>
        <v/>
      </c>
      <c r="X491" s="114">
        <f t="shared" si="493"/>
        <v>0</v>
      </c>
      <c r="Y491" s="114">
        <f t="shared" si="494"/>
        <v>0</v>
      </c>
      <c r="AA491" s="118">
        <f>IFERROR(
IF(OR('Basic payroll data'!$D$12="",'Basic payroll data'!$D$12="No"),0,
$T491*VLOOKUP($C491,'Employee information'!$B:$P,COLUMNS('Employee information'!$B:$P),0)*AL_loading_perc),
0)</f>
        <v>0</v>
      </c>
      <c r="AC491" s="118"/>
      <c r="AD491" s="118"/>
      <c r="AE491" s="283" t="str">
        <f t="shared" si="507"/>
        <v/>
      </c>
      <c r="AF491" s="283" t="str">
        <f t="shared" si="508"/>
        <v/>
      </c>
      <c r="AG491" s="118"/>
      <c r="AH491" s="118"/>
      <c r="AI491" s="283" t="str">
        <f t="shared" si="509"/>
        <v/>
      </c>
      <c r="AJ491" s="118"/>
      <c r="AK491" s="118"/>
      <c r="AM491" s="118">
        <f t="shared" si="510"/>
        <v>0</v>
      </c>
      <c r="AN491" s="118">
        <f t="shared" si="495"/>
        <v>0</v>
      </c>
      <c r="AO491" s="118" t="str">
        <f>IFERROR(
IF(VLOOKUP($C491,'Employee information'!$B:$M,COLUMNS('Employee information'!$B:$M),0)=1,
IF($E$2="Fortnightly",
ROUND(
ROUND((((TRUNC($AN491/2,0)+0.99))*VLOOKUP((TRUNC($AN491/2,0)+0.99),'Tax scales - NAT 1004'!$A$12:$C$18,2,1)-VLOOKUP((TRUNC($AN491/2,0)+0.99),'Tax scales - NAT 1004'!$A$12:$C$18,3,1)),0)
*2,
0),
IF(AND($E$2="Monthly",ROUND($AN491-TRUNC($AN491),2)=0.33),
ROUND(
ROUND(((TRUNC(($AN491+0.01)*3/13,0)+0.99)*VLOOKUP((TRUNC(($AN491+0.01)*3/13,0)+0.99),'Tax scales - NAT 1004'!$A$12:$C$18,2,1)-VLOOKUP((TRUNC(($AN491+0.01)*3/13,0)+0.99),'Tax scales - NAT 1004'!$A$12:$C$18,3,1)),0)
*13/3,
0),
IF($E$2="Monthly",
ROUND(
ROUND(((TRUNC($AN491*3/13,0)+0.99)*VLOOKUP((TRUNC($AN491*3/13,0)+0.99),'Tax scales - NAT 1004'!$A$12:$C$18,2,1)-VLOOKUP((TRUNC($AN491*3/13,0)+0.99),'Tax scales - NAT 1004'!$A$12:$C$18,3,1)),0)
*13/3,
0),
""))),
""),
"")</f>
        <v/>
      </c>
      <c r="AP491" s="118" t="str">
        <f>IFERROR(
IF(VLOOKUP($C491,'Employee information'!$B:$M,COLUMNS('Employee information'!$B:$M),0)=2,
IF($E$2="Fortnightly",
ROUND(
ROUND((((TRUNC($AN491/2,0)+0.99))*VLOOKUP((TRUNC($AN491/2,0)+0.99),'Tax scales - NAT 1004'!$A$25:$C$33,2,1)-VLOOKUP((TRUNC($AN491/2,0)+0.99),'Tax scales - NAT 1004'!$A$25:$C$33,3,1)),0)
*2,
0),
IF(AND($E$2="Monthly",ROUND($AN491-TRUNC($AN491),2)=0.33),
ROUND(
ROUND(((TRUNC(($AN491+0.01)*3/13,0)+0.99)*VLOOKUP((TRUNC(($AN491+0.01)*3/13,0)+0.99),'Tax scales - NAT 1004'!$A$25:$C$33,2,1)-VLOOKUP((TRUNC(($AN491+0.01)*3/13,0)+0.99),'Tax scales - NAT 1004'!$A$25:$C$33,3,1)),0)
*13/3,
0),
IF($E$2="Monthly",
ROUND(
ROUND(((TRUNC($AN491*3/13,0)+0.99)*VLOOKUP((TRUNC($AN491*3/13,0)+0.99),'Tax scales - NAT 1004'!$A$25:$C$33,2,1)-VLOOKUP((TRUNC($AN491*3/13,0)+0.99),'Tax scales - NAT 1004'!$A$25:$C$33,3,1)),0)
*13/3,
0),
""))),
""),
"")</f>
        <v/>
      </c>
      <c r="AQ491" s="118" t="str">
        <f>IFERROR(
IF(VLOOKUP($C491,'Employee information'!$B:$M,COLUMNS('Employee information'!$B:$M),0)=3,
IF($E$2="Fortnightly",
ROUND(
ROUND((((TRUNC($AN491/2,0)+0.99))*VLOOKUP((TRUNC($AN491/2,0)+0.99),'Tax scales - NAT 1004'!$A$39:$C$41,2,1)-VLOOKUP((TRUNC($AN491/2,0)+0.99),'Tax scales - NAT 1004'!$A$39:$C$41,3,1)),0)
*2,
0),
IF(AND($E$2="Monthly",ROUND($AN491-TRUNC($AN491),2)=0.33),
ROUND(
ROUND(((TRUNC(($AN491+0.01)*3/13,0)+0.99)*VLOOKUP((TRUNC(($AN491+0.01)*3/13,0)+0.99),'Tax scales - NAT 1004'!$A$39:$C$41,2,1)-VLOOKUP((TRUNC(($AN491+0.01)*3/13,0)+0.99),'Tax scales - NAT 1004'!$A$39:$C$41,3,1)),0)
*13/3,
0),
IF($E$2="Monthly",
ROUND(
ROUND(((TRUNC($AN491*3/13,0)+0.99)*VLOOKUP((TRUNC($AN491*3/13,0)+0.99),'Tax scales - NAT 1004'!$A$39:$C$41,2,1)-VLOOKUP((TRUNC($AN491*3/13,0)+0.99),'Tax scales - NAT 1004'!$A$39:$C$41,3,1)),0)
*13/3,
0),
""))),
""),
"")</f>
        <v/>
      </c>
      <c r="AR491" s="118" t="str">
        <f>IFERROR(
IF(AND(VLOOKUP($C491,'Employee information'!$B:$M,COLUMNS('Employee information'!$B:$M),0)=4,
VLOOKUP($C491,'Employee information'!$B:$J,COLUMNS('Employee information'!$B:$J),0)="Resident"),
TRUNC(TRUNC($AN491)*'Tax scales - NAT 1004'!$B$47),
IF(AND(VLOOKUP($C491,'Employee information'!$B:$M,COLUMNS('Employee information'!$B:$M),0)=4,
VLOOKUP($C491,'Employee information'!$B:$J,COLUMNS('Employee information'!$B:$J),0)="Foreign resident"),
TRUNC(TRUNC($AN491)*'Tax scales - NAT 1004'!$B$48),
"")),
"")</f>
        <v/>
      </c>
      <c r="AS491" s="118" t="str">
        <f>IFERROR(
IF(VLOOKUP($C491,'Employee information'!$B:$M,COLUMNS('Employee information'!$B:$M),0)=5,
IF($E$2="Fortnightly",
ROUND(
ROUND((((TRUNC($AN491/2,0)+0.99))*VLOOKUP((TRUNC($AN491/2,0)+0.99),'Tax scales - NAT 1004'!$A$53:$C$59,2,1)-VLOOKUP((TRUNC($AN491/2,0)+0.99),'Tax scales - NAT 1004'!$A$53:$C$59,3,1)),0)
*2,
0),
IF(AND($E$2="Monthly",ROUND($AN491-TRUNC($AN491),2)=0.33),
ROUND(
ROUND(((TRUNC(($AN491+0.01)*3/13,0)+0.99)*VLOOKUP((TRUNC(($AN491+0.01)*3/13,0)+0.99),'Tax scales - NAT 1004'!$A$53:$C$59,2,1)-VLOOKUP((TRUNC(($AN491+0.01)*3/13,0)+0.99),'Tax scales - NAT 1004'!$A$53:$C$59,3,1)),0)
*13/3,
0),
IF($E$2="Monthly",
ROUND(
ROUND(((TRUNC($AN491*3/13,0)+0.99)*VLOOKUP((TRUNC($AN491*3/13,0)+0.99),'Tax scales - NAT 1004'!$A$53:$C$59,2,1)-VLOOKUP((TRUNC($AN491*3/13,0)+0.99),'Tax scales - NAT 1004'!$A$53:$C$59,3,1)),0)
*13/3,
0),
""))),
""),
"")</f>
        <v/>
      </c>
      <c r="AT491" s="118" t="str">
        <f>IFERROR(
IF(VLOOKUP($C491,'Employee information'!$B:$M,COLUMNS('Employee information'!$B:$M),0)=6,
IF($E$2="Fortnightly",
ROUND(
ROUND((((TRUNC($AN491/2,0)+0.99))*VLOOKUP((TRUNC($AN491/2,0)+0.99),'Tax scales - NAT 1004'!$A$65:$C$73,2,1)-VLOOKUP((TRUNC($AN491/2,0)+0.99),'Tax scales - NAT 1004'!$A$65:$C$73,3,1)),0)
*2,
0),
IF(AND($E$2="Monthly",ROUND($AN491-TRUNC($AN491),2)=0.33),
ROUND(
ROUND(((TRUNC(($AN491+0.01)*3/13,0)+0.99)*VLOOKUP((TRUNC(($AN491+0.01)*3/13,0)+0.99),'Tax scales - NAT 1004'!$A$65:$C$73,2,1)-VLOOKUP((TRUNC(($AN491+0.01)*3/13,0)+0.99),'Tax scales - NAT 1004'!$A$65:$C$73,3,1)),0)
*13/3,
0),
IF($E$2="Monthly",
ROUND(
ROUND(((TRUNC($AN491*3/13,0)+0.99)*VLOOKUP((TRUNC($AN491*3/13,0)+0.99),'Tax scales - NAT 1004'!$A$65:$C$73,2,1)-VLOOKUP((TRUNC($AN491*3/13,0)+0.99),'Tax scales - NAT 1004'!$A$65:$C$73,3,1)),0)
*13/3,
0),
""))),
""),
"")</f>
        <v/>
      </c>
      <c r="AU491" s="118" t="str">
        <f>IFERROR(
IF(VLOOKUP($C491,'Employee information'!$B:$M,COLUMNS('Employee information'!$B:$M),0)=11,
IF($E$2="Fortnightly",
ROUND(
ROUND((((TRUNC($AN491/2,0)+0.99))*VLOOKUP((TRUNC($AN491/2,0)+0.99),'Tax scales - NAT 3539'!$A$14:$C$38,2,1)-VLOOKUP((TRUNC($AN491/2,0)+0.99),'Tax scales - NAT 3539'!$A$14:$C$38,3,1)),0)
*2,
0),
IF(AND($E$2="Monthly",ROUND($AN491-TRUNC($AN491),2)=0.33),
ROUND(
ROUND(((TRUNC(($AN491+0.01)*3/13,0)+0.99)*VLOOKUP((TRUNC(($AN491+0.01)*3/13,0)+0.99),'Tax scales - NAT 3539'!$A$14:$C$38,2,1)-VLOOKUP((TRUNC(($AN491+0.01)*3/13,0)+0.99),'Tax scales - NAT 3539'!$A$14:$C$38,3,1)),0)
*13/3,
0),
IF($E$2="Monthly",
ROUND(
ROUND(((TRUNC($AN491*3/13,0)+0.99)*VLOOKUP((TRUNC($AN491*3/13,0)+0.99),'Tax scales - NAT 3539'!$A$14:$C$38,2,1)-VLOOKUP((TRUNC($AN491*3/13,0)+0.99),'Tax scales - NAT 3539'!$A$14:$C$38,3,1)),0)
*13/3,
0),
""))),
""),
"")</f>
        <v/>
      </c>
      <c r="AV491" s="118" t="str">
        <f>IFERROR(
IF(VLOOKUP($C491,'Employee information'!$B:$M,COLUMNS('Employee information'!$B:$M),0)=22,
IF($E$2="Fortnightly",
ROUND(
ROUND((((TRUNC($AN491/2,0)+0.99))*VLOOKUP((TRUNC($AN491/2,0)+0.99),'Tax scales - NAT 3539'!$A$43:$C$69,2,1)-VLOOKUP((TRUNC($AN491/2,0)+0.99),'Tax scales - NAT 3539'!$A$43:$C$69,3,1)),0)
*2,
0),
IF(AND($E$2="Monthly",ROUND($AN491-TRUNC($AN491),2)=0.33),
ROUND(
ROUND(((TRUNC(($AN491+0.01)*3/13,0)+0.99)*VLOOKUP((TRUNC(($AN491+0.01)*3/13,0)+0.99),'Tax scales - NAT 3539'!$A$43:$C$69,2,1)-VLOOKUP((TRUNC(($AN491+0.01)*3/13,0)+0.99),'Tax scales - NAT 3539'!$A$43:$C$69,3,1)),0)
*13/3,
0),
IF($E$2="Monthly",
ROUND(
ROUND(((TRUNC($AN491*3/13,0)+0.99)*VLOOKUP((TRUNC($AN491*3/13,0)+0.99),'Tax scales - NAT 3539'!$A$43:$C$69,2,1)-VLOOKUP((TRUNC($AN491*3/13,0)+0.99),'Tax scales - NAT 3539'!$A$43:$C$69,3,1)),0)
*13/3,
0),
""))),
""),
"")</f>
        <v/>
      </c>
      <c r="AW491" s="118" t="str">
        <f>IFERROR(
IF(VLOOKUP($C491,'Employee information'!$B:$M,COLUMNS('Employee information'!$B:$M),0)=33,
IF($E$2="Fortnightly",
ROUND(
ROUND((((TRUNC($AN491/2,0)+0.99))*VLOOKUP((TRUNC($AN491/2,0)+0.99),'Tax scales - NAT 3539'!$A$74:$C$94,2,1)-VLOOKUP((TRUNC($AN491/2,0)+0.99),'Tax scales - NAT 3539'!$A$74:$C$94,3,1)),0)
*2,
0),
IF(AND($E$2="Monthly",ROUND($AN491-TRUNC($AN491),2)=0.33),
ROUND(
ROUND(((TRUNC(($AN491+0.01)*3/13,0)+0.99)*VLOOKUP((TRUNC(($AN491+0.01)*3/13,0)+0.99),'Tax scales - NAT 3539'!$A$74:$C$94,2,1)-VLOOKUP((TRUNC(($AN491+0.01)*3/13,0)+0.99),'Tax scales - NAT 3539'!$A$74:$C$94,3,1)),0)
*13/3,
0),
IF($E$2="Monthly",
ROUND(
ROUND(((TRUNC($AN491*3/13,0)+0.99)*VLOOKUP((TRUNC($AN491*3/13,0)+0.99),'Tax scales - NAT 3539'!$A$74:$C$94,2,1)-VLOOKUP((TRUNC($AN491*3/13,0)+0.99),'Tax scales - NAT 3539'!$A$74:$C$94,3,1)),0)
*13/3,
0),
""))),
""),
"")</f>
        <v/>
      </c>
      <c r="AX491" s="118" t="str">
        <f>IFERROR(
IF(VLOOKUP($C491,'Employee information'!$B:$M,COLUMNS('Employee information'!$B:$M),0)=55,
IF($E$2="Fortnightly",
ROUND(
ROUND((((TRUNC($AN491/2,0)+0.99))*VLOOKUP((TRUNC($AN491/2,0)+0.99),'Tax scales - NAT 3539'!$A$99:$C$123,2,1)-VLOOKUP((TRUNC($AN491/2,0)+0.99),'Tax scales - NAT 3539'!$A$99:$C$123,3,1)),0)
*2,
0),
IF(AND($E$2="Monthly",ROUND($AN491-TRUNC($AN491),2)=0.33),
ROUND(
ROUND(((TRUNC(($AN491+0.01)*3/13,0)+0.99)*VLOOKUP((TRUNC(($AN491+0.01)*3/13,0)+0.99),'Tax scales - NAT 3539'!$A$99:$C$123,2,1)-VLOOKUP((TRUNC(($AN491+0.01)*3/13,0)+0.99),'Tax scales - NAT 3539'!$A$99:$C$123,3,1)),0)
*13/3,
0),
IF($E$2="Monthly",
ROUND(
ROUND(((TRUNC($AN491*3/13,0)+0.99)*VLOOKUP((TRUNC($AN491*3/13,0)+0.99),'Tax scales - NAT 3539'!$A$99:$C$123,2,1)-VLOOKUP((TRUNC($AN491*3/13,0)+0.99),'Tax scales - NAT 3539'!$A$99:$C$123,3,1)),0)
*13/3,
0),
""))),
""),
"")</f>
        <v/>
      </c>
      <c r="AY491" s="118" t="str">
        <f>IFERROR(
IF(VLOOKUP($C491,'Employee information'!$B:$M,COLUMNS('Employee information'!$B:$M),0)=66,
IF($E$2="Fortnightly",
ROUND(
ROUND((((TRUNC($AN491/2,0)+0.99))*VLOOKUP((TRUNC($AN491/2,0)+0.99),'Tax scales - NAT 3539'!$A$127:$C$154,2,1)-VLOOKUP((TRUNC($AN491/2,0)+0.99),'Tax scales - NAT 3539'!$A$127:$C$154,3,1)),0)
*2,
0),
IF(AND($E$2="Monthly",ROUND($AN491-TRUNC($AN491),2)=0.33),
ROUND(
ROUND(((TRUNC(($AN491+0.01)*3/13,0)+0.99)*VLOOKUP((TRUNC(($AN491+0.01)*3/13,0)+0.99),'Tax scales - NAT 3539'!$A$127:$C$154,2,1)-VLOOKUP((TRUNC(($AN491+0.01)*3/13,0)+0.99),'Tax scales - NAT 3539'!$A$127:$C$154,3,1)),0)
*13/3,
0),
IF($E$2="Monthly",
ROUND(
ROUND(((TRUNC($AN491*3/13,0)+0.99)*VLOOKUP((TRUNC($AN491*3/13,0)+0.99),'Tax scales - NAT 3539'!$A$127:$C$154,2,1)-VLOOKUP((TRUNC($AN491*3/13,0)+0.99),'Tax scales - NAT 3539'!$A$127:$C$154,3,1)),0)
*13/3,
0),
""))),
""),
"")</f>
        <v/>
      </c>
      <c r="AZ491" s="118">
        <f>IFERROR(
HLOOKUP(VLOOKUP($C491,'Employee information'!$B:$M,COLUMNS('Employee information'!$B:$M),0),'PAYG worksheet'!$AO$474:$AY$493,COUNTA($C$475:$C491)+1,0),
0)</f>
        <v>0</v>
      </c>
      <c r="BA491" s="118"/>
      <c r="BB491" s="118">
        <f t="shared" si="511"/>
        <v>0</v>
      </c>
      <c r="BC491" s="119">
        <f>IFERROR(
IF(OR($AE491=1,$AE491=""),SUM($P491,$AA491,$AC491,$AK491)*VLOOKUP($C491,'Employee information'!$B:$Q,COLUMNS('Employee information'!$B:$H),0),
IF($AE491=0,SUM($P491,$AA491,$AK491)*VLOOKUP($C491,'Employee information'!$B:$Q,COLUMNS('Employee information'!$B:$H),0),
0)),
0)</f>
        <v>0</v>
      </c>
      <c r="BE491" s="114">
        <f t="shared" si="496"/>
        <v>0</v>
      </c>
      <c r="BF491" s="114">
        <f t="shared" si="497"/>
        <v>0</v>
      </c>
      <c r="BG491" s="114">
        <f t="shared" si="498"/>
        <v>0</v>
      </c>
      <c r="BH491" s="114">
        <f t="shared" si="499"/>
        <v>0</v>
      </c>
      <c r="BI491" s="114">
        <f t="shared" si="500"/>
        <v>0</v>
      </c>
      <c r="BJ491" s="114">
        <f t="shared" si="501"/>
        <v>0</v>
      </c>
      <c r="BK491" s="114">
        <f t="shared" si="502"/>
        <v>0</v>
      </c>
      <c r="BL491" s="114">
        <f t="shared" si="512"/>
        <v>0</v>
      </c>
      <c r="BM491" s="114">
        <f t="shared" si="503"/>
        <v>0</v>
      </c>
    </row>
    <row r="492" spans="1:65" x14ac:dyDescent="0.25">
      <c r="A492" s="228">
        <f t="shared" si="491"/>
        <v>17</v>
      </c>
      <c r="C492" s="278"/>
      <c r="E492" s="103">
        <f>IF($C492="",0,
IF(AND($E$2="Monthly",$A492&gt;12),0,
IF($E$2="Monthly",VLOOKUP($C492,'Employee information'!$B:$AM,COLUMNS('Employee information'!$B:S),0),
IF($E$2="Fortnightly",VLOOKUP($C492,'Employee information'!$B:$AM,COLUMNS('Employee information'!$B:R),0),
0))))</f>
        <v>0</v>
      </c>
      <c r="F492" s="106"/>
      <c r="G492" s="106"/>
      <c r="H492" s="106"/>
      <c r="I492" s="106"/>
      <c r="J492" s="103">
        <f t="shared" si="504"/>
        <v>0</v>
      </c>
      <c r="L492" s="113">
        <f>IF(AND($E$2="Monthly",$A492&gt;12),"",
IFERROR($J492*VLOOKUP($C492,'Employee information'!$B:$AI,COLUMNS('Employee information'!$B:$P),0),0))</f>
        <v>0</v>
      </c>
      <c r="M492" s="114">
        <f t="shared" si="505"/>
        <v>0</v>
      </c>
      <c r="O492" s="103">
        <f t="shared" si="506"/>
        <v>0</v>
      </c>
      <c r="P492" s="113">
        <f>IFERROR(
IF(AND($E$2="Monthly",$A492&gt;12),0,
$O492*VLOOKUP($C492,'Employee information'!$B:$AI,COLUMNS('Employee information'!$B:$P),0)),
0)</f>
        <v>0</v>
      </c>
      <c r="R492" s="114">
        <f t="shared" si="492"/>
        <v>0</v>
      </c>
      <c r="T492" s="103"/>
      <c r="U492" s="103"/>
      <c r="V492" s="282" t="str">
        <f>IF($C492="","",
IF(AND($E$2="Monthly",$A492&gt;12),"",
$T492*VLOOKUP($C492,'Employee information'!$B:$P,COLUMNS('Employee information'!$B:$P),0)))</f>
        <v/>
      </c>
      <c r="W492" s="282" t="str">
        <f>IF($C492="","",
IF(AND($E$2="Monthly",$A492&gt;12),"",
$U492*VLOOKUP($C492,'Employee information'!$B:$P,COLUMNS('Employee information'!$B:$P),0)))</f>
        <v/>
      </c>
      <c r="X492" s="114">
        <f t="shared" si="493"/>
        <v>0</v>
      </c>
      <c r="Y492" s="114">
        <f t="shared" si="494"/>
        <v>0</v>
      </c>
      <c r="AA492" s="118">
        <f>IFERROR(
IF(OR('Basic payroll data'!$D$12="",'Basic payroll data'!$D$12="No"),0,
$T492*VLOOKUP($C492,'Employee information'!$B:$P,COLUMNS('Employee information'!$B:$P),0)*AL_loading_perc),
0)</f>
        <v>0</v>
      </c>
      <c r="AC492" s="118"/>
      <c r="AD492" s="118"/>
      <c r="AE492" s="283" t="str">
        <f t="shared" si="507"/>
        <v/>
      </c>
      <c r="AF492" s="283" t="str">
        <f t="shared" si="508"/>
        <v/>
      </c>
      <c r="AG492" s="118"/>
      <c r="AH492" s="118"/>
      <c r="AI492" s="283" t="str">
        <f t="shared" si="509"/>
        <v/>
      </c>
      <c r="AJ492" s="118"/>
      <c r="AK492" s="118"/>
      <c r="AM492" s="118">
        <f t="shared" si="510"/>
        <v>0</v>
      </c>
      <c r="AN492" s="118">
        <f t="shared" si="495"/>
        <v>0</v>
      </c>
      <c r="AO492" s="118" t="str">
        <f>IFERROR(
IF(VLOOKUP($C492,'Employee information'!$B:$M,COLUMNS('Employee information'!$B:$M),0)=1,
IF($E$2="Fortnightly",
ROUND(
ROUND((((TRUNC($AN492/2,0)+0.99))*VLOOKUP((TRUNC($AN492/2,0)+0.99),'Tax scales - NAT 1004'!$A$12:$C$18,2,1)-VLOOKUP((TRUNC($AN492/2,0)+0.99),'Tax scales - NAT 1004'!$A$12:$C$18,3,1)),0)
*2,
0),
IF(AND($E$2="Monthly",ROUND($AN492-TRUNC($AN492),2)=0.33),
ROUND(
ROUND(((TRUNC(($AN492+0.01)*3/13,0)+0.99)*VLOOKUP((TRUNC(($AN492+0.01)*3/13,0)+0.99),'Tax scales - NAT 1004'!$A$12:$C$18,2,1)-VLOOKUP((TRUNC(($AN492+0.01)*3/13,0)+0.99),'Tax scales - NAT 1004'!$A$12:$C$18,3,1)),0)
*13/3,
0),
IF($E$2="Monthly",
ROUND(
ROUND(((TRUNC($AN492*3/13,0)+0.99)*VLOOKUP((TRUNC($AN492*3/13,0)+0.99),'Tax scales - NAT 1004'!$A$12:$C$18,2,1)-VLOOKUP((TRUNC($AN492*3/13,0)+0.99),'Tax scales - NAT 1004'!$A$12:$C$18,3,1)),0)
*13/3,
0),
""))),
""),
"")</f>
        <v/>
      </c>
      <c r="AP492" s="118" t="str">
        <f>IFERROR(
IF(VLOOKUP($C492,'Employee information'!$B:$M,COLUMNS('Employee information'!$B:$M),0)=2,
IF($E$2="Fortnightly",
ROUND(
ROUND((((TRUNC($AN492/2,0)+0.99))*VLOOKUP((TRUNC($AN492/2,0)+0.99),'Tax scales - NAT 1004'!$A$25:$C$33,2,1)-VLOOKUP((TRUNC($AN492/2,0)+0.99),'Tax scales - NAT 1004'!$A$25:$C$33,3,1)),0)
*2,
0),
IF(AND($E$2="Monthly",ROUND($AN492-TRUNC($AN492),2)=0.33),
ROUND(
ROUND(((TRUNC(($AN492+0.01)*3/13,0)+0.99)*VLOOKUP((TRUNC(($AN492+0.01)*3/13,0)+0.99),'Tax scales - NAT 1004'!$A$25:$C$33,2,1)-VLOOKUP((TRUNC(($AN492+0.01)*3/13,0)+0.99),'Tax scales - NAT 1004'!$A$25:$C$33,3,1)),0)
*13/3,
0),
IF($E$2="Monthly",
ROUND(
ROUND(((TRUNC($AN492*3/13,0)+0.99)*VLOOKUP((TRUNC($AN492*3/13,0)+0.99),'Tax scales - NAT 1004'!$A$25:$C$33,2,1)-VLOOKUP((TRUNC($AN492*3/13,0)+0.99),'Tax scales - NAT 1004'!$A$25:$C$33,3,1)),0)
*13/3,
0),
""))),
""),
"")</f>
        <v/>
      </c>
      <c r="AQ492" s="118" t="str">
        <f>IFERROR(
IF(VLOOKUP($C492,'Employee information'!$B:$M,COLUMNS('Employee information'!$B:$M),0)=3,
IF($E$2="Fortnightly",
ROUND(
ROUND((((TRUNC($AN492/2,0)+0.99))*VLOOKUP((TRUNC($AN492/2,0)+0.99),'Tax scales - NAT 1004'!$A$39:$C$41,2,1)-VLOOKUP((TRUNC($AN492/2,0)+0.99),'Tax scales - NAT 1004'!$A$39:$C$41,3,1)),0)
*2,
0),
IF(AND($E$2="Monthly",ROUND($AN492-TRUNC($AN492),2)=0.33),
ROUND(
ROUND(((TRUNC(($AN492+0.01)*3/13,0)+0.99)*VLOOKUP((TRUNC(($AN492+0.01)*3/13,0)+0.99),'Tax scales - NAT 1004'!$A$39:$C$41,2,1)-VLOOKUP((TRUNC(($AN492+0.01)*3/13,0)+0.99),'Tax scales - NAT 1004'!$A$39:$C$41,3,1)),0)
*13/3,
0),
IF($E$2="Monthly",
ROUND(
ROUND(((TRUNC($AN492*3/13,0)+0.99)*VLOOKUP((TRUNC($AN492*3/13,0)+0.99),'Tax scales - NAT 1004'!$A$39:$C$41,2,1)-VLOOKUP((TRUNC($AN492*3/13,0)+0.99),'Tax scales - NAT 1004'!$A$39:$C$41,3,1)),0)
*13/3,
0),
""))),
""),
"")</f>
        <v/>
      </c>
      <c r="AR492" s="118" t="str">
        <f>IFERROR(
IF(AND(VLOOKUP($C492,'Employee information'!$B:$M,COLUMNS('Employee information'!$B:$M),0)=4,
VLOOKUP($C492,'Employee information'!$B:$J,COLUMNS('Employee information'!$B:$J),0)="Resident"),
TRUNC(TRUNC($AN492)*'Tax scales - NAT 1004'!$B$47),
IF(AND(VLOOKUP($C492,'Employee information'!$B:$M,COLUMNS('Employee information'!$B:$M),0)=4,
VLOOKUP($C492,'Employee information'!$B:$J,COLUMNS('Employee information'!$B:$J),0)="Foreign resident"),
TRUNC(TRUNC($AN492)*'Tax scales - NAT 1004'!$B$48),
"")),
"")</f>
        <v/>
      </c>
      <c r="AS492" s="118" t="str">
        <f>IFERROR(
IF(VLOOKUP($C492,'Employee information'!$B:$M,COLUMNS('Employee information'!$B:$M),0)=5,
IF($E$2="Fortnightly",
ROUND(
ROUND((((TRUNC($AN492/2,0)+0.99))*VLOOKUP((TRUNC($AN492/2,0)+0.99),'Tax scales - NAT 1004'!$A$53:$C$59,2,1)-VLOOKUP((TRUNC($AN492/2,0)+0.99),'Tax scales - NAT 1004'!$A$53:$C$59,3,1)),0)
*2,
0),
IF(AND($E$2="Monthly",ROUND($AN492-TRUNC($AN492),2)=0.33),
ROUND(
ROUND(((TRUNC(($AN492+0.01)*3/13,0)+0.99)*VLOOKUP((TRUNC(($AN492+0.01)*3/13,0)+0.99),'Tax scales - NAT 1004'!$A$53:$C$59,2,1)-VLOOKUP((TRUNC(($AN492+0.01)*3/13,0)+0.99),'Tax scales - NAT 1004'!$A$53:$C$59,3,1)),0)
*13/3,
0),
IF($E$2="Monthly",
ROUND(
ROUND(((TRUNC($AN492*3/13,0)+0.99)*VLOOKUP((TRUNC($AN492*3/13,0)+0.99),'Tax scales - NAT 1004'!$A$53:$C$59,2,1)-VLOOKUP((TRUNC($AN492*3/13,0)+0.99),'Tax scales - NAT 1004'!$A$53:$C$59,3,1)),0)
*13/3,
0),
""))),
""),
"")</f>
        <v/>
      </c>
      <c r="AT492" s="118" t="str">
        <f>IFERROR(
IF(VLOOKUP($C492,'Employee information'!$B:$M,COLUMNS('Employee information'!$B:$M),0)=6,
IF($E$2="Fortnightly",
ROUND(
ROUND((((TRUNC($AN492/2,0)+0.99))*VLOOKUP((TRUNC($AN492/2,0)+0.99),'Tax scales - NAT 1004'!$A$65:$C$73,2,1)-VLOOKUP((TRUNC($AN492/2,0)+0.99),'Tax scales - NAT 1004'!$A$65:$C$73,3,1)),0)
*2,
0),
IF(AND($E$2="Monthly",ROUND($AN492-TRUNC($AN492),2)=0.33),
ROUND(
ROUND(((TRUNC(($AN492+0.01)*3/13,0)+0.99)*VLOOKUP((TRUNC(($AN492+0.01)*3/13,0)+0.99),'Tax scales - NAT 1004'!$A$65:$C$73,2,1)-VLOOKUP((TRUNC(($AN492+0.01)*3/13,0)+0.99),'Tax scales - NAT 1004'!$A$65:$C$73,3,1)),0)
*13/3,
0),
IF($E$2="Monthly",
ROUND(
ROUND(((TRUNC($AN492*3/13,0)+0.99)*VLOOKUP((TRUNC($AN492*3/13,0)+0.99),'Tax scales - NAT 1004'!$A$65:$C$73,2,1)-VLOOKUP((TRUNC($AN492*3/13,0)+0.99),'Tax scales - NAT 1004'!$A$65:$C$73,3,1)),0)
*13/3,
0),
""))),
""),
"")</f>
        <v/>
      </c>
      <c r="AU492" s="118" t="str">
        <f>IFERROR(
IF(VLOOKUP($C492,'Employee information'!$B:$M,COLUMNS('Employee information'!$B:$M),0)=11,
IF($E$2="Fortnightly",
ROUND(
ROUND((((TRUNC($AN492/2,0)+0.99))*VLOOKUP((TRUNC($AN492/2,0)+0.99),'Tax scales - NAT 3539'!$A$14:$C$38,2,1)-VLOOKUP((TRUNC($AN492/2,0)+0.99),'Tax scales - NAT 3539'!$A$14:$C$38,3,1)),0)
*2,
0),
IF(AND($E$2="Monthly",ROUND($AN492-TRUNC($AN492),2)=0.33),
ROUND(
ROUND(((TRUNC(($AN492+0.01)*3/13,0)+0.99)*VLOOKUP((TRUNC(($AN492+0.01)*3/13,0)+0.99),'Tax scales - NAT 3539'!$A$14:$C$38,2,1)-VLOOKUP((TRUNC(($AN492+0.01)*3/13,0)+0.99),'Tax scales - NAT 3539'!$A$14:$C$38,3,1)),0)
*13/3,
0),
IF($E$2="Monthly",
ROUND(
ROUND(((TRUNC($AN492*3/13,0)+0.99)*VLOOKUP((TRUNC($AN492*3/13,0)+0.99),'Tax scales - NAT 3539'!$A$14:$C$38,2,1)-VLOOKUP((TRUNC($AN492*3/13,0)+0.99),'Tax scales - NAT 3539'!$A$14:$C$38,3,1)),0)
*13/3,
0),
""))),
""),
"")</f>
        <v/>
      </c>
      <c r="AV492" s="118" t="str">
        <f>IFERROR(
IF(VLOOKUP($C492,'Employee information'!$B:$M,COLUMNS('Employee information'!$B:$M),0)=22,
IF($E$2="Fortnightly",
ROUND(
ROUND((((TRUNC($AN492/2,0)+0.99))*VLOOKUP((TRUNC($AN492/2,0)+0.99),'Tax scales - NAT 3539'!$A$43:$C$69,2,1)-VLOOKUP((TRUNC($AN492/2,0)+0.99),'Tax scales - NAT 3539'!$A$43:$C$69,3,1)),0)
*2,
0),
IF(AND($E$2="Monthly",ROUND($AN492-TRUNC($AN492),2)=0.33),
ROUND(
ROUND(((TRUNC(($AN492+0.01)*3/13,0)+0.99)*VLOOKUP((TRUNC(($AN492+0.01)*3/13,0)+0.99),'Tax scales - NAT 3539'!$A$43:$C$69,2,1)-VLOOKUP((TRUNC(($AN492+0.01)*3/13,0)+0.99),'Tax scales - NAT 3539'!$A$43:$C$69,3,1)),0)
*13/3,
0),
IF($E$2="Monthly",
ROUND(
ROUND(((TRUNC($AN492*3/13,0)+0.99)*VLOOKUP((TRUNC($AN492*3/13,0)+0.99),'Tax scales - NAT 3539'!$A$43:$C$69,2,1)-VLOOKUP((TRUNC($AN492*3/13,0)+0.99),'Tax scales - NAT 3539'!$A$43:$C$69,3,1)),0)
*13/3,
0),
""))),
""),
"")</f>
        <v/>
      </c>
      <c r="AW492" s="118" t="str">
        <f>IFERROR(
IF(VLOOKUP($C492,'Employee information'!$B:$M,COLUMNS('Employee information'!$B:$M),0)=33,
IF($E$2="Fortnightly",
ROUND(
ROUND((((TRUNC($AN492/2,0)+0.99))*VLOOKUP((TRUNC($AN492/2,0)+0.99),'Tax scales - NAT 3539'!$A$74:$C$94,2,1)-VLOOKUP((TRUNC($AN492/2,0)+0.99),'Tax scales - NAT 3539'!$A$74:$C$94,3,1)),0)
*2,
0),
IF(AND($E$2="Monthly",ROUND($AN492-TRUNC($AN492),2)=0.33),
ROUND(
ROUND(((TRUNC(($AN492+0.01)*3/13,0)+0.99)*VLOOKUP((TRUNC(($AN492+0.01)*3/13,0)+0.99),'Tax scales - NAT 3539'!$A$74:$C$94,2,1)-VLOOKUP((TRUNC(($AN492+0.01)*3/13,0)+0.99),'Tax scales - NAT 3539'!$A$74:$C$94,3,1)),0)
*13/3,
0),
IF($E$2="Monthly",
ROUND(
ROUND(((TRUNC($AN492*3/13,0)+0.99)*VLOOKUP((TRUNC($AN492*3/13,0)+0.99),'Tax scales - NAT 3539'!$A$74:$C$94,2,1)-VLOOKUP((TRUNC($AN492*3/13,0)+0.99),'Tax scales - NAT 3539'!$A$74:$C$94,3,1)),0)
*13/3,
0),
""))),
""),
"")</f>
        <v/>
      </c>
      <c r="AX492" s="118" t="str">
        <f>IFERROR(
IF(VLOOKUP($C492,'Employee information'!$B:$M,COLUMNS('Employee information'!$B:$M),0)=55,
IF($E$2="Fortnightly",
ROUND(
ROUND((((TRUNC($AN492/2,0)+0.99))*VLOOKUP((TRUNC($AN492/2,0)+0.99),'Tax scales - NAT 3539'!$A$99:$C$123,2,1)-VLOOKUP((TRUNC($AN492/2,0)+0.99),'Tax scales - NAT 3539'!$A$99:$C$123,3,1)),0)
*2,
0),
IF(AND($E$2="Monthly",ROUND($AN492-TRUNC($AN492),2)=0.33),
ROUND(
ROUND(((TRUNC(($AN492+0.01)*3/13,0)+0.99)*VLOOKUP((TRUNC(($AN492+0.01)*3/13,0)+0.99),'Tax scales - NAT 3539'!$A$99:$C$123,2,1)-VLOOKUP((TRUNC(($AN492+0.01)*3/13,0)+0.99),'Tax scales - NAT 3539'!$A$99:$C$123,3,1)),0)
*13/3,
0),
IF($E$2="Monthly",
ROUND(
ROUND(((TRUNC($AN492*3/13,0)+0.99)*VLOOKUP((TRUNC($AN492*3/13,0)+0.99),'Tax scales - NAT 3539'!$A$99:$C$123,2,1)-VLOOKUP((TRUNC($AN492*3/13,0)+0.99),'Tax scales - NAT 3539'!$A$99:$C$123,3,1)),0)
*13/3,
0),
""))),
""),
"")</f>
        <v/>
      </c>
      <c r="AY492" s="118" t="str">
        <f>IFERROR(
IF(VLOOKUP($C492,'Employee information'!$B:$M,COLUMNS('Employee information'!$B:$M),0)=66,
IF($E$2="Fortnightly",
ROUND(
ROUND((((TRUNC($AN492/2,0)+0.99))*VLOOKUP((TRUNC($AN492/2,0)+0.99),'Tax scales - NAT 3539'!$A$127:$C$154,2,1)-VLOOKUP((TRUNC($AN492/2,0)+0.99),'Tax scales - NAT 3539'!$A$127:$C$154,3,1)),0)
*2,
0),
IF(AND($E$2="Monthly",ROUND($AN492-TRUNC($AN492),2)=0.33),
ROUND(
ROUND(((TRUNC(($AN492+0.01)*3/13,0)+0.99)*VLOOKUP((TRUNC(($AN492+0.01)*3/13,0)+0.99),'Tax scales - NAT 3539'!$A$127:$C$154,2,1)-VLOOKUP((TRUNC(($AN492+0.01)*3/13,0)+0.99),'Tax scales - NAT 3539'!$A$127:$C$154,3,1)),0)
*13/3,
0),
IF($E$2="Monthly",
ROUND(
ROUND(((TRUNC($AN492*3/13,0)+0.99)*VLOOKUP((TRUNC($AN492*3/13,0)+0.99),'Tax scales - NAT 3539'!$A$127:$C$154,2,1)-VLOOKUP((TRUNC($AN492*3/13,0)+0.99),'Tax scales - NAT 3539'!$A$127:$C$154,3,1)),0)
*13/3,
0),
""))),
""),
"")</f>
        <v/>
      </c>
      <c r="AZ492" s="118">
        <f>IFERROR(
HLOOKUP(VLOOKUP($C492,'Employee information'!$B:$M,COLUMNS('Employee information'!$B:$M),0),'PAYG worksheet'!$AO$474:$AY$493,COUNTA($C$475:$C492)+1,0),
0)</f>
        <v>0</v>
      </c>
      <c r="BA492" s="118"/>
      <c r="BB492" s="118">
        <f t="shared" si="511"/>
        <v>0</v>
      </c>
      <c r="BC492" s="119">
        <f>IFERROR(
IF(OR($AE492=1,$AE492=""),SUM($P492,$AA492,$AC492,$AK492)*VLOOKUP($C492,'Employee information'!$B:$Q,COLUMNS('Employee information'!$B:$H),0),
IF($AE492=0,SUM($P492,$AA492,$AK492)*VLOOKUP($C492,'Employee information'!$B:$Q,COLUMNS('Employee information'!$B:$H),0),
0)),
0)</f>
        <v>0</v>
      </c>
      <c r="BE492" s="114">
        <f t="shared" si="496"/>
        <v>0</v>
      </c>
      <c r="BF492" s="114">
        <f t="shared" si="497"/>
        <v>0</v>
      </c>
      <c r="BG492" s="114">
        <f t="shared" si="498"/>
        <v>0</v>
      </c>
      <c r="BH492" s="114">
        <f t="shared" si="499"/>
        <v>0</v>
      </c>
      <c r="BI492" s="114">
        <f t="shared" si="500"/>
        <v>0</v>
      </c>
      <c r="BJ492" s="114">
        <f t="shared" si="501"/>
        <v>0</v>
      </c>
      <c r="BK492" s="114">
        <f t="shared" si="502"/>
        <v>0</v>
      </c>
      <c r="BL492" s="114">
        <f t="shared" si="512"/>
        <v>0</v>
      </c>
      <c r="BM492" s="114">
        <f t="shared" si="503"/>
        <v>0</v>
      </c>
    </row>
    <row r="493" spans="1:65" x14ac:dyDescent="0.25">
      <c r="A493" s="228">
        <f t="shared" si="491"/>
        <v>17</v>
      </c>
      <c r="C493" s="278"/>
      <c r="E493" s="103">
        <f>IF($C493="",0,
IF(AND($E$2="Monthly",$A493&gt;12),0,
IF($E$2="Monthly",VLOOKUP($C493,'Employee information'!$B:$AM,COLUMNS('Employee information'!$B:S),0),
IF($E$2="Fortnightly",VLOOKUP($C493,'Employee information'!$B:$AM,COLUMNS('Employee information'!$B:R),0),
0))))</f>
        <v>0</v>
      </c>
      <c r="F493" s="106"/>
      <c r="G493" s="106"/>
      <c r="H493" s="106"/>
      <c r="I493" s="106"/>
      <c r="J493" s="103">
        <f t="shared" si="504"/>
        <v>0</v>
      </c>
      <c r="L493" s="113">
        <f>IF(AND($E$2="Monthly",$A493&gt;12),"",
IFERROR($J493*VLOOKUP($C493,'Employee information'!$B:$AI,COLUMNS('Employee information'!$B:$P),0),0))</f>
        <v>0</v>
      </c>
      <c r="M493" s="114">
        <f t="shared" si="505"/>
        <v>0</v>
      </c>
      <c r="O493" s="103">
        <f t="shared" si="506"/>
        <v>0</v>
      </c>
      <c r="P493" s="113">
        <f>IFERROR(
IF(AND($E$2="Monthly",$A493&gt;12),0,
$O493*VLOOKUP($C493,'Employee information'!$B:$AI,COLUMNS('Employee information'!$B:$P),0)),
0)</f>
        <v>0</v>
      </c>
      <c r="R493" s="114">
        <f t="shared" si="492"/>
        <v>0</v>
      </c>
      <c r="T493" s="103"/>
      <c r="U493" s="103"/>
      <c r="V493" s="282" t="str">
        <f>IF($C493="","",
IF(AND($E$2="Monthly",$A493&gt;12),"",
$T493*VLOOKUP($C493,'Employee information'!$B:$P,COLUMNS('Employee information'!$B:$P),0)))</f>
        <v/>
      </c>
      <c r="W493" s="282" t="str">
        <f>IF($C493="","",
IF(AND($E$2="Monthly",$A493&gt;12),"",
$U493*VLOOKUP($C493,'Employee information'!$B:$P,COLUMNS('Employee information'!$B:$P),0)))</f>
        <v/>
      </c>
      <c r="X493" s="114">
        <f t="shared" si="493"/>
        <v>0</v>
      </c>
      <c r="Y493" s="114">
        <f t="shared" si="494"/>
        <v>0</v>
      </c>
      <c r="AA493" s="118">
        <f>IFERROR(
IF(OR('Basic payroll data'!$D$12="",'Basic payroll data'!$D$12="No"),0,
$T493*VLOOKUP($C493,'Employee information'!$B:$P,COLUMNS('Employee information'!$B:$P),0)*AL_loading_perc),
0)</f>
        <v>0</v>
      </c>
      <c r="AC493" s="118"/>
      <c r="AD493" s="118"/>
      <c r="AE493" s="283" t="str">
        <f t="shared" si="507"/>
        <v/>
      </c>
      <c r="AF493" s="283" t="str">
        <f t="shared" si="508"/>
        <v/>
      </c>
      <c r="AG493" s="118"/>
      <c r="AH493" s="118"/>
      <c r="AI493" s="283" t="str">
        <f t="shared" si="509"/>
        <v/>
      </c>
      <c r="AJ493" s="118"/>
      <c r="AK493" s="118"/>
      <c r="AM493" s="118">
        <f t="shared" si="510"/>
        <v>0</v>
      </c>
      <c r="AN493" s="118">
        <f t="shared" si="495"/>
        <v>0</v>
      </c>
      <c r="AO493" s="118" t="str">
        <f>IFERROR(
IF(VLOOKUP($C493,'Employee information'!$B:$M,COLUMNS('Employee information'!$B:$M),0)=1,
IF($E$2="Fortnightly",
ROUND(
ROUND((((TRUNC($AN493/2,0)+0.99))*VLOOKUP((TRUNC($AN493/2,0)+0.99),'Tax scales - NAT 1004'!$A$12:$C$18,2,1)-VLOOKUP((TRUNC($AN493/2,0)+0.99),'Tax scales - NAT 1004'!$A$12:$C$18,3,1)),0)
*2,
0),
IF(AND($E$2="Monthly",ROUND($AN493-TRUNC($AN493),2)=0.33),
ROUND(
ROUND(((TRUNC(($AN493+0.01)*3/13,0)+0.99)*VLOOKUP((TRUNC(($AN493+0.01)*3/13,0)+0.99),'Tax scales - NAT 1004'!$A$12:$C$18,2,1)-VLOOKUP((TRUNC(($AN493+0.01)*3/13,0)+0.99),'Tax scales - NAT 1004'!$A$12:$C$18,3,1)),0)
*13/3,
0),
IF($E$2="Monthly",
ROUND(
ROUND(((TRUNC($AN493*3/13,0)+0.99)*VLOOKUP((TRUNC($AN493*3/13,0)+0.99),'Tax scales - NAT 1004'!$A$12:$C$18,2,1)-VLOOKUP((TRUNC($AN493*3/13,0)+0.99),'Tax scales - NAT 1004'!$A$12:$C$18,3,1)),0)
*13/3,
0),
""))),
""),
"")</f>
        <v/>
      </c>
      <c r="AP493" s="118" t="str">
        <f>IFERROR(
IF(VLOOKUP($C493,'Employee information'!$B:$M,COLUMNS('Employee information'!$B:$M),0)=2,
IF($E$2="Fortnightly",
ROUND(
ROUND((((TRUNC($AN493/2,0)+0.99))*VLOOKUP((TRUNC($AN493/2,0)+0.99),'Tax scales - NAT 1004'!$A$25:$C$33,2,1)-VLOOKUP((TRUNC($AN493/2,0)+0.99),'Tax scales - NAT 1004'!$A$25:$C$33,3,1)),0)
*2,
0),
IF(AND($E$2="Monthly",ROUND($AN493-TRUNC($AN493),2)=0.33),
ROUND(
ROUND(((TRUNC(($AN493+0.01)*3/13,0)+0.99)*VLOOKUP((TRUNC(($AN493+0.01)*3/13,0)+0.99),'Tax scales - NAT 1004'!$A$25:$C$33,2,1)-VLOOKUP((TRUNC(($AN493+0.01)*3/13,0)+0.99),'Tax scales - NAT 1004'!$A$25:$C$33,3,1)),0)
*13/3,
0),
IF($E$2="Monthly",
ROUND(
ROUND(((TRUNC($AN493*3/13,0)+0.99)*VLOOKUP((TRUNC($AN493*3/13,0)+0.99),'Tax scales - NAT 1004'!$A$25:$C$33,2,1)-VLOOKUP((TRUNC($AN493*3/13,0)+0.99),'Tax scales - NAT 1004'!$A$25:$C$33,3,1)),0)
*13/3,
0),
""))),
""),
"")</f>
        <v/>
      </c>
      <c r="AQ493" s="118" t="str">
        <f>IFERROR(
IF(VLOOKUP($C493,'Employee information'!$B:$M,COLUMNS('Employee information'!$B:$M),0)=3,
IF($E$2="Fortnightly",
ROUND(
ROUND((((TRUNC($AN493/2,0)+0.99))*VLOOKUP((TRUNC($AN493/2,0)+0.99),'Tax scales - NAT 1004'!$A$39:$C$41,2,1)-VLOOKUP((TRUNC($AN493/2,0)+0.99),'Tax scales - NAT 1004'!$A$39:$C$41,3,1)),0)
*2,
0),
IF(AND($E$2="Monthly",ROUND($AN493-TRUNC($AN493),2)=0.33),
ROUND(
ROUND(((TRUNC(($AN493+0.01)*3/13,0)+0.99)*VLOOKUP((TRUNC(($AN493+0.01)*3/13,0)+0.99),'Tax scales - NAT 1004'!$A$39:$C$41,2,1)-VLOOKUP((TRUNC(($AN493+0.01)*3/13,0)+0.99),'Tax scales - NAT 1004'!$A$39:$C$41,3,1)),0)
*13/3,
0),
IF($E$2="Monthly",
ROUND(
ROUND(((TRUNC($AN493*3/13,0)+0.99)*VLOOKUP((TRUNC($AN493*3/13,0)+0.99),'Tax scales - NAT 1004'!$A$39:$C$41,2,1)-VLOOKUP((TRUNC($AN493*3/13,0)+0.99),'Tax scales - NAT 1004'!$A$39:$C$41,3,1)),0)
*13/3,
0),
""))),
""),
"")</f>
        <v/>
      </c>
      <c r="AR493" s="118" t="str">
        <f>IFERROR(
IF(AND(VLOOKUP($C493,'Employee information'!$B:$M,COLUMNS('Employee information'!$B:$M),0)=4,
VLOOKUP($C493,'Employee information'!$B:$J,COLUMNS('Employee information'!$B:$J),0)="Resident"),
TRUNC(TRUNC($AN493)*'Tax scales - NAT 1004'!$B$47),
IF(AND(VLOOKUP($C493,'Employee information'!$B:$M,COLUMNS('Employee information'!$B:$M),0)=4,
VLOOKUP($C493,'Employee information'!$B:$J,COLUMNS('Employee information'!$B:$J),0)="Foreign resident"),
TRUNC(TRUNC($AN493)*'Tax scales - NAT 1004'!$B$48),
"")),
"")</f>
        <v/>
      </c>
      <c r="AS493" s="118" t="str">
        <f>IFERROR(
IF(VLOOKUP($C493,'Employee information'!$B:$M,COLUMNS('Employee information'!$B:$M),0)=5,
IF($E$2="Fortnightly",
ROUND(
ROUND((((TRUNC($AN493/2,0)+0.99))*VLOOKUP((TRUNC($AN493/2,0)+0.99),'Tax scales - NAT 1004'!$A$53:$C$59,2,1)-VLOOKUP((TRUNC($AN493/2,0)+0.99),'Tax scales - NAT 1004'!$A$53:$C$59,3,1)),0)
*2,
0),
IF(AND($E$2="Monthly",ROUND($AN493-TRUNC($AN493),2)=0.33),
ROUND(
ROUND(((TRUNC(($AN493+0.01)*3/13,0)+0.99)*VLOOKUP((TRUNC(($AN493+0.01)*3/13,0)+0.99),'Tax scales - NAT 1004'!$A$53:$C$59,2,1)-VLOOKUP((TRUNC(($AN493+0.01)*3/13,0)+0.99),'Tax scales - NAT 1004'!$A$53:$C$59,3,1)),0)
*13/3,
0),
IF($E$2="Monthly",
ROUND(
ROUND(((TRUNC($AN493*3/13,0)+0.99)*VLOOKUP((TRUNC($AN493*3/13,0)+0.99),'Tax scales - NAT 1004'!$A$53:$C$59,2,1)-VLOOKUP((TRUNC($AN493*3/13,0)+0.99),'Tax scales - NAT 1004'!$A$53:$C$59,3,1)),0)
*13/3,
0),
""))),
""),
"")</f>
        <v/>
      </c>
      <c r="AT493" s="118" t="str">
        <f>IFERROR(
IF(VLOOKUP($C493,'Employee information'!$B:$M,COLUMNS('Employee information'!$B:$M),0)=6,
IF($E$2="Fortnightly",
ROUND(
ROUND((((TRUNC($AN493/2,0)+0.99))*VLOOKUP((TRUNC($AN493/2,0)+0.99),'Tax scales - NAT 1004'!$A$65:$C$73,2,1)-VLOOKUP((TRUNC($AN493/2,0)+0.99),'Tax scales - NAT 1004'!$A$65:$C$73,3,1)),0)
*2,
0),
IF(AND($E$2="Monthly",ROUND($AN493-TRUNC($AN493),2)=0.33),
ROUND(
ROUND(((TRUNC(($AN493+0.01)*3/13,0)+0.99)*VLOOKUP((TRUNC(($AN493+0.01)*3/13,0)+0.99),'Tax scales - NAT 1004'!$A$65:$C$73,2,1)-VLOOKUP((TRUNC(($AN493+0.01)*3/13,0)+0.99),'Tax scales - NAT 1004'!$A$65:$C$73,3,1)),0)
*13/3,
0),
IF($E$2="Monthly",
ROUND(
ROUND(((TRUNC($AN493*3/13,0)+0.99)*VLOOKUP((TRUNC($AN493*3/13,0)+0.99),'Tax scales - NAT 1004'!$A$65:$C$73,2,1)-VLOOKUP((TRUNC($AN493*3/13,0)+0.99),'Tax scales - NAT 1004'!$A$65:$C$73,3,1)),0)
*13/3,
0),
""))),
""),
"")</f>
        <v/>
      </c>
      <c r="AU493" s="118" t="str">
        <f>IFERROR(
IF(VLOOKUP($C493,'Employee information'!$B:$M,COLUMNS('Employee information'!$B:$M),0)=11,
IF($E$2="Fortnightly",
ROUND(
ROUND((((TRUNC($AN493/2,0)+0.99))*VLOOKUP((TRUNC($AN493/2,0)+0.99),'Tax scales - NAT 3539'!$A$14:$C$38,2,1)-VLOOKUP((TRUNC($AN493/2,0)+0.99),'Tax scales - NAT 3539'!$A$14:$C$38,3,1)),0)
*2,
0),
IF(AND($E$2="Monthly",ROUND($AN493-TRUNC($AN493),2)=0.33),
ROUND(
ROUND(((TRUNC(($AN493+0.01)*3/13,0)+0.99)*VLOOKUP((TRUNC(($AN493+0.01)*3/13,0)+0.99),'Tax scales - NAT 3539'!$A$14:$C$38,2,1)-VLOOKUP((TRUNC(($AN493+0.01)*3/13,0)+0.99),'Tax scales - NAT 3539'!$A$14:$C$38,3,1)),0)
*13/3,
0),
IF($E$2="Monthly",
ROUND(
ROUND(((TRUNC($AN493*3/13,0)+0.99)*VLOOKUP((TRUNC($AN493*3/13,0)+0.99),'Tax scales - NAT 3539'!$A$14:$C$38,2,1)-VLOOKUP((TRUNC($AN493*3/13,0)+0.99),'Tax scales - NAT 3539'!$A$14:$C$38,3,1)),0)
*13/3,
0),
""))),
""),
"")</f>
        <v/>
      </c>
      <c r="AV493" s="118" t="str">
        <f>IFERROR(
IF(VLOOKUP($C493,'Employee information'!$B:$M,COLUMNS('Employee information'!$B:$M),0)=22,
IF($E$2="Fortnightly",
ROUND(
ROUND((((TRUNC($AN493/2,0)+0.99))*VLOOKUP((TRUNC($AN493/2,0)+0.99),'Tax scales - NAT 3539'!$A$43:$C$69,2,1)-VLOOKUP((TRUNC($AN493/2,0)+0.99),'Tax scales - NAT 3539'!$A$43:$C$69,3,1)),0)
*2,
0),
IF(AND($E$2="Monthly",ROUND($AN493-TRUNC($AN493),2)=0.33),
ROUND(
ROUND(((TRUNC(($AN493+0.01)*3/13,0)+0.99)*VLOOKUP((TRUNC(($AN493+0.01)*3/13,0)+0.99),'Tax scales - NAT 3539'!$A$43:$C$69,2,1)-VLOOKUP((TRUNC(($AN493+0.01)*3/13,0)+0.99),'Tax scales - NAT 3539'!$A$43:$C$69,3,1)),0)
*13/3,
0),
IF($E$2="Monthly",
ROUND(
ROUND(((TRUNC($AN493*3/13,0)+0.99)*VLOOKUP((TRUNC($AN493*3/13,0)+0.99),'Tax scales - NAT 3539'!$A$43:$C$69,2,1)-VLOOKUP((TRUNC($AN493*3/13,0)+0.99),'Tax scales - NAT 3539'!$A$43:$C$69,3,1)),0)
*13/3,
0),
""))),
""),
"")</f>
        <v/>
      </c>
      <c r="AW493" s="118" t="str">
        <f>IFERROR(
IF(VLOOKUP($C493,'Employee information'!$B:$M,COLUMNS('Employee information'!$B:$M),0)=33,
IF($E$2="Fortnightly",
ROUND(
ROUND((((TRUNC($AN493/2,0)+0.99))*VLOOKUP((TRUNC($AN493/2,0)+0.99),'Tax scales - NAT 3539'!$A$74:$C$94,2,1)-VLOOKUP((TRUNC($AN493/2,0)+0.99),'Tax scales - NAT 3539'!$A$74:$C$94,3,1)),0)
*2,
0),
IF(AND($E$2="Monthly",ROUND($AN493-TRUNC($AN493),2)=0.33),
ROUND(
ROUND(((TRUNC(($AN493+0.01)*3/13,0)+0.99)*VLOOKUP((TRUNC(($AN493+0.01)*3/13,0)+0.99),'Tax scales - NAT 3539'!$A$74:$C$94,2,1)-VLOOKUP((TRUNC(($AN493+0.01)*3/13,0)+0.99),'Tax scales - NAT 3539'!$A$74:$C$94,3,1)),0)
*13/3,
0),
IF($E$2="Monthly",
ROUND(
ROUND(((TRUNC($AN493*3/13,0)+0.99)*VLOOKUP((TRUNC($AN493*3/13,0)+0.99),'Tax scales - NAT 3539'!$A$74:$C$94,2,1)-VLOOKUP((TRUNC($AN493*3/13,0)+0.99),'Tax scales - NAT 3539'!$A$74:$C$94,3,1)),0)
*13/3,
0),
""))),
""),
"")</f>
        <v/>
      </c>
      <c r="AX493" s="118" t="str">
        <f>IFERROR(
IF(VLOOKUP($C493,'Employee information'!$B:$M,COLUMNS('Employee information'!$B:$M),0)=55,
IF($E$2="Fortnightly",
ROUND(
ROUND((((TRUNC($AN493/2,0)+0.99))*VLOOKUP((TRUNC($AN493/2,0)+0.99),'Tax scales - NAT 3539'!$A$99:$C$123,2,1)-VLOOKUP((TRUNC($AN493/2,0)+0.99),'Tax scales - NAT 3539'!$A$99:$C$123,3,1)),0)
*2,
0),
IF(AND($E$2="Monthly",ROUND($AN493-TRUNC($AN493),2)=0.33),
ROUND(
ROUND(((TRUNC(($AN493+0.01)*3/13,0)+0.99)*VLOOKUP((TRUNC(($AN493+0.01)*3/13,0)+0.99),'Tax scales - NAT 3539'!$A$99:$C$123,2,1)-VLOOKUP((TRUNC(($AN493+0.01)*3/13,0)+0.99),'Tax scales - NAT 3539'!$A$99:$C$123,3,1)),0)
*13/3,
0),
IF($E$2="Monthly",
ROUND(
ROUND(((TRUNC($AN493*3/13,0)+0.99)*VLOOKUP((TRUNC($AN493*3/13,0)+0.99),'Tax scales - NAT 3539'!$A$99:$C$123,2,1)-VLOOKUP((TRUNC($AN493*3/13,0)+0.99),'Tax scales - NAT 3539'!$A$99:$C$123,3,1)),0)
*13/3,
0),
""))),
""),
"")</f>
        <v/>
      </c>
      <c r="AY493" s="118" t="str">
        <f>IFERROR(
IF(VLOOKUP($C493,'Employee information'!$B:$M,COLUMNS('Employee information'!$B:$M),0)=66,
IF($E$2="Fortnightly",
ROUND(
ROUND((((TRUNC($AN493/2,0)+0.99))*VLOOKUP((TRUNC($AN493/2,0)+0.99),'Tax scales - NAT 3539'!$A$127:$C$154,2,1)-VLOOKUP((TRUNC($AN493/2,0)+0.99),'Tax scales - NAT 3539'!$A$127:$C$154,3,1)),0)
*2,
0),
IF(AND($E$2="Monthly",ROUND($AN493-TRUNC($AN493),2)=0.33),
ROUND(
ROUND(((TRUNC(($AN493+0.01)*3/13,0)+0.99)*VLOOKUP((TRUNC(($AN493+0.01)*3/13,0)+0.99),'Tax scales - NAT 3539'!$A$127:$C$154,2,1)-VLOOKUP((TRUNC(($AN493+0.01)*3/13,0)+0.99),'Tax scales - NAT 3539'!$A$127:$C$154,3,1)),0)
*13/3,
0),
IF($E$2="Monthly",
ROUND(
ROUND(((TRUNC($AN493*3/13,0)+0.99)*VLOOKUP((TRUNC($AN493*3/13,0)+0.99),'Tax scales - NAT 3539'!$A$127:$C$154,2,1)-VLOOKUP((TRUNC($AN493*3/13,0)+0.99),'Tax scales - NAT 3539'!$A$127:$C$154,3,1)),0)
*13/3,
0),
""))),
""),
"")</f>
        <v/>
      </c>
      <c r="AZ493" s="118">
        <f>IFERROR(
HLOOKUP(VLOOKUP($C493,'Employee information'!$B:$M,COLUMNS('Employee information'!$B:$M),0),'PAYG worksheet'!$AO$474:$AY$493,COUNTA($C$475:$C493)+1,0),
0)</f>
        <v>0</v>
      </c>
      <c r="BA493" s="118"/>
      <c r="BB493" s="118">
        <f t="shared" si="511"/>
        <v>0</v>
      </c>
      <c r="BC493" s="119">
        <f>IFERROR(
IF(OR($AE493=1,$AE493=""),SUM($P493,$AA493,$AC493,$AK493)*VLOOKUP($C493,'Employee information'!$B:$Q,COLUMNS('Employee information'!$B:$H),0),
IF($AE493=0,SUM($P493,$AA493,$AK493)*VLOOKUP($C493,'Employee information'!$B:$Q,COLUMNS('Employee information'!$B:$H),0),
0)),
0)</f>
        <v>0</v>
      </c>
      <c r="BE493" s="114">
        <f t="shared" si="496"/>
        <v>0</v>
      </c>
      <c r="BF493" s="114">
        <f t="shared" si="497"/>
        <v>0</v>
      </c>
      <c r="BG493" s="114">
        <f t="shared" si="498"/>
        <v>0</v>
      </c>
      <c r="BH493" s="114">
        <f t="shared" si="499"/>
        <v>0</v>
      </c>
      <c r="BI493" s="114">
        <f t="shared" si="500"/>
        <v>0</v>
      </c>
      <c r="BJ493" s="114">
        <f t="shared" si="501"/>
        <v>0</v>
      </c>
      <c r="BK493" s="114">
        <f t="shared" si="502"/>
        <v>0</v>
      </c>
      <c r="BL493" s="114">
        <f t="shared" si="512"/>
        <v>0</v>
      </c>
      <c r="BM493" s="114">
        <f t="shared" si="503"/>
        <v>0</v>
      </c>
    </row>
    <row r="494" spans="1:65" x14ac:dyDescent="0.25">
      <c r="C494" s="284" t="s">
        <v>39</v>
      </c>
      <c r="D494" s="223"/>
      <c r="E494" s="111">
        <f>SUM(E475:E493)</f>
        <v>345</v>
      </c>
      <c r="F494" s="112">
        <f t="shared" ref="F494:H494" si="513">SUM(F475:F493)</f>
        <v>0</v>
      </c>
      <c r="G494" s="112">
        <f t="shared" si="513"/>
        <v>0</v>
      </c>
      <c r="H494" s="112">
        <f t="shared" si="513"/>
        <v>0</v>
      </c>
      <c r="I494" s="112"/>
      <c r="J494" s="111">
        <f t="shared" ref="J494" si="514">SUM(J475:J493)</f>
        <v>345</v>
      </c>
      <c r="K494" s="223"/>
      <c r="L494" s="115">
        <f>SUM(L475:L493)</f>
        <v>19122.576396206536</v>
      </c>
      <c r="M494" s="115">
        <f>SUM(M475:M493)</f>
        <v>327599.18335089565</v>
      </c>
      <c r="N494" s="223"/>
      <c r="O494" s="116">
        <f>SUM(O475:O493)</f>
        <v>345</v>
      </c>
      <c r="P494" s="117">
        <f>SUM(P475:P493)</f>
        <v>19122.576396206536</v>
      </c>
      <c r="R494" s="117">
        <f>SUM(R475:R493)</f>
        <v>327599.18335089565</v>
      </c>
      <c r="S494" s="223"/>
      <c r="T494" s="116">
        <f>SUM(T475:T493)</f>
        <v>0</v>
      </c>
      <c r="U494" s="116">
        <f t="shared" ref="U494:Y494" si="515">SUM(U475:U493)</f>
        <v>0</v>
      </c>
      <c r="V494" s="285">
        <f t="shared" si="515"/>
        <v>0</v>
      </c>
      <c r="W494" s="285">
        <f t="shared" si="515"/>
        <v>0</v>
      </c>
      <c r="X494" s="285">
        <f t="shared" si="515"/>
        <v>1538.4615384615386</v>
      </c>
      <c r="Y494" s="285">
        <f t="shared" si="515"/>
        <v>801.28205128205127</v>
      </c>
      <c r="Z494" s="223"/>
      <c r="AA494" s="117">
        <f t="shared" ref="AA494" si="516">SUM(AA475:AA493)</f>
        <v>0</v>
      </c>
      <c r="AC494" s="117">
        <f t="shared" ref="AC494" si="517">SUM(AC475:AC493)</f>
        <v>0</v>
      </c>
      <c r="AD494" s="117"/>
      <c r="AE494" s="117"/>
      <c r="AF494" s="117"/>
      <c r="AG494" s="117">
        <f t="shared" ref="AG494" si="518">SUM(AG475:AG493)</f>
        <v>0</v>
      </c>
      <c r="AH494" s="117"/>
      <c r="AI494" s="117"/>
      <c r="AJ494" s="117">
        <f>SUM(AJ475:AJ493)</f>
        <v>0</v>
      </c>
      <c r="AK494" s="117">
        <f>SUM(AK475:AK493)</f>
        <v>0</v>
      </c>
      <c r="AM494" s="117">
        <f t="shared" ref="AM494:AN494" si="519">SUM(AM475:AM493)</f>
        <v>19122.576396206536</v>
      </c>
      <c r="AN494" s="117">
        <f t="shared" si="519"/>
        <v>19122.576396206536</v>
      </c>
      <c r="AO494" s="117"/>
      <c r="AP494" s="117"/>
      <c r="AQ494" s="117"/>
      <c r="AR494" s="117"/>
      <c r="AS494" s="117"/>
      <c r="AT494" s="117"/>
      <c r="AU494" s="117"/>
      <c r="AV494" s="117"/>
      <c r="AW494" s="117"/>
      <c r="AX494" s="117"/>
      <c r="AY494" s="117"/>
      <c r="AZ494" s="117">
        <f>SUM(AZ475:AZ493)</f>
        <v>7481</v>
      </c>
      <c r="BA494" s="117">
        <f>SUM(BA475:BA493)</f>
        <v>0</v>
      </c>
      <c r="BB494" s="117">
        <f>SUM(BB475:BB493)</f>
        <v>11641.576396206534</v>
      </c>
      <c r="BC494" s="117">
        <f t="shared" ref="BC494" si="520">SUM(BC475:BC493)</f>
        <v>1816.6447576396208</v>
      </c>
      <c r="BD494" s="136"/>
      <c r="BE494" s="117">
        <f t="shared" ref="BE494:BM494" si="521">SUM(BE475:BE493)</f>
        <v>327839.18335089565</v>
      </c>
      <c r="BF494" s="117">
        <f t="shared" si="521"/>
        <v>327699.18335089565</v>
      </c>
      <c r="BG494" s="117">
        <f t="shared" si="521"/>
        <v>0</v>
      </c>
      <c r="BH494" s="117">
        <f t="shared" si="521"/>
        <v>140</v>
      </c>
      <c r="BI494" s="117">
        <f t="shared" si="521"/>
        <v>127991</v>
      </c>
      <c r="BJ494" s="117">
        <f t="shared" si="521"/>
        <v>0</v>
      </c>
      <c r="BK494" s="117">
        <f t="shared" si="521"/>
        <v>0</v>
      </c>
      <c r="BL494" s="117">
        <f t="shared" si="521"/>
        <v>100</v>
      </c>
      <c r="BM494" s="117">
        <f t="shared" si="521"/>
        <v>31131.422418335089</v>
      </c>
    </row>
    <row r="496" spans="1:65" x14ac:dyDescent="0.25">
      <c r="B496" s="228">
        <v>18</v>
      </c>
      <c r="C496" s="230" t="s">
        <v>2</v>
      </c>
      <c r="E496" s="232">
        <v>44116</v>
      </c>
      <c r="F496" s="148" t="s">
        <v>91</v>
      </c>
      <c r="L496" s="286"/>
      <c r="T496" s="127"/>
      <c r="U496" s="127"/>
      <c r="V496" s="127"/>
      <c r="W496" s="127"/>
      <c r="X496" s="127"/>
      <c r="Y496" s="127"/>
    </row>
    <row r="497" spans="1:65" x14ac:dyDescent="0.25">
      <c r="C497" s="230" t="s">
        <v>3</v>
      </c>
      <c r="E497" s="232">
        <v>44127</v>
      </c>
      <c r="F497" s="148" t="s">
        <v>90</v>
      </c>
      <c r="G497" s="229"/>
      <c r="H497" s="229"/>
      <c r="I497" s="229"/>
      <c r="J497" s="229"/>
      <c r="L497" s="164"/>
      <c r="T497" s="127"/>
      <c r="U497" s="127"/>
      <c r="V497" s="127"/>
      <c r="W497" s="127"/>
      <c r="X497" s="127"/>
      <c r="Y497" s="127"/>
    </row>
    <row r="498" spans="1:65" x14ac:dyDescent="0.25">
      <c r="C498" s="233"/>
    </row>
    <row r="499" spans="1:65" ht="34.5" customHeight="1" x14ac:dyDescent="0.25">
      <c r="C499" s="234"/>
      <c r="D499" s="235"/>
      <c r="E499" s="441" t="s">
        <v>4</v>
      </c>
      <c r="F499" s="442"/>
      <c r="G499" s="442"/>
      <c r="H499" s="442"/>
      <c r="I499" s="442"/>
      <c r="J499" s="443"/>
      <c r="L499" s="444" t="s">
        <v>253</v>
      </c>
      <c r="M499" s="445"/>
      <c r="N499" s="235"/>
      <c r="O499" s="444" t="s">
        <v>148</v>
      </c>
      <c r="P499" s="445"/>
      <c r="R499" s="235"/>
      <c r="T499" s="446" t="s">
        <v>269</v>
      </c>
      <c r="U499" s="447"/>
      <c r="V499" s="447"/>
      <c r="W499" s="447"/>
      <c r="X499" s="447"/>
      <c r="Y499" s="447"/>
      <c r="Z499" s="447"/>
      <c r="AA499" s="447"/>
      <c r="AC499" s="438" t="s">
        <v>274</v>
      </c>
      <c r="AD499" s="438"/>
      <c r="AE499" s="438"/>
      <c r="AF499" s="438"/>
      <c r="AG499" s="438"/>
      <c r="AH499" s="438"/>
      <c r="AI499" s="438"/>
      <c r="AJ499" s="438"/>
      <c r="AK499" s="438"/>
      <c r="AM499" s="439" t="s">
        <v>270</v>
      </c>
      <c r="AN499" s="439"/>
      <c r="AO499" s="439"/>
      <c r="AP499" s="439"/>
      <c r="AQ499" s="439"/>
      <c r="AR499" s="439"/>
      <c r="AS499" s="439"/>
      <c r="AT499" s="439"/>
      <c r="AU499" s="439"/>
      <c r="AV499" s="439"/>
      <c r="AW499" s="439"/>
      <c r="AX499" s="439"/>
      <c r="AY499" s="439"/>
      <c r="AZ499" s="439"/>
      <c r="BA499" s="439"/>
      <c r="BB499" s="439"/>
      <c r="BC499" s="440"/>
      <c r="BE499" s="439" t="s">
        <v>246</v>
      </c>
      <c r="BF499" s="439"/>
      <c r="BG499" s="439"/>
      <c r="BH499" s="439"/>
      <c r="BI499" s="439"/>
      <c r="BJ499" s="439"/>
      <c r="BK499" s="439"/>
      <c r="BL499" s="439"/>
      <c r="BM499" s="439"/>
    </row>
    <row r="500" spans="1:65" x14ac:dyDescent="0.25">
      <c r="C500" s="236"/>
      <c r="E500" s="229"/>
      <c r="F500" s="229"/>
      <c r="G500" s="229"/>
      <c r="H500" s="229"/>
      <c r="I500" s="229"/>
      <c r="J500" s="229"/>
      <c r="L500" s="164"/>
      <c r="O500" s="229"/>
      <c r="P500" s="164"/>
      <c r="T500" s="127"/>
      <c r="U500" s="127"/>
      <c r="V500" s="127"/>
      <c r="W500" s="127"/>
      <c r="X500" s="127"/>
      <c r="Y500" s="127"/>
      <c r="AA500" s="229"/>
      <c r="AC500" s="229"/>
      <c r="AD500" s="229"/>
      <c r="AE500" s="229"/>
      <c r="AF500" s="229"/>
      <c r="AG500" s="229"/>
      <c r="AH500" s="229"/>
      <c r="AI500" s="229"/>
      <c r="AJ500" s="229"/>
      <c r="AK500" s="127"/>
      <c r="AM500" s="229"/>
      <c r="AN500" s="229"/>
      <c r="AO500" s="229"/>
      <c r="AP500" s="229"/>
      <c r="AQ500" s="229"/>
      <c r="AR500" s="229"/>
      <c r="AS500" s="229"/>
      <c r="AT500" s="229"/>
      <c r="AU500" s="229"/>
      <c r="AV500" s="229"/>
      <c r="AW500" s="229"/>
      <c r="AX500" s="229"/>
      <c r="AY500" s="229"/>
      <c r="AZ500" s="229"/>
      <c r="BA500" s="229"/>
      <c r="BB500" s="229"/>
      <c r="BC500" s="229"/>
    </row>
    <row r="501" spans="1:65" ht="60" x14ac:dyDescent="0.25">
      <c r="C501" s="238" t="s">
        <v>5</v>
      </c>
      <c r="D501" s="239"/>
      <c r="E501" s="240" t="s">
        <v>268</v>
      </c>
      <c r="F501" s="241" t="s">
        <v>271</v>
      </c>
      <c r="G501" s="242" t="s">
        <v>267</v>
      </c>
      <c r="H501" s="243" t="s">
        <v>266</v>
      </c>
      <c r="I501" s="242" t="s">
        <v>265</v>
      </c>
      <c r="J501" s="244" t="s">
        <v>6</v>
      </c>
      <c r="L501" s="245" t="s">
        <v>7</v>
      </c>
      <c r="M501" s="246" t="s">
        <v>254</v>
      </c>
      <c r="N501" s="247"/>
      <c r="O501" s="248" t="s">
        <v>272</v>
      </c>
      <c r="P501" s="249" t="s">
        <v>200</v>
      </c>
      <c r="R501" s="250" t="s">
        <v>151</v>
      </c>
      <c r="T501" s="251" t="s">
        <v>8</v>
      </c>
      <c r="U501" s="252" t="s">
        <v>9</v>
      </c>
      <c r="V501" s="252" t="s">
        <v>120</v>
      </c>
      <c r="W501" s="252" t="s">
        <v>121</v>
      </c>
      <c r="X501" s="253" t="s">
        <v>118</v>
      </c>
      <c r="Y501" s="254" t="s">
        <v>119</v>
      </c>
      <c r="AA501" s="255" t="s">
        <v>84</v>
      </c>
      <c r="AC501" s="256" t="s">
        <v>142</v>
      </c>
      <c r="AD501" s="256" t="s">
        <v>138</v>
      </c>
      <c r="AE501" s="257" t="s">
        <v>147</v>
      </c>
      <c r="AF501" s="257" t="s">
        <v>149</v>
      </c>
      <c r="AG501" s="256" t="s">
        <v>305</v>
      </c>
      <c r="AH501" s="256" t="s">
        <v>306</v>
      </c>
      <c r="AI501" s="257" t="s">
        <v>150</v>
      </c>
      <c r="AJ501" s="258" t="s">
        <v>250</v>
      </c>
      <c r="AK501" s="259" t="s">
        <v>373</v>
      </c>
      <c r="AM501" s="260" t="s">
        <v>256</v>
      </c>
      <c r="AN501" s="261" t="s">
        <v>372</v>
      </c>
      <c r="AO501" s="253" t="s">
        <v>170</v>
      </c>
      <c r="AP501" s="253" t="s">
        <v>171</v>
      </c>
      <c r="AQ501" s="253" t="s">
        <v>172</v>
      </c>
      <c r="AR501" s="253" t="s">
        <v>173</v>
      </c>
      <c r="AS501" s="253" t="s">
        <v>174</v>
      </c>
      <c r="AT501" s="253" t="s">
        <v>175</v>
      </c>
      <c r="AU501" s="262" t="s">
        <v>210</v>
      </c>
      <c r="AV501" s="262" t="s">
        <v>211</v>
      </c>
      <c r="AW501" s="262" t="s">
        <v>212</v>
      </c>
      <c r="AX501" s="262" t="s">
        <v>213</v>
      </c>
      <c r="AY501" s="263" t="s">
        <v>214</v>
      </c>
      <c r="AZ501" s="264" t="s">
        <v>111</v>
      </c>
      <c r="BA501" s="265" t="s">
        <v>199</v>
      </c>
      <c r="BB501" s="252" t="s">
        <v>223</v>
      </c>
      <c r="BC501" s="260" t="s">
        <v>112</v>
      </c>
      <c r="BE501" s="260" t="s">
        <v>257</v>
      </c>
      <c r="BF501" s="266" t="s">
        <v>255</v>
      </c>
      <c r="BG501" s="262" t="s">
        <v>247</v>
      </c>
      <c r="BH501" s="262" t="s">
        <v>248</v>
      </c>
      <c r="BI501" s="260" t="s">
        <v>249</v>
      </c>
      <c r="BJ501" s="253" t="s">
        <v>199</v>
      </c>
      <c r="BK501" s="262" t="s">
        <v>251</v>
      </c>
      <c r="BL501" s="259" t="s">
        <v>373</v>
      </c>
      <c r="BM501" s="260" t="s">
        <v>252</v>
      </c>
    </row>
    <row r="502" spans="1:65" x14ac:dyDescent="0.25">
      <c r="T502" s="120"/>
      <c r="U502" s="120"/>
      <c r="V502" s="120"/>
      <c r="W502" s="120"/>
      <c r="X502" s="120"/>
      <c r="Y502" s="120"/>
      <c r="AM502" s="267" t="s">
        <v>322</v>
      </c>
      <c r="AN502" s="237"/>
      <c r="AO502" s="237"/>
      <c r="AP502" s="237"/>
      <c r="AQ502" s="237"/>
      <c r="AR502" s="237"/>
      <c r="AS502" s="237"/>
      <c r="AT502" s="237"/>
      <c r="AU502" s="237"/>
      <c r="AV502" s="237"/>
      <c r="AW502" s="237"/>
      <c r="AX502" s="237"/>
      <c r="AY502" s="237"/>
      <c r="AZ502" s="436" t="s">
        <v>320</v>
      </c>
      <c r="BA502" s="437"/>
      <c r="BB502" s="237"/>
      <c r="BC502" s="267" t="s">
        <v>321</v>
      </c>
    </row>
    <row r="503" spans="1:65" x14ac:dyDescent="0.25">
      <c r="A503" s="228">
        <f t="shared" ref="A503:A522" si="522">IF($E$497="","",$B$496)</f>
        <v>18</v>
      </c>
      <c r="C503" s="268"/>
      <c r="D503" s="239"/>
      <c r="E503" s="269"/>
      <c r="F503" s="270"/>
      <c r="G503" s="271"/>
      <c r="H503" s="272"/>
      <c r="I503" s="271"/>
      <c r="J503" s="273"/>
      <c r="O503" s="274"/>
      <c r="P503" s="247"/>
      <c r="T503" s="271"/>
      <c r="U503" s="271"/>
      <c r="V503" s="275"/>
      <c r="W503" s="269"/>
      <c r="X503" s="269"/>
      <c r="Y503" s="269"/>
      <c r="AA503" s="271"/>
      <c r="AC503" s="271"/>
      <c r="AD503" s="271"/>
      <c r="AE503" s="271"/>
      <c r="AF503" s="271"/>
      <c r="AG503" s="271"/>
      <c r="AH503" s="271"/>
      <c r="AI503" s="271"/>
      <c r="AJ503" s="271"/>
      <c r="AK503" s="275"/>
      <c r="AM503" s="271"/>
      <c r="AN503" s="271"/>
      <c r="AO503" s="276">
        <v>1</v>
      </c>
      <c r="AP503" s="276">
        <v>2</v>
      </c>
      <c r="AQ503" s="276">
        <v>3</v>
      </c>
      <c r="AR503" s="277">
        <v>4</v>
      </c>
      <c r="AS503" s="276">
        <v>5</v>
      </c>
      <c r="AT503" s="276">
        <v>6</v>
      </c>
      <c r="AU503" s="276">
        <v>11</v>
      </c>
      <c r="AV503" s="276">
        <v>22</v>
      </c>
      <c r="AW503" s="276">
        <v>33</v>
      </c>
      <c r="AX503" s="276">
        <v>55</v>
      </c>
      <c r="AY503" s="276">
        <v>66</v>
      </c>
      <c r="AZ503" s="271"/>
      <c r="BA503" s="271"/>
      <c r="BB503" s="271"/>
      <c r="BC503" s="273"/>
    </row>
    <row r="504" spans="1:65" x14ac:dyDescent="0.25">
      <c r="A504" s="228">
        <f t="shared" si="522"/>
        <v>18</v>
      </c>
      <c r="C504" s="278" t="s">
        <v>12</v>
      </c>
      <c r="E504" s="103">
        <f>IF($C504="",0,
IF(AND($E$2="Monthly",$A504&gt;12),0,
IF($E$2="Monthly",VLOOKUP($C504,'Employee information'!$B:$AM,COLUMNS('Employee information'!$B:S),0),
IF($E$2="Fortnightly",VLOOKUP($C504,'Employee information'!$B:$AM,COLUMNS('Employee information'!$B:R),0),
0))))</f>
        <v>75</v>
      </c>
      <c r="F504" s="279"/>
      <c r="G504" s="106"/>
      <c r="H504" s="280"/>
      <c r="I504" s="106"/>
      <c r="J504" s="103">
        <f>IF($E$2="Monthly",
IF(AND($E$2="Monthly",$H504&lt;&gt;""),$H504,
IF(AND($E$2="Monthly",$E504=0),SUM($F504:$G504),
$E504)),
IF($E$2="Fortnightly",
IF(AND($E$2="Fortnightly",$H504&lt;&gt;""),$H504,
IF(AND($E$2="Fortnightly",$F504&lt;&gt;"",$E504&lt;&gt;0),$F504,
IF(AND($E$2="Fortnightly",$E504=0),SUM($F504:$G504),
$E504)))))</f>
        <v>75</v>
      </c>
      <c r="L504" s="113">
        <f>IF(AND($E$2="Monthly",$A504&gt;12),"",
IFERROR($J504*VLOOKUP($C504,'Employee information'!$B:$AI,COLUMNS('Employee information'!$B:$P),0),0))</f>
        <v>3697.576396206533</v>
      </c>
      <c r="M504" s="114">
        <f>IF(AND($E$2="Monthly",$A504&gt;12),"",
SUMIFS($L:$L,$C:$C,$C504,$A:$A,"&lt;="&amp;$A504)
)</f>
        <v>66556.375131717592</v>
      </c>
      <c r="O504" s="103">
        <f>IF($E$2="Monthly",
IF(AND($E$2="Monthly",$H504&lt;&gt;""),$H504,
IF(AND($E$2="Monthly",$E504=0),$F504,
$E504)),
IF($E$2="Fortnightly",
IF(AND($E$2="Fortnightly",$H504&lt;&gt;""),$H504,
IF(AND($E$2="Fortnightly",$F504&lt;&gt;"",$E504&lt;&gt;0),$F504,
IF(AND($E$2="Fortnightly",$E504=0),$F504,
$E504)))))</f>
        <v>75</v>
      </c>
      <c r="P504" s="113">
        <f>IFERROR(
IF(AND($E$2="Monthly",$A504&gt;12),0,
$O504*VLOOKUP($C504,'Employee information'!$B:$AI,COLUMNS('Employee information'!$B:$P),0)),
0)</f>
        <v>3697.576396206533</v>
      </c>
      <c r="R504" s="114">
        <f t="shared" ref="R504:R522" si="523">IF(AND($E$2="Monthly",$A504&gt;12),"",
SUMIFS($P:$P,$C:$C,$C504,$A:$A,"&lt;="&amp;$A504)
)</f>
        <v>66556.375131717592</v>
      </c>
      <c r="T504" s="281"/>
      <c r="U504" s="103"/>
      <c r="V504" s="282">
        <f>IF($C504="","",
IF(AND($E$2="Monthly",$A504&gt;12),"",
$T504*VLOOKUP($C504,'Employee information'!$B:$P,COLUMNS('Employee information'!$B:$P),0)))</f>
        <v>0</v>
      </c>
      <c r="W504" s="282">
        <f>IF($C504="","",
IF(AND($E$2="Monthly",$A504&gt;12),"",
$U504*VLOOKUP($C504,'Employee information'!$B:$P,COLUMNS('Employee information'!$B:$P),0)))</f>
        <v>0</v>
      </c>
      <c r="X504" s="114">
        <f t="shared" ref="X504:X522" si="524">IF(AND($E$2="Monthly",$A504&gt;12),"",
SUMIFS($V:$V,$C:$C,$C504,$A:$A,"&lt;="&amp;$A504)
)</f>
        <v>0</v>
      </c>
      <c r="Y504" s="114">
        <f t="shared" ref="Y504:Y522" si="525">IF(AND($E$2="Monthly",$A504&gt;12),"",
SUMIFS($W:$W,$C:$C,$C504,$A:$A,"&lt;="&amp;$A504)
)</f>
        <v>0</v>
      </c>
      <c r="AA504" s="118">
        <f>IFERROR(
IF(OR('Basic payroll data'!$D$12="",'Basic payroll data'!$D$12="No"),0,
$T504*VLOOKUP($C504,'Employee information'!$B:$P,COLUMNS('Employee information'!$B:$P),0)*AL_loading_perc),
0)</f>
        <v>0</v>
      </c>
      <c r="AC504" s="118"/>
      <c r="AD504" s="118"/>
      <c r="AE504" s="283" t="str">
        <f>IF(LEFT($AD504,6)="Is OTE",1,
IF(LEFT($AD504,10)="Is not OTE",0,
""))</f>
        <v/>
      </c>
      <c r="AF504" s="283" t="str">
        <f>IF(RIGHT($AD504,12)="tax withheld",1,
IF(RIGHT($AD504,16)="tax not withheld",0,
""))</f>
        <v/>
      </c>
      <c r="AG504" s="118"/>
      <c r="AH504" s="118"/>
      <c r="AI504" s="283" t="str">
        <f>IF($AH504="FBT",0,
IF($AH504="Not FBT",1,
""))</f>
        <v/>
      </c>
      <c r="AJ504" s="118"/>
      <c r="AK504" s="118"/>
      <c r="AM504" s="118">
        <f>SUM($L504,$AA504,$AC504,$AG504,$AK504)-$AJ504</f>
        <v>3697.576396206533</v>
      </c>
      <c r="AN504" s="118">
        <f t="shared" ref="AN504:AN522" si="526">IF(AND(OR($AF504=1,$AF504=""),OR($AI504=1,$AI504="")),SUM($L504,$AA504,$AC504,$AG504,$AK504)-$AJ504,
IF(AND(OR($AF504=1,$AF504=""),$AI504=0),SUM($L504,$AA504,$AC504,$AK504)-$AJ504,
IF(AND($AF504=0,OR($AI504=1,$AI504="")),SUM($L504,$AA504,$AG504,$AK504)-$AJ504,
IF(AND($AF504=0,$AI504=0),SUM($L504,$AA504,$AK504)-$AJ504,
""))))</f>
        <v>3697.576396206533</v>
      </c>
      <c r="AO504" s="118" t="str">
        <f>IFERROR(
IF(VLOOKUP($C504,'Employee information'!$B:$M,COLUMNS('Employee information'!$B:$M),0)=1,
IF($E$2="Fortnightly",
ROUND(
ROUND((((TRUNC($AN504/2,0)+0.99))*VLOOKUP((TRUNC($AN504/2,0)+0.99),'Tax scales - NAT 1004'!$A$12:$C$18,2,1)-VLOOKUP((TRUNC($AN504/2,0)+0.99),'Tax scales - NAT 1004'!$A$12:$C$18,3,1)),0)
*2,
0),
IF(AND($E$2="Monthly",ROUND($AN504-TRUNC($AN504),2)=0.33),
ROUND(
ROUND(((TRUNC(($AN504+0.01)*3/13,0)+0.99)*VLOOKUP((TRUNC(($AN504+0.01)*3/13,0)+0.99),'Tax scales - NAT 1004'!$A$12:$C$18,2,1)-VLOOKUP((TRUNC(($AN504+0.01)*3/13,0)+0.99),'Tax scales - NAT 1004'!$A$12:$C$18,3,1)),0)
*13/3,
0),
IF($E$2="Monthly",
ROUND(
ROUND(((TRUNC($AN504*3/13,0)+0.99)*VLOOKUP((TRUNC($AN504*3/13,0)+0.99),'Tax scales - NAT 1004'!$A$12:$C$18,2,1)-VLOOKUP((TRUNC($AN504*3/13,0)+0.99),'Tax scales - NAT 1004'!$A$12:$C$18,3,1)),0)
*13/3,
0),
""))),
""),
"")</f>
        <v/>
      </c>
      <c r="AP504" s="118" t="str">
        <f>IFERROR(
IF(VLOOKUP($C504,'Employee information'!$B:$M,COLUMNS('Employee information'!$B:$M),0)=2,
IF($E$2="Fortnightly",
ROUND(
ROUND((((TRUNC($AN504/2,0)+0.99))*VLOOKUP((TRUNC($AN504/2,0)+0.99),'Tax scales - NAT 1004'!$A$25:$C$33,2,1)-VLOOKUP((TRUNC($AN504/2,0)+0.99),'Tax scales - NAT 1004'!$A$25:$C$33,3,1)),0)
*2,
0),
IF(AND($E$2="Monthly",ROUND($AN504-TRUNC($AN504),2)=0.33),
ROUND(
ROUND(((TRUNC(($AN504+0.01)*3/13,0)+0.99)*VLOOKUP((TRUNC(($AN504+0.01)*3/13,0)+0.99),'Tax scales - NAT 1004'!$A$25:$C$33,2,1)-VLOOKUP((TRUNC(($AN504+0.01)*3/13,0)+0.99),'Tax scales - NAT 1004'!$A$25:$C$33,3,1)),0)
*13/3,
0),
IF($E$2="Monthly",
ROUND(
ROUND(((TRUNC($AN504*3/13,0)+0.99)*VLOOKUP((TRUNC($AN504*3/13,0)+0.99),'Tax scales - NAT 1004'!$A$25:$C$33,2,1)-VLOOKUP((TRUNC($AN504*3/13,0)+0.99),'Tax scales - NAT 1004'!$A$25:$C$33,3,1)),0)
*13/3,
0),
""))),
""),
"")</f>
        <v/>
      </c>
      <c r="AQ504" s="118" t="str">
        <f>IFERROR(
IF(VLOOKUP($C504,'Employee information'!$B:$M,COLUMNS('Employee information'!$B:$M),0)=3,
IF($E$2="Fortnightly",
ROUND(
ROUND((((TRUNC($AN504/2,0)+0.99))*VLOOKUP((TRUNC($AN504/2,0)+0.99),'Tax scales - NAT 1004'!$A$39:$C$41,2,1)-VLOOKUP((TRUNC($AN504/2,0)+0.99),'Tax scales - NAT 1004'!$A$39:$C$41,3,1)),0)
*2,
0),
IF(AND($E$2="Monthly",ROUND($AN504-TRUNC($AN504),2)=0.33),
ROUND(
ROUND(((TRUNC(($AN504+0.01)*3/13,0)+0.99)*VLOOKUP((TRUNC(($AN504+0.01)*3/13,0)+0.99),'Tax scales - NAT 1004'!$A$39:$C$41,2,1)-VLOOKUP((TRUNC(($AN504+0.01)*3/13,0)+0.99),'Tax scales - NAT 1004'!$A$39:$C$41,3,1)),0)
*13/3,
0),
IF($E$2="Monthly",
ROUND(
ROUND(((TRUNC($AN504*3/13,0)+0.99)*VLOOKUP((TRUNC($AN504*3/13,0)+0.99),'Tax scales - NAT 1004'!$A$39:$C$41,2,1)-VLOOKUP((TRUNC($AN504*3/13,0)+0.99),'Tax scales - NAT 1004'!$A$39:$C$41,3,1)),0)
*13/3,
0),
""))),
""),
"")</f>
        <v/>
      </c>
      <c r="AR504" s="118" t="str">
        <f>IFERROR(
IF(AND(VLOOKUP($C504,'Employee information'!$B:$M,COLUMNS('Employee information'!$B:$M),0)=4,
VLOOKUP($C504,'Employee information'!$B:$J,COLUMNS('Employee information'!$B:$J),0)="Resident"),
TRUNC(TRUNC($AN504)*'Tax scales - NAT 1004'!$B$47),
IF(AND(VLOOKUP($C504,'Employee information'!$B:$M,COLUMNS('Employee information'!$B:$M),0)=4,
VLOOKUP($C504,'Employee information'!$B:$J,COLUMNS('Employee information'!$B:$J),0)="Foreign resident"),
TRUNC(TRUNC($AN504)*'Tax scales - NAT 1004'!$B$48),
"")),
"")</f>
        <v/>
      </c>
      <c r="AS504" s="118" t="str">
        <f>IFERROR(
IF(VLOOKUP($C504,'Employee information'!$B:$M,COLUMNS('Employee information'!$B:$M),0)=5,
IF($E$2="Fortnightly",
ROUND(
ROUND((((TRUNC($AN504/2,0)+0.99))*VLOOKUP((TRUNC($AN504/2,0)+0.99),'Tax scales - NAT 1004'!$A$53:$C$59,2,1)-VLOOKUP((TRUNC($AN504/2,0)+0.99),'Tax scales - NAT 1004'!$A$53:$C$59,3,1)),0)
*2,
0),
IF(AND($E$2="Monthly",ROUND($AN504-TRUNC($AN504),2)=0.33),
ROUND(
ROUND(((TRUNC(($AN504+0.01)*3/13,0)+0.99)*VLOOKUP((TRUNC(($AN504+0.01)*3/13,0)+0.99),'Tax scales - NAT 1004'!$A$53:$C$59,2,1)-VLOOKUP((TRUNC(($AN504+0.01)*3/13,0)+0.99),'Tax scales - NAT 1004'!$A$53:$C$59,3,1)),0)
*13/3,
0),
IF($E$2="Monthly",
ROUND(
ROUND(((TRUNC($AN504*3/13,0)+0.99)*VLOOKUP((TRUNC($AN504*3/13,0)+0.99),'Tax scales - NAT 1004'!$A$53:$C$59,2,1)-VLOOKUP((TRUNC($AN504*3/13,0)+0.99),'Tax scales - NAT 1004'!$A$53:$C$59,3,1)),0)
*13/3,
0),
""))),
""),
"")</f>
        <v/>
      </c>
      <c r="AT504" s="118" t="str">
        <f>IFERROR(
IF(VLOOKUP($C504,'Employee information'!$B:$M,COLUMNS('Employee information'!$B:$M),0)=6,
IF($E$2="Fortnightly",
ROUND(
ROUND((((TRUNC($AN504/2,0)+0.99))*VLOOKUP((TRUNC($AN504/2,0)+0.99),'Tax scales - NAT 1004'!$A$65:$C$73,2,1)-VLOOKUP((TRUNC($AN504/2,0)+0.99),'Tax scales - NAT 1004'!$A$65:$C$73,3,1)),0)
*2,
0),
IF(AND($E$2="Monthly",ROUND($AN504-TRUNC($AN504),2)=0.33),
ROUND(
ROUND(((TRUNC(($AN504+0.01)*3/13,0)+0.99)*VLOOKUP((TRUNC(($AN504+0.01)*3/13,0)+0.99),'Tax scales - NAT 1004'!$A$65:$C$73,2,1)-VLOOKUP((TRUNC(($AN504+0.01)*3/13,0)+0.99),'Tax scales - NAT 1004'!$A$65:$C$73,3,1)),0)
*13/3,
0),
IF($E$2="Monthly",
ROUND(
ROUND(((TRUNC($AN504*3/13,0)+0.99)*VLOOKUP((TRUNC($AN504*3/13,0)+0.99),'Tax scales - NAT 1004'!$A$65:$C$73,2,1)-VLOOKUP((TRUNC($AN504*3/13,0)+0.99),'Tax scales - NAT 1004'!$A$65:$C$73,3,1)),0)
*13/3,
0),
""))),
""),
"")</f>
        <v/>
      </c>
      <c r="AU504" s="118">
        <f>IFERROR(
IF(VLOOKUP($C504,'Employee information'!$B:$M,COLUMNS('Employee information'!$B:$M),0)=11,
IF($E$2="Fortnightly",
ROUND(
ROUND((((TRUNC($AN504/2,0)+0.99))*VLOOKUP((TRUNC($AN504/2,0)+0.99),'Tax scales - NAT 3539'!$A$14:$C$38,2,1)-VLOOKUP((TRUNC($AN504/2,0)+0.99),'Tax scales - NAT 3539'!$A$14:$C$38,3,1)),0)
*2,
0),
IF(AND($E$2="Monthly",ROUND($AN504-TRUNC($AN504),2)=0.33),
ROUND(
ROUND(((TRUNC(($AN504+0.01)*3/13,0)+0.99)*VLOOKUP((TRUNC(($AN504+0.01)*3/13,0)+0.99),'Tax scales - NAT 3539'!$A$14:$C$38,2,1)-VLOOKUP((TRUNC(($AN504+0.01)*3/13,0)+0.99),'Tax scales - NAT 3539'!$A$14:$C$38,3,1)),0)
*13/3,
0),
IF($E$2="Monthly",
ROUND(
ROUND(((TRUNC($AN504*3/13,0)+0.99)*VLOOKUP((TRUNC($AN504*3/13,0)+0.99),'Tax scales - NAT 3539'!$A$14:$C$38,2,1)-VLOOKUP((TRUNC($AN504*3/13,0)+0.99),'Tax scales - NAT 3539'!$A$14:$C$38,3,1)),0)
*13/3,
0),
""))),
""),
"")</f>
        <v>1448</v>
      </c>
      <c r="AV504" s="118" t="str">
        <f>IFERROR(
IF(VLOOKUP($C504,'Employee information'!$B:$M,COLUMNS('Employee information'!$B:$M),0)=22,
IF($E$2="Fortnightly",
ROUND(
ROUND((((TRUNC($AN504/2,0)+0.99))*VLOOKUP((TRUNC($AN504/2,0)+0.99),'Tax scales - NAT 3539'!$A$43:$C$69,2,1)-VLOOKUP((TRUNC($AN504/2,0)+0.99),'Tax scales - NAT 3539'!$A$43:$C$69,3,1)),0)
*2,
0),
IF(AND($E$2="Monthly",ROUND($AN504-TRUNC($AN504),2)=0.33),
ROUND(
ROUND(((TRUNC(($AN504+0.01)*3/13,0)+0.99)*VLOOKUP((TRUNC(($AN504+0.01)*3/13,0)+0.99),'Tax scales - NAT 3539'!$A$43:$C$69,2,1)-VLOOKUP((TRUNC(($AN504+0.01)*3/13,0)+0.99),'Tax scales - NAT 3539'!$A$43:$C$69,3,1)),0)
*13/3,
0),
IF($E$2="Monthly",
ROUND(
ROUND(((TRUNC($AN504*3/13,0)+0.99)*VLOOKUP((TRUNC($AN504*3/13,0)+0.99),'Tax scales - NAT 3539'!$A$43:$C$69,2,1)-VLOOKUP((TRUNC($AN504*3/13,0)+0.99),'Tax scales - NAT 3539'!$A$43:$C$69,3,1)),0)
*13/3,
0),
""))),
""),
"")</f>
        <v/>
      </c>
      <c r="AW504" s="118" t="str">
        <f>IFERROR(
IF(VLOOKUP($C504,'Employee information'!$B:$M,COLUMNS('Employee information'!$B:$M),0)=33,
IF($E$2="Fortnightly",
ROUND(
ROUND((((TRUNC($AN504/2,0)+0.99))*VLOOKUP((TRUNC($AN504/2,0)+0.99),'Tax scales - NAT 3539'!$A$74:$C$94,2,1)-VLOOKUP((TRUNC($AN504/2,0)+0.99),'Tax scales - NAT 3539'!$A$74:$C$94,3,1)),0)
*2,
0),
IF(AND($E$2="Monthly",ROUND($AN504-TRUNC($AN504),2)=0.33),
ROUND(
ROUND(((TRUNC(($AN504+0.01)*3/13,0)+0.99)*VLOOKUP((TRUNC(($AN504+0.01)*3/13,0)+0.99),'Tax scales - NAT 3539'!$A$74:$C$94,2,1)-VLOOKUP((TRUNC(($AN504+0.01)*3/13,0)+0.99),'Tax scales - NAT 3539'!$A$74:$C$94,3,1)),0)
*13/3,
0),
IF($E$2="Monthly",
ROUND(
ROUND(((TRUNC($AN504*3/13,0)+0.99)*VLOOKUP((TRUNC($AN504*3/13,0)+0.99),'Tax scales - NAT 3539'!$A$74:$C$94,2,1)-VLOOKUP((TRUNC($AN504*3/13,0)+0.99),'Tax scales - NAT 3539'!$A$74:$C$94,3,1)),0)
*13/3,
0),
""))),
""),
"")</f>
        <v/>
      </c>
      <c r="AX504" s="118" t="str">
        <f>IFERROR(
IF(VLOOKUP($C504,'Employee information'!$B:$M,COLUMNS('Employee information'!$B:$M),0)=55,
IF($E$2="Fortnightly",
ROUND(
ROUND((((TRUNC($AN504/2,0)+0.99))*VLOOKUP((TRUNC($AN504/2,0)+0.99),'Tax scales - NAT 3539'!$A$99:$C$123,2,1)-VLOOKUP((TRUNC($AN504/2,0)+0.99),'Tax scales - NAT 3539'!$A$99:$C$123,3,1)),0)
*2,
0),
IF(AND($E$2="Monthly",ROUND($AN504-TRUNC($AN504),2)=0.33),
ROUND(
ROUND(((TRUNC(($AN504+0.01)*3/13,0)+0.99)*VLOOKUP((TRUNC(($AN504+0.01)*3/13,0)+0.99),'Tax scales - NAT 3539'!$A$99:$C$123,2,1)-VLOOKUP((TRUNC(($AN504+0.01)*3/13,0)+0.99),'Tax scales - NAT 3539'!$A$99:$C$123,3,1)),0)
*13/3,
0),
IF($E$2="Monthly",
ROUND(
ROUND(((TRUNC($AN504*3/13,0)+0.99)*VLOOKUP((TRUNC($AN504*3/13,0)+0.99),'Tax scales - NAT 3539'!$A$99:$C$123,2,1)-VLOOKUP((TRUNC($AN504*3/13,0)+0.99),'Tax scales - NAT 3539'!$A$99:$C$123,3,1)),0)
*13/3,
0),
""))),
""),
"")</f>
        <v/>
      </c>
      <c r="AY504" s="118" t="str">
        <f>IFERROR(
IF(VLOOKUP($C504,'Employee information'!$B:$M,COLUMNS('Employee information'!$B:$M),0)=66,
IF($E$2="Fortnightly",
ROUND(
ROUND((((TRUNC($AN504/2,0)+0.99))*VLOOKUP((TRUNC($AN504/2,0)+0.99),'Tax scales - NAT 3539'!$A$127:$C$154,2,1)-VLOOKUP((TRUNC($AN504/2,0)+0.99),'Tax scales - NAT 3539'!$A$127:$C$154,3,1)),0)
*2,
0),
IF(AND($E$2="Monthly",ROUND($AN504-TRUNC($AN504),2)=0.33),
ROUND(
ROUND(((TRUNC(($AN504+0.01)*3/13,0)+0.99)*VLOOKUP((TRUNC(($AN504+0.01)*3/13,0)+0.99),'Tax scales - NAT 3539'!$A$127:$C$154,2,1)-VLOOKUP((TRUNC(($AN504+0.01)*3/13,0)+0.99),'Tax scales - NAT 3539'!$A$127:$C$154,3,1)),0)
*13/3,
0),
IF($E$2="Monthly",
ROUND(
ROUND(((TRUNC($AN504*3/13,0)+0.99)*VLOOKUP((TRUNC($AN504*3/13,0)+0.99),'Tax scales - NAT 3539'!$A$127:$C$154,2,1)-VLOOKUP((TRUNC($AN504*3/13,0)+0.99),'Tax scales - NAT 3539'!$A$127:$C$154,3,1)),0)
*13/3,
0),
""))),
""),
"")</f>
        <v/>
      </c>
      <c r="AZ504" s="118">
        <f>IFERROR(
HLOOKUP(VLOOKUP($C504,'Employee information'!$B:$M,COLUMNS('Employee information'!$B:$M),0),'PAYG worksheet'!$AO$503:$AY$522,COUNTA($C$504:$C504)+1,0),
0)</f>
        <v>1448</v>
      </c>
      <c r="BA504" s="118"/>
      <c r="BB504" s="118">
        <f>IFERROR($AM504-$AZ504-$BA504,"")</f>
        <v>2249.576396206533</v>
      </c>
      <c r="BC504" s="119">
        <f>IFERROR(
IF(OR($AE504=1,$AE504=""),SUM($P504,$AA504,$AC504,$AK504)*VLOOKUP($C504,'Employee information'!$B:$Q,COLUMNS('Employee information'!$B:$H),0),
IF($AE504=0,SUM($P504,$AA504,$AK504)*VLOOKUP($C504,'Employee information'!$B:$Q,COLUMNS('Employee information'!$B:$H),0),
0)),
0)</f>
        <v>351.26975763962065</v>
      </c>
      <c r="BE504" s="114">
        <f t="shared" ref="BE504:BE522" si="527">IF(AND($E$2="Monthly",$A504&gt;12),"",
SUMIFS($AM:$AM,$C:$C,$C504,$A:$A,"&lt;="&amp;$A504)
)</f>
        <v>66556.375131717592</v>
      </c>
      <c r="BF504" s="114">
        <f t="shared" ref="BF504:BF522" si="528">IF(AND($E$2="Monthly",$A504&gt;12),"",
SUMIFS($AN:$AN,$C:$C,$C504,$A:$A,"&lt;="&amp;$A504)
)</f>
        <v>66556.375131717592</v>
      </c>
      <c r="BG504" s="114">
        <f t="shared" ref="BG504:BG522" si="529">IF(AND($E$2="Monthly",$A504&gt;12),"",
SUMIFS($AC:$AC,$C:$C,$C504,$A:$A,"&lt;="&amp;$A504)
)</f>
        <v>0</v>
      </c>
      <c r="BH504" s="114">
        <f t="shared" ref="BH504:BH522" si="530">IF(AND($E$2="Monthly",$A504&gt;12),"",
SUMIFS($AG:$AG,$C:$C,$C504,$A:$A,"&lt;="&amp;$A504)
)</f>
        <v>0</v>
      </c>
      <c r="BI504" s="114">
        <f t="shared" ref="BI504:BI522" si="531">IF(AND($E$2="Monthly",$A504&gt;12),"",
SUMIFS($AZ:$AZ,$C:$C,$C504,$A:$A,"&lt;="&amp;$A504)
)</f>
        <v>26064</v>
      </c>
      <c r="BJ504" s="114">
        <f t="shared" ref="BJ504:BJ522" si="532">IF(AND($E$2="Monthly",$A504&gt;12),"",
SUMIFS($BA:$BA,$C:$C,$C504,$A:$A,"&lt;="&amp;$A504)
)</f>
        <v>0</v>
      </c>
      <c r="BK504" s="114">
        <f t="shared" ref="BK504:BK522" si="533">IF(AND($E$2="Monthly",$A504&gt;12),"",
SUMIFS($AJ:$AJ,$C:$C,$C504,$A:$A,"&lt;="&amp;$A504)
)</f>
        <v>0</v>
      </c>
      <c r="BL504" s="114">
        <f>IF(AND($E$2="Monthly",$A504&gt;12),"",
SUMIFS($AK:$AK,$C:$C,$C504,$A:$A,"&lt;="&amp;$A504)
)</f>
        <v>0</v>
      </c>
      <c r="BM504" s="114">
        <f t="shared" ref="BM504:BM522" si="534">IF(AND($E$2="Monthly",$A504&gt;12),"",
SUMIFS($BC:$BC,$C:$C,$C504,$A:$A,"&lt;="&amp;$A504)
)</f>
        <v>6322.8556375131711</v>
      </c>
    </row>
    <row r="505" spans="1:65" x14ac:dyDescent="0.25">
      <c r="A505" s="228">
        <f t="shared" si="522"/>
        <v>18</v>
      </c>
      <c r="C505" s="278" t="s">
        <v>13</v>
      </c>
      <c r="E505" s="103">
        <f>IF($C505="",0,
IF(AND($E$2="Monthly",$A505&gt;12),0,
IF($E$2="Monthly",VLOOKUP($C505,'Employee information'!$B:$AM,COLUMNS('Employee information'!$B:S),0),
IF($E$2="Fortnightly",VLOOKUP($C505,'Employee information'!$B:$AM,COLUMNS('Employee information'!$B:R),0),
0))))</f>
        <v>0</v>
      </c>
      <c r="F505" s="106"/>
      <c r="G505" s="106"/>
      <c r="H505" s="106"/>
      <c r="I505" s="106"/>
      <c r="J505" s="103">
        <f t="shared" ref="J505:J522" si="535">IF($E$2="Monthly",
IF(AND($E$2="Monthly",$H505&lt;&gt;""),$H505,
IF(AND($E$2="Monthly",$E505=0),SUM($F505:$G505),
$E505)),
IF($E$2="Fortnightly",
IF(AND($E$2="Fortnightly",$H505&lt;&gt;""),$H505,
IF(AND($E$2="Fortnightly",$F505&lt;&gt;"",$E505&lt;&gt;0),$F505,
IF(AND($E$2="Fortnightly",$E505=0),SUM($F505:$G505),
$E505)))))</f>
        <v>0</v>
      </c>
      <c r="L505" s="113">
        <f>IF(AND($E$2="Monthly",$A505&gt;12),"",
IFERROR($J505*VLOOKUP($C505,'Employee information'!$B:$AI,COLUMNS('Employee information'!$B:$P),0),0))</f>
        <v>0</v>
      </c>
      <c r="M505" s="114">
        <f t="shared" ref="M505:M522" si="536">IF(AND($E$2="Monthly",$A505&gt;12),"",
SUMIFS($L:$L,$C:$C,$C505,$A:$A,"&lt;="&amp;$A505)
)</f>
        <v>1615.3846153846152</v>
      </c>
      <c r="O505" s="103">
        <f t="shared" ref="O505:O522" si="537">IF($E$2="Monthly",
IF(AND($E$2="Monthly",$H505&lt;&gt;""),$H505,
IF(AND($E$2="Monthly",$E505=0),$F505,
$E505)),
IF($E$2="Fortnightly",
IF(AND($E$2="Fortnightly",$H505&lt;&gt;""),$H505,
IF(AND($E$2="Fortnightly",$F505&lt;&gt;"",$E505&lt;&gt;0),$F505,
IF(AND($E$2="Fortnightly",$E505=0),$F505,
$E505)))))</f>
        <v>0</v>
      </c>
      <c r="P505" s="113">
        <f>IFERROR(
IF(AND($E$2="Monthly",$A505&gt;12),0,
$O505*VLOOKUP($C505,'Employee information'!$B:$AI,COLUMNS('Employee information'!$B:$P),0)),
0)</f>
        <v>0</v>
      </c>
      <c r="R505" s="114">
        <f t="shared" si="523"/>
        <v>1615.3846153846152</v>
      </c>
      <c r="T505" s="103"/>
      <c r="U505" s="103"/>
      <c r="V505" s="282">
        <f>IF($C505="","",
IF(AND($E$2="Monthly",$A505&gt;12),"",
$T505*VLOOKUP($C505,'Employee information'!$B:$P,COLUMNS('Employee information'!$B:$P),0)))</f>
        <v>0</v>
      </c>
      <c r="W505" s="282">
        <f>IF($C505="","",
IF(AND($E$2="Monthly",$A505&gt;12),"",
$U505*VLOOKUP($C505,'Employee information'!$B:$P,COLUMNS('Employee information'!$B:$P),0)))</f>
        <v>0</v>
      </c>
      <c r="X505" s="114">
        <f t="shared" si="524"/>
        <v>0</v>
      </c>
      <c r="Y505" s="114">
        <f t="shared" si="525"/>
        <v>288.46153846153845</v>
      </c>
      <c r="AA505" s="118">
        <f>IFERROR(
IF(OR('Basic payroll data'!$D$12="",'Basic payroll data'!$D$12="No"),0,
$T505*VLOOKUP($C505,'Employee information'!$B:$P,COLUMNS('Employee information'!$B:$P),0)*AL_loading_perc),
0)</f>
        <v>0</v>
      </c>
      <c r="AC505" s="118"/>
      <c r="AD505" s="118"/>
      <c r="AE505" s="283" t="str">
        <f t="shared" ref="AE505:AE522" si="538">IF(LEFT($AD505,6)="Is OTE",1,
IF(LEFT($AD505,10)="Is not OTE",0,
""))</f>
        <v/>
      </c>
      <c r="AF505" s="283" t="str">
        <f t="shared" ref="AF505:AF522" si="539">IF(RIGHT($AD505,12)="tax withheld",1,
IF(RIGHT($AD505,16)="tax not withheld",0,
""))</f>
        <v/>
      </c>
      <c r="AG505" s="118"/>
      <c r="AH505" s="118"/>
      <c r="AI505" s="283" t="str">
        <f t="shared" ref="AI505:AI522" si="540">IF($AH505="FBT",0,
IF($AH505="Not FBT",1,
""))</f>
        <v/>
      </c>
      <c r="AJ505" s="118"/>
      <c r="AK505" s="118"/>
      <c r="AM505" s="118">
        <f t="shared" ref="AM505:AM522" si="541">SUM($L505,$AA505,$AC505,$AG505,$AK505)-$AJ505</f>
        <v>0</v>
      </c>
      <c r="AN505" s="118">
        <f t="shared" si="526"/>
        <v>0</v>
      </c>
      <c r="AO505" s="118" t="str">
        <f>IFERROR(
IF(VLOOKUP($C505,'Employee information'!$B:$M,COLUMNS('Employee information'!$B:$M),0)=1,
IF($E$2="Fortnightly",
ROUND(
ROUND((((TRUNC($AN505/2,0)+0.99))*VLOOKUP((TRUNC($AN505/2,0)+0.99),'Tax scales - NAT 1004'!$A$12:$C$18,2,1)-VLOOKUP((TRUNC($AN505/2,0)+0.99),'Tax scales - NAT 1004'!$A$12:$C$18,3,1)),0)
*2,
0),
IF(AND($E$2="Monthly",ROUND($AN505-TRUNC($AN505),2)=0.33),
ROUND(
ROUND(((TRUNC(($AN505+0.01)*3/13,0)+0.99)*VLOOKUP((TRUNC(($AN505+0.01)*3/13,0)+0.99),'Tax scales - NAT 1004'!$A$12:$C$18,2,1)-VLOOKUP((TRUNC(($AN505+0.01)*3/13,0)+0.99),'Tax scales - NAT 1004'!$A$12:$C$18,3,1)),0)
*13/3,
0),
IF($E$2="Monthly",
ROUND(
ROUND(((TRUNC($AN505*3/13,0)+0.99)*VLOOKUP((TRUNC($AN505*3/13,0)+0.99),'Tax scales - NAT 1004'!$A$12:$C$18,2,1)-VLOOKUP((TRUNC($AN505*3/13,0)+0.99),'Tax scales - NAT 1004'!$A$12:$C$18,3,1)),0)
*13/3,
0),
""))),
""),
"")</f>
        <v/>
      </c>
      <c r="AP505" s="118" t="str">
        <f>IFERROR(
IF(VLOOKUP($C505,'Employee information'!$B:$M,COLUMNS('Employee information'!$B:$M),0)=2,
IF($E$2="Fortnightly",
ROUND(
ROUND((((TRUNC($AN505/2,0)+0.99))*VLOOKUP((TRUNC($AN505/2,0)+0.99),'Tax scales - NAT 1004'!$A$25:$C$33,2,1)-VLOOKUP((TRUNC($AN505/2,0)+0.99),'Tax scales - NAT 1004'!$A$25:$C$33,3,1)),0)
*2,
0),
IF(AND($E$2="Monthly",ROUND($AN505-TRUNC($AN505),2)=0.33),
ROUND(
ROUND(((TRUNC(($AN505+0.01)*3/13,0)+0.99)*VLOOKUP((TRUNC(($AN505+0.01)*3/13,0)+0.99),'Tax scales - NAT 1004'!$A$25:$C$33,2,1)-VLOOKUP((TRUNC(($AN505+0.01)*3/13,0)+0.99),'Tax scales - NAT 1004'!$A$25:$C$33,3,1)),0)
*13/3,
0),
IF($E$2="Monthly",
ROUND(
ROUND(((TRUNC($AN505*3/13,0)+0.99)*VLOOKUP((TRUNC($AN505*3/13,0)+0.99),'Tax scales - NAT 1004'!$A$25:$C$33,2,1)-VLOOKUP((TRUNC($AN505*3/13,0)+0.99),'Tax scales - NAT 1004'!$A$25:$C$33,3,1)),0)
*13/3,
0),
""))),
""),
"")</f>
        <v/>
      </c>
      <c r="AQ505" s="118" t="str">
        <f>IFERROR(
IF(VLOOKUP($C505,'Employee information'!$B:$M,COLUMNS('Employee information'!$B:$M),0)=3,
IF($E$2="Fortnightly",
ROUND(
ROUND((((TRUNC($AN505/2,0)+0.99))*VLOOKUP((TRUNC($AN505/2,0)+0.99),'Tax scales - NAT 1004'!$A$39:$C$41,2,1)-VLOOKUP((TRUNC($AN505/2,0)+0.99),'Tax scales - NAT 1004'!$A$39:$C$41,3,1)),0)
*2,
0),
IF(AND($E$2="Monthly",ROUND($AN505-TRUNC($AN505),2)=0.33),
ROUND(
ROUND(((TRUNC(($AN505+0.01)*3/13,0)+0.99)*VLOOKUP((TRUNC(($AN505+0.01)*3/13,0)+0.99),'Tax scales - NAT 1004'!$A$39:$C$41,2,1)-VLOOKUP((TRUNC(($AN505+0.01)*3/13,0)+0.99),'Tax scales - NAT 1004'!$A$39:$C$41,3,1)),0)
*13/3,
0),
IF($E$2="Monthly",
ROUND(
ROUND(((TRUNC($AN505*3/13,0)+0.99)*VLOOKUP((TRUNC($AN505*3/13,0)+0.99),'Tax scales - NAT 1004'!$A$39:$C$41,2,1)-VLOOKUP((TRUNC($AN505*3/13,0)+0.99),'Tax scales - NAT 1004'!$A$39:$C$41,3,1)),0)
*13/3,
0),
""))),
""),
"")</f>
        <v/>
      </c>
      <c r="AR505" s="118" t="str">
        <f>IFERROR(
IF(AND(VLOOKUP($C505,'Employee information'!$B:$M,COLUMNS('Employee information'!$B:$M),0)=4,
VLOOKUP($C505,'Employee information'!$B:$J,COLUMNS('Employee information'!$B:$J),0)="Resident"),
TRUNC(TRUNC($AN505)*'Tax scales - NAT 1004'!$B$47),
IF(AND(VLOOKUP($C505,'Employee information'!$B:$M,COLUMNS('Employee information'!$B:$M),0)=4,
VLOOKUP($C505,'Employee information'!$B:$J,COLUMNS('Employee information'!$B:$J),0)="Foreign resident"),
TRUNC(TRUNC($AN505)*'Tax scales - NAT 1004'!$B$48),
"")),
"")</f>
        <v/>
      </c>
      <c r="AS505" s="118" t="str">
        <f>IFERROR(
IF(VLOOKUP($C505,'Employee information'!$B:$M,COLUMNS('Employee information'!$B:$M),0)=5,
IF($E$2="Fortnightly",
ROUND(
ROUND((((TRUNC($AN505/2,0)+0.99))*VLOOKUP((TRUNC($AN505/2,0)+0.99),'Tax scales - NAT 1004'!$A$53:$C$59,2,1)-VLOOKUP((TRUNC($AN505/2,0)+0.99),'Tax scales - NAT 1004'!$A$53:$C$59,3,1)),0)
*2,
0),
IF(AND($E$2="Monthly",ROUND($AN505-TRUNC($AN505),2)=0.33),
ROUND(
ROUND(((TRUNC(($AN505+0.01)*3/13,0)+0.99)*VLOOKUP((TRUNC(($AN505+0.01)*3/13,0)+0.99),'Tax scales - NAT 1004'!$A$53:$C$59,2,1)-VLOOKUP((TRUNC(($AN505+0.01)*3/13,0)+0.99),'Tax scales - NAT 1004'!$A$53:$C$59,3,1)),0)
*13/3,
0),
IF($E$2="Monthly",
ROUND(
ROUND(((TRUNC($AN505*3/13,0)+0.99)*VLOOKUP((TRUNC($AN505*3/13,0)+0.99),'Tax scales - NAT 1004'!$A$53:$C$59,2,1)-VLOOKUP((TRUNC($AN505*3/13,0)+0.99),'Tax scales - NAT 1004'!$A$53:$C$59,3,1)),0)
*13/3,
0),
""))),
""),
"")</f>
        <v/>
      </c>
      <c r="AT505" s="118" t="str">
        <f>IFERROR(
IF(VLOOKUP($C505,'Employee information'!$B:$M,COLUMNS('Employee information'!$B:$M),0)=6,
IF($E$2="Fortnightly",
ROUND(
ROUND((((TRUNC($AN505/2,0)+0.99))*VLOOKUP((TRUNC($AN505/2,0)+0.99),'Tax scales - NAT 1004'!$A$65:$C$73,2,1)-VLOOKUP((TRUNC($AN505/2,0)+0.99),'Tax scales - NAT 1004'!$A$65:$C$73,3,1)),0)
*2,
0),
IF(AND($E$2="Monthly",ROUND($AN505-TRUNC($AN505),2)=0.33),
ROUND(
ROUND(((TRUNC(($AN505+0.01)*3/13,0)+0.99)*VLOOKUP((TRUNC(($AN505+0.01)*3/13,0)+0.99),'Tax scales - NAT 1004'!$A$65:$C$73,2,1)-VLOOKUP((TRUNC(($AN505+0.01)*3/13,0)+0.99),'Tax scales - NAT 1004'!$A$65:$C$73,3,1)),0)
*13/3,
0),
IF($E$2="Monthly",
ROUND(
ROUND(((TRUNC($AN505*3/13,0)+0.99)*VLOOKUP((TRUNC($AN505*3/13,0)+0.99),'Tax scales - NAT 1004'!$A$65:$C$73,2,1)-VLOOKUP((TRUNC($AN505*3/13,0)+0.99),'Tax scales - NAT 1004'!$A$65:$C$73,3,1)),0)
*13/3,
0),
""))),
""),
"")</f>
        <v/>
      </c>
      <c r="AU505" s="118">
        <f>IFERROR(
IF(VLOOKUP($C505,'Employee information'!$B:$M,COLUMNS('Employee information'!$B:$M),0)=11,
IF($E$2="Fortnightly",
ROUND(
ROUND((((TRUNC($AN505/2,0)+0.99))*VLOOKUP((TRUNC($AN505/2,0)+0.99),'Tax scales - NAT 3539'!$A$14:$C$38,2,1)-VLOOKUP((TRUNC($AN505/2,0)+0.99),'Tax scales - NAT 3539'!$A$14:$C$38,3,1)),0)
*2,
0),
IF(AND($E$2="Monthly",ROUND($AN505-TRUNC($AN505),2)=0.33),
ROUND(
ROUND(((TRUNC(($AN505+0.01)*3/13,0)+0.99)*VLOOKUP((TRUNC(($AN505+0.01)*3/13,0)+0.99),'Tax scales - NAT 3539'!$A$14:$C$38,2,1)-VLOOKUP((TRUNC(($AN505+0.01)*3/13,0)+0.99),'Tax scales - NAT 3539'!$A$14:$C$38,3,1)),0)
*13/3,
0),
IF($E$2="Monthly",
ROUND(
ROUND(((TRUNC($AN505*3/13,0)+0.99)*VLOOKUP((TRUNC($AN505*3/13,0)+0.99),'Tax scales - NAT 3539'!$A$14:$C$38,2,1)-VLOOKUP((TRUNC($AN505*3/13,0)+0.99),'Tax scales - NAT 3539'!$A$14:$C$38,3,1)),0)
*13/3,
0),
""))),
""),
"")</f>
        <v>0</v>
      </c>
      <c r="AV505" s="118" t="str">
        <f>IFERROR(
IF(VLOOKUP($C505,'Employee information'!$B:$M,COLUMNS('Employee information'!$B:$M),0)=22,
IF($E$2="Fortnightly",
ROUND(
ROUND((((TRUNC($AN505/2,0)+0.99))*VLOOKUP((TRUNC($AN505/2,0)+0.99),'Tax scales - NAT 3539'!$A$43:$C$69,2,1)-VLOOKUP((TRUNC($AN505/2,0)+0.99),'Tax scales - NAT 3539'!$A$43:$C$69,3,1)),0)
*2,
0),
IF(AND($E$2="Monthly",ROUND($AN505-TRUNC($AN505),2)=0.33),
ROUND(
ROUND(((TRUNC(($AN505+0.01)*3/13,0)+0.99)*VLOOKUP((TRUNC(($AN505+0.01)*3/13,0)+0.99),'Tax scales - NAT 3539'!$A$43:$C$69,2,1)-VLOOKUP((TRUNC(($AN505+0.01)*3/13,0)+0.99),'Tax scales - NAT 3539'!$A$43:$C$69,3,1)),0)
*13/3,
0),
IF($E$2="Monthly",
ROUND(
ROUND(((TRUNC($AN505*3/13,0)+0.99)*VLOOKUP((TRUNC($AN505*3/13,0)+0.99),'Tax scales - NAT 3539'!$A$43:$C$69,2,1)-VLOOKUP((TRUNC($AN505*3/13,0)+0.99),'Tax scales - NAT 3539'!$A$43:$C$69,3,1)),0)
*13/3,
0),
""))),
""),
"")</f>
        <v/>
      </c>
      <c r="AW505" s="118" t="str">
        <f>IFERROR(
IF(VLOOKUP($C505,'Employee information'!$B:$M,COLUMNS('Employee information'!$B:$M),0)=33,
IF($E$2="Fortnightly",
ROUND(
ROUND((((TRUNC($AN505/2,0)+0.99))*VLOOKUP((TRUNC($AN505/2,0)+0.99),'Tax scales - NAT 3539'!$A$74:$C$94,2,1)-VLOOKUP((TRUNC($AN505/2,0)+0.99),'Tax scales - NAT 3539'!$A$74:$C$94,3,1)),0)
*2,
0),
IF(AND($E$2="Monthly",ROUND($AN505-TRUNC($AN505),2)=0.33),
ROUND(
ROUND(((TRUNC(($AN505+0.01)*3/13,0)+0.99)*VLOOKUP((TRUNC(($AN505+0.01)*3/13,0)+0.99),'Tax scales - NAT 3539'!$A$74:$C$94,2,1)-VLOOKUP((TRUNC(($AN505+0.01)*3/13,0)+0.99),'Tax scales - NAT 3539'!$A$74:$C$94,3,1)),0)
*13/3,
0),
IF($E$2="Monthly",
ROUND(
ROUND(((TRUNC($AN505*3/13,0)+0.99)*VLOOKUP((TRUNC($AN505*3/13,0)+0.99),'Tax scales - NAT 3539'!$A$74:$C$94,2,1)-VLOOKUP((TRUNC($AN505*3/13,0)+0.99),'Tax scales - NAT 3539'!$A$74:$C$94,3,1)),0)
*13/3,
0),
""))),
""),
"")</f>
        <v/>
      </c>
      <c r="AX505" s="118" t="str">
        <f>IFERROR(
IF(VLOOKUP($C505,'Employee information'!$B:$M,COLUMNS('Employee information'!$B:$M),0)=55,
IF($E$2="Fortnightly",
ROUND(
ROUND((((TRUNC($AN505/2,0)+0.99))*VLOOKUP((TRUNC($AN505/2,0)+0.99),'Tax scales - NAT 3539'!$A$99:$C$123,2,1)-VLOOKUP((TRUNC($AN505/2,0)+0.99),'Tax scales - NAT 3539'!$A$99:$C$123,3,1)),0)
*2,
0),
IF(AND($E$2="Monthly",ROUND($AN505-TRUNC($AN505),2)=0.33),
ROUND(
ROUND(((TRUNC(($AN505+0.01)*3/13,0)+0.99)*VLOOKUP((TRUNC(($AN505+0.01)*3/13,0)+0.99),'Tax scales - NAT 3539'!$A$99:$C$123,2,1)-VLOOKUP((TRUNC(($AN505+0.01)*3/13,0)+0.99),'Tax scales - NAT 3539'!$A$99:$C$123,3,1)),0)
*13/3,
0),
IF($E$2="Monthly",
ROUND(
ROUND(((TRUNC($AN505*3/13,0)+0.99)*VLOOKUP((TRUNC($AN505*3/13,0)+0.99),'Tax scales - NAT 3539'!$A$99:$C$123,2,1)-VLOOKUP((TRUNC($AN505*3/13,0)+0.99),'Tax scales - NAT 3539'!$A$99:$C$123,3,1)),0)
*13/3,
0),
""))),
""),
"")</f>
        <v/>
      </c>
      <c r="AY505" s="118" t="str">
        <f>IFERROR(
IF(VLOOKUP($C505,'Employee information'!$B:$M,COLUMNS('Employee information'!$B:$M),0)=66,
IF($E$2="Fortnightly",
ROUND(
ROUND((((TRUNC($AN505/2,0)+0.99))*VLOOKUP((TRUNC($AN505/2,0)+0.99),'Tax scales - NAT 3539'!$A$127:$C$154,2,1)-VLOOKUP((TRUNC($AN505/2,0)+0.99),'Tax scales - NAT 3539'!$A$127:$C$154,3,1)),0)
*2,
0),
IF(AND($E$2="Monthly",ROUND($AN505-TRUNC($AN505),2)=0.33),
ROUND(
ROUND(((TRUNC(($AN505+0.01)*3/13,0)+0.99)*VLOOKUP((TRUNC(($AN505+0.01)*3/13,0)+0.99),'Tax scales - NAT 3539'!$A$127:$C$154,2,1)-VLOOKUP((TRUNC(($AN505+0.01)*3/13,0)+0.99),'Tax scales - NAT 3539'!$A$127:$C$154,3,1)),0)
*13/3,
0),
IF($E$2="Monthly",
ROUND(
ROUND(((TRUNC($AN505*3/13,0)+0.99)*VLOOKUP((TRUNC($AN505*3/13,0)+0.99),'Tax scales - NAT 3539'!$A$127:$C$154,2,1)-VLOOKUP((TRUNC($AN505*3/13,0)+0.99),'Tax scales - NAT 3539'!$A$127:$C$154,3,1)),0)
*13/3,
0),
""))),
""),
"")</f>
        <v/>
      </c>
      <c r="AZ505" s="118">
        <f>IFERROR(
HLOOKUP(VLOOKUP($C505,'Employee information'!$B:$M,COLUMNS('Employee information'!$B:$M),0),'PAYG worksheet'!$AO$503:$AY$522,COUNTA($C$504:$C505)+1,0),
0)</f>
        <v>0</v>
      </c>
      <c r="BA505" s="118"/>
      <c r="BB505" s="118">
        <f t="shared" ref="BB505:BB522" si="542">IFERROR($AM505-$AZ505-$BA505,"")</f>
        <v>0</v>
      </c>
      <c r="BC505" s="119">
        <f>IFERROR(
IF(OR($AE505=1,$AE505=""),SUM($P505,$AA505,$AC505,$AK505)*VLOOKUP($C505,'Employee information'!$B:$Q,COLUMNS('Employee information'!$B:$H),0),
IF($AE505=0,SUM($P505,$AA505,$AK505)*VLOOKUP($C505,'Employee information'!$B:$Q,COLUMNS('Employee information'!$B:$H),0),
0)),
0)</f>
        <v>0</v>
      </c>
      <c r="BE505" s="114">
        <f t="shared" si="527"/>
        <v>1615.3846153846152</v>
      </c>
      <c r="BF505" s="114">
        <f t="shared" si="528"/>
        <v>1615.3846153846152</v>
      </c>
      <c r="BG505" s="114">
        <f t="shared" si="529"/>
        <v>0</v>
      </c>
      <c r="BH505" s="114">
        <f t="shared" si="530"/>
        <v>0</v>
      </c>
      <c r="BI505" s="114">
        <f t="shared" si="531"/>
        <v>474</v>
      </c>
      <c r="BJ505" s="114">
        <f t="shared" si="532"/>
        <v>0</v>
      </c>
      <c r="BK505" s="114">
        <f t="shared" si="533"/>
        <v>0</v>
      </c>
      <c r="BL505" s="114">
        <f t="shared" ref="BL505:BL522" si="543">IF(AND($E$2="Monthly",$A505&gt;12),"",
SUMIFS($AK:$AK,$C:$C,$C505,$A:$A,"&lt;="&amp;$A505)
)</f>
        <v>0</v>
      </c>
      <c r="BM505" s="114">
        <f t="shared" si="534"/>
        <v>153.46153846153845</v>
      </c>
    </row>
    <row r="506" spans="1:65" x14ac:dyDescent="0.25">
      <c r="A506" s="228">
        <f t="shared" si="522"/>
        <v>18</v>
      </c>
      <c r="C506" s="278" t="s">
        <v>14</v>
      </c>
      <c r="E506" s="103">
        <f>IF($C506="",0,
IF(AND($E$2="Monthly",$A506&gt;12),0,
IF($E$2="Monthly",VLOOKUP($C506,'Employee information'!$B:$AM,COLUMNS('Employee information'!$B:S),0),
IF($E$2="Fortnightly",VLOOKUP($C506,'Employee information'!$B:$AM,COLUMNS('Employee information'!$B:R),0),
0))))</f>
        <v>0</v>
      </c>
      <c r="F506" s="106"/>
      <c r="G506" s="106"/>
      <c r="H506" s="106"/>
      <c r="I506" s="106"/>
      <c r="J506" s="103">
        <f t="shared" si="535"/>
        <v>0</v>
      </c>
      <c r="L506" s="113">
        <f>IF(AND($E$2="Monthly",$A506&gt;12),"",
IFERROR($J506*VLOOKUP($C506,'Employee information'!$B:$AI,COLUMNS('Employee information'!$B:$P),0),0))</f>
        <v>0</v>
      </c>
      <c r="M506" s="114">
        <f t="shared" si="536"/>
        <v>900</v>
      </c>
      <c r="O506" s="103">
        <f t="shared" si="537"/>
        <v>0</v>
      </c>
      <c r="P506" s="113">
        <f>IFERROR(
IF(AND($E$2="Monthly",$A506&gt;12),0,
$O506*VLOOKUP($C506,'Employee information'!$B:$AI,COLUMNS('Employee information'!$B:$P),0)),
0)</f>
        <v>0</v>
      </c>
      <c r="R506" s="114">
        <f t="shared" si="523"/>
        <v>900</v>
      </c>
      <c r="T506" s="103"/>
      <c r="U506" s="103"/>
      <c r="V506" s="282">
        <f>IF($C506="","",
IF(AND($E$2="Monthly",$A506&gt;12),"",
$T506*VLOOKUP($C506,'Employee information'!$B:$P,COLUMNS('Employee information'!$B:$P),0)))</f>
        <v>0</v>
      </c>
      <c r="W506" s="282">
        <f>IF($C506="","",
IF(AND($E$2="Monthly",$A506&gt;12),"",
$U506*VLOOKUP($C506,'Employee information'!$B:$P,COLUMNS('Employee information'!$B:$P),0)))</f>
        <v>0</v>
      </c>
      <c r="X506" s="114">
        <f t="shared" si="524"/>
        <v>0</v>
      </c>
      <c r="Y506" s="114">
        <f t="shared" si="525"/>
        <v>0</v>
      </c>
      <c r="AA506" s="118">
        <f>IFERROR(
IF(OR('Basic payroll data'!$D$12="",'Basic payroll data'!$D$12="No"),0,
$T506*VLOOKUP($C506,'Employee information'!$B:$P,COLUMNS('Employee information'!$B:$P),0)*AL_loading_perc),
0)</f>
        <v>0</v>
      </c>
      <c r="AC506" s="118"/>
      <c r="AD506" s="118"/>
      <c r="AE506" s="283" t="str">
        <f t="shared" si="538"/>
        <v/>
      </c>
      <c r="AF506" s="283" t="str">
        <f t="shared" si="539"/>
        <v/>
      </c>
      <c r="AG506" s="118"/>
      <c r="AH506" s="118"/>
      <c r="AI506" s="283" t="str">
        <f t="shared" si="540"/>
        <v/>
      </c>
      <c r="AJ506" s="118"/>
      <c r="AK506" s="118"/>
      <c r="AM506" s="118">
        <f t="shared" si="541"/>
        <v>0</v>
      </c>
      <c r="AN506" s="118">
        <f t="shared" si="526"/>
        <v>0</v>
      </c>
      <c r="AO506" s="118" t="str">
        <f>IFERROR(
IF(VLOOKUP($C506,'Employee information'!$B:$M,COLUMNS('Employee information'!$B:$M),0)=1,
IF($E$2="Fortnightly",
ROUND(
ROUND((((TRUNC($AN506/2,0)+0.99))*VLOOKUP((TRUNC($AN506/2,0)+0.99),'Tax scales - NAT 1004'!$A$12:$C$18,2,1)-VLOOKUP((TRUNC($AN506/2,0)+0.99),'Tax scales - NAT 1004'!$A$12:$C$18,3,1)),0)
*2,
0),
IF(AND($E$2="Monthly",ROUND($AN506-TRUNC($AN506),2)=0.33),
ROUND(
ROUND(((TRUNC(($AN506+0.01)*3/13,0)+0.99)*VLOOKUP((TRUNC(($AN506+0.01)*3/13,0)+0.99),'Tax scales - NAT 1004'!$A$12:$C$18,2,1)-VLOOKUP((TRUNC(($AN506+0.01)*3/13,0)+0.99),'Tax scales - NAT 1004'!$A$12:$C$18,3,1)),0)
*13/3,
0),
IF($E$2="Monthly",
ROUND(
ROUND(((TRUNC($AN506*3/13,0)+0.99)*VLOOKUP((TRUNC($AN506*3/13,0)+0.99),'Tax scales - NAT 1004'!$A$12:$C$18,2,1)-VLOOKUP((TRUNC($AN506*3/13,0)+0.99),'Tax scales - NAT 1004'!$A$12:$C$18,3,1)),0)
*13/3,
0),
""))),
""),
"")</f>
        <v/>
      </c>
      <c r="AP506" s="118" t="str">
        <f>IFERROR(
IF(VLOOKUP($C506,'Employee information'!$B:$M,COLUMNS('Employee information'!$B:$M),0)=2,
IF($E$2="Fortnightly",
ROUND(
ROUND((((TRUNC($AN506/2,0)+0.99))*VLOOKUP((TRUNC($AN506/2,0)+0.99),'Tax scales - NAT 1004'!$A$25:$C$33,2,1)-VLOOKUP((TRUNC($AN506/2,0)+0.99),'Tax scales - NAT 1004'!$A$25:$C$33,3,1)),0)
*2,
0),
IF(AND($E$2="Monthly",ROUND($AN506-TRUNC($AN506),2)=0.33),
ROUND(
ROUND(((TRUNC(($AN506+0.01)*3/13,0)+0.99)*VLOOKUP((TRUNC(($AN506+0.01)*3/13,0)+0.99),'Tax scales - NAT 1004'!$A$25:$C$33,2,1)-VLOOKUP((TRUNC(($AN506+0.01)*3/13,0)+0.99),'Tax scales - NAT 1004'!$A$25:$C$33,3,1)),0)
*13/3,
0),
IF($E$2="Monthly",
ROUND(
ROUND(((TRUNC($AN506*3/13,0)+0.99)*VLOOKUP((TRUNC($AN506*3/13,0)+0.99),'Tax scales - NAT 1004'!$A$25:$C$33,2,1)-VLOOKUP((TRUNC($AN506*3/13,0)+0.99),'Tax scales - NAT 1004'!$A$25:$C$33,3,1)),0)
*13/3,
0),
""))),
""),
"")</f>
        <v/>
      </c>
      <c r="AQ506" s="118" t="str">
        <f>IFERROR(
IF(VLOOKUP($C506,'Employee information'!$B:$M,COLUMNS('Employee information'!$B:$M),0)=3,
IF($E$2="Fortnightly",
ROUND(
ROUND((((TRUNC($AN506/2,0)+0.99))*VLOOKUP((TRUNC($AN506/2,0)+0.99),'Tax scales - NAT 1004'!$A$39:$C$41,2,1)-VLOOKUP((TRUNC($AN506/2,0)+0.99),'Tax scales - NAT 1004'!$A$39:$C$41,3,1)),0)
*2,
0),
IF(AND($E$2="Monthly",ROUND($AN506-TRUNC($AN506),2)=0.33),
ROUND(
ROUND(((TRUNC(($AN506+0.01)*3/13,0)+0.99)*VLOOKUP((TRUNC(($AN506+0.01)*3/13,0)+0.99),'Tax scales - NAT 1004'!$A$39:$C$41,2,1)-VLOOKUP((TRUNC(($AN506+0.01)*3/13,0)+0.99),'Tax scales - NAT 1004'!$A$39:$C$41,3,1)),0)
*13/3,
0),
IF($E$2="Monthly",
ROUND(
ROUND(((TRUNC($AN506*3/13,0)+0.99)*VLOOKUP((TRUNC($AN506*3/13,0)+0.99),'Tax scales - NAT 1004'!$A$39:$C$41,2,1)-VLOOKUP((TRUNC($AN506*3/13,0)+0.99),'Tax scales - NAT 1004'!$A$39:$C$41,3,1)),0)
*13/3,
0),
""))),
""),
"")</f>
        <v/>
      </c>
      <c r="AR506" s="118" t="str">
        <f>IFERROR(
IF(AND(VLOOKUP($C506,'Employee information'!$B:$M,COLUMNS('Employee information'!$B:$M),0)=4,
VLOOKUP($C506,'Employee information'!$B:$J,COLUMNS('Employee information'!$B:$J),0)="Resident"),
TRUNC(TRUNC($AN506)*'Tax scales - NAT 1004'!$B$47),
IF(AND(VLOOKUP($C506,'Employee information'!$B:$M,COLUMNS('Employee information'!$B:$M),0)=4,
VLOOKUP($C506,'Employee information'!$B:$J,COLUMNS('Employee information'!$B:$J),0)="Foreign resident"),
TRUNC(TRUNC($AN506)*'Tax scales - NAT 1004'!$B$48),
"")),
"")</f>
        <v/>
      </c>
      <c r="AS506" s="118" t="str">
        <f>IFERROR(
IF(VLOOKUP($C506,'Employee information'!$B:$M,COLUMNS('Employee information'!$B:$M),0)=5,
IF($E$2="Fortnightly",
ROUND(
ROUND((((TRUNC($AN506/2,0)+0.99))*VLOOKUP((TRUNC($AN506/2,0)+0.99),'Tax scales - NAT 1004'!$A$53:$C$59,2,1)-VLOOKUP((TRUNC($AN506/2,0)+0.99),'Tax scales - NAT 1004'!$A$53:$C$59,3,1)),0)
*2,
0),
IF(AND($E$2="Monthly",ROUND($AN506-TRUNC($AN506),2)=0.33),
ROUND(
ROUND(((TRUNC(($AN506+0.01)*3/13,0)+0.99)*VLOOKUP((TRUNC(($AN506+0.01)*3/13,0)+0.99),'Tax scales - NAT 1004'!$A$53:$C$59,2,1)-VLOOKUP((TRUNC(($AN506+0.01)*3/13,0)+0.99),'Tax scales - NAT 1004'!$A$53:$C$59,3,1)),0)
*13/3,
0),
IF($E$2="Monthly",
ROUND(
ROUND(((TRUNC($AN506*3/13,0)+0.99)*VLOOKUP((TRUNC($AN506*3/13,0)+0.99),'Tax scales - NAT 1004'!$A$53:$C$59,2,1)-VLOOKUP((TRUNC($AN506*3/13,0)+0.99),'Tax scales - NAT 1004'!$A$53:$C$59,3,1)),0)
*13/3,
0),
""))),
""),
"")</f>
        <v/>
      </c>
      <c r="AT506" s="118" t="str">
        <f>IFERROR(
IF(VLOOKUP($C506,'Employee information'!$B:$M,COLUMNS('Employee information'!$B:$M),0)=6,
IF($E$2="Fortnightly",
ROUND(
ROUND((((TRUNC($AN506/2,0)+0.99))*VLOOKUP((TRUNC($AN506/2,0)+0.99),'Tax scales - NAT 1004'!$A$65:$C$73,2,1)-VLOOKUP((TRUNC($AN506/2,0)+0.99),'Tax scales - NAT 1004'!$A$65:$C$73,3,1)),0)
*2,
0),
IF(AND($E$2="Monthly",ROUND($AN506-TRUNC($AN506),2)=0.33),
ROUND(
ROUND(((TRUNC(($AN506+0.01)*3/13,0)+0.99)*VLOOKUP((TRUNC(($AN506+0.01)*3/13,0)+0.99),'Tax scales - NAT 1004'!$A$65:$C$73,2,1)-VLOOKUP((TRUNC(($AN506+0.01)*3/13,0)+0.99),'Tax scales - NAT 1004'!$A$65:$C$73,3,1)),0)
*13/3,
0),
IF($E$2="Monthly",
ROUND(
ROUND(((TRUNC($AN506*3/13,0)+0.99)*VLOOKUP((TRUNC($AN506*3/13,0)+0.99),'Tax scales - NAT 1004'!$A$65:$C$73,2,1)-VLOOKUP((TRUNC($AN506*3/13,0)+0.99),'Tax scales - NAT 1004'!$A$65:$C$73,3,1)),0)
*13/3,
0),
""))),
""),
"")</f>
        <v/>
      </c>
      <c r="AU506" s="118" t="str">
        <f>IFERROR(
IF(VLOOKUP($C506,'Employee information'!$B:$M,COLUMNS('Employee information'!$B:$M),0)=11,
IF($E$2="Fortnightly",
ROUND(
ROUND((((TRUNC($AN506/2,0)+0.99))*VLOOKUP((TRUNC($AN506/2,0)+0.99),'Tax scales - NAT 3539'!$A$14:$C$38,2,1)-VLOOKUP((TRUNC($AN506/2,0)+0.99),'Tax scales - NAT 3539'!$A$14:$C$38,3,1)),0)
*2,
0),
IF(AND($E$2="Monthly",ROUND($AN506-TRUNC($AN506),2)=0.33),
ROUND(
ROUND(((TRUNC(($AN506+0.01)*3/13,0)+0.99)*VLOOKUP((TRUNC(($AN506+0.01)*3/13,0)+0.99),'Tax scales - NAT 3539'!$A$14:$C$38,2,1)-VLOOKUP((TRUNC(($AN506+0.01)*3/13,0)+0.99),'Tax scales - NAT 3539'!$A$14:$C$38,3,1)),0)
*13/3,
0),
IF($E$2="Monthly",
ROUND(
ROUND(((TRUNC($AN506*3/13,0)+0.99)*VLOOKUP((TRUNC($AN506*3/13,0)+0.99),'Tax scales - NAT 3539'!$A$14:$C$38,2,1)-VLOOKUP((TRUNC($AN506*3/13,0)+0.99),'Tax scales - NAT 3539'!$A$14:$C$38,3,1)),0)
*13/3,
0),
""))),
""),
"")</f>
        <v/>
      </c>
      <c r="AV506" s="118" t="str">
        <f>IFERROR(
IF(VLOOKUP($C506,'Employee information'!$B:$M,COLUMNS('Employee information'!$B:$M),0)=22,
IF($E$2="Fortnightly",
ROUND(
ROUND((((TRUNC($AN506/2,0)+0.99))*VLOOKUP((TRUNC($AN506/2,0)+0.99),'Tax scales - NAT 3539'!$A$43:$C$69,2,1)-VLOOKUP((TRUNC($AN506/2,0)+0.99),'Tax scales - NAT 3539'!$A$43:$C$69,3,1)),0)
*2,
0),
IF(AND($E$2="Monthly",ROUND($AN506-TRUNC($AN506),2)=0.33),
ROUND(
ROUND(((TRUNC(($AN506+0.01)*3/13,0)+0.99)*VLOOKUP((TRUNC(($AN506+0.01)*3/13,0)+0.99),'Tax scales - NAT 3539'!$A$43:$C$69,2,1)-VLOOKUP((TRUNC(($AN506+0.01)*3/13,0)+0.99),'Tax scales - NAT 3539'!$A$43:$C$69,3,1)),0)
*13/3,
0),
IF($E$2="Monthly",
ROUND(
ROUND(((TRUNC($AN506*3/13,0)+0.99)*VLOOKUP((TRUNC($AN506*3/13,0)+0.99),'Tax scales - NAT 3539'!$A$43:$C$69,2,1)-VLOOKUP((TRUNC($AN506*3/13,0)+0.99),'Tax scales - NAT 3539'!$A$43:$C$69,3,1)),0)
*13/3,
0),
""))),
""),
"")</f>
        <v/>
      </c>
      <c r="AW506" s="118">
        <f>IFERROR(
IF(VLOOKUP($C506,'Employee information'!$B:$M,COLUMNS('Employee information'!$B:$M),0)=33,
IF($E$2="Fortnightly",
ROUND(
ROUND((((TRUNC($AN506/2,0)+0.99))*VLOOKUP((TRUNC($AN506/2,0)+0.99),'Tax scales - NAT 3539'!$A$74:$C$94,2,1)-VLOOKUP((TRUNC($AN506/2,0)+0.99),'Tax scales - NAT 3539'!$A$74:$C$94,3,1)),0)
*2,
0),
IF(AND($E$2="Monthly",ROUND($AN506-TRUNC($AN506),2)=0.33),
ROUND(
ROUND(((TRUNC(($AN506+0.01)*3/13,0)+0.99)*VLOOKUP((TRUNC(($AN506+0.01)*3/13,0)+0.99),'Tax scales - NAT 3539'!$A$74:$C$94,2,1)-VLOOKUP((TRUNC(($AN506+0.01)*3/13,0)+0.99),'Tax scales - NAT 3539'!$A$74:$C$94,3,1)),0)
*13/3,
0),
IF($E$2="Monthly",
ROUND(
ROUND(((TRUNC($AN506*3/13,0)+0.99)*VLOOKUP((TRUNC($AN506*3/13,0)+0.99),'Tax scales - NAT 3539'!$A$74:$C$94,2,1)-VLOOKUP((TRUNC($AN506*3/13,0)+0.99),'Tax scales - NAT 3539'!$A$74:$C$94,3,1)),0)
*13/3,
0),
""))),
""),
"")</f>
        <v>0</v>
      </c>
      <c r="AX506" s="118" t="str">
        <f>IFERROR(
IF(VLOOKUP($C506,'Employee information'!$B:$M,COLUMNS('Employee information'!$B:$M),0)=55,
IF($E$2="Fortnightly",
ROUND(
ROUND((((TRUNC($AN506/2,0)+0.99))*VLOOKUP((TRUNC($AN506/2,0)+0.99),'Tax scales - NAT 3539'!$A$99:$C$123,2,1)-VLOOKUP((TRUNC($AN506/2,0)+0.99),'Tax scales - NAT 3539'!$A$99:$C$123,3,1)),0)
*2,
0),
IF(AND($E$2="Monthly",ROUND($AN506-TRUNC($AN506),2)=0.33),
ROUND(
ROUND(((TRUNC(($AN506+0.01)*3/13,0)+0.99)*VLOOKUP((TRUNC(($AN506+0.01)*3/13,0)+0.99),'Tax scales - NAT 3539'!$A$99:$C$123,2,1)-VLOOKUP((TRUNC(($AN506+0.01)*3/13,0)+0.99),'Tax scales - NAT 3539'!$A$99:$C$123,3,1)),0)
*13/3,
0),
IF($E$2="Monthly",
ROUND(
ROUND(((TRUNC($AN506*3/13,0)+0.99)*VLOOKUP((TRUNC($AN506*3/13,0)+0.99),'Tax scales - NAT 3539'!$A$99:$C$123,2,1)-VLOOKUP((TRUNC($AN506*3/13,0)+0.99),'Tax scales - NAT 3539'!$A$99:$C$123,3,1)),0)
*13/3,
0),
""))),
""),
"")</f>
        <v/>
      </c>
      <c r="AY506" s="118" t="str">
        <f>IFERROR(
IF(VLOOKUP($C506,'Employee information'!$B:$M,COLUMNS('Employee information'!$B:$M),0)=66,
IF($E$2="Fortnightly",
ROUND(
ROUND((((TRUNC($AN506/2,0)+0.99))*VLOOKUP((TRUNC($AN506/2,0)+0.99),'Tax scales - NAT 3539'!$A$127:$C$154,2,1)-VLOOKUP((TRUNC($AN506/2,0)+0.99),'Tax scales - NAT 3539'!$A$127:$C$154,3,1)),0)
*2,
0),
IF(AND($E$2="Monthly",ROUND($AN506-TRUNC($AN506),2)=0.33),
ROUND(
ROUND(((TRUNC(($AN506+0.01)*3/13,0)+0.99)*VLOOKUP((TRUNC(($AN506+0.01)*3/13,0)+0.99),'Tax scales - NAT 3539'!$A$127:$C$154,2,1)-VLOOKUP((TRUNC(($AN506+0.01)*3/13,0)+0.99),'Tax scales - NAT 3539'!$A$127:$C$154,3,1)),0)
*13/3,
0),
IF($E$2="Monthly",
ROUND(
ROUND(((TRUNC($AN506*3/13,0)+0.99)*VLOOKUP((TRUNC($AN506*3/13,0)+0.99),'Tax scales - NAT 3539'!$A$127:$C$154,2,1)-VLOOKUP((TRUNC($AN506*3/13,0)+0.99),'Tax scales - NAT 3539'!$A$127:$C$154,3,1)),0)
*13/3,
0),
""))),
""),
"")</f>
        <v/>
      </c>
      <c r="AZ506" s="118">
        <f>IFERROR(
HLOOKUP(VLOOKUP($C506,'Employee information'!$B:$M,COLUMNS('Employee information'!$B:$M),0),'PAYG worksheet'!$AO$503:$AY$522,COUNTA($C$504:$C506)+1,0),
0)</f>
        <v>0</v>
      </c>
      <c r="BA506" s="118"/>
      <c r="BB506" s="118">
        <f t="shared" si="542"/>
        <v>0</v>
      </c>
      <c r="BC506" s="119">
        <f>IFERROR(
IF(OR($AE506=1,$AE506=""),SUM($P506,$AA506,$AC506,$AK506)*VLOOKUP($C506,'Employee information'!$B:$Q,COLUMNS('Employee information'!$B:$H),0),
IF($AE506=0,SUM($P506,$AA506,$AK506)*VLOOKUP($C506,'Employee information'!$B:$Q,COLUMNS('Employee information'!$B:$H),0),
0)),
0)</f>
        <v>0</v>
      </c>
      <c r="BE506" s="114">
        <f t="shared" si="527"/>
        <v>900</v>
      </c>
      <c r="BF506" s="114">
        <f t="shared" si="528"/>
        <v>900</v>
      </c>
      <c r="BG506" s="114">
        <f t="shared" si="529"/>
        <v>0</v>
      </c>
      <c r="BH506" s="114">
        <f t="shared" si="530"/>
        <v>0</v>
      </c>
      <c r="BI506" s="114">
        <f t="shared" si="531"/>
        <v>292</v>
      </c>
      <c r="BJ506" s="114">
        <f t="shared" si="532"/>
        <v>0</v>
      </c>
      <c r="BK506" s="114">
        <f t="shared" si="533"/>
        <v>0</v>
      </c>
      <c r="BL506" s="114">
        <f t="shared" si="543"/>
        <v>0</v>
      </c>
      <c r="BM506" s="114">
        <f t="shared" si="534"/>
        <v>85.5</v>
      </c>
    </row>
    <row r="507" spans="1:65" x14ac:dyDescent="0.25">
      <c r="A507" s="228">
        <f t="shared" si="522"/>
        <v>18</v>
      </c>
      <c r="C507" s="278" t="s">
        <v>15</v>
      </c>
      <c r="E507" s="103">
        <f>IF($C507="",0,
IF(AND($E$2="Monthly",$A507&gt;12),0,
IF($E$2="Monthly",VLOOKUP($C507,'Employee information'!$B:$AM,COLUMNS('Employee information'!$B:S),0),
IF($E$2="Fortnightly",VLOOKUP($C507,'Employee information'!$B:$AM,COLUMNS('Employee information'!$B:R),0),
0))))</f>
        <v>75</v>
      </c>
      <c r="F507" s="106"/>
      <c r="G507" s="106"/>
      <c r="H507" s="106"/>
      <c r="I507" s="106"/>
      <c r="J507" s="103">
        <f t="shared" si="535"/>
        <v>75</v>
      </c>
      <c r="L507" s="113">
        <f>IF(AND($E$2="Monthly",$A507&gt;12),"",
IFERROR($J507*VLOOKUP($C507,'Employee information'!$B:$AI,COLUMNS('Employee information'!$B:$P),0),0))</f>
        <v>7692.3076923076924</v>
      </c>
      <c r="M507" s="114">
        <f t="shared" si="536"/>
        <v>138461.53846153844</v>
      </c>
      <c r="O507" s="103">
        <f t="shared" si="537"/>
        <v>75</v>
      </c>
      <c r="P507" s="113">
        <f>IFERROR(
IF(AND($E$2="Monthly",$A507&gt;12),0,
$O507*VLOOKUP($C507,'Employee information'!$B:$AI,COLUMNS('Employee information'!$B:$P),0)),
0)</f>
        <v>7692.3076923076924</v>
      </c>
      <c r="R507" s="114">
        <f t="shared" si="523"/>
        <v>138461.53846153844</v>
      </c>
      <c r="T507" s="103"/>
      <c r="U507" s="103"/>
      <c r="V507" s="282">
        <f>IF($C507="","",
IF(AND($E$2="Monthly",$A507&gt;12),"",
$T507*VLOOKUP($C507,'Employee information'!$B:$P,COLUMNS('Employee information'!$B:$P),0)))</f>
        <v>0</v>
      </c>
      <c r="W507" s="282">
        <f>IF($C507="","",
IF(AND($E$2="Monthly",$A507&gt;12),"",
$U507*VLOOKUP($C507,'Employee information'!$B:$P,COLUMNS('Employee information'!$B:$P),0)))</f>
        <v>0</v>
      </c>
      <c r="X507" s="114">
        <f t="shared" si="524"/>
        <v>1538.4615384615386</v>
      </c>
      <c r="Y507" s="114">
        <f t="shared" si="525"/>
        <v>512.82051282051282</v>
      </c>
      <c r="AA507" s="118">
        <f>IFERROR(
IF(OR('Basic payroll data'!$D$12="",'Basic payroll data'!$D$12="No"),0,
$T507*VLOOKUP($C507,'Employee information'!$B:$P,COLUMNS('Employee information'!$B:$P),0)*AL_loading_perc),
0)</f>
        <v>0</v>
      </c>
      <c r="AC507" s="118"/>
      <c r="AD507" s="118"/>
      <c r="AE507" s="283" t="str">
        <f t="shared" si="538"/>
        <v/>
      </c>
      <c r="AF507" s="283" t="str">
        <f t="shared" si="539"/>
        <v/>
      </c>
      <c r="AG507" s="118"/>
      <c r="AH507" s="118"/>
      <c r="AI507" s="283" t="str">
        <f t="shared" si="540"/>
        <v/>
      </c>
      <c r="AJ507" s="118"/>
      <c r="AK507" s="118"/>
      <c r="AM507" s="118">
        <f t="shared" si="541"/>
        <v>7692.3076923076924</v>
      </c>
      <c r="AN507" s="118">
        <f t="shared" si="526"/>
        <v>7692.3076923076924</v>
      </c>
      <c r="AO507" s="118" t="str">
        <f>IFERROR(
IF(VLOOKUP($C507,'Employee information'!$B:$M,COLUMNS('Employee information'!$B:$M),0)=1,
IF($E$2="Fortnightly",
ROUND(
ROUND((((TRUNC($AN507/2,0)+0.99))*VLOOKUP((TRUNC($AN507/2,0)+0.99),'Tax scales - NAT 1004'!$A$12:$C$18,2,1)-VLOOKUP((TRUNC($AN507/2,0)+0.99),'Tax scales - NAT 1004'!$A$12:$C$18,3,1)),0)
*2,
0),
IF(AND($E$2="Monthly",ROUND($AN507-TRUNC($AN507),2)=0.33),
ROUND(
ROUND(((TRUNC(($AN507+0.01)*3/13,0)+0.99)*VLOOKUP((TRUNC(($AN507+0.01)*3/13,0)+0.99),'Tax scales - NAT 1004'!$A$12:$C$18,2,1)-VLOOKUP((TRUNC(($AN507+0.01)*3/13,0)+0.99),'Tax scales - NAT 1004'!$A$12:$C$18,3,1)),0)
*13/3,
0),
IF($E$2="Monthly",
ROUND(
ROUND(((TRUNC($AN507*3/13,0)+0.99)*VLOOKUP((TRUNC($AN507*3/13,0)+0.99),'Tax scales - NAT 1004'!$A$12:$C$18,2,1)-VLOOKUP((TRUNC($AN507*3/13,0)+0.99),'Tax scales - NAT 1004'!$A$12:$C$18,3,1)),0)
*13/3,
0),
""))),
""),
"")</f>
        <v/>
      </c>
      <c r="AP507" s="118" t="str">
        <f>IFERROR(
IF(VLOOKUP($C507,'Employee information'!$B:$M,COLUMNS('Employee information'!$B:$M),0)=2,
IF($E$2="Fortnightly",
ROUND(
ROUND((((TRUNC($AN507/2,0)+0.99))*VLOOKUP((TRUNC($AN507/2,0)+0.99),'Tax scales - NAT 1004'!$A$25:$C$33,2,1)-VLOOKUP((TRUNC($AN507/2,0)+0.99),'Tax scales - NAT 1004'!$A$25:$C$33,3,1)),0)
*2,
0),
IF(AND($E$2="Monthly",ROUND($AN507-TRUNC($AN507),2)=0.33),
ROUND(
ROUND(((TRUNC(($AN507+0.01)*3/13,0)+0.99)*VLOOKUP((TRUNC(($AN507+0.01)*3/13,0)+0.99),'Tax scales - NAT 1004'!$A$25:$C$33,2,1)-VLOOKUP((TRUNC(($AN507+0.01)*3/13,0)+0.99),'Tax scales - NAT 1004'!$A$25:$C$33,3,1)),0)
*13/3,
0),
IF($E$2="Monthly",
ROUND(
ROUND(((TRUNC($AN507*3/13,0)+0.99)*VLOOKUP((TRUNC($AN507*3/13,0)+0.99),'Tax scales - NAT 1004'!$A$25:$C$33,2,1)-VLOOKUP((TRUNC($AN507*3/13,0)+0.99),'Tax scales - NAT 1004'!$A$25:$C$33,3,1)),0)
*13/3,
0),
""))),
""),
"")</f>
        <v/>
      </c>
      <c r="AQ507" s="118" t="str">
        <f>IFERROR(
IF(VLOOKUP($C507,'Employee information'!$B:$M,COLUMNS('Employee information'!$B:$M),0)=3,
IF($E$2="Fortnightly",
ROUND(
ROUND((((TRUNC($AN507/2,0)+0.99))*VLOOKUP((TRUNC($AN507/2,0)+0.99),'Tax scales - NAT 1004'!$A$39:$C$41,2,1)-VLOOKUP((TRUNC($AN507/2,0)+0.99),'Tax scales - NAT 1004'!$A$39:$C$41,3,1)),0)
*2,
0),
IF(AND($E$2="Monthly",ROUND($AN507-TRUNC($AN507),2)=0.33),
ROUND(
ROUND(((TRUNC(($AN507+0.01)*3/13,0)+0.99)*VLOOKUP((TRUNC(($AN507+0.01)*3/13,0)+0.99),'Tax scales - NAT 1004'!$A$39:$C$41,2,1)-VLOOKUP((TRUNC(($AN507+0.01)*3/13,0)+0.99),'Tax scales - NAT 1004'!$A$39:$C$41,3,1)),0)
*13/3,
0),
IF($E$2="Monthly",
ROUND(
ROUND(((TRUNC($AN507*3/13,0)+0.99)*VLOOKUP((TRUNC($AN507*3/13,0)+0.99),'Tax scales - NAT 1004'!$A$39:$C$41,2,1)-VLOOKUP((TRUNC($AN507*3/13,0)+0.99),'Tax scales - NAT 1004'!$A$39:$C$41,3,1)),0)
*13/3,
0),
""))),
""),
"")</f>
        <v/>
      </c>
      <c r="AR507" s="118" t="str">
        <f>IFERROR(
IF(AND(VLOOKUP($C507,'Employee information'!$B:$M,COLUMNS('Employee information'!$B:$M),0)=4,
VLOOKUP($C507,'Employee information'!$B:$J,COLUMNS('Employee information'!$B:$J),0)="Resident"),
TRUNC(TRUNC($AN507)*'Tax scales - NAT 1004'!$B$47),
IF(AND(VLOOKUP($C507,'Employee information'!$B:$M,COLUMNS('Employee information'!$B:$M),0)=4,
VLOOKUP($C507,'Employee information'!$B:$J,COLUMNS('Employee information'!$B:$J),0)="Foreign resident"),
TRUNC(TRUNC($AN507)*'Tax scales - NAT 1004'!$B$48),
"")),
"")</f>
        <v/>
      </c>
      <c r="AS507" s="118" t="str">
        <f>IFERROR(
IF(VLOOKUP($C507,'Employee information'!$B:$M,COLUMNS('Employee information'!$B:$M),0)=5,
IF($E$2="Fortnightly",
ROUND(
ROUND((((TRUNC($AN507/2,0)+0.99))*VLOOKUP((TRUNC($AN507/2,0)+0.99),'Tax scales - NAT 1004'!$A$53:$C$59,2,1)-VLOOKUP((TRUNC($AN507/2,0)+0.99),'Tax scales - NAT 1004'!$A$53:$C$59,3,1)),0)
*2,
0),
IF(AND($E$2="Monthly",ROUND($AN507-TRUNC($AN507),2)=0.33),
ROUND(
ROUND(((TRUNC(($AN507+0.01)*3/13,0)+0.99)*VLOOKUP((TRUNC(($AN507+0.01)*3/13,0)+0.99),'Tax scales - NAT 1004'!$A$53:$C$59,2,1)-VLOOKUP((TRUNC(($AN507+0.01)*3/13,0)+0.99),'Tax scales - NAT 1004'!$A$53:$C$59,3,1)),0)
*13/3,
0),
IF($E$2="Monthly",
ROUND(
ROUND(((TRUNC($AN507*3/13,0)+0.99)*VLOOKUP((TRUNC($AN507*3/13,0)+0.99),'Tax scales - NAT 1004'!$A$53:$C$59,2,1)-VLOOKUP((TRUNC($AN507*3/13,0)+0.99),'Tax scales - NAT 1004'!$A$53:$C$59,3,1)),0)
*13/3,
0),
""))),
""),
"")</f>
        <v/>
      </c>
      <c r="AT507" s="118" t="str">
        <f>IFERROR(
IF(VLOOKUP($C507,'Employee information'!$B:$M,COLUMNS('Employee information'!$B:$M),0)=6,
IF($E$2="Fortnightly",
ROUND(
ROUND((((TRUNC($AN507/2,0)+0.99))*VLOOKUP((TRUNC($AN507/2,0)+0.99),'Tax scales - NAT 1004'!$A$65:$C$73,2,1)-VLOOKUP((TRUNC($AN507/2,0)+0.99),'Tax scales - NAT 1004'!$A$65:$C$73,3,1)),0)
*2,
0),
IF(AND($E$2="Monthly",ROUND($AN507-TRUNC($AN507),2)=0.33),
ROUND(
ROUND(((TRUNC(($AN507+0.01)*3/13,0)+0.99)*VLOOKUP((TRUNC(($AN507+0.01)*3/13,0)+0.99),'Tax scales - NAT 1004'!$A$65:$C$73,2,1)-VLOOKUP((TRUNC(($AN507+0.01)*3/13,0)+0.99),'Tax scales - NAT 1004'!$A$65:$C$73,3,1)),0)
*13/3,
0),
IF($E$2="Monthly",
ROUND(
ROUND(((TRUNC($AN507*3/13,0)+0.99)*VLOOKUP((TRUNC($AN507*3/13,0)+0.99),'Tax scales - NAT 1004'!$A$65:$C$73,2,1)-VLOOKUP((TRUNC($AN507*3/13,0)+0.99),'Tax scales - NAT 1004'!$A$65:$C$73,3,1)),0)
*13/3,
0),
""))),
""),
"")</f>
        <v/>
      </c>
      <c r="AU507" s="118" t="str">
        <f>IFERROR(
IF(VLOOKUP($C507,'Employee information'!$B:$M,COLUMNS('Employee information'!$B:$M),0)=11,
IF($E$2="Fortnightly",
ROUND(
ROUND((((TRUNC($AN507/2,0)+0.99))*VLOOKUP((TRUNC($AN507/2,0)+0.99),'Tax scales - NAT 3539'!$A$14:$C$38,2,1)-VLOOKUP((TRUNC($AN507/2,0)+0.99),'Tax scales - NAT 3539'!$A$14:$C$38,3,1)),0)
*2,
0),
IF(AND($E$2="Monthly",ROUND($AN507-TRUNC($AN507),2)=0.33),
ROUND(
ROUND(((TRUNC(($AN507+0.01)*3/13,0)+0.99)*VLOOKUP((TRUNC(($AN507+0.01)*3/13,0)+0.99),'Tax scales - NAT 3539'!$A$14:$C$38,2,1)-VLOOKUP((TRUNC(($AN507+0.01)*3/13,0)+0.99),'Tax scales - NAT 3539'!$A$14:$C$38,3,1)),0)
*13/3,
0),
IF($E$2="Monthly",
ROUND(
ROUND(((TRUNC($AN507*3/13,0)+0.99)*VLOOKUP((TRUNC($AN507*3/13,0)+0.99),'Tax scales - NAT 3539'!$A$14:$C$38,2,1)-VLOOKUP((TRUNC($AN507*3/13,0)+0.99),'Tax scales - NAT 3539'!$A$14:$C$38,3,1)),0)
*13/3,
0),
""))),
""),
"")</f>
        <v/>
      </c>
      <c r="AV507" s="118" t="str">
        <f>IFERROR(
IF(VLOOKUP($C507,'Employee information'!$B:$M,COLUMNS('Employee information'!$B:$M),0)=22,
IF($E$2="Fortnightly",
ROUND(
ROUND((((TRUNC($AN507/2,0)+0.99))*VLOOKUP((TRUNC($AN507/2,0)+0.99),'Tax scales - NAT 3539'!$A$43:$C$69,2,1)-VLOOKUP((TRUNC($AN507/2,0)+0.99),'Tax scales - NAT 3539'!$A$43:$C$69,3,1)),0)
*2,
0),
IF(AND($E$2="Monthly",ROUND($AN507-TRUNC($AN507),2)=0.33),
ROUND(
ROUND(((TRUNC(($AN507+0.01)*3/13,0)+0.99)*VLOOKUP((TRUNC(($AN507+0.01)*3/13,0)+0.99),'Tax scales - NAT 3539'!$A$43:$C$69,2,1)-VLOOKUP((TRUNC(($AN507+0.01)*3/13,0)+0.99),'Tax scales - NAT 3539'!$A$43:$C$69,3,1)),0)
*13/3,
0),
IF($E$2="Monthly",
ROUND(
ROUND(((TRUNC($AN507*3/13,0)+0.99)*VLOOKUP((TRUNC($AN507*3/13,0)+0.99),'Tax scales - NAT 3539'!$A$43:$C$69,2,1)-VLOOKUP((TRUNC($AN507*3/13,0)+0.99),'Tax scales - NAT 3539'!$A$43:$C$69,3,1)),0)
*13/3,
0),
""))),
""),
"")</f>
        <v/>
      </c>
      <c r="AW507" s="118" t="str">
        <f>IFERROR(
IF(VLOOKUP($C507,'Employee information'!$B:$M,COLUMNS('Employee information'!$B:$M),0)=33,
IF($E$2="Fortnightly",
ROUND(
ROUND((((TRUNC($AN507/2,0)+0.99))*VLOOKUP((TRUNC($AN507/2,0)+0.99),'Tax scales - NAT 3539'!$A$74:$C$94,2,1)-VLOOKUP((TRUNC($AN507/2,0)+0.99),'Tax scales - NAT 3539'!$A$74:$C$94,3,1)),0)
*2,
0),
IF(AND($E$2="Monthly",ROUND($AN507-TRUNC($AN507),2)=0.33),
ROUND(
ROUND(((TRUNC(($AN507+0.01)*3/13,0)+0.99)*VLOOKUP((TRUNC(($AN507+0.01)*3/13,0)+0.99),'Tax scales - NAT 3539'!$A$74:$C$94,2,1)-VLOOKUP((TRUNC(($AN507+0.01)*3/13,0)+0.99),'Tax scales - NAT 3539'!$A$74:$C$94,3,1)),0)
*13/3,
0),
IF($E$2="Monthly",
ROUND(
ROUND(((TRUNC($AN507*3/13,0)+0.99)*VLOOKUP((TRUNC($AN507*3/13,0)+0.99),'Tax scales - NAT 3539'!$A$74:$C$94,2,1)-VLOOKUP((TRUNC($AN507*3/13,0)+0.99),'Tax scales - NAT 3539'!$A$74:$C$94,3,1)),0)
*13/3,
0),
""))),
""),
"")</f>
        <v/>
      </c>
      <c r="AX507" s="118">
        <f>IFERROR(
IF(VLOOKUP($C507,'Employee information'!$B:$M,COLUMNS('Employee information'!$B:$M),0)=55,
IF($E$2="Fortnightly",
ROUND(
ROUND((((TRUNC($AN507/2,0)+0.99))*VLOOKUP((TRUNC($AN507/2,0)+0.99),'Tax scales - NAT 3539'!$A$99:$C$123,2,1)-VLOOKUP((TRUNC($AN507/2,0)+0.99),'Tax scales - NAT 3539'!$A$99:$C$123,3,1)),0)
*2,
0),
IF(AND($E$2="Monthly",ROUND($AN507-TRUNC($AN507),2)=0.33),
ROUND(
ROUND(((TRUNC(($AN507+0.01)*3/13,0)+0.99)*VLOOKUP((TRUNC(($AN507+0.01)*3/13,0)+0.99),'Tax scales - NAT 3539'!$A$99:$C$123,2,1)-VLOOKUP((TRUNC(($AN507+0.01)*3/13,0)+0.99),'Tax scales - NAT 3539'!$A$99:$C$123,3,1)),0)
*13/3,
0),
IF($E$2="Monthly",
ROUND(
ROUND(((TRUNC($AN507*3/13,0)+0.99)*VLOOKUP((TRUNC($AN507*3/13,0)+0.99),'Tax scales - NAT 3539'!$A$99:$C$123,2,1)-VLOOKUP((TRUNC($AN507*3/13,0)+0.99),'Tax scales - NAT 3539'!$A$99:$C$123,3,1)),0)
*13/3,
0),
""))),
""),
"")</f>
        <v>3104</v>
      </c>
      <c r="AY507" s="118" t="str">
        <f>IFERROR(
IF(VLOOKUP($C507,'Employee information'!$B:$M,COLUMNS('Employee information'!$B:$M),0)=66,
IF($E$2="Fortnightly",
ROUND(
ROUND((((TRUNC($AN507/2,0)+0.99))*VLOOKUP((TRUNC($AN507/2,0)+0.99),'Tax scales - NAT 3539'!$A$127:$C$154,2,1)-VLOOKUP((TRUNC($AN507/2,0)+0.99),'Tax scales - NAT 3539'!$A$127:$C$154,3,1)),0)
*2,
0),
IF(AND($E$2="Monthly",ROUND($AN507-TRUNC($AN507),2)=0.33),
ROUND(
ROUND(((TRUNC(($AN507+0.01)*3/13,0)+0.99)*VLOOKUP((TRUNC(($AN507+0.01)*3/13,0)+0.99),'Tax scales - NAT 3539'!$A$127:$C$154,2,1)-VLOOKUP((TRUNC(($AN507+0.01)*3/13,0)+0.99),'Tax scales - NAT 3539'!$A$127:$C$154,3,1)),0)
*13/3,
0),
IF($E$2="Monthly",
ROUND(
ROUND(((TRUNC($AN507*3/13,0)+0.99)*VLOOKUP((TRUNC($AN507*3/13,0)+0.99),'Tax scales - NAT 3539'!$A$127:$C$154,2,1)-VLOOKUP((TRUNC($AN507*3/13,0)+0.99),'Tax scales - NAT 3539'!$A$127:$C$154,3,1)),0)
*13/3,
0),
""))),
""),
"")</f>
        <v/>
      </c>
      <c r="AZ507" s="118">
        <f>IFERROR(
HLOOKUP(VLOOKUP($C507,'Employee information'!$B:$M,COLUMNS('Employee information'!$B:$M),0),'PAYG worksheet'!$AO$503:$AY$522,COUNTA($C$504:$C507)+1,0),
0)</f>
        <v>3104</v>
      </c>
      <c r="BA507" s="118"/>
      <c r="BB507" s="118">
        <f t="shared" si="542"/>
        <v>4588.3076923076924</v>
      </c>
      <c r="BC507" s="119">
        <f>IFERROR(
IF(OR($AE507=1,$AE507=""),SUM($P507,$AA507,$AC507,$AK507)*VLOOKUP($C507,'Employee information'!$B:$Q,COLUMNS('Employee information'!$B:$H),0),
IF($AE507=0,SUM($P507,$AA507,$AK507)*VLOOKUP($C507,'Employee information'!$B:$Q,COLUMNS('Employee information'!$B:$H),0),
0)),
0)</f>
        <v>730.76923076923083</v>
      </c>
      <c r="BE507" s="114">
        <f t="shared" si="527"/>
        <v>138601.53846153844</v>
      </c>
      <c r="BF507" s="114">
        <f t="shared" si="528"/>
        <v>138461.53846153844</v>
      </c>
      <c r="BG507" s="114">
        <f t="shared" si="529"/>
        <v>0</v>
      </c>
      <c r="BH507" s="114">
        <f t="shared" si="530"/>
        <v>140</v>
      </c>
      <c r="BI507" s="114">
        <f t="shared" si="531"/>
        <v>55872</v>
      </c>
      <c r="BJ507" s="114">
        <f t="shared" si="532"/>
        <v>0</v>
      </c>
      <c r="BK507" s="114">
        <f t="shared" si="533"/>
        <v>0</v>
      </c>
      <c r="BL507" s="114">
        <f t="shared" si="543"/>
        <v>0</v>
      </c>
      <c r="BM507" s="114">
        <f t="shared" si="534"/>
        <v>13153.846153846151</v>
      </c>
    </row>
    <row r="508" spans="1:65" x14ac:dyDescent="0.25">
      <c r="A508" s="228">
        <f t="shared" si="522"/>
        <v>18</v>
      </c>
      <c r="C508" s="278" t="s">
        <v>16</v>
      </c>
      <c r="E508" s="103">
        <f>IF($C508="",0,
IF(AND($E$2="Monthly",$A508&gt;12),0,
IF($E$2="Monthly",VLOOKUP($C508,'Employee information'!$B:$AM,COLUMNS('Employee information'!$B:S),0),
IF($E$2="Fortnightly",VLOOKUP($C508,'Employee information'!$B:$AM,COLUMNS('Employee information'!$B:R),0),
0))))</f>
        <v>75</v>
      </c>
      <c r="F508" s="106"/>
      <c r="G508" s="106"/>
      <c r="H508" s="106"/>
      <c r="I508" s="106"/>
      <c r="J508" s="103">
        <f t="shared" si="535"/>
        <v>75</v>
      </c>
      <c r="L508" s="113">
        <f>IF(AND($E$2="Monthly",$A508&gt;12),"",
IFERROR($J508*VLOOKUP($C508,'Employee information'!$B:$AI,COLUMNS('Employee information'!$B:$P),0),0))</f>
        <v>4125</v>
      </c>
      <c r="M508" s="114">
        <f t="shared" si="536"/>
        <v>74250</v>
      </c>
      <c r="O508" s="103">
        <f t="shared" si="537"/>
        <v>75</v>
      </c>
      <c r="P508" s="113">
        <f>IFERROR(
IF(AND($E$2="Monthly",$A508&gt;12),0,
$O508*VLOOKUP($C508,'Employee information'!$B:$AI,COLUMNS('Employee information'!$B:$P),0)),
0)</f>
        <v>4125</v>
      </c>
      <c r="R508" s="114">
        <f t="shared" si="523"/>
        <v>74250</v>
      </c>
      <c r="T508" s="103"/>
      <c r="U508" s="103"/>
      <c r="V508" s="282">
        <f>IF($C508="","",
IF(AND($E$2="Monthly",$A508&gt;12),"",
$T508*VLOOKUP($C508,'Employee information'!$B:$P,COLUMNS('Employee information'!$B:$P),0)))</f>
        <v>0</v>
      </c>
      <c r="W508" s="282">
        <f>IF($C508="","",
IF(AND($E$2="Monthly",$A508&gt;12),"",
$U508*VLOOKUP($C508,'Employee information'!$B:$P,COLUMNS('Employee information'!$B:$P),0)))</f>
        <v>0</v>
      </c>
      <c r="X508" s="114">
        <f t="shared" si="524"/>
        <v>0</v>
      </c>
      <c r="Y508" s="114">
        <f t="shared" si="525"/>
        <v>0</v>
      </c>
      <c r="AA508" s="118">
        <f>IFERROR(
IF(OR('Basic payroll data'!$D$12="",'Basic payroll data'!$D$12="No"),0,
$T508*VLOOKUP($C508,'Employee information'!$B:$P,COLUMNS('Employee information'!$B:$P),0)*AL_loading_perc),
0)</f>
        <v>0</v>
      </c>
      <c r="AC508" s="118"/>
      <c r="AD508" s="118"/>
      <c r="AE508" s="283" t="str">
        <f t="shared" si="538"/>
        <v/>
      </c>
      <c r="AF508" s="283" t="str">
        <f t="shared" si="539"/>
        <v/>
      </c>
      <c r="AG508" s="118"/>
      <c r="AH508" s="118"/>
      <c r="AI508" s="283" t="str">
        <f t="shared" si="540"/>
        <v/>
      </c>
      <c r="AJ508" s="118"/>
      <c r="AK508" s="118"/>
      <c r="AM508" s="118">
        <f t="shared" si="541"/>
        <v>4125</v>
      </c>
      <c r="AN508" s="118">
        <f t="shared" si="526"/>
        <v>4125</v>
      </c>
      <c r="AO508" s="118" t="str">
        <f>IFERROR(
IF(VLOOKUP($C508,'Employee information'!$B:$M,COLUMNS('Employee information'!$B:$M),0)=1,
IF($E$2="Fortnightly",
ROUND(
ROUND((((TRUNC($AN508/2,0)+0.99))*VLOOKUP((TRUNC($AN508/2,0)+0.99),'Tax scales - NAT 1004'!$A$12:$C$18,2,1)-VLOOKUP((TRUNC($AN508/2,0)+0.99),'Tax scales - NAT 1004'!$A$12:$C$18,3,1)),0)
*2,
0),
IF(AND($E$2="Monthly",ROUND($AN508-TRUNC($AN508),2)=0.33),
ROUND(
ROUND(((TRUNC(($AN508+0.01)*3/13,0)+0.99)*VLOOKUP((TRUNC(($AN508+0.01)*3/13,0)+0.99),'Tax scales - NAT 1004'!$A$12:$C$18,2,1)-VLOOKUP((TRUNC(($AN508+0.01)*3/13,0)+0.99),'Tax scales - NAT 1004'!$A$12:$C$18,3,1)),0)
*13/3,
0),
IF($E$2="Monthly",
ROUND(
ROUND(((TRUNC($AN508*3/13,0)+0.99)*VLOOKUP((TRUNC($AN508*3/13,0)+0.99),'Tax scales - NAT 1004'!$A$12:$C$18,2,1)-VLOOKUP((TRUNC($AN508*3/13,0)+0.99),'Tax scales - NAT 1004'!$A$12:$C$18,3,1)),0)
*13/3,
0),
""))),
""),
"")</f>
        <v/>
      </c>
      <c r="AP508" s="118" t="str">
        <f>IFERROR(
IF(VLOOKUP($C508,'Employee information'!$B:$M,COLUMNS('Employee information'!$B:$M),0)=2,
IF($E$2="Fortnightly",
ROUND(
ROUND((((TRUNC($AN508/2,0)+0.99))*VLOOKUP((TRUNC($AN508/2,0)+0.99),'Tax scales - NAT 1004'!$A$25:$C$33,2,1)-VLOOKUP((TRUNC($AN508/2,0)+0.99),'Tax scales - NAT 1004'!$A$25:$C$33,3,1)),0)
*2,
0),
IF(AND($E$2="Monthly",ROUND($AN508-TRUNC($AN508),2)=0.33),
ROUND(
ROUND(((TRUNC(($AN508+0.01)*3/13,0)+0.99)*VLOOKUP((TRUNC(($AN508+0.01)*3/13,0)+0.99),'Tax scales - NAT 1004'!$A$25:$C$33,2,1)-VLOOKUP((TRUNC(($AN508+0.01)*3/13,0)+0.99),'Tax scales - NAT 1004'!$A$25:$C$33,3,1)),0)
*13/3,
0),
IF($E$2="Monthly",
ROUND(
ROUND(((TRUNC($AN508*3/13,0)+0.99)*VLOOKUP((TRUNC($AN508*3/13,0)+0.99),'Tax scales - NAT 1004'!$A$25:$C$33,2,1)-VLOOKUP((TRUNC($AN508*3/13,0)+0.99),'Tax scales - NAT 1004'!$A$25:$C$33,3,1)),0)
*13/3,
0),
""))),
""),
"")</f>
        <v/>
      </c>
      <c r="AQ508" s="118" t="str">
        <f>IFERROR(
IF(VLOOKUP($C508,'Employee information'!$B:$M,COLUMNS('Employee information'!$B:$M),0)=3,
IF($E$2="Fortnightly",
ROUND(
ROUND((((TRUNC($AN508/2,0)+0.99))*VLOOKUP((TRUNC($AN508/2,0)+0.99),'Tax scales - NAT 1004'!$A$39:$C$41,2,1)-VLOOKUP((TRUNC($AN508/2,0)+0.99),'Tax scales - NAT 1004'!$A$39:$C$41,3,1)),0)
*2,
0),
IF(AND($E$2="Monthly",ROUND($AN508-TRUNC($AN508),2)=0.33),
ROUND(
ROUND(((TRUNC(($AN508+0.01)*3/13,0)+0.99)*VLOOKUP((TRUNC(($AN508+0.01)*3/13,0)+0.99),'Tax scales - NAT 1004'!$A$39:$C$41,2,1)-VLOOKUP((TRUNC(($AN508+0.01)*3/13,0)+0.99),'Tax scales - NAT 1004'!$A$39:$C$41,3,1)),0)
*13/3,
0),
IF($E$2="Monthly",
ROUND(
ROUND(((TRUNC($AN508*3/13,0)+0.99)*VLOOKUP((TRUNC($AN508*3/13,0)+0.99),'Tax scales - NAT 1004'!$A$39:$C$41,2,1)-VLOOKUP((TRUNC($AN508*3/13,0)+0.99),'Tax scales - NAT 1004'!$A$39:$C$41,3,1)),0)
*13/3,
0),
""))),
""),
"")</f>
        <v/>
      </c>
      <c r="AR508" s="118" t="str">
        <f>IFERROR(
IF(AND(VLOOKUP($C508,'Employee information'!$B:$M,COLUMNS('Employee information'!$B:$M),0)=4,
VLOOKUP($C508,'Employee information'!$B:$J,COLUMNS('Employee information'!$B:$J),0)="Resident"),
TRUNC(TRUNC($AN508)*'Tax scales - NAT 1004'!$B$47),
IF(AND(VLOOKUP($C508,'Employee information'!$B:$M,COLUMNS('Employee information'!$B:$M),0)=4,
VLOOKUP($C508,'Employee information'!$B:$J,COLUMNS('Employee information'!$B:$J),0)="Foreign resident"),
TRUNC(TRUNC($AN508)*'Tax scales - NAT 1004'!$B$48),
"")),
"")</f>
        <v/>
      </c>
      <c r="AS508" s="118" t="str">
        <f>IFERROR(
IF(VLOOKUP($C508,'Employee information'!$B:$M,COLUMNS('Employee information'!$B:$M),0)=5,
IF($E$2="Fortnightly",
ROUND(
ROUND((((TRUNC($AN508/2,0)+0.99))*VLOOKUP((TRUNC($AN508/2,0)+0.99),'Tax scales - NAT 1004'!$A$53:$C$59,2,1)-VLOOKUP((TRUNC($AN508/2,0)+0.99),'Tax scales - NAT 1004'!$A$53:$C$59,3,1)),0)
*2,
0),
IF(AND($E$2="Monthly",ROUND($AN508-TRUNC($AN508),2)=0.33),
ROUND(
ROUND(((TRUNC(($AN508+0.01)*3/13,0)+0.99)*VLOOKUP((TRUNC(($AN508+0.01)*3/13,0)+0.99),'Tax scales - NAT 1004'!$A$53:$C$59,2,1)-VLOOKUP((TRUNC(($AN508+0.01)*3/13,0)+0.99),'Tax scales - NAT 1004'!$A$53:$C$59,3,1)),0)
*13/3,
0),
IF($E$2="Monthly",
ROUND(
ROUND(((TRUNC($AN508*3/13,0)+0.99)*VLOOKUP((TRUNC($AN508*3/13,0)+0.99),'Tax scales - NAT 1004'!$A$53:$C$59,2,1)-VLOOKUP((TRUNC($AN508*3/13,0)+0.99),'Tax scales - NAT 1004'!$A$53:$C$59,3,1)),0)
*13/3,
0),
""))),
""),
"")</f>
        <v/>
      </c>
      <c r="AT508" s="118" t="str">
        <f>IFERROR(
IF(VLOOKUP($C508,'Employee information'!$B:$M,COLUMNS('Employee information'!$B:$M),0)=6,
IF($E$2="Fortnightly",
ROUND(
ROUND((((TRUNC($AN508/2,0)+0.99))*VLOOKUP((TRUNC($AN508/2,0)+0.99),'Tax scales - NAT 1004'!$A$65:$C$73,2,1)-VLOOKUP((TRUNC($AN508/2,0)+0.99),'Tax scales - NAT 1004'!$A$65:$C$73,3,1)),0)
*2,
0),
IF(AND($E$2="Monthly",ROUND($AN508-TRUNC($AN508),2)=0.33),
ROUND(
ROUND(((TRUNC(($AN508+0.01)*3/13,0)+0.99)*VLOOKUP((TRUNC(($AN508+0.01)*3/13,0)+0.99),'Tax scales - NAT 1004'!$A$65:$C$73,2,1)-VLOOKUP((TRUNC(($AN508+0.01)*3/13,0)+0.99),'Tax scales - NAT 1004'!$A$65:$C$73,3,1)),0)
*13/3,
0),
IF($E$2="Monthly",
ROUND(
ROUND(((TRUNC($AN508*3/13,0)+0.99)*VLOOKUP((TRUNC($AN508*3/13,0)+0.99),'Tax scales - NAT 1004'!$A$65:$C$73,2,1)-VLOOKUP((TRUNC($AN508*3/13,0)+0.99),'Tax scales - NAT 1004'!$A$65:$C$73,3,1)),0)
*13/3,
0),
""))),
""),
"")</f>
        <v/>
      </c>
      <c r="AU508" s="118">
        <f>IFERROR(
IF(VLOOKUP($C508,'Employee information'!$B:$M,COLUMNS('Employee information'!$B:$M),0)=11,
IF($E$2="Fortnightly",
ROUND(
ROUND((((TRUNC($AN508/2,0)+0.99))*VLOOKUP((TRUNC($AN508/2,0)+0.99),'Tax scales - NAT 3539'!$A$14:$C$38,2,1)-VLOOKUP((TRUNC($AN508/2,0)+0.99),'Tax scales - NAT 3539'!$A$14:$C$38,3,1)),0)
*2,
0),
IF(AND($E$2="Monthly",ROUND($AN508-TRUNC($AN508),2)=0.33),
ROUND(
ROUND(((TRUNC(($AN508+0.01)*3/13,0)+0.99)*VLOOKUP((TRUNC(($AN508+0.01)*3/13,0)+0.99),'Tax scales - NAT 3539'!$A$14:$C$38,2,1)-VLOOKUP((TRUNC(($AN508+0.01)*3/13,0)+0.99),'Tax scales - NAT 3539'!$A$14:$C$38,3,1)),0)
*13/3,
0),
IF($E$2="Monthly",
ROUND(
ROUND(((TRUNC($AN508*3/13,0)+0.99)*VLOOKUP((TRUNC($AN508*3/13,0)+0.99),'Tax scales - NAT 3539'!$A$14:$C$38,2,1)-VLOOKUP((TRUNC($AN508*3/13,0)+0.99),'Tax scales - NAT 3539'!$A$14:$C$38,3,1)),0)
*13/3,
0),
""))),
""),
"")</f>
        <v>1680</v>
      </c>
      <c r="AV508" s="118" t="str">
        <f>IFERROR(
IF(VLOOKUP($C508,'Employee information'!$B:$M,COLUMNS('Employee information'!$B:$M),0)=22,
IF($E$2="Fortnightly",
ROUND(
ROUND((((TRUNC($AN508/2,0)+0.99))*VLOOKUP((TRUNC($AN508/2,0)+0.99),'Tax scales - NAT 3539'!$A$43:$C$69,2,1)-VLOOKUP((TRUNC($AN508/2,0)+0.99),'Tax scales - NAT 3539'!$A$43:$C$69,3,1)),0)
*2,
0),
IF(AND($E$2="Monthly",ROUND($AN508-TRUNC($AN508),2)=0.33),
ROUND(
ROUND(((TRUNC(($AN508+0.01)*3/13,0)+0.99)*VLOOKUP((TRUNC(($AN508+0.01)*3/13,0)+0.99),'Tax scales - NAT 3539'!$A$43:$C$69,2,1)-VLOOKUP((TRUNC(($AN508+0.01)*3/13,0)+0.99),'Tax scales - NAT 3539'!$A$43:$C$69,3,1)),0)
*13/3,
0),
IF($E$2="Monthly",
ROUND(
ROUND(((TRUNC($AN508*3/13,0)+0.99)*VLOOKUP((TRUNC($AN508*3/13,0)+0.99),'Tax scales - NAT 3539'!$A$43:$C$69,2,1)-VLOOKUP((TRUNC($AN508*3/13,0)+0.99),'Tax scales - NAT 3539'!$A$43:$C$69,3,1)),0)
*13/3,
0),
""))),
""),
"")</f>
        <v/>
      </c>
      <c r="AW508" s="118" t="str">
        <f>IFERROR(
IF(VLOOKUP($C508,'Employee information'!$B:$M,COLUMNS('Employee information'!$B:$M),0)=33,
IF($E$2="Fortnightly",
ROUND(
ROUND((((TRUNC($AN508/2,0)+0.99))*VLOOKUP((TRUNC($AN508/2,0)+0.99),'Tax scales - NAT 3539'!$A$74:$C$94,2,1)-VLOOKUP((TRUNC($AN508/2,0)+0.99),'Tax scales - NAT 3539'!$A$74:$C$94,3,1)),0)
*2,
0),
IF(AND($E$2="Monthly",ROUND($AN508-TRUNC($AN508),2)=0.33),
ROUND(
ROUND(((TRUNC(($AN508+0.01)*3/13,0)+0.99)*VLOOKUP((TRUNC(($AN508+0.01)*3/13,0)+0.99),'Tax scales - NAT 3539'!$A$74:$C$94,2,1)-VLOOKUP((TRUNC(($AN508+0.01)*3/13,0)+0.99),'Tax scales - NAT 3539'!$A$74:$C$94,3,1)),0)
*13/3,
0),
IF($E$2="Monthly",
ROUND(
ROUND(((TRUNC($AN508*3/13,0)+0.99)*VLOOKUP((TRUNC($AN508*3/13,0)+0.99),'Tax scales - NAT 3539'!$A$74:$C$94,2,1)-VLOOKUP((TRUNC($AN508*3/13,0)+0.99),'Tax scales - NAT 3539'!$A$74:$C$94,3,1)),0)
*13/3,
0),
""))),
""),
"")</f>
        <v/>
      </c>
      <c r="AX508" s="118" t="str">
        <f>IFERROR(
IF(VLOOKUP($C508,'Employee information'!$B:$M,COLUMNS('Employee information'!$B:$M),0)=55,
IF($E$2="Fortnightly",
ROUND(
ROUND((((TRUNC($AN508/2,0)+0.99))*VLOOKUP((TRUNC($AN508/2,0)+0.99),'Tax scales - NAT 3539'!$A$99:$C$123,2,1)-VLOOKUP((TRUNC($AN508/2,0)+0.99),'Tax scales - NAT 3539'!$A$99:$C$123,3,1)),0)
*2,
0),
IF(AND($E$2="Monthly",ROUND($AN508-TRUNC($AN508),2)=0.33),
ROUND(
ROUND(((TRUNC(($AN508+0.01)*3/13,0)+0.99)*VLOOKUP((TRUNC(($AN508+0.01)*3/13,0)+0.99),'Tax scales - NAT 3539'!$A$99:$C$123,2,1)-VLOOKUP((TRUNC(($AN508+0.01)*3/13,0)+0.99),'Tax scales - NAT 3539'!$A$99:$C$123,3,1)),0)
*13/3,
0),
IF($E$2="Monthly",
ROUND(
ROUND(((TRUNC($AN508*3/13,0)+0.99)*VLOOKUP((TRUNC($AN508*3/13,0)+0.99),'Tax scales - NAT 3539'!$A$99:$C$123,2,1)-VLOOKUP((TRUNC($AN508*3/13,0)+0.99),'Tax scales - NAT 3539'!$A$99:$C$123,3,1)),0)
*13/3,
0),
""))),
""),
"")</f>
        <v/>
      </c>
      <c r="AY508" s="118" t="str">
        <f>IFERROR(
IF(VLOOKUP($C508,'Employee information'!$B:$M,COLUMNS('Employee information'!$B:$M),0)=66,
IF($E$2="Fortnightly",
ROUND(
ROUND((((TRUNC($AN508/2,0)+0.99))*VLOOKUP((TRUNC($AN508/2,0)+0.99),'Tax scales - NAT 3539'!$A$127:$C$154,2,1)-VLOOKUP((TRUNC($AN508/2,0)+0.99),'Tax scales - NAT 3539'!$A$127:$C$154,3,1)),0)
*2,
0),
IF(AND($E$2="Monthly",ROUND($AN508-TRUNC($AN508),2)=0.33),
ROUND(
ROUND(((TRUNC(($AN508+0.01)*3/13,0)+0.99)*VLOOKUP((TRUNC(($AN508+0.01)*3/13,0)+0.99),'Tax scales - NAT 3539'!$A$127:$C$154,2,1)-VLOOKUP((TRUNC(($AN508+0.01)*3/13,0)+0.99),'Tax scales - NAT 3539'!$A$127:$C$154,3,1)),0)
*13/3,
0),
IF($E$2="Monthly",
ROUND(
ROUND(((TRUNC($AN508*3/13,0)+0.99)*VLOOKUP((TRUNC($AN508*3/13,0)+0.99),'Tax scales - NAT 3539'!$A$127:$C$154,2,1)-VLOOKUP((TRUNC($AN508*3/13,0)+0.99),'Tax scales - NAT 3539'!$A$127:$C$154,3,1)),0)
*13/3,
0),
""))),
""),
"")</f>
        <v/>
      </c>
      <c r="AZ508" s="118">
        <f>IFERROR(
HLOOKUP(VLOOKUP($C508,'Employee information'!$B:$M,COLUMNS('Employee information'!$B:$M),0),'PAYG worksheet'!$AO$503:$AY$522,COUNTA($C$504:$C508)+1,0),
0)</f>
        <v>1680</v>
      </c>
      <c r="BA508" s="118"/>
      <c r="BB508" s="118">
        <f t="shared" si="542"/>
        <v>2445</v>
      </c>
      <c r="BC508" s="119">
        <f>IFERROR(
IF(OR($AE508=1,$AE508=""),SUM($P508,$AA508,$AC508,$AK508)*VLOOKUP($C508,'Employee information'!$B:$Q,COLUMNS('Employee information'!$B:$H),0),
IF($AE508=0,SUM($P508,$AA508,$AK508)*VLOOKUP($C508,'Employee information'!$B:$Q,COLUMNS('Employee information'!$B:$H),0),
0)),
0)</f>
        <v>391.875</v>
      </c>
      <c r="BE508" s="114">
        <f t="shared" si="527"/>
        <v>74350</v>
      </c>
      <c r="BF508" s="114">
        <f t="shared" si="528"/>
        <v>74350</v>
      </c>
      <c r="BG508" s="114">
        <f t="shared" si="529"/>
        <v>0</v>
      </c>
      <c r="BH508" s="114">
        <f t="shared" si="530"/>
        <v>0</v>
      </c>
      <c r="BI508" s="114">
        <f t="shared" si="531"/>
        <v>30288</v>
      </c>
      <c r="BJ508" s="114">
        <f t="shared" si="532"/>
        <v>0</v>
      </c>
      <c r="BK508" s="114">
        <f t="shared" si="533"/>
        <v>0</v>
      </c>
      <c r="BL508" s="114">
        <f t="shared" si="543"/>
        <v>100</v>
      </c>
      <c r="BM508" s="114">
        <f t="shared" si="534"/>
        <v>7063.25</v>
      </c>
    </row>
    <row r="509" spans="1:65" x14ac:dyDescent="0.25">
      <c r="A509" s="228">
        <f t="shared" si="522"/>
        <v>18</v>
      </c>
      <c r="C509" s="278" t="s">
        <v>17</v>
      </c>
      <c r="E509" s="103">
        <f>IF($C509="",0,
IF(AND($E$2="Monthly",$A509&gt;12),0,
IF($E$2="Monthly",VLOOKUP($C509,'Employee information'!$B:$AM,COLUMNS('Employee information'!$B:S),0),
IF($E$2="Fortnightly",VLOOKUP($C509,'Employee information'!$B:$AM,COLUMNS('Employee information'!$B:R),0),
0))))</f>
        <v>75</v>
      </c>
      <c r="F509" s="106"/>
      <c r="G509" s="106"/>
      <c r="H509" s="106"/>
      <c r="I509" s="106"/>
      <c r="J509" s="103">
        <f t="shared" si="535"/>
        <v>75</v>
      </c>
      <c r="L509" s="113">
        <f>IF(AND($E$2="Monthly",$A509&gt;12),"",
IFERROR($J509*VLOOKUP($C509,'Employee information'!$B:$AI,COLUMNS('Employee information'!$B:$P),0),0))</f>
        <v>2500</v>
      </c>
      <c r="M509" s="114">
        <f t="shared" si="536"/>
        <v>45000</v>
      </c>
      <c r="O509" s="103">
        <f t="shared" si="537"/>
        <v>75</v>
      </c>
      <c r="P509" s="113">
        <f>IFERROR(
IF(AND($E$2="Monthly",$A509&gt;12),0,
$O509*VLOOKUP($C509,'Employee information'!$B:$AI,COLUMNS('Employee information'!$B:$P),0)),
0)</f>
        <v>2500</v>
      </c>
      <c r="R509" s="114">
        <f t="shared" si="523"/>
        <v>45000</v>
      </c>
      <c r="T509" s="103"/>
      <c r="U509" s="103"/>
      <c r="V509" s="282">
        <f>IF($C509="","",
IF(AND($E$2="Monthly",$A509&gt;12),"",
$T509*VLOOKUP($C509,'Employee information'!$B:$P,COLUMNS('Employee information'!$B:$P),0)))</f>
        <v>0</v>
      </c>
      <c r="W509" s="282">
        <f>IF($C509="","",
IF(AND($E$2="Monthly",$A509&gt;12),"",
$U509*VLOOKUP($C509,'Employee information'!$B:$P,COLUMNS('Employee information'!$B:$P),0)))</f>
        <v>0</v>
      </c>
      <c r="X509" s="114">
        <f t="shared" si="524"/>
        <v>0</v>
      </c>
      <c r="Y509" s="114">
        <f t="shared" si="525"/>
        <v>0</v>
      </c>
      <c r="AA509" s="118">
        <f>IFERROR(
IF(OR('Basic payroll data'!$D$12="",'Basic payroll data'!$D$12="No"),0,
$T509*VLOOKUP($C509,'Employee information'!$B:$P,COLUMNS('Employee information'!$B:$P),0)*AL_loading_perc),
0)</f>
        <v>0</v>
      </c>
      <c r="AC509" s="118"/>
      <c r="AD509" s="118"/>
      <c r="AE509" s="283" t="str">
        <f t="shared" si="538"/>
        <v/>
      </c>
      <c r="AF509" s="283" t="str">
        <f t="shared" si="539"/>
        <v/>
      </c>
      <c r="AG509" s="118"/>
      <c r="AH509" s="118"/>
      <c r="AI509" s="283" t="str">
        <f t="shared" si="540"/>
        <v/>
      </c>
      <c r="AJ509" s="118"/>
      <c r="AK509" s="118"/>
      <c r="AM509" s="118">
        <f t="shared" si="541"/>
        <v>2500</v>
      </c>
      <c r="AN509" s="118">
        <f t="shared" si="526"/>
        <v>2500</v>
      </c>
      <c r="AO509" s="118" t="str">
        <f>IFERROR(
IF(VLOOKUP($C509,'Employee information'!$B:$M,COLUMNS('Employee information'!$B:$M),0)=1,
IF($E$2="Fortnightly",
ROUND(
ROUND((((TRUNC($AN509/2,0)+0.99))*VLOOKUP((TRUNC($AN509/2,0)+0.99),'Tax scales - NAT 1004'!$A$12:$C$18,2,1)-VLOOKUP((TRUNC($AN509/2,0)+0.99),'Tax scales - NAT 1004'!$A$12:$C$18,3,1)),0)
*2,
0),
IF(AND($E$2="Monthly",ROUND($AN509-TRUNC($AN509),2)=0.33),
ROUND(
ROUND(((TRUNC(($AN509+0.01)*3/13,0)+0.99)*VLOOKUP((TRUNC(($AN509+0.01)*3/13,0)+0.99),'Tax scales - NAT 1004'!$A$12:$C$18,2,1)-VLOOKUP((TRUNC(($AN509+0.01)*3/13,0)+0.99),'Tax scales - NAT 1004'!$A$12:$C$18,3,1)),0)
*13/3,
0),
IF($E$2="Monthly",
ROUND(
ROUND(((TRUNC($AN509*3/13,0)+0.99)*VLOOKUP((TRUNC($AN509*3/13,0)+0.99),'Tax scales - NAT 1004'!$A$12:$C$18,2,1)-VLOOKUP((TRUNC($AN509*3/13,0)+0.99),'Tax scales - NAT 1004'!$A$12:$C$18,3,1)),0)
*13/3,
0),
""))),
""),
"")</f>
        <v/>
      </c>
      <c r="AP509" s="118" t="str">
        <f>IFERROR(
IF(VLOOKUP($C509,'Employee information'!$B:$M,COLUMNS('Employee information'!$B:$M),0)=2,
IF($E$2="Fortnightly",
ROUND(
ROUND((((TRUNC($AN509/2,0)+0.99))*VLOOKUP((TRUNC($AN509/2,0)+0.99),'Tax scales - NAT 1004'!$A$25:$C$33,2,1)-VLOOKUP((TRUNC($AN509/2,0)+0.99),'Tax scales - NAT 1004'!$A$25:$C$33,3,1)),0)
*2,
0),
IF(AND($E$2="Monthly",ROUND($AN509-TRUNC($AN509),2)=0.33),
ROUND(
ROUND(((TRUNC(($AN509+0.01)*3/13,0)+0.99)*VLOOKUP((TRUNC(($AN509+0.01)*3/13,0)+0.99),'Tax scales - NAT 1004'!$A$25:$C$33,2,1)-VLOOKUP((TRUNC(($AN509+0.01)*3/13,0)+0.99),'Tax scales - NAT 1004'!$A$25:$C$33,3,1)),0)
*13/3,
0),
IF($E$2="Monthly",
ROUND(
ROUND(((TRUNC($AN509*3/13,0)+0.99)*VLOOKUP((TRUNC($AN509*3/13,0)+0.99),'Tax scales - NAT 1004'!$A$25:$C$33,2,1)-VLOOKUP((TRUNC($AN509*3/13,0)+0.99),'Tax scales - NAT 1004'!$A$25:$C$33,3,1)),0)
*13/3,
0),
""))),
""),
"")</f>
        <v/>
      </c>
      <c r="AQ509" s="118" t="str">
        <f>IFERROR(
IF(VLOOKUP($C509,'Employee information'!$B:$M,COLUMNS('Employee information'!$B:$M),0)=3,
IF($E$2="Fortnightly",
ROUND(
ROUND((((TRUNC($AN509/2,0)+0.99))*VLOOKUP((TRUNC($AN509/2,0)+0.99),'Tax scales - NAT 1004'!$A$39:$C$41,2,1)-VLOOKUP((TRUNC($AN509/2,0)+0.99),'Tax scales - NAT 1004'!$A$39:$C$41,3,1)),0)
*2,
0),
IF(AND($E$2="Monthly",ROUND($AN509-TRUNC($AN509),2)=0.33),
ROUND(
ROUND(((TRUNC(($AN509+0.01)*3/13,0)+0.99)*VLOOKUP((TRUNC(($AN509+0.01)*3/13,0)+0.99),'Tax scales - NAT 1004'!$A$39:$C$41,2,1)-VLOOKUP((TRUNC(($AN509+0.01)*3/13,0)+0.99),'Tax scales - NAT 1004'!$A$39:$C$41,3,1)),0)
*13/3,
0),
IF($E$2="Monthly",
ROUND(
ROUND(((TRUNC($AN509*3/13,0)+0.99)*VLOOKUP((TRUNC($AN509*3/13,0)+0.99),'Tax scales - NAT 1004'!$A$39:$C$41,2,1)-VLOOKUP((TRUNC($AN509*3/13,0)+0.99),'Tax scales - NAT 1004'!$A$39:$C$41,3,1)),0)
*13/3,
0),
""))),
""),
"")</f>
        <v/>
      </c>
      <c r="AR509" s="118">
        <f>IFERROR(
IF(AND(VLOOKUP($C509,'Employee information'!$B:$M,COLUMNS('Employee information'!$B:$M),0)=4,
VLOOKUP($C509,'Employee information'!$B:$J,COLUMNS('Employee information'!$B:$J),0)="Resident"),
TRUNC(TRUNC($AN509)*'Tax scales - NAT 1004'!$B$47),
IF(AND(VLOOKUP($C509,'Employee information'!$B:$M,COLUMNS('Employee information'!$B:$M),0)=4,
VLOOKUP($C509,'Employee information'!$B:$J,COLUMNS('Employee information'!$B:$J),0)="Foreign resident"),
TRUNC(TRUNC($AN509)*'Tax scales - NAT 1004'!$B$48),
"")),
"")</f>
        <v>1175</v>
      </c>
      <c r="AS509" s="118" t="str">
        <f>IFERROR(
IF(VLOOKUP($C509,'Employee information'!$B:$M,COLUMNS('Employee information'!$B:$M),0)=5,
IF($E$2="Fortnightly",
ROUND(
ROUND((((TRUNC($AN509/2,0)+0.99))*VLOOKUP((TRUNC($AN509/2,0)+0.99),'Tax scales - NAT 1004'!$A$53:$C$59,2,1)-VLOOKUP((TRUNC($AN509/2,0)+0.99),'Tax scales - NAT 1004'!$A$53:$C$59,3,1)),0)
*2,
0),
IF(AND($E$2="Monthly",ROUND($AN509-TRUNC($AN509),2)=0.33),
ROUND(
ROUND(((TRUNC(($AN509+0.01)*3/13,0)+0.99)*VLOOKUP((TRUNC(($AN509+0.01)*3/13,0)+0.99),'Tax scales - NAT 1004'!$A$53:$C$59,2,1)-VLOOKUP((TRUNC(($AN509+0.01)*3/13,0)+0.99),'Tax scales - NAT 1004'!$A$53:$C$59,3,1)),0)
*13/3,
0),
IF($E$2="Monthly",
ROUND(
ROUND(((TRUNC($AN509*3/13,0)+0.99)*VLOOKUP((TRUNC($AN509*3/13,0)+0.99),'Tax scales - NAT 1004'!$A$53:$C$59,2,1)-VLOOKUP((TRUNC($AN509*3/13,0)+0.99),'Tax scales - NAT 1004'!$A$53:$C$59,3,1)),0)
*13/3,
0),
""))),
""),
"")</f>
        <v/>
      </c>
      <c r="AT509" s="118" t="str">
        <f>IFERROR(
IF(VLOOKUP($C509,'Employee information'!$B:$M,COLUMNS('Employee information'!$B:$M),0)=6,
IF($E$2="Fortnightly",
ROUND(
ROUND((((TRUNC($AN509/2,0)+0.99))*VLOOKUP((TRUNC($AN509/2,0)+0.99),'Tax scales - NAT 1004'!$A$65:$C$73,2,1)-VLOOKUP((TRUNC($AN509/2,0)+0.99),'Tax scales - NAT 1004'!$A$65:$C$73,3,1)),0)
*2,
0),
IF(AND($E$2="Monthly",ROUND($AN509-TRUNC($AN509),2)=0.33),
ROUND(
ROUND(((TRUNC(($AN509+0.01)*3/13,0)+0.99)*VLOOKUP((TRUNC(($AN509+0.01)*3/13,0)+0.99),'Tax scales - NAT 1004'!$A$65:$C$73,2,1)-VLOOKUP((TRUNC(($AN509+0.01)*3/13,0)+0.99),'Tax scales - NAT 1004'!$A$65:$C$73,3,1)),0)
*13/3,
0),
IF($E$2="Monthly",
ROUND(
ROUND(((TRUNC($AN509*3/13,0)+0.99)*VLOOKUP((TRUNC($AN509*3/13,0)+0.99),'Tax scales - NAT 1004'!$A$65:$C$73,2,1)-VLOOKUP((TRUNC($AN509*3/13,0)+0.99),'Tax scales - NAT 1004'!$A$65:$C$73,3,1)),0)
*13/3,
0),
""))),
""),
"")</f>
        <v/>
      </c>
      <c r="AU509" s="118" t="str">
        <f>IFERROR(
IF(VLOOKUP($C509,'Employee information'!$B:$M,COLUMNS('Employee information'!$B:$M),0)=11,
IF($E$2="Fortnightly",
ROUND(
ROUND((((TRUNC($AN509/2,0)+0.99))*VLOOKUP((TRUNC($AN509/2,0)+0.99),'Tax scales - NAT 3539'!$A$14:$C$38,2,1)-VLOOKUP((TRUNC($AN509/2,0)+0.99),'Tax scales - NAT 3539'!$A$14:$C$38,3,1)),0)
*2,
0),
IF(AND($E$2="Monthly",ROUND($AN509-TRUNC($AN509),2)=0.33),
ROUND(
ROUND(((TRUNC(($AN509+0.01)*3/13,0)+0.99)*VLOOKUP((TRUNC(($AN509+0.01)*3/13,0)+0.99),'Tax scales - NAT 3539'!$A$14:$C$38,2,1)-VLOOKUP((TRUNC(($AN509+0.01)*3/13,0)+0.99),'Tax scales - NAT 3539'!$A$14:$C$38,3,1)),0)
*13/3,
0),
IF($E$2="Monthly",
ROUND(
ROUND(((TRUNC($AN509*3/13,0)+0.99)*VLOOKUP((TRUNC($AN509*3/13,0)+0.99),'Tax scales - NAT 3539'!$A$14:$C$38,2,1)-VLOOKUP((TRUNC($AN509*3/13,0)+0.99),'Tax scales - NAT 3539'!$A$14:$C$38,3,1)),0)
*13/3,
0),
""))),
""),
"")</f>
        <v/>
      </c>
      <c r="AV509" s="118" t="str">
        <f>IFERROR(
IF(VLOOKUP($C509,'Employee information'!$B:$M,COLUMNS('Employee information'!$B:$M),0)=22,
IF($E$2="Fortnightly",
ROUND(
ROUND((((TRUNC($AN509/2,0)+0.99))*VLOOKUP((TRUNC($AN509/2,0)+0.99),'Tax scales - NAT 3539'!$A$43:$C$69,2,1)-VLOOKUP((TRUNC($AN509/2,0)+0.99),'Tax scales - NAT 3539'!$A$43:$C$69,3,1)),0)
*2,
0),
IF(AND($E$2="Monthly",ROUND($AN509-TRUNC($AN509),2)=0.33),
ROUND(
ROUND(((TRUNC(($AN509+0.01)*3/13,0)+0.99)*VLOOKUP((TRUNC(($AN509+0.01)*3/13,0)+0.99),'Tax scales - NAT 3539'!$A$43:$C$69,2,1)-VLOOKUP((TRUNC(($AN509+0.01)*3/13,0)+0.99),'Tax scales - NAT 3539'!$A$43:$C$69,3,1)),0)
*13/3,
0),
IF($E$2="Monthly",
ROUND(
ROUND(((TRUNC($AN509*3/13,0)+0.99)*VLOOKUP((TRUNC($AN509*3/13,0)+0.99),'Tax scales - NAT 3539'!$A$43:$C$69,2,1)-VLOOKUP((TRUNC($AN509*3/13,0)+0.99),'Tax scales - NAT 3539'!$A$43:$C$69,3,1)),0)
*13/3,
0),
""))),
""),
"")</f>
        <v/>
      </c>
      <c r="AW509" s="118" t="str">
        <f>IFERROR(
IF(VLOOKUP($C509,'Employee information'!$B:$M,COLUMNS('Employee information'!$B:$M),0)=33,
IF($E$2="Fortnightly",
ROUND(
ROUND((((TRUNC($AN509/2,0)+0.99))*VLOOKUP((TRUNC($AN509/2,0)+0.99),'Tax scales - NAT 3539'!$A$74:$C$94,2,1)-VLOOKUP((TRUNC($AN509/2,0)+0.99),'Tax scales - NAT 3539'!$A$74:$C$94,3,1)),0)
*2,
0),
IF(AND($E$2="Monthly",ROUND($AN509-TRUNC($AN509),2)=0.33),
ROUND(
ROUND(((TRUNC(($AN509+0.01)*3/13,0)+0.99)*VLOOKUP((TRUNC(($AN509+0.01)*3/13,0)+0.99),'Tax scales - NAT 3539'!$A$74:$C$94,2,1)-VLOOKUP((TRUNC(($AN509+0.01)*3/13,0)+0.99),'Tax scales - NAT 3539'!$A$74:$C$94,3,1)),0)
*13/3,
0),
IF($E$2="Monthly",
ROUND(
ROUND(((TRUNC($AN509*3/13,0)+0.99)*VLOOKUP((TRUNC($AN509*3/13,0)+0.99),'Tax scales - NAT 3539'!$A$74:$C$94,2,1)-VLOOKUP((TRUNC($AN509*3/13,0)+0.99),'Tax scales - NAT 3539'!$A$74:$C$94,3,1)),0)
*13/3,
0),
""))),
""),
"")</f>
        <v/>
      </c>
      <c r="AX509" s="118" t="str">
        <f>IFERROR(
IF(VLOOKUP($C509,'Employee information'!$B:$M,COLUMNS('Employee information'!$B:$M),0)=55,
IF($E$2="Fortnightly",
ROUND(
ROUND((((TRUNC($AN509/2,0)+0.99))*VLOOKUP((TRUNC($AN509/2,0)+0.99),'Tax scales - NAT 3539'!$A$99:$C$123,2,1)-VLOOKUP((TRUNC($AN509/2,0)+0.99),'Tax scales - NAT 3539'!$A$99:$C$123,3,1)),0)
*2,
0),
IF(AND($E$2="Monthly",ROUND($AN509-TRUNC($AN509),2)=0.33),
ROUND(
ROUND(((TRUNC(($AN509+0.01)*3/13,0)+0.99)*VLOOKUP((TRUNC(($AN509+0.01)*3/13,0)+0.99),'Tax scales - NAT 3539'!$A$99:$C$123,2,1)-VLOOKUP((TRUNC(($AN509+0.01)*3/13,0)+0.99),'Tax scales - NAT 3539'!$A$99:$C$123,3,1)),0)
*13/3,
0),
IF($E$2="Monthly",
ROUND(
ROUND(((TRUNC($AN509*3/13,0)+0.99)*VLOOKUP((TRUNC($AN509*3/13,0)+0.99),'Tax scales - NAT 3539'!$A$99:$C$123,2,1)-VLOOKUP((TRUNC($AN509*3/13,0)+0.99),'Tax scales - NAT 3539'!$A$99:$C$123,3,1)),0)
*13/3,
0),
""))),
""),
"")</f>
        <v/>
      </c>
      <c r="AY509" s="118" t="str">
        <f>IFERROR(
IF(VLOOKUP($C509,'Employee information'!$B:$M,COLUMNS('Employee information'!$B:$M),0)=66,
IF($E$2="Fortnightly",
ROUND(
ROUND((((TRUNC($AN509/2,0)+0.99))*VLOOKUP((TRUNC($AN509/2,0)+0.99),'Tax scales - NAT 3539'!$A$127:$C$154,2,1)-VLOOKUP((TRUNC($AN509/2,0)+0.99),'Tax scales - NAT 3539'!$A$127:$C$154,3,1)),0)
*2,
0),
IF(AND($E$2="Monthly",ROUND($AN509-TRUNC($AN509),2)=0.33),
ROUND(
ROUND(((TRUNC(($AN509+0.01)*3/13,0)+0.99)*VLOOKUP((TRUNC(($AN509+0.01)*3/13,0)+0.99),'Tax scales - NAT 3539'!$A$127:$C$154,2,1)-VLOOKUP((TRUNC(($AN509+0.01)*3/13,0)+0.99),'Tax scales - NAT 3539'!$A$127:$C$154,3,1)),0)
*13/3,
0),
IF($E$2="Monthly",
ROUND(
ROUND(((TRUNC($AN509*3/13,0)+0.99)*VLOOKUP((TRUNC($AN509*3/13,0)+0.99),'Tax scales - NAT 3539'!$A$127:$C$154,2,1)-VLOOKUP((TRUNC($AN509*3/13,0)+0.99),'Tax scales - NAT 3539'!$A$127:$C$154,3,1)),0)
*13/3,
0),
""))),
""),
"")</f>
        <v/>
      </c>
      <c r="AZ509" s="118">
        <f>IFERROR(
HLOOKUP(VLOOKUP($C509,'Employee information'!$B:$M,COLUMNS('Employee information'!$B:$M),0),'PAYG worksheet'!$AO$503:$AY$522,COUNTA($C$504:$C509)+1,0),
0)</f>
        <v>1175</v>
      </c>
      <c r="BA509" s="118"/>
      <c r="BB509" s="118">
        <f t="shared" si="542"/>
        <v>1325</v>
      </c>
      <c r="BC509" s="119">
        <f>IFERROR(
IF(OR($AE509=1,$AE509=""),SUM($P509,$AA509,$AC509,$AK509)*VLOOKUP($C509,'Employee information'!$B:$Q,COLUMNS('Employee information'!$B:$H),0),
IF($AE509=0,SUM($P509,$AA509,$AK509)*VLOOKUP($C509,'Employee information'!$B:$Q,COLUMNS('Employee information'!$B:$H),0),
0)),
0)</f>
        <v>237.5</v>
      </c>
      <c r="BE509" s="114">
        <f t="shared" si="527"/>
        <v>45000</v>
      </c>
      <c r="BF509" s="114">
        <f t="shared" si="528"/>
        <v>45000</v>
      </c>
      <c r="BG509" s="114">
        <f t="shared" si="529"/>
        <v>0</v>
      </c>
      <c r="BH509" s="114">
        <f t="shared" si="530"/>
        <v>0</v>
      </c>
      <c r="BI509" s="114">
        <f t="shared" si="531"/>
        <v>21150</v>
      </c>
      <c r="BJ509" s="114">
        <f t="shared" si="532"/>
        <v>0</v>
      </c>
      <c r="BK509" s="114">
        <f t="shared" si="533"/>
        <v>0</v>
      </c>
      <c r="BL509" s="114">
        <f t="shared" si="543"/>
        <v>0</v>
      </c>
      <c r="BM509" s="114">
        <f t="shared" si="534"/>
        <v>4275</v>
      </c>
    </row>
    <row r="510" spans="1:65" x14ac:dyDescent="0.25">
      <c r="A510" s="228">
        <f t="shared" si="522"/>
        <v>18</v>
      </c>
      <c r="C510" s="278" t="s">
        <v>95</v>
      </c>
      <c r="E510" s="103">
        <f>IF($C510="",0,
IF(AND($E$2="Monthly",$A510&gt;12),0,
IF($E$2="Monthly",VLOOKUP($C510,'Employee information'!$B:$AM,COLUMNS('Employee information'!$B:S),0),
IF($E$2="Fortnightly",VLOOKUP($C510,'Employee information'!$B:$AM,COLUMNS('Employee information'!$B:R),0),
0))))</f>
        <v>45</v>
      </c>
      <c r="F510" s="106"/>
      <c r="G510" s="106"/>
      <c r="H510" s="106"/>
      <c r="I510" s="106"/>
      <c r="J510" s="103">
        <f t="shared" si="535"/>
        <v>45</v>
      </c>
      <c r="L510" s="113">
        <f>IF(AND($E$2="Monthly",$A510&gt;12),"",
IFERROR($J510*VLOOKUP($C510,'Employee information'!$B:$AI,COLUMNS('Employee information'!$B:$P),0),0))</f>
        <v>1107.6923076923078</v>
      </c>
      <c r="M510" s="114">
        <f t="shared" si="536"/>
        <v>19938.461538461546</v>
      </c>
      <c r="O510" s="103">
        <f t="shared" si="537"/>
        <v>45</v>
      </c>
      <c r="P510" s="113">
        <f>IFERROR(
IF(AND($E$2="Monthly",$A510&gt;12),0,
$O510*VLOOKUP($C510,'Employee information'!$B:$AI,COLUMNS('Employee information'!$B:$P),0)),
0)</f>
        <v>1107.6923076923078</v>
      </c>
      <c r="R510" s="114">
        <f t="shared" si="523"/>
        <v>19938.461538461546</v>
      </c>
      <c r="T510" s="103"/>
      <c r="U510" s="103"/>
      <c r="V510" s="282">
        <f>IF($C510="","",
IF(AND($E$2="Monthly",$A510&gt;12),"",
$T510*VLOOKUP($C510,'Employee information'!$B:$P,COLUMNS('Employee information'!$B:$P),0)))</f>
        <v>0</v>
      </c>
      <c r="W510" s="282">
        <f>IF($C510="","",
IF(AND($E$2="Monthly",$A510&gt;12),"",
$U510*VLOOKUP($C510,'Employee information'!$B:$P,COLUMNS('Employee information'!$B:$P),0)))</f>
        <v>0</v>
      </c>
      <c r="X510" s="114">
        <f t="shared" si="524"/>
        <v>0</v>
      </c>
      <c r="Y510" s="114">
        <f t="shared" si="525"/>
        <v>0</v>
      </c>
      <c r="AA510" s="118">
        <f>IFERROR(
IF(OR('Basic payroll data'!$D$12="",'Basic payroll data'!$D$12="No"),0,
$T510*VLOOKUP($C510,'Employee information'!$B:$P,COLUMNS('Employee information'!$B:$P),0)*AL_loading_perc),
0)</f>
        <v>0</v>
      </c>
      <c r="AC510" s="118"/>
      <c r="AD510" s="118"/>
      <c r="AE510" s="283" t="str">
        <f t="shared" si="538"/>
        <v/>
      </c>
      <c r="AF510" s="283" t="str">
        <f t="shared" si="539"/>
        <v/>
      </c>
      <c r="AG510" s="118"/>
      <c r="AH510" s="118"/>
      <c r="AI510" s="283" t="str">
        <f t="shared" si="540"/>
        <v/>
      </c>
      <c r="AJ510" s="118"/>
      <c r="AK510" s="118"/>
      <c r="AM510" s="118">
        <f t="shared" si="541"/>
        <v>1107.6923076923078</v>
      </c>
      <c r="AN510" s="118">
        <f t="shared" si="526"/>
        <v>1107.6923076923078</v>
      </c>
      <c r="AO510" s="118" t="str">
        <f>IFERROR(
IF(VLOOKUP($C510,'Employee information'!$B:$M,COLUMNS('Employee information'!$B:$M),0)=1,
IF($E$2="Fortnightly",
ROUND(
ROUND((((TRUNC($AN510/2,0)+0.99))*VLOOKUP((TRUNC($AN510/2,0)+0.99),'Tax scales - NAT 1004'!$A$12:$C$18,2,1)-VLOOKUP((TRUNC($AN510/2,0)+0.99),'Tax scales - NAT 1004'!$A$12:$C$18,3,1)),0)
*2,
0),
IF(AND($E$2="Monthly",ROUND($AN510-TRUNC($AN510),2)=0.33),
ROUND(
ROUND(((TRUNC(($AN510+0.01)*3/13,0)+0.99)*VLOOKUP((TRUNC(($AN510+0.01)*3/13,0)+0.99),'Tax scales - NAT 1004'!$A$12:$C$18,2,1)-VLOOKUP((TRUNC(($AN510+0.01)*3/13,0)+0.99),'Tax scales - NAT 1004'!$A$12:$C$18,3,1)),0)
*13/3,
0),
IF($E$2="Monthly",
ROUND(
ROUND(((TRUNC($AN510*3/13,0)+0.99)*VLOOKUP((TRUNC($AN510*3/13,0)+0.99),'Tax scales - NAT 1004'!$A$12:$C$18,2,1)-VLOOKUP((TRUNC($AN510*3/13,0)+0.99),'Tax scales - NAT 1004'!$A$12:$C$18,3,1)),0)
*13/3,
0),
""))),
""),
"")</f>
        <v/>
      </c>
      <c r="AP510" s="118" t="str">
        <f>IFERROR(
IF(VLOOKUP($C510,'Employee information'!$B:$M,COLUMNS('Employee information'!$B:$M),0)=2,
IF($E$2="Fortnightly",
ROUND(
ROUND((((TRUNC($AN510/2,0)+0.99))*VLOOKUP((TRUNC($AN510/2,0)+0.99),'Tax scales - NAT 1004'!$A$25:$C$33,2,1)-VLOOKUP((TRUNC($AN510/2,0)+0.99),'Tax scales - NAT 1004'!$A$25:$C$33,3,1)),0)
*2,
0),
IF(AND($E$2="Monthly",ROUND($AN510-TRUNC($AN510),2)=0.33),
ROUND(
ROUND(((TRUNC(($AN510+0.01)*3/13,0)+0.99)*VLOOKUP((TRUNC(($AN510+0.01)*3/13,0)+0.99),'Tax scales - NAT 1004'!$A$25:$C$33,2,1)-VLOOKUP((TRUNC(($AN510+0.01)*3/13,0)+0.99),'Tax scales - NAT 1004'!$A$25:$C$33,3,1)),0)
*13/3,
0),
IF($E$2="Monthly",
ROUND(
ROUND(((TRUNC($AN510*3/13,0)+0.99)*VLOOKUP((TRUNC($AN510*3/13,0)+0.99),'Tax scales - NAT 1004'!$A$25:$C$33,2,1)-VLOOKUP((TRUNC($AN510*3/13,0)+0.99),'Tax scales - NAT 1004'!$A$25:$C$33,3,1)),0)
*13/3,
0),
""))),
""),
"")</f>
        <v/>
      </c>
      <c r="AQ510" s="118" t="str">
        <f>IFERROR(
IF(VLOOKUP($C510,'Employee information'!$B:$M,COLUMNS('Employee information'!$B:$M),0)=3,
IF($E$2="Fortnightly",
ROUND(
ROUND((((TRUNC($AN510/2,0)+0.99))*VLOOKUP((TRUNC($AN510/2,0)+0.99),'Tax scales - NAT 1004'!$A$39:$C$41,2,1)-VLOOKUP((TRUNC($AN510/2,0)+0.99),'Tax scales - NAT 1004'!$A$39:$C$41,3,1)),0)
*2,
0),
IF(AND($E$2="Monthly",ROUND($AN510-TRUNC($AN510),2)=0.33),
ROUND(
ROUND(((TRUNC(($AN510+0.01)*3/13,0)+0.99)*VLOOKUP((TRUNC(($AN510+0.01)*3/13,0)+0.99),'Tax scales - NAT 1004'!$A$39:$C$41,2,1)-VLOOKUP((TRUNC(($AN510+0.01)*3/13,0)+0.99),'Tax scales - NAT 1004'!$A$39:$C$41,3,1)),0)
*13/3,
0),
IF($E$2="Monthly",
ROUND(
ROUND(((TRUNC($AN510*3/13,0)+0.99)*VLOOKUP((TRUNC($AN510*3/13,0)+0.99),'Tax scales - NAT 1004'!$A$39:$C$41,2,1)-VLOOKUP((TRUNC($AN510*3/13,0)+0.99),'Tax scales - NAT 1004'!$A$39:$C$41,3,1)),0)
*13/3,
0),
""))),
""),
"")</f>
        <v/>
      </c>
      <c r="AR510" s="118" t="str">
        <f>IFERROR(
IF(AND(VLOOKUP($C510,'Employee information'!$B:$M,COLUMNS('Employee information'!$B:$M),0)=4,
VLOOKUP($C510,'Employee information'!$B:$J,COLUMNS('Employee information'!$B:$J),0)="Resident"),
TRUNC(TRUNC($AN510)*'Tax scales - NAT 1004'!$B$47),
IF(AND(VLOOKUP($C510,'Employee information'!$B:$M,COLUMNS('Employee information'!$B:$M),0)=4,
VLOOKUP($C510,'Employee information'!$B:$J,COLUMNS('Employee information'!$B:$J),0)="Foreign resident"),
TRUNC(TRUNC($AN510)*'Tax scales - NAT 1004'!$B$48),
"")),
"")</f>
        <v/>
      </c>
      <c r="AS510" s="118" t="str">
        <f>IFERROR(
IF(VLOOKUP($C510,'Employee information'!$B:$M,COLUMNS('Employee information'!$B:$M),0)=5,
IF($E$2="Fortnightly",
ROUND(
ROUND((((TRUNC($AN510/2,0)+0.99))*VLOOKUP((TRUNC($AN510/2,0)+0.99),'Tax scales - NAT 1004'!$A$53:$C$59,2,1)-VLOOKUP((TRUNC($AN510/2,0)+0.99),'Tax scales - NAT 1004'!$A$53:$C$59,3,1)),0)
*2,
0),
IF(AND($E$2="Monthly",ROUND($AN510-TRUNC($AN510),2)=0.33),
ROUND(
ROUND(((TRUNC(($AN510+0.01)*3/13,0)+0.99)*VLOOKUP((TRUNC(($AN510+0.01)*3/13,0)+0.99),'Tax scales - NAT 1004'!$A$53:$C$59,2,1)-VLOOKUP((TRUNC(($AN510+0.01)*3/13,0)+0.99),'Tax scales - NAT 1004'!$A$53:$C$59,3,1)),0)
*13/3,
0),
IF($E$2="Monthly",
ROUND(
ROUND(((TRUNC($AN510*3/13,0)+0.99)*VLOOKUP((TRUNC($AN510*3/13,0)+0.99),'Tax scales - NAT 1004'!$A$53:$C$59,2,1)-VLOOKUP((TRUNC($AN510*3/13,0)+0.99),'Tax scales - NAT 1004'!$A$53:$C$59,3,1)),0)
*13/3,
0),
""))),
""),
"")</f>
        <v/>
      </c>
      <c r="AT510" s="118" t="str">
        <f>IFERROR(
IF(VLOOKUP($C510,'Employee information'!$B:$M,COLUMNS('Employee information'!$B:$M),0)=6,
IF($E$2="Fortnightly",
ROUND(
ROUND((((TRUNC($AN510/2,0)+0.99))*VLOOKUP((TRUNC($AN510/2,0)+0.99),'Tax scales - NAT 1004'!$A$65:$C$73,2,1)-VLOOKUP((TRUNC($AN510/2,0)+0.99),'Tax scales - NAT 1004'!$A$65:$C$73,3,1)),0)
*2,
0),
IF(AND($E$2="Monthly",ROUND($AN510-TRUNC($AN510),2)=0.33),
ROUND(
ROUND(((TRUNC(($AN510+0.01)*3/13,0)+0.99)*VLOOKUP((TRUNC(($AN510+0.01)*3/13,0)+0.99),'Tax scales - NAT 1004'!$A$65:$C$73,2,1)-VLOOKUP((TRUNC(($AN510+0.01)*3/13,0)+0.99),'Tax scales - NAT 1004'!$A$65:$C$73,3,1)),0)
*13/3,
0),
IF($E$2="Monthly",
ROUND(
ROUND(((TRUNC($AN510*3/13,0)+0.99)*VLOOKUP((TRUNC($AN510*3/13,0)+0.99),'Tax scales - NAT 1004'!$A$65:$C$73,2,1)-VLOOKUP((TRUNC($AN510*3/13,0)+0.99),'Tax scales - NAT 1004'!$A$65:$C$73,3,1)),0)
*13/3,
0),
""))),
""),
"")</f>
        <v/>
      </c>
      <c r="AU510" s="118" t="str">
        <f>IFERROR(
IF(VLOOKUP($C510,'Employee information'!$B:$M,COLUMNS('Employee information'!$B:$M),0)=11,
IF($E$2="Fortnightly",
ROUND(
ROUND((((TRUNC($AN510/2,0)+0.99))*VLOOKUP((TRUNC($AN510/2,0)+0.99),'Tax scales - NAT 3539'!$A$14:$C$38,2,1)-VLOOKUP((TRUNC($AN510/2,0)+0.99),'Tax scales - NAT 3539'!$A$14:$C$38,3,1)),0)
*2,
0),
IF(AND($E$2="Monthly",ROUND($AN510-TRUNC($AN510),2)=0.33),
ROUND(
ROUND(((TRUNC(($AN510+0.01)*3/13,0)+0.99)*VLOOKUP((TRUNC(($AN510+0.01)*3/13,0)+0.99),'Tax scales - NAT 3539'!$A$14:$C$38,2,1)-VLOOKUP((TRUNC(($AN510+0.01)*3/13,0)+0.99),'Tax scales - NAT 3539'!$A$14:$C$38,3,1)),0)
*13/3,
0),
IF($E$2="Monthly",
ROUND(
ROUND(((TRUNC($AN510*3/13,0)+0.99)*VLOOKUP((TRUNC($AN510*3/13,0)+0.99),'Tax scales - NAT 3539'!$A$14:$C$38,2,1)-VLOOKUP((TRUNC($AN510*3/13,0)+0.99),'Tax scales - NAT 3539'!$A$14:$C$38,3,1)),0)
*13/3,
0),
""))),
""),
"")</f>
        <v/>
      </c>
      <c r="AV510" s="118" t="str">
        <f>IFERROR(
IF(VLOOKUP($C510,'Employee information'!$B:$M,COLUMNS('Employee information'!$B:$M),0)=22,
IF($E$2="Fortnightly",
ROUND(
ROUND((((TRUNC($AN510/2,0)+0.99))*VLOOKUP((TRUNC($AN510/2,0)+0.99),'Tax scales - NAT 3539'!$A$43:$C$69,2,1)-VLOOKUP((TRUNC($AN510/2,0)+0.99),'Tax scales - NAT 3539'!$A$43:$C$69,3,1)),0)
*2,
0),
IF(AND($E$2="Monthly",ROUND($AN510-TRUNC($AN510),2)=0.33),
ROUND(
ROUND(((TRUNC(($AN510+0.01)*3/13,0)+0.99)*VLOOKUP((TRUNC(($AN510+0.01)*3/13,0)+0.99),'Tax scales - NAT 3539'!$A$43:$C$69,2,1)-VLOOKUP((TRUNC(($AN510+0.01)*3/13,0)+0.99),'Tax scales - NAT 3539'!$A$43:$C$69,3,1)),0)
*13/3,
0),
IF($E$2="Monthly",
ROUND(
ROUND(((TRUNC($AN510*3/13,0)+0.99)*VLOOKUP((TRUNC($AN510*3/13,0)+0.99),'Tax scales - NAT 3539'!$A$43:$C$69,2,1)-VLOOKUP((TRUNC($AN510*3/13,0)+0.99),'Tax scales - NAT 3539'!$A$43:$C$69,3,1)),0)
*13/3,
0),
""))),
""),
"")</f>
        <v/>
      </c>
      <c r="AW510" s="118" t="str">
        <f>IFERROR(
IF(VLOOKUP($C510,'Employee information'!$B:$M,COLUMNS('Employee information'!$B:$M),0)=33,
IF($E$2="Fortnightly",
ROUND(
ROUND((((TRUNC($AN510/2,0)+0.99))*VLOOKUP((TRUNC($AN510/2,0)+0.99),'Tax scales - NAT 3539'!$A$74:$C$94,2,1)-VLOOKUP((TRUNC($AN510/2,0)+0.99),'Tax scales - NAT 3539'!$A$74:$C$94,3,1)),0)
*2,
0),
IF(AND($E$2="Monthly",ROUND($AN510-TRUNC($AN510),2)=0.33),
ROUND(
ROUND(((TRUNC(($AN510+0.01)*3/13,0)+0.99)*VLOOKUP((TRUNC(($AN510+0.01)*3/13,0)+0.99),'Tax scales - NAT 3539'!$A$74:$C$94,2,1)-VLOOKUP((TRUNC(($AN510+0.01)*3/13,0)+0.99),'Tax scales - NAT 3539'!$A$74:$C$94,3,1)),0)
*13/3,
0),
IF($E$2="Monthly",
ROUND(
ROUND(((TRUNC($AN510*3/13,0)+0.99)*VLOOKUP((TRUNC($AN510*3/13,0)+0.99),'Tax scales - NAT 3539'!$A$74:$C$94,2,1)-VLOOKUP((TRUNC($AN510*3/13,0)+0.99),'Tax scales - NAT 3539'!$A$74:$C$94,3,1)),0)
*13/3,
0),
""))),
""),
"")</f>
        <v/>
      </c>
      <c r="AX510" s="118" t="str">
        <f>IFERROR(
IF(VLOOKUP($C510,'Employee information'!$B:$M,COLUMNS('Employee information'!$B:$M),0)=55,
IF($E$2="Fortnightly",
ROUND(
ROUND((((TRUNC($AN510/2,0)+0.99))*VLOOKUP((TRUNC($AN510/2,0)+0.99),'Tax scales - NAT 3539'!$A$99:$C$123,2,1)-VLOOKUP((TRUNC($AN510/2,0)+0.99),'Tax scales - NAT 3539'!$A$99:$C$123,3,1)),0)
*2,
0),
IF(AND($E$2="Monthly",ROUND($AN510-TRUNC($AN510),2)=0.33),
ROUND(
ROUND(((TRUNC(($AN510+0.01)*3/13,0)+0.99)*VLOOKUP((TRUNC(($AN510+0.01)*3/13,0)+0.99),'Tax scales - NAT 3539'!$A$99:$C$123,2,1)-VLOOKUP((TRUNC(($AN510+0.01)*3/13,0)+0.99),'Tax scales - NAT 3539'!$A$99:$C$123,3,1)),0)
*13/3,
0),
IF($E$2="Monthly",
ROUND(
ROUND(((TRUNC($AN510*3/13,0)+0.99)*VLOOKUP((TRUNC($AN510*3/13,0)+0.99),'Tax scales - NAT 3539'!$A$99:$C$123,2,1)-VLOOKUP((TRUNC($AN510*3/13,0)+0.99),'Tax scales - NAT 3539'!$A$99:$C$123,3,1)),0)
*13/3,
0),
""))),
""),
"")</f>
        <v/>
      </c>
      <c r="AY510" s="118">
        <f>IFERROR(
IF(VLOOKUP($C510,'Employee information'!$B:$M,COLUMNS('Employee information'!$B:$M),0)=66,
IF($E$2="Fortnightly",
ROUND(
ROUND((((TRUNC($AN510/2,0)+0.99))*VLOOKUP((TRUNC($AN510/2,0)+0.99),'Tax scales - NAT 3539'!$A$127:$C$154,2,1)-VLOOKUP((TRUNC($AN510/2,0)+0.99),'Tax scales - NAT 3539'!$A$127:$C$154,3,1)),0)
*2,
0),
IF(AND($E$2="Monthly",ROUND($AN510-TRUNC($AN510),2)=0.33),
ROUND(
ROUND(((TRUNC(($AN510+0.01)*3/13,0)+0.99)*VLOOKUP((TRUNC(($AN510+0.01)*3/13,0)+0.99),'Tax scales - NAT 3539'!$A$127:$C$154,2,1)-VLOOKUP((TRUNC(($AN510+0.01)*3/13,0)+0.99),'Tax scales - NAT 3539'!$A$127:$C$154,3,1)),0)
*13/3,
0),
IF($E$2="Monthly",
ROUND(
ROUND(((TRUNC($AN510*3/13,0)+0.99)*VLOOKUP((TRUNC($AN510*3/13,0)+0.99),'Tax scales - NAT 3539'!$A$127:$C$154,2,1)-VLOOKUP((TRUNC($AN510*3/13,0)+0.99),'Tax scales - NAT 3539'!$A$127:$C$154,3,1)),0)
*13/3,
0),
""))),
""),
"")</f>
        <v>74</v>
      </c>
      <c r="AZ510" s="118">
        <f>IFERROR(
HLOOKUP(VLOOKUP($C510,'Employee information'!$B:$M,COLUMNS('Employee information'!$B:$M),0),'PAYG worksheet'!$AO$503:$AY$522,COUNTA($C$504:$C510)+1,0),
0)</f>
        <v>74</v>
      </c>
      <c r="BA510" s="118"/>
      <c r="BB510" s="118">
        <f t="shared" si="542"/>
        <v>1033.6923076923078</v>
      </c>
      <c r="BC510" s="119">
        <f>IFERROR(
IF(OR($AE510=1,$AE510=""),SUM($P510,$AA510,$AC510,$AK510)*VLOOKUP($C510,'Employee information'!$B:$Q,COLUMNS('Employee information'!$B:$H),0),
IF($AE510=0,SUM($P510,$AA510,$AK510)*VLOOKUP($C510,'Employee information'!$B:$Q,COLUMNS('Employee information'!$B:$H),0),
0)),
0)</f>
        <v>105.23076923076924</v>
      </c>
      <c r="BE510" s="114">
        <f t="shared" si="527"/>
        <v>19938.461538461546</v>
      </c>
      <c r="BF510" s="114">
        <f t="shared" si="528"/>
        <v>19938.461538461546</v>
      </c>
      <c r="BG510" s="114">
        <f t="shared" si="529"/>
        <v>0</v>
      </c>
      <c r="BH510" s="114">
        <f t="shared" si="530"/>
        <v>0</v>
      </c>
      <c r="BI510" s="114">
        <f t="shared" si="531"/>
        <v>1332</v>
      </c>
      <c r="BJ510" s="114">
        <f t="shared" si="532"/>
        <v>0</v>
      </c>
      <c r="BK510" s="114">
        <f t="shared" si="533"/>
        <v>0</v>
      </c>
      <c r="BL510" s="114">
        <f t="shared" si="543"/>
        <v>0</v>
      </c>
      <c r="BM510" s="114">
        <f t="shared" si="534"/>
        <v>1894.1538461538469</v>
      </c>
    </row>
    <row r="511" spans="1:65" x14ac:dyDescent="0.25">
      <c r="A511" s="228">
        <f t="shared" si="522"/>
        <v>18</v>
      </c>
      <c r="C511" s="278"/>
      <c r="E511" s="103">
        <f>IF($C511="",0,
IF(AND($E$2="Monthly",$A511&gt;12),0,
IF($E$2="Monthly",VLOOKUP($C511,'Employee information'!$B:$AM,COLUMNS('Employee information'!$B:S),0),
IF($E$2="Fortnightly",VLOOKUP($C511,'Employee information'!$B:$AM,COLUMNS('Employee information'!$B:R),0),
0))))</f>
        <v>0</v>
      </c>
      <c r="F511" s="106"/>
      <c r="G511" s="106"/>
      <c r="H511" s="106"/>
      <c r="I511" s="106"/>
      <c r="J511" s="103">
        <f>IF($E$2="Monthly",
IF(AND($E$2="Monthly",$H511&lt;&gt;""),$H511,
IF(AND($E$2="Monthly",$E511=0),SUM($F511:$G511),
$E511)),
IF($E$2="Fortnightly",
IF(AND($E$2="Fortnightly",$H511&lt;&gt;""),$H511,
IF(AND($E$2="Fortnightly",$F511&lt;&gt;"",$E511&lt;&gt;0),$F511,
IF(AND($E$2="Fortnightly",$E511=0),SUM($F511:$G511),
$E511)))))</f>
        <v>0</v>
      </c>
      <c r="L511" s="113">
        <f>IF(AND($E$2="Monthly",$A511&gt;12),"",
IFERROR($J511*VLOOKUP($C511,'Employee information'!$B:$AI,COLUMNS('Employee information'!$B:$P),0),0))</f>
        <v>0</v>
      </c>
      <c r="M511" s="114">
        <f t="shared" si="536"/>
        <v>0</v>
      </c>
      <c r="O511" s="103">
        <f t="shared" si="537"/>
        <v>0</v>
      </c>
      <c r="P511" s="113">
        <f>IFERROR(
IF(AND($E$2="Monthly",$A511&gt;12),0,
$O511*VLOOKUP($C511,'Employee information'!$B:$AI,COLUMNS('Employee information'!$B:$P),0)),
0)</f>
        <v>0</v>
      </c>
      <c r="R511" s="114">
        <f t="shared" si="523"/>
        <v>0</v>
      </c>
      <c r="T511" s="103"/>
      <c r="U511" s="103"/>
      <c r="V511" s="282" t="str">
        <f>IF($C511="","",
IF(AND($E$2="Monthly",$A511&gt;12),"",
$T511*VLOOKUP($C511,'Employee information'!$B:$P,COLUMNS('Employee information'!$B:$P),0)))</f>
        <v/>
      </c>
      <c r="W511" s="282" t="str">
        <f>IF($C511="","",
IF(AND($E$2="Monthly",$A511&gt;12),"",
$U511*VLOOKUP($C511,'Employee information'!$B:$P,COLUMNS('Employee information'!$B:$P),0)))</f>
        <v/>
      </c>
      <c r="X511" s="114">
        <f t="shared" si="524"/>
        <v>0</v>
      </c>
      <c r="Y511" s="114">
        <f t="shared" si="525"/>
        <v>0</v>
      </c>
      <c r="AA511" s="118">
        <f>IFERROR(
IF(OR('Basic payroll data'!$D$12="",'Basic payroll data'!$D$12="No"),0,
$T511*VLOOKUP($C511,'Employee information'!$B:$P,COLUMNS('Employee information'!$B:$P),0)*AL_loading_perc),
0)</f>
        <v>0</v>
      </c>
      <c r="AC511" s="118"/>
      <c r="AD511" s="118"/>
      <c r="AE511" s="283" t="str">
        <f t="shared" si="538"/>
        <v/>
      </c>
      <c r="AF511" s="283" t="str">
        <f t="shared" si="539"/>
        <v/>
      </c>
      <c r="AG511" s="118"/>
      <c r="AH511" s="118"/>
      <c r="AI511" s="283" t="str">
        <f t="shared" si="540"/>
        <v/>
      </c>
      <c r="AJ511" s="118"/>
      <c r="AK511" s="118"/>
      <c r="AM511" s="118">
        <f t="shared" si="541"/>
        <v>0</v>
      </c>
      <c r="AN511" s="118">
        <f t="shared" si="526"/>
        <v>0</v>
      </c>
      <c r="AO511" s="118" t="str">
        <f>IFERROR(
IF(VLOOKUP($C511,'Employee information'!$B:$M,COLUMNS('Employee information'!$B:$M),0)=1,
IF($E$2="Fortnightly",
ROUND(
ROUND((((TRUNC($AN511/2,0)+0.99))*VLOOKUP((TRUNC($AN511/2,0)+0.99),'Tax scales - NAT 1004'!$A$12:$C$18,2,1)-VLOOKUP((TRUNC($AN511/2,0)+0.99),'Tax scales - NAT 1004'!$A$12:$C$18,3,1)),0)
*2,
0),
IF(AND($E$2="Monthly",ROUND($AN511-TRUNC($AN511),2)=0.33),
ROUND(
ROUND(((TRUNC(($AN511+0.01)*3/13,0)+0.99)*VLOOKUP((TRUNC(($AN511+0.01)*3/13,0)+0.99),'Tax scales - NAT 1004'!$A$12:$C$18,2,1)-VLOOKUP((TRUNC(($AN511+0.01)*3/13,0)+0.99),'Tax scales - NAT 1004'!$A$12:$C$18,3,1)),0)
*13/3,
0),
IF($E$2="Monthly",
ROUND(
ROUND(((TRUNC($AN511*3/13,0)+0.99)*VLOOKUP((TRUNC($AN511*3/13,0)+0.99),'Tax scales - NAT 1004'!$A$12:$C$18,2,1)-VLOOKUP((TRUNC($AN511*3/13,0)+0.99),'Tax scales - NAT 1004'!$A$12:$C$18,3,1)),0)
*13/3,
0),
""))),
""),
"")</f>
        <v/>
      </c>
      <c r="AP511" s="118" t="str">
        <f>IFERROR(
IF(VLOOKUP($C511,'Employee information'!$B:$M,COLUMNS('Employee information'!$B:$M),0)=2,
IF($E$2="Fortnightly",
ROUND(
ROUND((((TRUNC($AN511/2,0)+0.99))*VLOOKUP((TRUNC($AN511/2,0)+0.99),'Tax scales - NAT 1004'!$A$25:$C$33,2,1)-VLOOKUP((TRUNC($AN511/2,0)+0.99),'Tax scales - NAT 1004'!$A$25:$C$33,3,1)),0)
*2,
0),
IF(AND($E$2="Monthly",ROUND($AN511-TRUNC($AN511),2)=0.33),
ROUND(
ROUND(((TRUNC(($AN511+0.01)*3/13,0)+0.99)*VLOOKUP((TRUNC(($AN511+0.01)*3/13,0)+0.99),'Tax scales - NAT 1004'!$A$25:$C$33,2,1)-VLOOKUP((TRUNC(($AN511+0.01)*3/13,0)+0.99),'Tax scales - NAT 1004'!$A$25:$C$33,3,1)),0)
*13/3,
0),
IF($E$2="Monthly",
ROUND(
ROUND(((TRUNC($AN511*3/13,0)+0.99)*VLOOKUP((TRUNC($AN511*3/13,0)+0.99),'Tax scales - NAT 1004'!$A$25:$C$33,2,1)-VLOOKUP((TRUNC($AN511*3/13,0)+0.99),'Tax scales - NAT 1004'!$A$25:$C$33,3,1)),0)
*13/3,
0),
""))),
""),
"")</f>
        <v/>
      </c>
      <c r="AQ511" s="118" t="str">
        <f>IFERROR(
IF(VLOOKUP($C511,'Employee information'!$B:$M,COLUMNS('Employee information'!$B:$M),0)=3,
IF($E$2="Fortnightly",
ROUND(
ROUND((((TRUNC($AN511/2,0)+0.99))*VLOOKUP((TRUNC($AN511/2,0)+0.99),'Tax scales - NAT 1004'!$A$39:$C$41,2,1)-VLOOKUP((TRUNC($AN511/2,0)+0.99),'Tax scales - NAT 1004'!$A$39:$C$41,3,1)),0)
*2,
0),
IF(AND($E$2="Monthly",ROUND($AN511-TRUNC($AN511),2)=0.33),
ROUND(
ROUND(((TRUNC(($AN511+0.01)*3/13,0)+0.99)*VLOOKUP((TRUNC(($AN511+0.01)*3/13,0)+0.99),'Tax scales - NAT 1004'!$A$39:$C$41,2,1)-VLOOKUP((TRUNC(($AN511+0.01)*3/13,0)+0.99),'Tax scales - NAT 1004'!$A$39:$C$41,3,1)),0)
*13/3,
0),
IF($E$2="Monthly",
ROUND(
ROUND(((TRUNC($AN511*3/13,0)+0.99)*VLOOKUP((TRUNC($AN511*3/13,0)+0.99),'Tax scales - NAT 1004'!$A$39:$C$41,2,1)-VLOOKUP((TRUNC($AN511*3/13,0)+0.99),'Tax scales - NAT 1004'!$A$39:$C$41,3,1)),0)
*13/3,
0),
""))),
""),
"")</f>
        <v/>
      </c>
      <c r="AR511" s="118" t="str">
        <f>IFERROR(
IF(AND(VLOOKUP($C511,'Employee information'!$B:$M,COLUMNS('Employee information'!$B:$M),0)=4,
VLOOKUP($C511,'Employee information'!$B:$J,COLUMNS('Employee information'!$B:$J),0)="Resident"),
TRUNC(TRUNC($AN511)*'Tax scales - NAT 1004'!$B$47),
IF(AND(VLOOKUP($C511,'Employee information'!$B:$M,COLUMNS('Employee information'!$B:$M),0)=4,
VLOOKUP($C511,'Employee information'!$B:$J,COLUMNS('Employee information'!$B:$J),0)="Foreign resident"),
TRUNC(TRUNC($AN511)*'Tax scales - NAT 1004'!$B$48),
"")),
"")</f>
        <v/>
      </c>
      <c r="AS511" s="118" t="str">
        <f>IFERROR(
IF(VLOOKUP($C511,'Employee information'!$B:$M,COLUMNS('Employee information'!$B:$M),0)=5,
IF($E$2="Fortnightly",
ROUND(
ROUND((((TRUNC($AN511/2,0)+0.99))*VLOOKUP((TRUNC($AN511/2,0)+0.99),'Tax scales - NAT 1004'!$A$53:$C$59,2,1)-VLOOKUP((TRUNC($AN511/2,0)+0.99),'Tax scales - NAT 1004'!$A$53:$C$59,3,1)),0)
*2,
0),
IF(AND($E$2="Monthly",ROUND($AN511-TRUNC($AN511),2)=0.33),
ROUND(
ROUND(((TRUNC(($AN511+0.01)*3/13,0)+0.99)*VLOOKUP((TRUNC(($AN511+0.01)*3/13,0)+0.99),'Tax scales - NAT 1004'!$A$53:$C$59,2,1)-VLOOKUP((TRUNC(($AN511+0.01)*3/13,0)+0.99),'Tax scales - NAT 1004'!$A$53:$C$59,3,1)),0)
*13/3,
0),
IF($E$2="Monthly",
ROUND(
ROUND(((TRUNC($AN511*3/13,0)+0.99)*VLOOKUP((TRUNC($AN511*3/13,0)+0.99),'Tax scales - NAT 1004'!$A$53:$C$59,2,1)-VLOOKUP((TRUNC($AN511*3/13,0)+0.99),'Tax scales - NAT 1004'!$A$53:$C$59,3,1)),0)
*13/3,
0),
""))),
""),
"")</f>
        <v/>
      </c>
      <c r="AT511" s="118" t="str">
        <f>IFERROR(
IF(VLOOKUP($C511,'Employee information'!$B:$M,COLUMNS('Employee information'!$B:$M),0)=6,
IF($E$2="Fortnightly",
ROUND(
ROUND((((TRUNC($AN511/2,0)+0.99))*VLOOKUP((TRUNC($AN511/2,0)+0.99),'Tax scales - NAT 1004'!$A$65:$C$73,2,1)-VLOOKUP((TRUNC($AN511/2,0)+0.99),'Tax scales - NAT 1004'!$A$65:$C$73,3,1)),0)
*2,
0),
IF(AND($E$2="Monthly",ROUND($AN511-TRUNC($AN511),2)=0.33),
ROUND(
ROUND(((TRUNC(($AN511+0.01)*3/13,0)+0.99)*VLOOKUP((TRUNC(($AN511+0.01)*3/13,0)+0.99),'Tax scales - NAT 1004'!$A$65:$C$73,2,1)-VLOOKUP((TRUNC(($AN511+0.01)*3/13,0)+0.99),'Tax scales - NAT 1004'!$A$65:$C$73,3,1)),0)
*13/3,
0),
IF($E$2="Monthly",
ROUND(
ROUND(((TRUNC($AN511*3/13,0)+0.99)*VLOOKUP((TRUNC($AN511*3/13,0)+0.99),'Tax scales - NAT 1004'!$A$65:$C$73,2,1)-VLOOKUP((TRUNC($AN511*3/13,0)+0.99),'Tax scales - NAT 1004'!$A$65:$C$73,3,1)),0)
*13/3,
0),
""))),
""),
"")</f>
        <v/>
      </c>
      <c r="AU511" s="118" t="str">
        <f>IFERROR(
IF(VLOOKUP($C511,'Employee information'!$B:$M,COLUMNS('Employee information'!$B:$M),0)=11,
IF($E$2="Fortnightly",
ROUND(
ROUND((((TRUNC($AN511/2,0)+0.99))*VLOOKUP((TRUNC($AN511/2,0)+0.99),'Tax scales - NAT 3539'!$A$14:$C$38,2,1)-VLOOKUP((TRUNC($AN511/2,0)+0.99),'Tax scales - NAT 3539'!$A$14:$C$38,3,1)),0)
*2,
0),
IF(AND($E$2="Monthly",ROUND($AN511-TRUNC($AN511),2)=0.33),
ROUND(
ROUND(((TRUNC(($AN511+0.01)*3/13,0)+0.99)*VLOOKUP((TRUNC(($AN511+0.01)*3/13,0)+0.99),'Tax scales - NAT 3539'!$A$14:$C$38,2,1)-VLOOKUP((TRUNC(($AN511+0.01)*3/13,0)+0.99),'Tax scales - NAT 3539'!$A$14:$C$38,3,1)),0)
*13/3,
0),
IF($E$2="Monthly",
ROUND(
ROUND(((TRUNC($AN511*3/13,0)+0.99)*VLOOKUP((TRUNC($AN511*3/13,0)+0.99),'Tax scales - NAT 3539'!$A$14:$C$38,2,1)-VLOOKUP((TRUNC($AN511*3/13,0)+0.99),'Tax scales - NAT 3539'!$A$14:$C$38,3,1)),0)
*13/3,
0),
""))),
""),
"")</f>
        <v/>
      </c>
      <c r="AV511" s="118" t="str">
        <f>IFERROR(
IF(VLOOKUP($C511,'Employee information'!$B:$M,COLUMNS('Employee information'!$B:$M),0)=22,
IF($E$2="Fortnightly",
ROUND(
ROUND((((TRUNC($AN511/2,0)+0.99))*VLOOKUP((TRUNC($AN511/2,0)+0.99),'Tax scales - NAT 3539'!$A$43:$C$69,2,1)-VLOOKUP((TRUNC($AN511/2,0)+0.99),'Tax scales - NAT 3539'!$A$43:$C$69,3,1)),0)
*2,
0),
IF(AND($E$2="Monthly",ROUND($AN511-TRUNC($AN511),2)=0.33),
ROUND(
ROUND(((TRUNC(($AN511+0.01)*3/13,0)+0.99)*VLOOKUP((TRUNC(($AN511+0.01)*3/13,0)+0.99),'Tax scales - NAT 3539'!$A$43:$C$69,2,1)-VLOOKUP((TRUNC(($AN511+0.01)*3/13,0)+0.99),'Tax scales - NAT 3539'!$A$43:$C$69,3,1)),0)
*13/3,
0),
IF($E$2="Monthly",
ROUND(
ROUND(((TRUNC($AN511*3/13,0)+0.99)*VLOOKUP((TRUNC($AN511*3/13,0)+0.99),'Tax scales - NAT 3539'!$A$43:$C$69,2,1)-VLOOKUP((TRUNC($AN511*3/13,0)+0.99),'Tax scales - NAT 3539'!$A$43:$C$69,3,1)),0)
*13/3,
0),
""))),
""),
"")</f>
        <v/>
      </c>
      <c r="AW511" s="118" t="str">
        <f>IFERROR(
IF(VLOOKUP($C511,'Employee information'!$B:$M,COLUMNS('Employee information'!$B:$M),0)=33,
IF($E$2="Fortnightly",
ROUND(
ROUND((((TRUNC($AN511/2,0)+0.99))*VLOOKUP((TRUNC($AN511/2,0)+0.99),'Tax scales - NAT 3539'!$A$74:$C$94,2,1)-VLOOKUP((TRUNC($AN511/2,0)+0.99),'Tax scales - NAT 3539'!$A$74:$C$94,3,1)),0)
*2,
0),
IF(AND($E$2="Monthly",ROUND($AN511-TRUNC($AN511),2)=0.33),
ROUND(
ROUND(((TRUNC(($AN511+0.01)*3/13,0)+0.99)*VLOOKUP((TRUNC(($AN511+0.01)*3/13,0)+0.99),'Tax scales - NAT 3539'!$A$74:$C$94,2,1)-VLOOKUP((TRUNC(($AN511+0.01)*3/13,0)+0.99),'Tax scales - NAT 3539'!$A$74:$C$94,3,1)),0)
*13/3,
0),
IF($E$2="Monthly",
ROUND(
ROUND(((TRUNC($AN511*3/13,0)+0.99)*VLOOKUP((TRUNC($AN511*3/13,0)+0.99),'Tax scales - NAT 3539'!$A$74:$C$94,2,1)-VLOOKUP((TRUNC($AN511*3/13,0)+0.99),'Tax scales - NAT 3539'!$A$74:$C$94,3,1)),0)
*13/3,
0),
""))),
""),
"")</f>
        <v/>
      </c>
      <c r="AX511" s="118" t="str">
        <f>IFERROR(
IF(VLOOKUP($C511,'Employee information'!$B:$M,COLUMNS('Employee information'!$B:$M),0)=55,
IF($E$2="Fortnightly",
ROUND(
ROUND((((TRUNC($AN511/2,0)+0.99))*VLOOKUP((TRUNC($AN511/2,0)+0.99),'Tax scales - NAT 3539'!$A$99:$C$123,2,1)-VLOOKUP((TRUNC($AN511/2,0)+0.99),'Tax scales - NAT 3539'!$A$99:$C$123,3,1)),0)
*2,
0),
IF(AND($E$2="Monthly",ROUND($AN511-TRUNC($AN511),2)=0.33),
ROUND(
ROUND(((TRUNC(($AN511+0.01)*3/13,0)+0.99)*VLOOKUP((TRUNC(($AN511+0.01)*3/13,0)+0.99),'Tax scales - NAT 3539'!$A$99:$C$123,2,1)-VLOOKUP((TRUNC(($AN511+0.01)*3/13,0)+0.99),'Tax scales - NAT 3539'!$A$99:$C$123,3,1)),0)
*13/3,
0),
IF($E$2="Monthly",
ROUND(
ROUND(((TRUNC($AN511*3/13,0)+0.99)*VLOOKUP((TRUNC($AN511*3/13,0)+0.99),'Tax scales - NAT 3539'!$A$99:$C$123,2,1)-VLOOKUP((TRUNC($AN511*3/13,0)+0.99),'Tax scales - NAT 3539'!$A$99:$C$123,3,1)),0)
*13/3,
0),
""))),
""),
"")</f>
        <v/>
      </c>
      <c r="AY511" s="118" t="str">
        <f>IFERROR(
IF(VLOOKUP($C511,'Employee information'!$B:$M,COLUMNS('Employee information'!$B:$M),0)=66,
IF($E$2="Fortnightly",
ROUND(
ROUND((((TRUNC($AN511/2,0)+0.99))*VLOOKUP((TRUNC($AN511/2,0)+0.99),'Tax scales - NAT 3539'!$A$127:$C$154,2,1)-VLOOKUP((TRUNC($AN511/2,0)+0.99),'Tax scales - NAT 3539'!$A$127:$C$154,3,1)),0)
*2,
0),
IF(AND($E$2="Monthly",ROUND($AN511-TRUNC($AN511),2)=0.33),
ROUND(
ROUND(((TRUNC(($AN511+0.01)*3/13,0)+0.99)*VLOOKUP((TRUNC(($AN511+0.01)*3/13,0)+0.99),'Tax scales - NAT 3539'!$A$127:$C$154,2,1)-VLOOKUP((TRUNC(($AN511+0.01)*3/13,0)+0.99),'Tax scales - NAT 3539'!$A$127:$C$154,3,1)),0)
*13/3,
0),
IF($E$2="Monthly",
ROUND(
ROUND(((TRUNC($AN511*3/13,0)+0.99)*VLOOKUP((TRUNC($AN511*3/13,0)+0.99),'Tax scales - NAT 3539'!$A$127:$C$154,2,1)-VLOOKUP((TRUNC($AN511*3/13,0)+0.99),'Tax scales - NAT 3539'!$A$127:$C$154,3,1)),0)
*13/3,
0),
""))),
""),
"")</f>
        <v/>
      </c>
      <c r="AZ511" s="118">
        <f>IFERROR(
HLOOKUP(VLOOKUP($C511,'Employee information'!$B:$M,COLUMNS('Employee information'!$B:$M),0),'PAYG worksheet'!$AO$503:$AY$522,COUNTA($C$504:$C511)+1,0),
0)</f>
        <v>0</v>
      </c>
      <c r="BA511" s="118"/>
      <c r="BB511" s="118">
        <f t="shared" si="542"/>
        <v>0</v>
      </c>
      <c r="BC511" s="119">
        <f>IFERROR(
IF(OR($AE511=1,$AE511=""),SUM($P511,$AA511,$AC511,$AK511)*VLOOKUP($C511,'Employee information'!$B:$Q,COLUMNS('Employee information'!$B:$H),0),
IF($AE511=0,SUM($P511,$AA511,$AK511)*VLOOKUP($C511,'Employee information'!$B:$Q,COLUMNS('Employee information'!$B:$H),0),
0)),
0)</f>
        <v>0</v>
      </c>
      <c r="BE511" s="114">
        <f t="shared" si="527"/>
        <v>0</v>
      </c>
      <c r="BF511" s="114">
        <f t="shared" si="528"/>
        <v>0</v>
      </c>
      <c r="BG511" s="114">
        <f t="shared" si="529"/>
        <v>0</v>
      </c>
      <c r="BH511" s="114">
        <f t="shared" si="530"/>
        <v>0</v>
      </c>
      <c r="BI511" s="114">
        <f t="shared" si="531"/>
        <v>0</v>
      </c>
      <c r="BJ511" s="114">
        <f t="shared" si="532"/>
        <v>0</v>
      </c>
      <c r="BK511" s="114">
        <f t="shared" si="533"/>
        <v>0</v>
      </c>
      <c r="BL511" s="114">
        <f t="shared" si="543"/>
        <v>0</v>
      </c>
      <c r="BM511" s="114">
        <f t="shared" si="534"/>
        <v>0</v>
      </c>
    </row>
    <row r="512" spans="1:65" x14ac:dyDescent="0.25">
      <c r="A512" s="228">
        <f t="shared" si="522"/>
        <v>18</v>
      </c>
      <c r="C512" s="278"/>
      <c r="E512" s="103">
        <f>IF($C512="",0,
IF(AND($E$2="Monthly",$A512&gt;12),0,
IF($E$2="Monthly",VLOOKUP($C512,'Employee information'!$B:$AM,COLUMNS('Employee information'!$B:S),0),
IF($E$2="Fortnightly",VLOOKUP($C512,'Employee information'!$B:$AM,COLUMNS('Employee information'!$B:R),0),
0))))</f>
        <v>0</v>
      </c>
      <c r="F512" s="106"/>
      <c r="G512" s="106"/>
      <c r="H512" s="106"/>
      <c r="I512" s="106"/>
      <c r="J512" s="103">
        <f t="shared" si="535"/>
        <v>0</v>
      </c>
      <c r="L512" s="113">
        <f>IF(AND($E$2="Monthly",$A512&gt;12),"",
IFERROR($J512*VLOOKUP($C512,'Employee information'!$B:$AI,COLUMNS('Employee information'!$B:$P),0),0))</f>
        <v>0</v>
      </c>
      <c r="M512" s="114">
        <f t="shared" si="536"/>
        <v>0</v>
      </c>
      <c r="O512" s="103">
        <f t="shared" si="537"/>
        <v>0</v>
      </c>
      <c r="P512" s="113">
        <f>IFERROR(
IF(AND($E$2="Monthly",$A512&gt;12),0,
$O512*VLOOKUP($C512,'Employee information'!$B:$AI,COLUMNS('Employee information'!$B:$P),0)),
0)</f>
        <v>0</v>
      </c>
      <c r="R512" s="114">
        <f t="shared" si="523"/>
        <v>0</v>
      </c>
      <c r="T512" s="103"/>
      <c r="U512" s="103"/>
      <c r="V512" s="282" t="str">
        <f>IF($C512="","",
IF(AND($E$2="Monthly",$A512&gt;12),"",
$T512*VLOOKUP($C512,'Employee information'!$B:$P,COLUMNS('Employee information'!$B:$P),0)))</f>
        <v/>
      </c>
      <c r="W512" s="282" t="str">
        <f>IF($C512="","",
IF(AND($E$2="Monthly",$A512&gt;12),"",
$U512*VLOOKUP($C512,'Employee information'!$B:$P,COLUMNS('Employee information'!$B:$P),0)))</f>
        <v/>
      </c>
      <c r="X512" s="114">
        <f t="shared" si="524"/>
        <v>0</v>
      </c>
      <c r="Y512" s="114">
        <f t="shared" si="525"/>
        <v>0</v>
      </c>
      <c r="AA512" s="118">
        <f>IFERROR(
IF(OR('Basic payroll data'!$D$12="",'Basic payroll data'!$D$12="No"),0,
$T512*VLOOKUP($C512,'Employee information'!$B:$P,COLUMNS('Employee information'!$B:$P),0)*AL_loading_perc),
0)</f>
        <v>0</v>
      </c>
      <c r="AC512" s="118"/>
      <c r="AD512" s="118"/>
      <c r="AE512" s="283" t="str">
        <f t="shared" si="538"/>
        <v/>
      </c>
      <c r="AF512" s="283" t="str">
        <f t="shared" si="539"/>
        <v/>
      </c>
      <c r="AG512" s="118"/>
      <c r="AH512" s="118"/>
      <c r="AI512" s="283" t="str">
        <f t="shared" si="540"/>
        <v/>
      </c>
      <c r="AJ512" s="118"/>
      <c r="AK512" s="118"/>
      <c r="AM512" s="118">
        <f t="shared" si="541"/>
        <v>0</v>
      </c>
      <c r="AN512" s="118">
        <f t="shared" si="526"/>
        <v>0</v>
      </c>
      <c r="AO512" s="118" t="str">
        <f>IFERROR(
IF(VLOOKUP($C512,'Employee information'!$B:$M,COLUMNS('Employee information'!$B:$M),0)=1,
IF($E$2="Fortnightly",
ROUND(
ROUND((((TRUNC($AN512/2,0)+0.99))*VLOOKUP((TRUNC($AN512/2,0)+0.99),'Tax scales - NAT 1004'!$A$12:$C$18,2,1)-VLOOKUP((TRUNC($AN512/2,0)+0.99),'Tax scales - NAT 1004'!$A$12:$C$18,3,1)),0)
*2,
0),
IF(AND($E$2="Monthly",ROUND($AN512-TRUNC($AN512),2)=0.33),
ROUND(
ROUND(((TRUNC(($AN512+0.01)*3/13,0)+0.99)*VLOOKUP((TRUNC(($AN512+0.01)*3/13,0)+0.99),'Tax scales - NAT 1004'!$A$12:$C$18,2,1)-VLOOKUP((TRUNC(($AN512+0.01)*3/13,0)+0.99),'Tax scales - NAT 1004'!$A$12:$C$18,3,1)),0)
*13/3,
0),
IF($E$2="Monthly",
ROUND(
ROUND(((TRUNC($AN512*3/13,0)+0.99)*VLOOKUP((TRUNC($AN512*3/13,0)+0.99),'Tax scales - NAT 1004'!$A$12:$C$18,2,1)-VLOOKUP((TRUNC($AN512*3/13,0)+0.99),'Tax scales - NAT 1004'!$A$12:$C$18,3,1)),0)
*13/3,
0),
""))),
""),
"")</f>
        <v/>
      </c>
      <c r="AP512" s="118" t="str">
        <f>IFERROR(
IF(VLOOKUP($C512,'Employee information'!$B:$M,COLUMNS('Employee information'!$B:$M),0)=2,
IF($E$2="Fortnightly",
ROUND(
ROUND((((TRUNC($AN512/2,0)+0.99))*VLOOKUP((TRUNC($AN512/2,0)+0.99),'Tax scales - NAT 1004'!$A$25:$C$33,2,1)-VLOOKUP((TRUNC($AN512/2,0)+0.99),'Tax scales - NAT 1004'!$A$25:$C$33,3,1)),0)
*2,
0),
IF(AND($E$2="Monthly",ROUND($AN512-TRUNC($AN512),2)=0.33),
ROUND(
ROUND(((TRUNC(($AN512+0.01)*3/13,0)+0.99)*VLOOKUP((TRUNC(($AN512+0.01)*3/13,0)+0.99),'Tax scales - NAT 1004'!$A$25:$C$33,2,1)-VLOOKUP((TRUNC(($AN512+0.01)*3/13,0)+0.99),'Tax scales - NAT 1004'!$A$25:$C$33,3,1)),0)
*13/3,
0),
IF($E$2="Monthly",
ROUND(
ROUND(((TRUNC($AN512*3/13,0)+0.99)*VLOOKUP((TRUNC($AN512*3/13,0)+0.99),'Tax scales - NAT 1004'!$A$25:$C$33,2,1)-VLOOKUP((TRUNC($AN512*3/13,0)+0.99),'Tax scales - NAT 1004'!$A$25:$C$33,3,1)),0)
*13/3,
0),
""))),
""),
"")</f>
        <v/>
      </c>
      <c r="AQ512" s="118" t="str">
        <f>IFERROR(
IF(VLOOKUP($C512,'Employee information'!$B:$M,COLUMNS('Employee information'!$B:$M),0)=3,
IF($E$2="Fortnightly",
ROUND(
ROUND((((TRUNC($AN512/2,0)+0.99))*VLOOKUP((TRUNC($AN512/2,0)+0.99),'Tax scales - NAT 1004'!$A$39:$C$41,2,1)-VLOOKUP((TRUNC($AN512/2,0)+0.99),'Tax scales - NAT 1004'!$A$39:$C$41,3,1)),0)
*2,
0),
IF(AND($E$2="Monthly",ROUND($AN512-TRUNC($AN512),2)=0.33),
ROUND(
ROUND(((TRUNC(($AN512+0.01)*3/13,0)+0.99)*VLOOKUP((TRUNC(($AN512+0.01)*3/13,0)+0.99),'Tax scales - NAT 1004'!$A$39:$C$41,2,1)-VLOOKUP((TRUNC(($AN512+0.01)*3/13,0)+0.99),'Tax scales - NAT 1004'!$A$39:$C$41,3,1)),0)
*13/3,
0),
IF($E$2="Monthly",
ROUND(
ROUND(((TRUNC($AN512*3/13,0)+0.99)*VLOOKUP((TRUNC($AN512*3/13,0)+0.99),'Tax scales - NAT 1004'!$A$39:$C$41,2,1)-VLOOKUP((TRUNC($AN512*3/13,0)+0.99),'Tax scales - NAT 1004'!$A$39:$C$41,3,1)),0)
*13/3,
0),
""))),
""),
"")</f>
        <v/>
      </c>
      <c r="AR512" s="118" t="str">
        <f>IFERROR(
IF(AND(VLOOKUP($C512,'Employee information'!$B:$M,COLUMNS('Employee information'!$B:$M),0)=4,
VLOOKUP($C512,'Employee information'!$B:$J,COLUMNS('Employee information'!$B:$J),0)="Resident"),
TRUNC(TRUNC($AN512)*'Tax scales - NAT 1004'!$B$47),
IF(AND(VLOOKUP($C512,'Employee information'!$B:$M,COLUMNS('Employee information'!$B:$M),0)=4,
VLOOKUP($C512,'Employee information'!$B:$J,COLUMNS('Employee information'!$B:$J),0)="Foreign resident"),
TRUNC(TRUNC($AN512)*'Tax scales - NAT 1004'!$B$48),
"")),
"")</f>
        <v/>
      </c>
      <c r="AS512" s="118" t="str">
        <f>IFERROR(
IF(VLOOKUP($C512,'Employee information'!$B:$M,COLUMNS('Employee information'!$B:$M),0)=5,
IF($E$2="Fortnightly",
ROUND(
ROUND((((TRUNC($AN512/2,0)+0.99))*VLOOKUP((TRUNC($AN512/2,0)+0.99),'Tax scales - NAT 1004'!$A$53:$C$59,2,1)-VLOOKUP((TRUNC($AN512/2,0)+0.99),'Tax scales - NAT 1004'!$A$53:$C$59,3,1)),0)
*2,
0),
IF(AND($E$2="Monthly",ROUND($AN512-TRUNC($AN512),2)=0.33),
ROUND(
ROUND(((TRUNC(($AN512+0.01)*3/13,0)+0.99)*VLOOKUP((TRUNC(($AN512+0.01)*3/13,0)+0.99),'Tax scales - NAT 1004'!$A$53:$C$59,2,1)-VLOOKUP((TRUNC(($AN512+0.01)*3/13,0)+0.99),'Tax scales - NAT 1004'!$A$53:$C$59,3,1)),0)
*13/3,
0),
IF($E$2="Monthly",
ROUND(
ROUND(((TRUNC($AN512*3/13,0)+0.99)*VLOOKUP((TRUNC($AN512*3/13,0)+0.99),'Tax scales - NAT 1004'!$A$53:$C$59,2,1)-VLOOKUP((TRUNC($AN512*3/13,0)+0.99),'Tax scales - NAT 1004'!$A$53:$C$59,3,1)),0)
*13/3,
0),
""))),
""),
"")</f>
        <v/>
      </c>
      <c r="AT512" s="118" t="str">
        <f>IFERROR(
IF(VLOOKUP($C512,'Employee information'!$B:$M,COLUMNS('Employee information'!$B:$M),0)=6,
IF($E$2="Fortnightly",
ROUND(
ROUND((((TRUNC($AN512/2,0)+0.99))*VLOOKUP((TRUNC($AN512/2,0)+0.99),'Tax scales - NAT 1004'!$A$65:$C$73,2,1)-VLOOKUP((TRUNC($AN512/2,0)+0.99),'Tax scales - NAT 1004'!$A$65:$C$73,3,1)),0)
*2,
0),
IF(AND($E$2="Monthly",ROUND($AN512-TRUNC($AN512),2)=0.33),
ROUND(
ROUND(((TRUNC(($AN512+0.01)*3/13,0)+0.99)*VLOOKUP((TRUNC(($AN512+0.01)*3/13,0)+0.99),'Tax scales - NAT 1004'!$A$65:$C$73,2,1)-VLOOKUP((TRUNC(($AN512+0.01)*3/13,0)+0.99),'Tax scales - NAT 1004'!$A$65:$C$73,3,1)),0)
*13/3,
0),
IF($E$2="Monthly",
ROUND(
ROUND(((TRUNC($AN512*3/13,0)+0.99)*VLOOKUP((TRUNC($AN512*3/13,0)+0.99),'Tax scales - NAT 1004'!$A$65:$C$73,2,1)-VLOOKUP((TRUNC($AN512*3/13,0)+0.99),'Tax scales - NAT 1004'!$A$65:$C$73,3,1)),0)
*13/3,
0),
""))),
""),
"")</f>
        <v/>
      </c>
      <c r="AU512" s="118" t="str">
        <f>IFERROR(
IF(VLOOKUP($C512,'Employee information'!$B:$M,COLUMNS('Employee information'!$B:$M),0)=11,
IF($E$2="Fortnightly",
ROUND(
ROUND((((TRUNC($AN512/2,0)+0.99))*VLOOKUP((TRUNC($AN512/2,0)+0.99),'Tax scales - NAT 3539'!$A$14:$C$38,2,1)-VLOOKUP((TRUNC($AN512/2,0)+0.99),'Tax scales - NAT 3539'!$A$14:$C$38,3,1)),0)
*2,
0),
IF(AND($E$2="Monthly",ROUND($AN512-TRUNC($AN512),2)=0.33),
ROUND(
ROUND(((TRUNC(($AN512+0.01)*3/13,0)+0.99)*VLOOKUP((TRUNC(($AN512+0.01)*3/13,0)+0.99),'Tax scales - NAT 3539'!$A$14:$C$38,2,1)-VLOOKUP((TRUNC(($AN512+0.01)*3/13,0)+0.99),'Tax scales - NAT 3539'!$A$14:$C$38,3,1)),0)
*13/3,
0),
IF($E$2="Monthly",
ROUND(
ROUND(((TRUNC($AN512*3/13,0)+0.99)*VLOOKUP((TRUNC($AN512*3/13,0)+0.99),'Tax scales - NAT 3539'!$A$14:$C$38,2,1)-VLOOKUP((TRUNC($AN512*3/13,0)+0.99),'Tax scales - NAT 3539'!$A$14:$C$38,3,1)),0)
*13/3,
0),
""))),
""),
"")</f>
        <v/>
      </c>
      <c r="AV512" s="118" t="str">
        <f>IFERROR(
IF(VLOOKUP($C512,'Employee information'!$B:$M,COLUMNS('Employee information'!$B:$M),0)=22,
IF($E$2="Fortnightly",
ROUND(
ROUND((((TRUNC($AN512/2,0)+0.99))*VLOOKUP((TRUNC($AN512/2,0)+0.99),'Tax scales - NAT 3539'!$A$43:$C$69,2,1)-VLOOKUP((TRUNC($AN512/2,0)+0.99),'Tax scales - NAT 3539'!$A$43:$C$69,3,1)),0)
*2,
0),
IF(AND($E$2="Monthly",ROUND($AN512-TRUNC($AN512),2)=0.33),
ROUND(
ROUND(((TRUNC(($AN512+0.01)*3/13,0)+0.99)*VLOOKUP((TRUNC(($AN512+0.01)*3/13,0)+0.99),'Tax scales - NAT 3539'!$A$43:$C$69,2,1)-VLOOKUP((TRUNC(($AN512+0.01)*3/13,0)+0.99),'Tax scales - NAT 3539'!$A$43:$C$69,3,1)),0)
*13/3,
0),
IF($E$2="Monthly",
ROUND(
ROUND(((TRUNC($AN512*3/13,0)+0.99)*VLOOKUP((TRUNC($AN512*3/13,0)+0.99),'Tax scales - NAT 3539'!$A$43:$C$69,2,1)-VLOOKUP((TRUNC($AN512*3/13,0)+0.99),'Tax scales - NAT 3539'!$A$43:$C$69,3,1)),0)
*13/3,
0),
""))),
""),
"")</f>
        <v/>
      </c>
      <c r="AW512" s="118" t="str">
        <f>IFERROR(
IF(VLOOKUP($C512,'Employee information'!$B:$M,COLUMNS('Employee information'!$B:$M),0)=33,
IF($E$2="Fortnightly",
ROUND(
ROUND((((TRUNC($AN512/2,0)+0.99))*VLOOKUP((TRUNC($AN512/2,0)+0.99),'Tax scales - NAT 3539'!$A$74:$C$94,2,1)-VLOOKUP((TRUNC($AN512/2,0)+0.99),'Tax scales - NAT 3539'!$A$74:$C$94,3,1)),0)
*2,
0),
IF(AND($E$2="Monthly",ROUND($AN512-TRUNC($AN512),2)=0.33),
ROUND(
ROUND(((TRUNC(($AN512+0.01)*3/13,0)+0.99)*VLOOKUP((TRUNC(($AN512+0.01)*3/13,0)+0.99),'Tax scales - NAT 3539'!$A$74:$C$94,2,1)-VLOOKUP((TRUNC(($AN512+0.01)*3/13,0)+0.99),'Tax scales - NAT 3539'!$A$74:$C$94,3,1)),0)
*13/3,
0),
IF($E$2="Monthly",
ROUND(
ROUND(((TRUNC($AN512*3/13,0)+0.99)*VLOOKUP((TRUNC($AN512*3/13,0)+0.99),'Tax scales - NAT 3539'!$A$74:$C$94,2,1)-VLOOKUP((TRUNC($AN512*3/13,0)+0.99),'Tax scales - NAT 3539'!$A$74:$C$94,3,1)),0)
*13/3,
0),
""))),
""),
"")</f>
        <v/>
      </c>
      <c r="AX512" s="118" t="str">
        <f>IFERROR(
IF(VLOOKUP($C512,'Employee information'!$B:$M,COLUMNS('Employee information'!$B:$M),0)=55,
IF($E$2="Fortnightly",
ROUND(
ROUND((((TRUNC($AN512/2,0)+0.99))*VLOOKUP((TRUNC($AN512/2,0)+0.99),'Tax scales - NAT 3539'!$A$99:$C$123,2,1)-VLOOKUP((TRUNC($AN512/2,0)+0.99),'Tax scales - NAT 3539'!$A$99:$C$123,3,1)),0)
*2,
0),
IF(AND($E$2="Monthly",ROUND($AN512-TRUNC($AN512),2)=0.33),
ROUND(
ROUND(((TRUNC(($AN512+0.01)*3/13,0)+0.99)*VLOOKUP((TRUNC(($AN512+0.01)*3/13,0)+0.99),'Tax scales - NAT 3539'!$A$99:$C$123,2,1)-VLOOKUP((TRUNC(($AN512+0.01)*3/13,0)+0.99),'Tax scales - NAT 3539'!$A$99:$C$123,3,1)),0)
*13/3,
0),
IF($E$2="Monthly",
ROUND(
ROUND(((TRUNC($AN512*3/13,0)+0.99)*VLOOKUP((TRUNC($AN512*3/13,0)+0.99),'Tax scales - NAT 3539'!$A$99:$C$123,2,1)-VLOOKUP((TRUNC($AN512*3/13,0)+0.99),'Tax scales - NAT 3539'!$A$99:$C$123,3,1)),0)
*13/3,
0),
""))),
""),
"")</f>
        <v/>
      </c>
      <c r="AY512" s="118" t="str">
        <f>IFERROR(
IF(VLOOKUP($C512,'Employee information'!$B:$M,COLUMNS('Employee information'!$B:$M),0)=66,
IF($E$2="Fortnightly",
ROUND(
ROUND((((TRUNC($AN512/2,0)+0.99))*VLOOKUP((TRUNC($AN512/2,0)+0.99),'Tax scales - NAT 3539'!$A$127:$C$154,2,1)-VLOOKUP((TRUNC($AN512/2,0)+0.99),'Tax scales - NAT 3539'!$A$127:$C$154,3,1)),0)
*2,
0),
IF(AND($E$2="Monthly",ROUND($AN512-TRUNC($AN512),2)=0.33),
ROUND(
ROUND(((TRUNC(($AN512+0.01)*3/13,0)+0.99)*VLOOKUP((TRUNC(($AN512+0.01)*3/13,0)+0.99),'Tax scales - NAT 3539'!$A$127:$C$154,2,1)-VLOOKUP((TRUNC(($AN512+0.01)*3/13,0)+0.99),'Tax scales - NAT 3539'!$A$127:$C$154,3,1)),0)
*13/3,
0),
IF($E$2="Monthly",
ROUND(
ROUND(((TRUNC($AN512*3/13,0)+0.99)*VLOOKUP((TRUNC($AN512*3/13,0)+0.99),'Tax scales - NAT 3539'!$A$127:$C$154,2,1)-VLOOKUP((TRUNC($AN512*3/13,0)+0.99),'Tax scales - NAT 3539'!$A$127:$C$154,3,1)),0)
*13/3,
0),
""))),
""),
"")</f>
        <v/>
      </c>
      <c r="AZ512" s="118">
        <f>IFERROR(
HLOOKUP(VLOOKUP($C512,'Employee information'!$B:$M,COLUMNS('Employee information'!$B:$M),0),'PAYG worksheet'!$AO$503:$AY$522,COUNTA($C$504:$C512)+1,0),
0)</f>
        <v>0</v>
      </c>
      <c r="BA512" s="118"/>
      <c r="BB512" s="118">
        <f t="shared" si="542"/>
        <v>0</v>
      </c>
      <c r="BC512" s="119">
        <f>IFERROR(
IF(OR($AE512=1,$AE512=""),SUM($P512,$AA512,$AC512,$AK512)*VLOOKUP($C512,'Employee information'!$B:$Q,COLUMNS('Employee information'!$B:$H),0),
IF($AE512=0,SUM($P512,$AA512,$AK512)*VLOOKUP($C512,'Employee information'!$B:$Q,COLUMNS('Employee information'!$B:$H),0),
0)),
0)</f>
        <v>0</v>
      </c>
      <c r="BE512" s="114">
        <f t="shared" si="527"/>
        <v>0</v>
      </c>
      <c r="BF512" s="114">
        <f t="shared" si="528"/>
        <v>0</v>
      </c>
      <c r="BG512" s="114">
        <f t="shared" si="529"/>
        <v>0</v>
      </c>
      <c r="BH512" s="114">
        <f t="shared" si="530"/>
        <v>0</v>
      </c>
      <c r="BI512" s="114">
        <f t="shared" si="531"/>
        <v>0</v>
      </c>
      <c r="BJ512" s="114">
        <f t="shared" si="532"/>
        <v>0</v>
      </c>
      <c r="BK512" s="114">
        <f t="shared" si="533"/>
        <v>0</v>
      </c>
      <c r="BL512" s="114">
        <f t="shared" si="543"/>
        <v>0</v>
      </c>
      <c r="BM512" s="114">
        <f t="shared" si="534"/>
        <v>0</v>
      </c>
    </row>
    <row r="513" spans="1:65" x14ac:dyDescent="0.25">
      <c r="A513" s="228">
        <f t="shared" si="522"/>
        <v>18</v>
      </c>
      <c r="C513" s="278"/>
      <c r="E513" s="103">
        <f>IF($C513="",0,
IF(AND($E$2="Monthly",$A513&gt;12),0,
IF($E$2="Monthly",VLOOKUP($C513,'Employee information'!$B:$AM,COLUMNS('Employee information'!$B:S),0),
IF($E$2="Fortnightly",VLOOKUP($C513,'Employee information'!$B:$AM,COLUMNS('Employee information'!$B:R),0),
0))))</f>
        <v>0</v>
      </c>
      <c r="F513" s="106"/>
      <c r="G513" s="106"/>
      <c r="H513" s="106"/>
      <c r="I513" s="106"/>
      <c r="J513" s="103">
        <f t="shared" si="535"/>
        <v>0</v>
      </c>
      <c r="L513" s="113">
        <f>IF(AND($E$2="Monthly",$A513&gt;12),"",
IFERROR($J513*VLOOKUP($C513,'Employee information'!$B:$AI,COLUMNS('Employee information'!$B:$P),0),0))</f>
        <v>0</v>
      </c>
      <c r="M513" s="114">
        <f t="shared" si="536"/>
        <v>0</v>
      </c>
      <c r="O513" s="103">
        <f>IF($E$2="Monthly",
IF(AND($E$2="Monthly",$H513&lt;&gt;""),$H513,
IF(AND($E$2="Monthly",$E513=0),$F513,
$E513)),
IF($E$2="Fortnightly",
IF(AND($E$2="Fortnightly",$H513&lt;&gt;""),$H513,
IF(AND($E$2="Fortnightly",$F513&lt;&gt;"",$E513&lt;&gt;0),$F513,
IF(AND($E$2="Fortnightly",$E513=0),$F513,
$E513)))))</f>
        <v>0</v>
      </c>
      <c r="P513" s="113">
        <f>IFERROR(
IF(AND($E$2="Monthly",$A513&gt;12),0,
$O513*VLOOKUP($C513,'Employee information'!$B:$AI,COLUMNS('Employee information'!$B:$P),0)),
0)</f>
        <v>0</v>
      </c>
      <c r="R513" s="114">
        <f t="shared" si="523"/>
        <v>0</v>
      </c>
      <c r="T513" s="103"/>
      <c r="U513" s="103"/>
      <c r="V513" s="282" t="str">
        <f>IF($C513="","",
IF(AND($E$2="Monthly",$A513&gt;12),"",
$T513*VLOOKUP($C513,'Employee information'!$B:$P,COLUMNS('Employee information'!$B:$P),0)))</f>
        <v/>
      </c>
      <c r="W513" s="282" t="str">
        <f>IF($C513="","",
IF(AND($E$2="Monthly",$A513&gt;12),"",
$U513*VLOOKUP($C513,'Employee information'!$B:$P,COLUMNS('Employee information'!$B:$P),0)))</f>
        <v/>
      </c>
      <c r="X513" s="114">
        <f t="shared" si="524"/>
        <v>0</v>
      </c>
      <c r="Y513" s="114">
        <f t="shared" si="525"/>
        <v>0</v>
      </c>
      <c r="AA513" s="118">
        <f>IFERROR(
IF(OR('Basic payroll data'!$D$12="",'Basic payroll data'!$D$12="No"),0,
$T513*VLOOKUP($C513,'Employee information'!$B:$P,COLUMNS('Employee information'!$B:$P),0)*AL_loading_perc),
0)</f>
        <v>0</v>
      </c>
      <c r="AC513" s="118"/>
      <c r="AD513" s="118"/>
      <c r="AE513" s="283" t="str">
        <f t="shared" si="538"/>
        <v/>
      </c>
      <c r="AF513" s="283" t="str">
        <f t="shared" si="539"/>
        <v/>
      </c>
      <c r="AG513" s="118"/>
      <c r="AH513" s="118"/>
      <c r="AI513" s="283" t="str">
        <f t="shared" si="540"/>
        <v/>
      </c>
      <c r="AJ513" s="118"/>
      <c r="AK513" s="118"/>
      <c r="AM513" s="118">
        <f t="shared" si="541"/>
        <v>0</v>
      </c>
      <c r="AN513" s="118">
        <f t="shared" si="526"/>
        <v>0</v>
      </c>
      <c r="AO513" s="118" t="str">
        <f>IFERROR(
IF(VLOOKUP($C513,'Employee information'!$B:$M,COLUMNS('Employee information'!$B:$M),0)=1,
IF($E$2="Fortnightly",
ROUND(
ROUND((((TRUNC($AN513/2,0)+0.99))*VLOOKUP((TRUNC($AN513/2,0)+0.99),'Tax scales - NAT 1004'!$A$12:$C$18,2,1)-VLOOKUP((TRUNC($AN513/2,0)+0.99),'Tax scales - NAT 1004'!$A$12:$C$18,3,1)),0)
*2,
0),
IF(AND($E$2="Monthly",ROUND($AN513-TRUNC($AN513),2)=0.33),
ROUND(
ROUND(((TRUNC(($AN513+0.01)*3/13,0)+0.99)*VLOOKUP((TRUNC(($AN513+0.01)*3/13,0)+0.99),'Tax scales - NAT 1004'!$A$12:$C$18,2,1)-VLOOKUP((TRUNC(($AN513+0.01)*3/13,0)+0.99),'Tax scales - NAT 1004'!$A$12:$C$18,3,1)),0)
*13/3,
0),
IF($E$2="Monthly",
ROUND(
ROUND(((TRUNC($AN513*3/13,0)+0.99)*VLOOKUP((TRUNC($AN513*3/13,0)+0.99),'Tax scales - NAT 1004'!$A$12:$C$18,2,1)-VLOOKUP((TRUNC($AN513*3/13,0)+0.99),'Tax scales - NAT 1004'!$A$12:$C$18,3,1)),0)
*13/3,
0),
""))),
""),
"")</f>
        <v/>
      </c>
      <c r="AP513" s="118" t="str">
        <f>IFERROR(
IF(VLOOKUP($C513,'Employee information'!$B:$M,COLUMNS('Employee information'!$B:$M),0)=2,
IF($E$2="Fortnightly",
ROUND(
ROUND((((TRUNC($AN513/2,0)+0.99))*VLOOKUP((TRUNC($AN513/2,0)+0.99),'Tax scales - NAT 1004'!$A$25:$C$33,2,1)-VLOOKUP((TRUNC($AN513/2,0)+0.99),'Tax scales - NAT 1004'!$A$25:$C$33,3,1)),0)
*2,
0),
IF(AND($E$2="Monthly",ROUND($AN513-TRUNC($AN513),2)=0.33),
ROUND(
ROUND(((TRUNC(($AN513+0.01)*3/13,0)+0.99)*VLOOKUP((TRUNC(($AN513+0.01)*3/13,0)+0.99),'Tax scales - NAT 1004'!$A$25:$C$33,2,1)-VLOOKUP((TRUNC(($AN513+0.01)*3/13,0)+0.99),'Tax scales - NAT 1004'!$A$25:$C$33,3,1)),0)
*13/3,
0),
IF($E$2="Monthly",
ROUND(
ROUND(((TRUNC($AN513*3/13,0)+0.99)*VLOOKUP((TRUNC($AN513*3/13,0)+0.99),'Tax scales - NAT 1004'!$A$25:$C$33,2,1)-VLOOKUP((TRUNC($AN513*3/13,0)+0.99),'Tax scales - NAT 1004'!$A$25:$C$33,3,1)),0)
*13/3,
0),
""))),
""),
"")</f>
        <v/>
      </c>
      <c r="AQ513" s="118" t="str">
        <f>IFERROR(
IF(VLOOKUP($C513,'Employee information'!$B:$M,COLUMNS('Employee information'!$B:$M),0)=3,
IF($E$2="Fortnightly",
ROUND(
ROUND((((TRUNC($AN513/2,0)+0.99))*VLOOKUP((TRUNC($AN513/2,0)+0.99),'Tax scales - NAT 1004'!$A$39:$C$41,2,1)-VLOOKUP((TRUNC($AN513/2,0)+0.99),'Tax scales - NAT 1004'!$A$39:$C$41,3,1)),0)
*2,
0),
IF(AND($E$2="Monthly",ROUND($AN513-TRUNC($AN513),2)=0.33),
ROUND(
ROUND(((TRUNC(($AN513+0.01)*3/13,0)+0.99)*VLOOKUP((TRUNC(($AN513+0.01)*3/13,0)+0.99),'Tax scales - NAT 1004'!$A$39:$C$41,2,1)-VLOOKUP((TRUNC(($AN513+0.01)*3/13,0)+0.99),'Tax scales - NAT 1004'!$A$39:$C$41,3,1)),0)
*13/3,
0),
IF($E$2="Monthly",
ROUND(
ROUND(((TRUNC($AN513*3/13,0)+0.99)*VLOOKUP((TRUNC($AN513*3/13,0)+0.99),'Tax scales - NAT 1004'!$A$39:$C$41,2,1)-VLOOKUP((TRUNC($AN513*3/13,0)+0.99),'Tax scales - NAT 1004'!$A$39:$C$41,3,1)),0)
*13/3,
0),
""))),
""),
"")</f>
        <v/>
      </c>
      <c r="AR513" s="118" t="str">
        <f>IFERROR(
IF(AND(VLOOKUP($C513,'Employee information'!$B:$M,COLUMNS('Employee information'!$B:$M),0)=4,
VLOOKUP($C513,'Employee information'!$B:$J,COLUMNS('Employee information'!$B:$J),0)="Resident"),
TRUNC(TRUNC($AN513)*'Tax scales - NAT 1004'!$B$47),
IF(AND(VLOOKUP($C513,'Employee information'!$B:$M,COLUMNS('Employee information'!$B:$M),0)=4,
VLOOKUP($C513,'Employee information'!$B:$J,COLUMNS('Employee information'!$B:$J),0)="Foreign resident"),
TRUNC(TRUNC($AN513)*'Tax scales - NAT 1004'!$B$48),
"")),
"")</f>
        <v/>
      </c>
      <c r="AS513" s="118" t="str">
        <f>IFERROR(
IF(VLOOKUP($C513,'Employee information'!$B:$M,COLUMNS('Employee information'!$B:$M),0)=5,
IF($E$2="Fortnightly",
ROUND(
ROUND((((TRUNC($AN513/2,0)+0.99))*VLOOKUP((TRUNC($AN513/2,0)+0.99),'Tax scales - NAT 1004'!$A$53:$C$59,2,1)-VLOOKUP((TRUNC($AN513/2,0)+0.99),'Tax scales - NAT 1004'!$A$53:$C$59,3,1)),0)
*2,
0),
IF(AND($E$2="Monthly",ROUND($AN513-TRUNC($AN513),2)=0.33),
ROUND(
ROUND(((TRUNC(($AN513+0.01)*3/13,0)+0.99)*VLOOKUP((TRUNC(($AN513+0.01)*3/13,0)+0.99),'Tax scales - NAT 1004'!$A$53:$C$59,2,1)-VLOOKUP((TRUNC(($AN513+0.01)*3/13,0)+0.99),'Tax scales - NAT 1004'!$A$53:$C$59,3,1)),0)
*13/3,
0),
IF($E$2="Monthly",
ROUND(
ROUND(((TRUNC($AN513*3/13,0)+0.99)*VLOOKUP((TRUNC($AN513*3/13,0)+0.99),'Tax scales - NAT 1004'!$A$53:$C$59,2,1)-VLOOKUP((TRUNC($AN513*3/13,0)+0.99),'Tax scales - NAT 1004'!$A$53:$C$59,3,1)),0)
*13/3,
0),
""))),
""),
"")</f>
        <v/>
      </c>
      <c r="AT513" s="118" t="str">
        <f>IFERROR(
IF(VLOOKUP($C513,'Employee information'!$B:$M,COLUMNS('Employee information'!$B:$M),0)=6,
IF($E$2="Fortnightly",
ROUND(
ROUND((((TRUNC($AN513/2,0)+0.99))*VLOOKUP((TRUNC($AN513/2,0)+0.99),'Tax scales - NAT 1004'!$A$65:$C$73,2,1)-VLOOKUP((TRUNC($AN513/2,0)+0.99),'Tax scales - NAT 1004'!$A$65:$C$73,3,1)),0)
*2,
0),
IF(AND($E$2="Monthly",ROUND($AN513-TRUNC($AN513),2)=0.33),
ROUND(
ROUND(((TRUNC(($AN513+0.01)*3/13,0)+0.99)*VLOOKUP((TRUNC(($AN513+0.01)*3/13,0)+0.99),'Tax scales - NAT 1004'!$A$65:$C$73,2,1)-VLOOKUP((TRUNC(($AN513+0.01)*3/13,0)+0.99),'Tax scales - NAT 1004'!$A$65:$C$73,3,1)),0)
*13/3,
0),
IF($E$2="Monthly",
ROUND(
ROUND(((TRUNC($AN513*3/13,0)+0.99)*VLOOKUP((TRUNC($AN513*3/13,0)+0.99),'Tax scales - NAT 1004'!$A$65:$C$73,2,1)-VLOOKUP((TRUNC($AN513*3/13,0)+0.99),'Tax scales - NAT 1004'!$A$65:$C$73,3,1)),0)
*13/3,
0),
""))),
""),
"")</f>
        <v/>
      </c>
      <c r="AU513" s="118" t="str">
        <f>IFERROR(
IF(VLOOKUP($C513,'Employee information'!$B:$M,COLUMNS('Employee information'!$B:$M),0)=11,
IF($E$2="Fortnightly",
ROUND(
ROUND((((TRUNC($AN513/2,0)+0.99))*VLOOKUP((TRUNC($AN513/2,0)+0.99),'Tax scales - NAT 3539'!$A$14:$C$38,2,1)-VLOOKUP((TRUNC($AN513/2,0)+0.99),'Tax scales - NAT 3539'!$A$14:$C$38,3,1)),0)
*2,
0),
IF(AND($E$2="Monthly",ROUND($AN513-TRUNC($AN513),2)=0.33),
ROUND(
ROUND(((TRUNC(($AN513+0.01)*3/13,0)+0.99)*VLOOKUP((TRUNC(($AN513+0.01)*3/13,0)+0.99),'Tax scales - NAT 3539'!$A$14:$C$38,2,1)-VLOOKUP((TRUNC(($AN513+0.01)*3/13,0)+0.99),'Tax scales - NAT 3539'!$A$14:$C$38,3,1)),0)
*13/3,
0),
IF($E$2="Monthly",
ROUND(
ROUND(((TRUNC($AN513*3/13,0)+0.99)*VLOOKUP((TRUNC($AN513*3/13,0)+0.99),'Tax scales - NAT 3539'!$A$14:$C$38,2,1)-VLOOKUP((TRUNC($AN513*3/13,0)+0.99),'Tax scales - NAT 3539'!$A$14:$C$38,3,1)),0)
*13/3,
0),
""))),
""),
"")</f>
        <v/>
      </c>
      <c r="AV513" s="118" t="str">
        <f>IFERROR(
IF(VLOOKUP($C513,'Employee information'!$B:$M,COLUMNS('Employee information'!$B:$M),0)=22,
IF($E$2="Fortnightly",
ROUND(
ROUND((((TRUNC($AN513/2,0)+0.99))*VLOOKUP((TRUNC($AN513/2,0)+0.99),'Tax scales - NAT 3539'!$A$43:$C$69,2,1)-VLOOKUP((TRUNC($AN513/2,0)+0.99),'Tax scales - NAT 3539'!$A$43:$C$69,3,1)),0)
*2,
0),
IF(AND($E$2="Monthly",ROUND($AN513-TRUNC($AN513),2)=0.33),
ROUND(
ROUND(((TRUNC(($AN513+0.01)*3/13,0)+0.99)*VLOOKUP((TRUNC(($AN513+0.01)*3/13,0)+0.99),'Tax scales - NAT 3539'!$A$43:$C$69,2,1)-VLOOKUP((TRUNC(($AN513+0.01)*3/13,0)+0.99),'Tax scales - NAT 3539'!$A$43:$C$69,3,1)),0)
*13/3,
0),
IF($E$2="Monthly",
ROUND(
ROUND(((TRUNC($AN513*3/13,0)+0.99)*VLOOKUP((TRUNC($AN513*3/13,0)+0.99),'Tax scales - NAT 3539'!$A$43:$C$69,2,1)-VLOOKUP((TRUNC($AN513*3/13,0)+0.99),'Tax scales - NAT 3539'!$A$43:$C$69,3,1)),0)
*13/3,
0),
""))),
""),
"")</f>
        <v/>
      </c>
      <c r="AW513" s="118" t="str">
        <f>IFERROR(
IF(VLOOKUP($C513,'Employee information'!$B:$M,COLUMNS('Employee information'!$B:$M),0)=33,
IF($E$2="Fortnightly",
ROUND(
ROUND((((TRUNC($AN513/2,0)+0.99))*VLOOKUP((TRUNC($AN513/2,0)+0.99),'Tax scales - NAT 3539'!$A$74:$C$94,2,1)-VLOOKUP((TRUNC($AN513/2,0)+0.99),'Tax scales - NAT 3539'!$A$74:$C$94,3,1)),0)
*2,
0),
IF(AND($E$2="Monthly",ROUND($AN513-TRUNC($AN513),2)=0.33),
ROUND(
ROUND(((TRUNC(($AN513+0.01)*3/13,0)+0.99)*VLOOKUP((TRUNC(($AN513+0.01)*3/13,0)+0.99),'Tax scales - NAT 3539'!$A$74:$C$94,2,1)-VLOOKUP((TRUNC(($AN513+0.01)*3/13,0)+0.99),'Tax scales - NAT 3539'!$A$74:$C$94,3,1)),0)
*13/3,
0),
IF($E$2="Monthly",
ROUND(
ROUND(((TRUNC($AN513*3/13,0)+0.99)*VLOOKUP((TRUNC($AN513*3/13,0)+0.99),'Tax scales - NAT 3539'!$A$74:$C$94,2,1)-VLOOKUP((TRUNC($AN513*3/13,0)+0.99),'Tax scales - NAT 3539'!$A$74:$C$94,3,1)),0)
*13/3,
0),
""))),
""),
"")</f>
        <v/>
      </c>
      <c r="AX513" s="118" t="str">
        <f>IFERROR(
IF(VLOOKUP($C513,'Employee information'!$B:$M,COLUMNS('Employee information'!$B:$M),0)=55,
IF($E$2="Fortnightly",
ROUND(
ROUND((((TRUNC($AN513/2,0)+0.99))*VLOOKUP((TRUNC($AN513/2,0)+0.99),'Tax scales - NAT 3539'!$A$99:$C$123,2,1)-VLOOKUP((TRUNC($AN513/2,0)+0.99),'Tax scales - NAT 3539'!$A$99:$C$123,3,1)),0)
*2,
0),
IF(AND($E$2="Monthly",ROUND($AN513-TRUNC($AN513),2)=0.33),
ROUND(
ROUND(((TRUNC(($AN513+0.01)*3/13,0)+0.99)*VLOOKUP((TRUNC(($AN513+0.01)*3/13,0)+0.99),'Tax scales - NAT 3539'!$A$99:$C$123,2,1)-VLOOKUP((TRUNC(($AN513+0.01)*3/13,0)+0.99),'Tax scales - NAT 3539'!$A$99:$C$123,3,1)),0)
*13/3,
0),
IF($E$2="Monthly",
ROUND(
ROUND(((TRUNC($AN513*3/13,0)+0.99)*VLOOKUP((TRUNC($AN513*3/13,0)+0.99),'Tax scales - NAT 3539'!$A$99:$C$123,2,1)-VLOOKUP((TRUNC($AN513*3/13,0)+0.99),'Tax scales - NAT 3539'!$A$99:$C$123,3,1)),0)
*13/3,
0),
""))),
""),
"")</f>
        <v/>
      </c>
      <c r="AY513" s="118" t="str">
        <f>IFERROR(
IF(VLOOKUP($C513,'Employee information'!$B:$M,COLUMNS('Employee information'!$B:$M),0)=66,
IF($E$2="Fortnightly",
ROUND(
ROUND((((TRUNC($AN513/2,0)+0.99))*VLOOKUP((TRUNC($AN513/2,0)+0.99),'Tax scales - NAT 3539'!$A$127:$C$154,2,1)-VLOOKUP((TRUNC($AN513/2,0)+0.99),'Tax scales - NAT 3539'!$A$127:$C$154,3,1)),0)
*2,
0),
IF(AND($E$2="Monthly",ROUND($AN513-TRUNC($AN513),2)=0.33),
ROUND(
ROUND(((TRUNC(($AN513+0.01)*3/13,0)+0.99)*VLOOKUP((TRUNC(($AN513+0.01)*3/13,0)+0.99),'Tax scales - NAT 3539'!$A$127:$C$154,2,1)-VLOOKUP((TRUNC(($AN513+0.01)*3/13,0)+0.99),'Tax scales - NAT 3539'!$A$127:$C$154,3,1)),0)
*13/3,
0),
IF($E$2="Monthly",
ROUND(
ROUND(((TRUNC($AN513*3/13,0)+0.99)*VLOOKUP((TRUNC($AN513*3/13,0)+0.99),'Tax scales - NAT 3539'!$A$127:$C$154,2,1)-VLOOKUP((TRUNC($AN513*3/13,0)+0.99),'Tax scales - NAT 3539'!$A$127:$C$154,3,1)),0)
*13/3,
0),
""))),
""),
"")</f>
        <v/>
      </c>
      <c r="AZ513" s="118">
        <f>IFERROR(
HLOOKUP(VLOOKUP($C513,'Employee information'!$B:$M,COLUMNS('Employee information'!$B:$M),0),'PAYG worksheet'!$AO$503:$AY$522,COUNTA($C$504:$C513)+1,0),
0)</f>
        <v>0</v>
      </c>
      <c r="BA513" s="118"/>
      <c r="BB513" s="118">
        <f t="shared" si="542"/>
        <v>0</v>
      </c>
      <c r="BC513" s="119">
        <f>IFERROR(
IF(OR($AE513=1,$AE513=""),SUM($P513,$AA513,$AC513,$AK513)*VLOOKUP($C513,'Employee information'!$B:$Q,COLUMNS('Employee information'!$B:$H),0),
IF($AE513=0,SUM($P513,$AA513,$AK513)*VLOOKUP($C513,'Employee information'!$B:$Q,COLUMNS('Employee information'!$B:$H),0),
0)),
0)</f>
        <v>0</v>
      </c>
      <c r="BE513" s="114">
        <f t="shared" si="527"/>
        <v>0</v>
      </c>
      <c r="BF513" s="114">
        <f t="shared" si="528"/>
        <v>0</v>
      </c>
      <c r="BG513" s="114">
        <f t="shared" si="529"/>
        <v>0</v>
      </c>
      <c r="BH513" s="114">
        <f t="shared" si="530"/>
        <v>0</v>
      </c>
      <c r="BI513" s="114">
        <f t="shared" si="531"/>
        <v>0</v>
      </c>
      <c r="BJ513" s="114">
        <f t="shared" si="532"/>
        <v>0</v>
      </c>
      <c r="BK513" s="114">
        <f t="shared" si="533"/>
        <v>0</v>
      </c>
      <c r="BL513" s="114">
        <f t="shared" si="543"/>
        <v>0</v>
      </c>
      <c r="BM513" s="114">
        <f t="shared" si="534"/>
        <v>0</v>
      </c>
    </row>
    <row r="514" spans="1:65" x14ac:dyDescent="0.25">
      <c r="A514" s="228">
        <f t="shared" si="522"/>
        <v>18</v>
      </c>
      <c r="C514" s="278"/>
      <c r="E514" s="103">
        <f>IF($C514="",0,
IF(AND($E$2="Monthly",$A514&gt;12),0,
IF($E$2="Monthly",VLOOKUP($C514,'Employee information'!$B:$AM,COLUMNS('Employee information'!$B:S),0),
IF($E$2="Fortnightly",VLOOKUP($C514,'Employee information'!$B:$AM,COLUMNS('Employee information'!$B:R),0),
0))))</f>
        <v>0</v>
      </c>
      <c r="F514" s="106"/>
      <c r="G514" s="106"/>
      <c r="H514" s="106"/>
      <c r="I514" s="106"/>
      <c r="J514" s="103">
        <f t="shared" si="535"/>
        <v>0</v>
      </c>
      <c r="L514" s="113">
        <f>IF(AND($E$2="Monthly",$A514&gt;12),"",
IFERROR($J514*VLOOKUP($C514,'Employee information'!$B:$AI,COLUMNS('Employee information'!$B:$P),0),0))</f>
        <v>0</v>
      </c>
      <c r="M514" s="114">
        <f t="shared" si="536"/>
        <v>0</v>
      </c>
      <c r="O514" s="103">
        <f t="shared" si="537"/>
        <v>0</v>
      </c>
      <c r="P514" s="113">
        <f>IFERROR(
IF(AND($E$2="Monthly",$A514&gt;12),0,
$O514*VLOOKUP($C514,'Employee information'!$B:$AI,COLUMNS('Employee information'!$B:$P),0)),
0)</f>
        <v>0</v>
      </c>
      <c r="R514" s="114">
        <f t="shared" si="523"/>
        <v>0</v>
      </c>
      <c r="T514" s="103"/>
      <c r="U514" s="103"/>
      <c r="V514" s="282" t="str">
        <f>IF($C514="","",
IF(AND($E$2="Monthly",$A514&gt;12),"",
$T514*VLOOKUP($C514,'Employee information'!$B:$P,COLUMNS('Employee information'!$B:$P),0)))</f>
        <v/>
      </c>
      <c r="W514" s="282" t="str">
        <f>IF($C514="","",
IF(AND($E$2="Monthly",$A514&gt;12),"",
$U514*VLOOKUP($C514,'Employee information'!$B:$P,COLUMNS('Employee information'!$B:$P),0)))</f>
        <v/>
      </c>
      <c r="X514" s="114">
        <f t="shared" si="524"/>
        <v>0</v>
      </c>
      <c r="Y514" s="114">
        <f t="shared" si="525"/>
        <v>0</v>
      </c>
      <c r="AA514" s="118">
        <f>IFERROR(
IF(OR('Basic payroll data'!$D$12="",'Basic payroll data'!$D$12="No"),0,
$T514*VLOOKUP($C514,'Employee information'!$B:$P,COLUMNS('Employee information'!$B:$P),0)*AL_loading_perc),
0)</f>
        <v>0</v>
      </c>
      <c r="AC514" s="118"/>
      <c r="AD514" s="118"/>
      <c r="AE514" s="283" t="str">
        <f t="shared" si="538"/>
        <v/>
      </c>
      <c r="AF514" s="283" t="str">
        <f t="shared" si="539"/>
        <v/>
      </c>
      <c r="AG514" s="118"/>
      <c r="AH514" s="118"/>
      <c r="AI514" s="283" t="str">
        <f t="shared" si="540"/>
        <v/>
      </c>
      <c r="AJ514" s="118"/>
      <c r="AK514" s="118"/>
      <c r="AM514" s="118">
        <f t="shared" si="541"/>
        <v>0</v>
      </c>
      <c r="AN514" s="118">
        <f t="shared" si="526"/>
        <v>0</v>
      </c>
      <c r="AO514" s="118" t="str">
        <f>IFERROR(
IF(VLOOKUP($C514,'Employee information'!$B:$M,COLUMNS('Employee information'!$B:$M),0)=1,
IF($E$2="Fortnightly",
ROUND(
ROUND((((TRUNC($AN514/2,0)+0.99))*VLOOKUP((TRUNC($AN514/2,0)+0.99),'Tax scales - NAT 1004'!$A$12:$C$18,2,1)-VLOOKUP((TRUNC($AN514/2,0)+0.99),'Tax scales - NAT 1004'!$A$12:$C$18,3,1)),0)
*2,
0),
IF(AND($E$2="Monthly",ROUND($AN514-TRUNC($AN514),2)=0.33),
ROUND(
ROUND(((TRUNC(($AN514+0.01)*3/13,0)+0.99)*VLOOKUP((TRUNC(($AN514+0.01)*3/13,0)+0.99),'Tax scales - NAT 1004'!$A$12:$C$18,2,1)-VLOOKUP((TRUNC(($AN514+0.01)*3/13,0)+0.99),'Tax scales - NAT 1004'!$A$12:$C$18,3,1)),0)
*13/3,
0),
IF($E$2="Monthly",
ROUND(
ROUND(((TRUNC($AN514*3/13,0)+0.99)*VLOOKUP((TRUNC($AN514*3/13,0)+0.99),'Tax scales - NAT 1004'!$A$12:$C$18,2,1)-VLOOKUP((TRUNC($AN514*3/13,0)+0.99),'Tax scales - NAT 1004'!$A$12:$C$18,3,1)),0)
*13/3,
0),
""))),
""),
"")</f>
        <v/>
      </c>
      <c r="AP514" s="118" t="str">
        <f>IFERROR(
IF(VLOOKUP($C514,'Employee information'!$B:$M,COLUMNS('Employee information'!$B:$M),0)=2,
IF($E$2="Fortnightly",
ROUND(
ROUND((((TRUNC($AN514/2,0)+0.99))*VLOOKUP((TRUNC($AN514/2,0)+0.99),'Tax scales - NAT 1004'!$A$25:$C$33,2,1)-VLOOKUP((TRUNC($AN514/2,0)+0.99),'Tax scales - NAT 1004'!$A$25:$C$33,3,1)),0)
*2,
0),
IF(AND($E$2="Monthly",ROUND($AN514-TRUNC($AN514),2)=0.33),
ROUND(
ROUND(((TRUNC(($AN514+0.01)*3/13,0)+0.99)*VLOOKUP((TRUNC(($AN514+0.01)*3/13,0)+0.99),'Tax scales - NAT 1004'!$A$25:$C$33,2,1)-VLOOKUP((TRUNC(($AN514+0.01)*3/13,0)+0.99),'Tax scales - NAT 1004'!$A$25:$C$33,3,1)),0)
*13/3,
0),
IF($E$2="Monthly",
ROUND(
ROUND(((TRUNC($AN514*3/13,0)+0.99)*VLOOKUP((TRUNC($AN514*3/13,0)+0.99),'Tax scales - NAT 1004'!$A$25:$C$33,2,1)-VLOOKUP((TRUNC($AN514*3/13,0)+0.99),'Tax scales - NAT 1004'!$A$25:$C$33,3,1)),0)
*13/3,
0),
""))),
""),
"")</f>
        <v/>
      </c>
      <c r="AQ514" s="118" t="str">
        <f>IFERROR(
IF(VLOOKUP($C514,'Employee information'!$B:$M,COLUMNS('Employee information'!$B:$M),0)=3,
IF($E$2="Fortnightly",
ROUND(
ROUND((((TRUNC($AN514/2,0)+0.99))*VLOOKUP((TRUNC($AN514/2,0)+0.99),'Tax scales - NAT 1004'!$A$39:$C$41,2,1)-VLOOKUP((TRUNC($AN514/2,0)+0.99),'Tax scales - NAT 1004'!$A$39:$C$41,3,1)),0)
*2,
0),
IF(AND($E$2="Monthly",ROUND($AN514-TRUNC($AN514),2)=0.33),
ROUND(
ROUND(((TRUNC(($AN514+0.01)*3/13,0)+0.99)*VLOOKUP((TRUNC(($AN514+0.01)*3/13,0)+0.99),'Tax scales - NAT 1004'!$A$39:$C$41,2,1)-VLOOKUP((TRUNC(($AN514+0.01)*3/13,0)+0.99),'Tax scales - NAT 1004'!$A$39:$C$41,3,1)),0)
*13/3,
0),
IF($E$2="Monthly",
ROUND(
ROUND(((TRUNC($AN514*3/13,0)+0.99)*VLOOKUP((TRUNC($AN514*3/13,0)+0.99),'Tax scales - NAT 1004'!$A$39:$C$41,2,1)-VLOOKUP((TRUNC($AN514*3/13,0)+0.99),'Tax scales - NAT 1004'!$A$39:$C$41,3,1)),0)
*13/3,
0),
""))),
""),
"")</f>
        <v/>
      </c>
      <c r="AR514" s="118" t="str">
        <f>IFERROR(
IF(AND(VLOOKUP($C514,'Employee information'!$B:$M,COLUMNS('Employee information'!$B:$M),0)=4,
VLOOKUP($C514,'Employee information'!$B:$J,COLUMNS('Employee information'!$B:$J),0)="Resident"),
TRUNC(TRUNC($AN514)*'Tax scales - NAT 1004'!$B$47),
IF(AND(VLOOKUP($C514,'Employee information'!$B:$M,COLUMNS('Employee information'!$B:$M),0)=4,
VLOOKUP($C514,'Employee information'!$B:$J,COLUMNS('Employee information'!$B:$J),0)="Foreign resident"),
TRUNC(TRUNC($AN514)*'Tax scales - NAT 1004'!$B$48),
"")),
"")</f>
        <v/>
      </c>
      <c r="AS514" s="118" t="str">
        <f>IFERROR(
IF(VLOOKUP($C514,'Employee information'!$B:$M,COLUMNS('Employee information'!$B:$M),0)=5,
IF($E$2="Fortnightly",
ROUND(
ROUND((((TRUNC($AN514/2,0)+0.99))*VLOOKUP((TRUNC($AN514/2,0)+0.99),'Tax scales - NAT 1004'!$A$53:$C$59,2,1)-VLOOKUP((TRUNC($AN514/2,0)+0.99),'Tax scales - NAT 1004'!$A$53:$C$59,3,1)),0)
*2,
0),
IF(AND($E$2="Monthly",ROUND($AN514-TRUNC($AN514),2)=0.33),
ROUND(
ROUND(((TRUNC(($AN514+0.01)*3/13,0)+0.99)*VLOOKUP((TRUNC(($AN514+0.01)*3/13,0)+0.99),'Tax scales - NAT 1004'!$A$53:$C$59,2,1)-VLOOKUP((TRUNC(($AN514+0.01)*3/13,0)+0.99),'Tax scales - NAT 1004'!$A$53:$C$59,3,1)),0)
*13/3,
0),
IF($E$2="Monthly",
ROUND(
ROUND(((TRUNC($AN514*3/13,0)+0.99)*VLOOKUP((TRUNC($AN514*3/13,0)+0.99),'Tax scales - NAT 1004'!$A$53:$C$59,2,1)-VLOOKUP((TRUNC($AN514*3/13,0)+0.99),'Tax scales - NAT 1004'!$A$53:$C$59,3,1)),0)
*13/3,
0),
""))),
""),
"")</f>
        <v/>
      </c>
      <c r="AT514" s="118" t="str">
        <f>IFERROR(
IF(VLOOKUP($C514,'Employee information'!$B:$M,COLUMNS('Employee information'!$B:$M),0)=6,
IF($E$2="Fortnightly",
ROUND(
ROUND((((TRUNC($AN514/2,0)+0.99))*VLOOKUP((TRUNC($AN514/2,0)+0.99),'Tax scales - NAT 1004'!$A$65:$C$73,2,1)-VLOOKUP((TRUNC($AN514/2,0)+0.99),'Tax scales - NAT 1004'!$A$65:$C$73,3,1)),0)
*2,
0),
IF(AND($E$2="Monthly",ROUND($AN514-TRUNC($AN514),2)=0.33),
ROUND(
ROUND(((TRUNC(($AN514+0.01)*3/13,0)+0.99)*VLOOKUP((TRUNC(($AN514+0.01)*3/13,0)+0.99),'Tax scales - NAT 1004'!$A$65:$C$73,2,1)-VLOOKUP((TRUNC(($AN514+0.01)*3/13,0)+0.99),'Tax scales - NAT 1004'!$A$65:$C$73,3,1)),0)
*13/3,
0),
IF($E$2="Monthly",
ROUND(
ROUND(((TRUNC($AN514*3/13,0)+0.99)*VLOOKUP((TRUNC($AN514*3/13,0)+0.99),'Tax scales - NAT 1004'!$A$65:$C$73,2,1)-VLOOKUP((TRUNC($AN514*3/13,0)+0.99),'Tax scales - NAT 1004'!$A$65:$C$73,3,1)),0)
*13/3,
0),
""))),
""),
"")</f>
        <v/>
      </c>
      <c r="AU514" s="118" t="str">
        <f>IFERROR(
IF(VLOOKUP($C514,'Employee information'!$B:$M,COLUMNS('Employee information'!$B:$M),0)=11,
IF($E$2="Fortnightly",
ROUND(
ROUND((((TRUNC($AN514/2,0)+0.99))*VLOOKUP((TRUNC($AN514/2,0)+0.99),'Tax scales - NAT 3539'!$A$14:$C$38,2,1)-VLOOKUP((TRUNC($AN514/2,0)+0.99),'Tax scales - NAT 3539'!$A$14:$C$38,3,1)),0)
*2,
0),
IF(AND($E$2="Monthly",ROUND($AN514-TRUNC($AN514),2)=0.33),
ROUND(
ROUND(((TRUNC(($AN514+0.01)*3/13,0)+0.99)*VLOOKUP((TRUNC(($AN514+0.01)*3/13,0)+0.99),'Tax scales - NAT 3539'!$A$14:$C$38,2,1)-VLOOKUP((TRUNC(($AN514+0.01)*3/13,0)+0.99),'Tax scales - NAT 3539'!$A$14:$C$38,3,1)),0)
*13/3,
0),
IF($E$2="Monthly",
ROUND(
ROUND(((TRUNC($AN514*3/13,0)+0.99)*VLOOKUP((TRUNC($AN514*3/13,0)+0.99),'Tax scales - NAT 3539'!$A$14:$C$38,2,1)-VLOOKUP((TRUNC($AN514*3/13,0)+0.99),'Tax scales - NAT 3539'!$A$14:$C$38,3,1)),0)
*13/3,
0),
""))),
""),
"")</f>
        <v/>
      </c>
      <c r="AV514" s="118" t="str">
        <f>IFERROR(
IF(VLOOKUP($C514,'Employee information'!$B:$M,COLUMNS('Employee information'!$B:$M),0)=22,
IF($E$2="Fortnightly",
ROUND(
ROUND((((TRUNC($AN514/2,0)+0.99))*VLOOKUP((TRUNC($AN514/2,0)+0.99),'Tax scales - NAT 3539'!$A$43:$C$69,2,1)-VLOOKUP((TRUNC($AN514/2,0)+0.99),'Tax scales - NAT 3539'!$A$43:$C$69,3,1)),0)
*2,
0),
IF(AND($E$2="Monthly",ROUND($AN514-TRUNC($AN514),2)=0.33),
ROUND(
ROUND(((TRUNC(($AN514+0.01)*3/13,0)+0.99)*VLOOKUP((TRUNC(($AN514+0.01)*3/13,0)+0.99),'Tax scales - NAT 3539'!$A$43:$C$69,2,1)-VLOOKUP((TRUNC(($AN514+0.01)*3/13,0)+0.99),'Tax scales - NAT 3539'!$A$43:$C$69,3,1)),0)
*13/3,
0),
IF($E$2="Monthly",
ROUND(
ROUND(((TRUNC($AN514*3/13,0)+0.99)*VLOOKUP((TRUNC($AN514*3/13,0)+0.99),'Tax scales - NAT 3539'!$A$43:$C$69,2,1)-VLOOKUP((TRUNC($AN514*3/13,0)+0.99),'Tax scales - NAT 3539'!$A$43:$C$69,3,1)),0)
*13/3,
0),
""))),
""),
"")</f>
        <v/>
      </c>
      <c r="AW514" s="118" t="str">
        <f>IFERROR(
IF(VLOOKUP($C514,'Employee information'!$B:$M,COLUMNS('Employee information'!$B:$M),0)=33,
IF($E$2="Fortnightly",
ROUND(
ROUND((((TRUNC($AN514/2,0)+0.99))*VLOOKUP((TRUNC($AN514/2,0)+0.99),'Tax scales - NAT 3539'!$A$74:$C$94,2,1)-VLOOKUP((TRUNC($AN514/2,0)+0.99),'Tax scales - NAT 3539'!$A$74:$C$94,3,1)),0)
*2,
0),
IF(AND($E$2="Monthly",ROUND($AN514-TRUNC($AN514),2)=0.33),
ROUND(
ROUND(((TRUNC(($AN514+0.01)*3/13,0)+0.99)*VLOOKUP((TRUNC(($AN514+0.01)*3/13,0)+0.99),'Tax scales - NAT 3539'!$A$74:$C$94,2,1)-VLOOKUP((TRUNC(($AN514+0.01)*3/13,0)+0.99),'Tax scales - NAT 3539'!$A$74:$C$94,3,1)),0)
*13/3,
0),
IF($E$2="Monthly",
ROUND(
ROUND(((TRUNC($AN514*3/13,0)+0.99)*VLOOKUP((TRUNC($AN514*3/13,0)+0.99),'Tax scales - NAT 3539'!$A$74:$C$94,2,1)-VLOOKUP((TRUNC($AN514*3/13,0)+0.99),'Tax scales - NAT 3539'!$A$74:$C$94,3,1)),0)
*13/3,
0),
""))),
""),
"")</f>
        <v/>
      </c>
      <c r="AX514" s="118" t="str">
        <f>IFERROR(
IF(VLOOKUP($C514,'Employee information'!$B:$M,COLUMNS('Employee information'!$B:$M),0)=55,
IF($E$2="Fortnightly",
ROUND(
ROUND((((TRUNC($AN514/2,0)+0.99))*VLOOKUP((TRUNC($AN514/2,0)+0.99),'Tax scales - NAT 3539'!$A$99:$C$123,2,1)-VLOOKUP((TRUNC($AN514/2,0)+0.99),'Tax scales - NAT 3539'!$A$99:$C$123,3,1)),0)
*2,
0),
IF(AND($E$2="Monthly",ROUND($AN514-TRUNC($AN514),2)=0.33),
ROUND(
ROUND(((TRUNC(($AN514+0.01)*3/13,0)+0.99)*VLOOKUP((TRUNC(($AN514+0.01)*3/13,0)+0.99),'Tax scales - NAT 3539'!$A$99:$C$123,2,1)-VLOOKUP((TRUNC(($AN514+0.01)*3/13,0)+0.99),'Tax scales - NAT 3539'!$A$99:$C$123,3,1)),0)
*13/3,
0),
IF($E$2="Monthly",
ROUND(
ROUND(((TRUNC($AN514*3/13,0)+0.99)*VLOOKUP((TRUNC($AN514*3/13,0)+0.99),'Tax scales - NAT 3539'!$A$99:$C$123,2,1)-VLOOKUP((TRUNC($AN514*3/13,0)+0.99),'Tax scales - NAT 3539'!$A$99:$C$123,3,1)),0)
*13/3,
0),
""))),
""),
"")</f>
        <v/>
      </c>
      <c r="AY514" s="118" t="str">
        <f>IFERROR(
IF(VLOOKUP($C514,'Employee information'!$B:$M,COLUMNS('Employee information'!$B:$M),0)=66,
IF($E$2="Fortnightly",
ROUND(
ROUND((((TRUNC($AN514/2,0)+0.99))*VLOOKUP((TRUNC($AN514/2,0)+0.99),'Tax scales - NAT 3539'!$A$127:$C$154,2,1)-VLOOKUP((TRUNC($AN514/2,0)+0.99),'Tax scales - NAT 3539'!$A$127:$C$154,3,1)),0)
*2,
0),
IF(AND($E$2="Monthly",ROUND($AN514-TRUNC($AN514),2)=0.33),
ROUND(
ROUND(((TRUNC(($AN514+0.01)*3/13,0)+0.99)*VLOOKUP((TRUNC(($AN514+0.01)*3/13,0)+0.99),'Tax scales - NAT 3539'!$A$127:$C$154,2,1)-VLOOKUP((TRUNC(($AN514+0.01)*3/13,0)+0.99),'Tax scales - NAT 3539'!$A$127:$C$154,3,1)),0)
*13/3,
0),
IF($E$2="Monthly",
ROUND(
ROUND(((TRUNC($AN514*3/13,0)+0.99)*VLOOKUP((TRUNC($AN514*3/13,0)+0.99),'Tax scales - NAT 3539'!$A$127:$C$154,2,1)-VLOOKUP((TRUNC($AN514*3/13,0)+0.99),'Tax scales - NAT 3539'!$A$127:$C$154,3,1)),0)
*13/3,
0),
""))),
""),
"")</f>
        <v/>
      </c>
      <c r="AZ514" s="118">
        <f>IFERROR(
HLOOKUP(VLOOKUP($C514,'Employee information'!$B:$M,COLUMNS('Employee information'!$B:$M),0),'PAYG worksheet'!$AO$503:$AY$522,COUNTA($C$504:$C514)+1,0),
0)</f>
        <v>0</v>
      </c>
      <c r="BA514" s="118"/>
      <c r="BB514" s="118">
        <f t="shared" si="542"/>
        <v>0</v>
      </c>
      <c r="BC514" s="119">
        <f>IFERROR(
IF(OR($AE514=1,$AE514=""),SUM($P514,$AA514,$AC514,$AK514)*VLOOKUP($C514,'Employee information'!$B:$Q,COLUMNS('Employee information'!$B:$H),0),
IF($AE514=0,SUM($P514,$AA514,$AK514)*VLOOKUP($C514,'Employee information'!$B:$Q,COLUMNS('Employee information'!$B:$H),0),
0)),
0)</f>
        <v>0</v>
      </c>
      <c r="BE514" s="114">
        <f t="shared" si="527"/>
        <v>0</v>
      </c>
      <c r="BF514" s="114">
        <f t="shared" si="528"/>
        <v>0</v>
      </c>
      <c r="BG514" s="114">
        <f t="shared" si="529"/>
        <v>0</v>
      </c>
      <c r="BH514" s="114">
        <f t="shared" si="530"/>
        <v>0</v>
      </c>
      <c r="BI514" s="114">
        <f t="shared" si="531"/>
        <v>0</v>
      </c>
      <c r="BJ514" s="114">
        <f t="shared" si="532"/>
        <v>0</v>
      </c>
      <c r="BK514" s="114">
        <f t="shared" si="533"/>
        <v>0</v>
      </c>
      <c r="BL514" s="114">
        <f t="shared" si="543"/>
        <v>0</v>
      </c>
      <c r="BM514" s="114">
        <f t="shared" si="534"/>
        <v>0</v>
      </c>
    </row>
    <row r="515" spans="1:65" x14ac:dyDescent="0.25">
      <c r="A515" s="228">
        <f t="shared" si="522"/>
        <v>18</v>
      </c>
      <c r="C515" s="278"/>
      <c r="E515" s="103">
        <f>IF($C515="",0,
IF(AND($E$2="Monthly",$A515&gt;12),0,
IF($E$2="Monthly",VLOOKUP($C515,'Employee information'!$B:$AM,COLUMNS('Employee information'!$B:S),0),
IF($E$2="Fortnightly",VLOOKUP($C515,'Employee information'!$B:$AM,COLUMNS('Employee information'!$B:R),0),
0))))</f>
        <v>0</v>
      </c>
      <c r="F515" s="106"/>
      <c r="G515" s="106"/>
      <c r="H515" s="106"/>
      <c r="I515" s="106"/>
      <c r="J515" s="103">
        <f t="shared" si="535"/>
        <v>0</v>
      </c>
      <c r="L515" s="113">
        <f>IF(AND($E$2="Monthly",$A515&gt;12),"",
IFERROR($J515*VLOOKUP($C515,'Employee information'!$B:$AI,COLUMNS('Employee information'!$B:$P),0),0))</f>
        <v>0</v>
      </c>
      <c r="M515" s="114">
        <f t="shared" si="536"/>
        <v>0</v>
      </c>
      <c r="O515" s="103">
        <f t="shared" si="537"/>
        <v>0</v>
      </c>
      <c r="P515" s="113">
        <f>IFERROR(
IF(AND($E$2="Monthly",$A515&gt;12),0,
$O515*VLOOKUP($C515,'Employee information'!$B:$AI,COLUMNS('Employee information'!$B:$P),0)),
0)</f>
        <v>0</v>
      </c>
      <c r="R515" s="114">
        <f t="shared" si="523"/>
        <v>0</v>
      </c>
      <c r="T515" s="103"/>
      <c r="U515" s="103"/>
      <c r="V515" s="282" t="str">
        <f>IF($C515="","",
IF(AND($E$2="Monthly",$A515&gt;12),"",
$T515*VLOOKUP($C515,'Employee information'!$B:$P,COLUMNS('Employee information'!$B:$P),0)))</f>
        <v/>
      </c>
      <c r="W515" s="282" t="str">
        <f>IF($C515="","",
IF(AND($E$2="Monthly",$A515&gt;12),"",
$U515*VLOOKUP($C515,'Employee information'!$B:$P,COLUMNS('Employee information'!$B:$P),0)))</f>
        <v/>
      </c>
      <c r="X515" s="114">
        <f t="shared" si="524"/>
        <v>0</v>
      </c>
      <c r="Y515" s="114">
        <f t="shared" si="525"/>
        <v>0</v>
      </c>
      <c r="AA515" s="118">
        <f>IFERROR(
IF(OR('Basic payroll data'!$D$12="",'Basic payroll data'!$D$12="No"),0,
$T515*VLOOKUP($C515,'Employee information'!$B:$P,COLUMNS('Employee information'!$B:$P),0)*AL_loading_perc),
0)</f>
        <v>0</v>
      </c>
      <c r="AC515" s="118"/>
      <c r="AD515" s="118"/>
      <c r="AE515" s="283" t="str">
        <f t="shared" si="538"/>
        <v/>
      </c>
      <c r="AF515" s="283" t="str">
        <f t="shared" si="539"/>
        <v/>
      </c>
      <c r="AG515" s="118"/>
      <c r="AH515" s="118"/>
      <c r="AI515" s="283" t="str">
        <f t="shared" si="540"/>
        <v/>
      </c>
      <c r="AJ515" s="118"/>
      <c r="AK515" s="118"/>
      <c r="AM515" s="118">
        <f t="shared" si="541"/>
        <v>0</v>
      </c>
      <c r="AN515" s="118">
        <f t="shared" si="526"/>
        <v>0</v>
      </c>
      <c r="AO515" s="118" t="str">
        <f>IFERROR(
IF(VLOOKUP($C515,'Employee information'!$B:$M,COLUMNS('Employee information'!$B:$M),0)=1,
IF($E$2="Fortnightly",
ROUND(
ROUND((((TRUNC($AN515/2,0)+0.99))*VLOOKUP((TRUNC($AN515/2,0)+0.99),'Tax scales - NAT 1004'!$A$12:$C$18,2,1)-VLOOKUP((TRUNC($AN515/2,0)+0.99),'Tax scales - NAT 1004'!$A$12:$C$18,3,1)),0)
*2,
0),
IF(AND($E$2="Monthly",ROUND($AN515-TRUNC($AN515),2)=0.33),
ROUND(
ROUND(((TRUNC(($AN515+0.01)*3/13,0)+0.99)*VLOOKUP((TRUNC(($AN515+0.01)*3/13,0)+0.99),'Tax scales - NAT 1004'!$A$12:$C$18,2,1)-VLOOKUP((TRUNC(($AN515+0.01)*3/13,0)+0.99),'Tax scales - NAT 1004'!$A$12:$C$18,3,1)),0)
*13/3,
0),
IF($E$2="Monthly",
ROUND(
ROUND(((TRUNC($AN515*3/13,0)+0.99)*VLOOKUP((TRUNC($AN515*3/13,0)+0.99),'Tax scales - NAT 1004'!$A$12:$C$18,2,1)-VLOOKUP((TRUNC($AN515*3/13,0)+0.99),'Tax scales - NAT 1004'!$A$12:$C$18,3,1)),0)
*13/3,
0),
""))),
""),
"")</f>
        <v/>
      </c>
      <c r="AP515" s="118" t="str">
        <f>IFERROR(
IF(VLOOKUP($C515,'Employee information'!$B:$M,COLUMNS('Employee information'!$B:$M),0)=2,
IF($E$2="Fortnightly",
ROUND(
ROUND((((TRUNC($AN515/2,0)+0.99))*VLOOKUP((TRUNC($AN515/2,0)+0.99),'Tax scales - NAT 1004'!$A$25:$C$33,2,1)-VLOOKUP((TRUNC($AN515/2,0)+0.99),'Tax scales - NAT 1004'!$A$25:$C$33,3,1)),0)
*2,
0),
IF(AND($E$2="Monthly",ROUND($AN515-TRUNC($AN515),2)=0.33),
ROUND(
ROUND(((TRUNC(($AN515+0.01)*3/13,0)+0.99)*VLOOKUP((TRUNC(($AN515+0.01)*3/13,0)+0.99),'Tax scales - NAT 1004'!$A$25:$C$33,2,1)-VLOOKUP((TRUNC(($AN515+0.01)*3/13,0)+0.99),'Tax scales - NAT 1004'!$A$25:$C$33,3,1)),0)
*13/3,
0),
IF($E$2="Monthly",
ROUND(
ROUND(((TRUNC($AN515*3/13,0)+0.99)*VLOOKUP((TRUNC($AN515*3/13,0)+0.99),'Tax scales - NAT 1004'!$A$25:$C$33,2,1)-VLOOKUP((TRUNC($AN515*3/13,0)+0.99),'Tax scales - NAT 1004'!$A$25:$C$33,3,1)),0)
*13/3,
0),
""))),
""),
"")</f>
        <v/>
      </c>
      <c r="AQ515" s="118" t="str">
        <f>IFERROR(
IF(VLOOKUP($C515,'Employee information'!$B:$M,COLUMNS('Employee information'!$B:$M),0)=3,
IF($E$2="Fortnightly",
ROUND(
ROUND((((TRUNC($AN515/2,0)+0.99))*VLOOKUP((TRUNC($AN515/2,0)+0.99),'Tax scales - NAT 1004'!$A$39:$C$41,2,1)-VLOOKUP((TRUNC($AN515/2,0)+0.99),'Tax scales - NAT 1004'!$A$39:$C$41,3,1)),0)
*2,
0),
IF(AND($E$2="Monthly",ROUND($AN515-TRUNC($AN515),2)=0.33),
ROUND(
ROUND(((TRUNC(($AN515+0.01)*3/13,0)+0.99)*VLOOKUP((TRUNC(($AN515+0.01)*3/13,0)+0.99),'Tax scales - NAT 1004'!$A$39:$C$41,2,1)-VLOOKUP((TRUNC(($AN515+0.01)*3/13,0)+0.99),'Tax scales - NAT 1004'!$A$39:$C$41,3,1)),0)
*13/3,
0),
IF($E$2="Monthly",
ROUND(
ROUND(((TRUNC($AN515*3/13,0)+0.99)*VLOOKUP((TRUNC($AN515*3/13,0)+0.99),'Tax scales - NAT 1004'!$A$39:$C$41,2,1)-VLOOKUP((TRUNC($AN515*3/13,0)+0.99),'Tax scales - NAT 1004'!$A$39:$C$41,3,1)),0)
*13/3,
0),
""))),
""),
"")</f>
        <v/>
      </c>
      <c r="AR515" s="118" t="str">
        <f>IFERROR(
IF(AND(VLOOKUP($C515,'Employee information'!$B:$M,COLUMNS('Employee information'!$B:$M),0)=4,
VLOOKUP($C515,'Employee information'!$B:$J,COLUMNS('Employee information'!$B:$J),0)="Resident"),
TRUNC(TRUNC($AN515)*'Tax scales - NAT 1004'!$B$47),
IF(AND(VLOOKUP($C515,'Employee information'!$B:$M,COLUMNS('Employee information'!$B:$M),0)=4,
VLOOKUP($C515,'Employee information'!$B:$J,COLUMNS('Employee information'!$B:$J),0)="Foreign resident"),
TRUNC(TRUNC($AN515)*'Tax scales - NAT 1004'!$B$48),
"")),
"")</f>
        <v/>
      </c>
      <c r="AS515" s="118" t="str">
        <f>IFERROR(
IF(VLOOKUP($C515,'Employee information'!$B:$M,COLUMNS('Employee information'!$B:$M),0)=5,
IF($E$2="Fortnightly",
ROUND(
ROUND((((TRUNC($AN515/2,0)+0.99))*VLOOKUP((TRUNC($AN515/2,0)+0.99),'Tax scales - NAT 1004'!$A$53:$C$59,2,1)-VLOOKUP((TRUNC($AN515/2,0)+0.99),'Tax scales - NAT 1004'!$A$53:$C$59,3,1)),0)
*2,
0),
IF(AND($E$2="Monthly",ROUND($AN515-TRUNC($AN515),2)=0.33),
ROUND(
ROUND(((TRUNC(($AN515+0.01)*3/13,0)+0.99)*VLOOKUP((TRUNC(($AN515+0.01)*3/13,0)+0.99),'Tax scales - NAT 1004'!$A$53:$C$59,2,1)-VLOOKUP((TRUNC(($AN515+0.01)*3/13,0)+0.99),'Tax scales - NAT 1004'!$A$53:$C$59,3,1)),0)
*13/3,
0),
IF($E$2="Monthly",
ROUND(
ROUND(((TRUNC($AN515*3/13,0)+0.99)*VLOOKUP((TRUNC($AN515*3/13,0)+0.99),'Tax scales - NAT 1004'!$A$53:$C$59,2,1)-VLOOKUP((TRUNC($AN515*3/13,0)+0.99),'Tax scales - NAT 1004'!$A$53:$C$59,3,1)),0)
*13/3,
0),
""))),
""),
"")</f>
        <v/>
      </c>
      <c r="AT515" s="118" t="str">
        <f>IFERROR(
IF(VLOOKUP($C515,'Employee information'!$B:$M,COLUMNS('Employee information'!$B:$M),0)=6,
IF($E$2="Fortnightly",
ROUND(
ROUND((((TRUNC($AN515/2,0)+0.99))*VLOOKUP((TRUNC($AN515/2,0)+0.99),'Tax scales - NAT 1004'!$A$65:$C$73,2,1)-VLOOKUP((TRUNC($AN515/2,0)+0.99),'Tax scales - NAT 1004'!$A$65:$C$73,3,1)),0)
*2,
0),
IF(AND($E$2="Monthly",ROUND($AN515-TRUNC($AN515),2)=0.33),
ROUND(
ROUND(((TRUNC(($AN515+0.01)*3/13,0)+0.99)*VLOOKUP((TRUNC(($AN515+0.01)*3/13,0)+0.99),'Tax scales - NAT 1004'!$A$65:$C$73,2,1)-VLOOKUP((TRUNC(($AN515+0.01)*3/13,0)+0.99),'Tax scales - NAT 1004'!$A$65:$C$73,3,1)),0)
*13/3,
0),
IF($E$2="Monthly",
ROUND(
ROUND(((TRUNC($AN515*3/13,0)+0.99)*VLOOKUP((TRUNC($AN515*3/13,0)+0.99),'Tax scales - NAT 1004'!$A$65:$C$73,2,1)-VLOOKUP((TRUNC($AN515*3/13,0)+0.99),'Tax scales - NAT 1004'!$A$65:$C$73,3,1)),0)
*13/3,
0),
""))),
""),
"")</f>
        <v/>
      </c>
      <c r="AU515" s="118" t="str">
        <f>IFERROR(
IF(VLOOKUP($C515,'Employee information'!$B:$M,COLUMNS('Employee information'!$B:$M),0)=11,
IF($E$2="Fortnightly",
ROUND(
ROUND((((TRUNC($AN515/2,0)+0.99))*VLOOKUP((TRUNC($AN515/2,0)+0.99),'Tax scales - NAT 3539'!$A$14:$C$38,2,1)-VLOOKUP((TRUNC($AN515/2,0)+0.99),'Tax scales - NAT 3539'!$A$14:$C$38,3,1)),0)
*2,
0),
IF(AND($E$2="Monthly",ROUND($AN515-TRUNC($AN515),2)=0.33),
ROUND(
ROUND(((TRUNC(($AN515+0.01)*3/13,0)+0.99)*VLOOKUP((TRUNC(($AN515+0.01)*3/13,0)+0.99),'Tax scales - NAT 3539'!$A$14:$C$38,2,1)-VLOOKUP((TRUNC(($AN515+0.01)*3/13,0)+0.99),'Tax scales - NAT 3539'!$A$14:$C$38,3,1)),0)
*13/3,
0),
IF($E$2="Monthly",
ROUND(
ROUND(((TRUNC($AN515*3/13,0)+0.99)*VLOOKUP((TRUNC($AN515*3/13,0)+0.99),'Tax scales - NAT 3539'!$A$14:$C$38,2,1)-VLOOKUP((TRUNC($AN515*3/13,0)+0.99),'Tax scales - NAT 3539'!$A$14:$C$38,3,1)),0)
*13/3,
0),
""))),
""),
"")</f>
        <v/>
      </c>
      <c r="AV515" s="118" t="str">
        <f>IFERROR(
IF(VLOOKUP($C515,'Employee information'!$B:$M,COLUMNS('Employee information'!$B:$M),0)=22,
IF($E$2="Fortnightly",
ROUND(
ROUND((((TRUNC($AN515/2,0)+0.99))*VLOOKUP((TRUNC($AN515/2,0)+0.99),'Tax scales - NAT 3539'!$A$43:$C$69,2,1)-VLOOKUP((TRUNC($AN515/2,0)+0.99),'Tax scales - NAT 3539'!$A$43:$C$69,3,1)),0)
*2,
0),
IF(AND($E$2="Monthly",ROUND($AN515-TRUNC($AN515),2)=0.33),
ROUND(
ROUND(((TRUNC(($AN515+0.01)*3/13,0)+0.99)*VLOOKUP((TRUNC(($AN515+0.01)*3/13,0)+0.99),'Tax scales - NAT 3539'!$A$43:$C$69,2,1)-VLOOKUP((TRUNC(($AN515+0.01)*3/13,0)+0.99),'Tax scales - NAT 3539'!$A$43:$C$69,3,1)),0)
*13/3,
0),
IF($E$2="Monthly",
ROUND(
ROUND(((TRUNC($AN515*3/13,0)+0.99)*VLOOKUP((TRUNC($AN515*3/13,0)+0.99),'Tax scales - NAT 3539'!$A$43:$C$69,2,1)-VLOOKUP((TRUNC($AN515*3/13,0)+0.99),'Tax scales - NAT 3539'!$A$43:$C$69,3,1)),0)
*13/3,
0),
""))),
""),
"")</f>
        <v/>
      </c>
      <c r="AW515" s="118" t="str">
        <f>IFERROR(
IF(VLOOKUP($C515,'Employee information'!$B:$M,COLUMNS('Employee information'!$B:$M),0)=33,
IF($E$2="Fortnightly",
ROUND(
ROUND((((TRUNC($AN515/2,0)+0.99))*VLOOKUP((TRUNC($AN515/2,0)+0.99),'Tax scales - NAT 3539'!$A$74:$C$94,2,1)-VLOOKUP((TRUNC($AN515/2,0)+0.99),'Tax scales - NAT 3539'!$A$74:$C$94,3,1)),0)
*2,
0),
IF(AND($E$2="Monthly",ROUND($AN515-TRUNC($AN515),2)=0.33),
ROUND(
ROUND(((TRUNC(($AN515+0.01)*3/13,0)+0.99)*VLOOKUP((TRUNC(($AN515+0.01)*3/13,0)+0.99),'Tax scales - NAT 3539'!$A$74:$C$94,2,1)-VLOOKUP((TRUNC(($AN515+0.01)*3/13,0)+0.99),'Tax scales - NAT 3539'!$A$74:$C$94,3,1)),0)
*13/3,
0),
IF($E$2="Monthly",
ROUND(
ROUND(((TRUNC($AN515*3/13,0)+0.99)*VLOOKUP((TRUNC($AN515*3/13,0)+0.99),'Tax scales - NAT 3539'!$A$74:$C$94,2,1)-VLOOKUP((TRUNC($AN515*3/13,0)+0.99),'Tax scales - NAT 3539'!$A$74:$C$94,3,1)),0)
*13/3,
0),
""))),
""),
"")</f>
        <v/>
      </c>
      <c r="AX515" s="118" t="str">
        <f>IFERROR(
IF(VLOOKUP($C515,'Employee information'!$B:$M,COLUMNS('Employee information'!$B:$M),0)=55,
IF($E$2="Fortnightly",
ROUND(
ROUND((((TRUNC($AN515/2,0)+0.99))*VLOOKUP((TRUNC($AN515/2,0)+0.99),'Tax scales - NAT 3539'!$A$99:$C$123,2,1)-VLOOKUP((TRUNC($AN515/2,0)+0.99),'Tax scales - NAT 3539'!$A$99:$C$123,3,1)),0)
*2,
0),
IF(AND($E$2="Monthly",ROUND($AN515-TRUNC($AN515),2)=0.33),
ROUND(
ROUND(((TRUNC(($AN515+0.01)*3/13,0)+0.99)*VLOOKUP((TRUNC(($AN515+0.01)*3/13,0)+0.99),'Tax scales - NAT 3539'!$A$99:$C$123,2,1)-VLOOKUP((TRUNC(($AN515+0.01)*3/13,0)+0.99),'Tax scales - NAT 3539'!$A$99:$C$123,3,1)),0)
*13/3,
0),
IF($E$2="Monthly",
ROUND(
ROUND(((TRUNC($AN515*3/13,0)+0.99)*VLOOKUP((TRUNC($AN515*3/13,0)+0.99),'Tax scales - NAT 3539'!$A$99:$C$123,2,1)-VLOOKUP((TRUNC($AN515*3/13,0)+0.99),'Tax scales - NAT 3539'!$A$99:$C$123,3,1)),0)
*13/3,
0),
""))),
""),
"")</f>
        <v/>
      </c>
      <c r="AY515" s="118" t="str">
        <f>IFERROR(
IF(VLOOKUP($C515,'Employee information'!$B:$M,COLUMNS('Employee information'!$B:$M),0)=66,
IF($E$2="Fortnightly",
ROUND(
ROUND((((TRUNC($AN515/2,0)+0.99))*VLOOKUP((TRUNC($AN515/2,0)+0.99),'Tax scales - NAT 3539'!$A$127:$C$154,2,1)-VLOOKUP((TRUNC($AN515/2,0)+0.99),'Tax scales - NAT 3539'!$A$127:$C$154,3,1)),0)
*2,
0),
IF(AND($E$2="Monthly",ROUND($AN515-TRUNC($AN515),2)=0.33),
ROUND(
ROUND(((TRUNC(($AN515+0.01)*3/13,0)+0.99)*VLOOKUP((TRUNC(($AN515+0.01)*3/13,0)+0.99),'Tax scales - NAT 3539'!$A$127:$C$154,2,1)-VLOOKUP((TRUNC(($AN515+0.01)*3/13,0)+0.99),'Tax scales - NAT 3539'!$A$127:$C$154,3,1)),0)
*13/3,
0),
IF($E$2="Monthly",
ROUND(
ROUND(((TRUNC($AN515*3/13,0)+0.99)*VLOOKUP((TRUNC($AN515*3/13,0)+0.99),'Tax scales - NAT 3539'!$A$127:$C$154,2,1)-VLOOKUP((TRUNC($AN515*3/13,0)+0.99),'Tax scales - NAT 3539'!$A$127:$C$154,3,1)),0)
*13/3,
0),
""))),
""),
"")</f>
        <v/>
      </c>
      <c r="AZ515" s="118">
        <f>IFERROR(
HLOOKUP(VLOOKUP($C515,'Employee information'!$B:$M,COLUMNS('Employee information'!$B:$M),0),'PAYG worksheet'!$AO$503:$AY$522,COUNTA($C$504:$C515)+1,0),
0)</f>
        <v>0</v>
      </c>
      <c r="BA515" s="118"/>
      <c r="BB515" s="118">
        <f t="shared" si="542"/>
        <v>0</v>
      </c>
      <c r="BC515" s="119">
        <f>IFERROR(
IF(OR($AE515=1,$AE515=""),SUM($P515,$AA515,$AC515,$AK515)*VLOOKUP($C515,'Employee information'!$B:$Q,COLUMNS('Employee information'!$B:$H),0),
IF($AE515=0,SUM($P515,$AA515,$AK515)*VLOOKUP($C515,'Employee information'!$B:$Q,COLUMNS('Employee information'!$B:$H),0),
0)),
0)</f>
        <v>0</v>
      </c>
      <c r="BE515" s="114">
        <f t="shared" si="527"/>
        <v>0</v>
      </c>
      <c r="BF515" s="114">
        <f t="shared" si="528"/>
        <v>0</v>
      </c>
      <c r="BG515" s="114">
        <f t="shared" si="529"/>
        <v>0</v>
      </c>
      <c r="BH515" s="114">
        <f t="shared" si="530"/>
        <v>0</v>
      </c>
      <c r="BI515" s="114">
        <f t="shared" si="531"/>
        <v>0</v>
      </c>
      <c r="BJ515" s="114">
        <f t="shared" si="532"/>
        <v>0</v>
      </c>
      <c r="BK515" s="114">
        <f t="shared" si="533"/>
        <v>0</v>
      </c>
      <c r="BL515" s="114">
        <f t="shared" si="543"/>
        <v>0</v>
      </c>
      <c r="BM515" s="114">
        <f t="shared" si="534"/>
        <v>0</v>
      </c>
    </row>
    <row r="516" spans="1:65" x14ac:dyDescent="0.25">
      <c r="A516" s="228">
        <f t="shared" si="522"/>
        <v>18</v>
      </c>
      <c r="C516" s="278"/>
      <c r="E516" s="103">
        <f>IF($C516="",0,
IF(AND($E$2="Monthly",$A516&gt;12),0,
IF($E$2="Monthly",VLOOKUP($C516,'Employee information'!$B:$AM,COLUMNS('Employee information'!$B:S),0),
IF($E$2="Fortnightly",VLOOKUP($C516,'Employee information'!$B:$AM,COLUMNS('Employee information'!$B:R),0),
0))))</f>
        <v>0</v>
      </c>
      <c r="F516" s="106"/>
      <c r="G516" s="106"/>
      <c r="H516" s="106"/>
      <c r="I516" s="106"/>
      <c r="J516" s="103">
        <f t="shared" si="535"/>
        <v>0</v>
      </c>
      <c r="L516" s="113">
        <f>IF(AND($E$2="Monthly",$A516&gt;12),"",
IFERROR($J516*VLOOKUP($C516,'Employee information'!$B:$AI,COLUMNS('Employee information'!$B:$P),0),0))</f>
        <v>0</v>
      </c>
      <c r="M516" s="114">
        <f t="shared" si="536"/>
        <v>0</v>
      </c>
      <c r="O516" s="103">
        <f t="shared" si="537"/>
        <v>0</v>
      </c>
      <c r="P516" s="113">
        <f>IFERROR(
IF(AND($E$2="Monthly",$A516&gt;12),0,
$O516*VLOOKUP($C516,'Employee information'!$B:$AI,COLUMNS('Employee information'!$B:$P),0)),
0)</f>
        <v>0</v>
      </c>
      <c r="R516" s="114">
        <f t="shared" si="523"/>
        <v>0</v>
      </c>
      <c r="T516" s="103"/>
      <c r="U516" s="103"/>
      <c r="V516" s="282" t="str">
        <f>IF($C516="","",
IF(AND($E$2="Monthly",$A516&gt;12),"",
$T516*VLOOKUP($C516,'Employee information'!$B:$P,COLUMNS('Employee information'!$B:$P),0)))</f>
        <v/>
      </c>
      <c r="W516" s="282" t="str">
        <f>IF($C516="","",
IF(AND($E$2="Monthly",$A516&gt;12),"",
$U516*VLOOKUP($C516,'Employee information'!$B:$P,COLUMNS('Employee information'!$B:$P),0)))</f>
        <v/>
      </c>
      <c r="X516" s="114">
        <f t="shared" si="524"/>
        <v>0</v>
      </c>
      <c r="Y516" s="114">
        <f t="shared" si="525"/>
        <v>0</v>
      </c>
      <c r="AA516" s="118">
        <f>IFERROR(
IF(OR('Basic payroll data'!$D$12="",'Basic payroll data'!$D$12="No"),0,
$T516*VLOOKUP($C516,'Employee information'!$B:$P,COLUMNS('Employee information'!$B:$P),0)*AL_loading_perc),
0)</f>
        <v>0</v>
      </c>
      <c r="AC516" s="118"/>
      <c r="AD516" s="118"/>
      <c r="AE516" s="283" t="str">
        <f t="shared" si="538"/>
        <v/>
      </c>
      <c r="AF516" s="283" t="str">
        <f t="shared" si="539"/>
        <v/>
      </c>
      <c r="AG516" s="118"/>
      <c r="AH516" s="118"/>
      <c r="AI516" s="283" t="str">
        <f t="shared" si="540"/>
        <v/>
      </c>
      <c r="AJ516" s="118"/>
      <c r="AK516" s="118"/>
      <c r="AM516" s="118">
        <f t="shared" si="541"/>
        <v>0</v>
      </c>
      <c r="AN516" s="118">
        <f t="shared" si="526"/>
        <v>0</v>
      </c>
      <c r="AO516" s="118" t="str">
        <f>IFERROR(
IF(VLOOKUP($C516,'Employee information'!$B:$M,COLUMNS('Employee information'!$B:$M),0)=1,
IF($E$2="Fortnightly",
ROUND(
ROUND((((TRUNC($AN516/2,0)+0.99))*VLOOKUP((TRUNC($AN516/2,0)+0.99),'Tax scales - NAT 1004'!$A$12:$C$18,2,1)-VLOOKUP((TRUNC($AN516/2,0)+0.99),'Tax scales - NAT 1004'!$A$12:$C$18,3,1)),0)
*2,
0),
IF(AND($E$2="Monthly",ROUND($AN516-TRUNC($AN516),2)=0.33),
ROUND(
ROUND(((TRUNC(($AN516+0.01)*3/13,0)+0.99)*VLOOKUP((TRUNC(($AN516+0.01)*3/13,0)+0.99),'Tax scales - NAT 1004'!$A$12:$C$18,2,1)-VLOOKUP((TRUNC(($AN516+0.01)*3/13,0)+0.99),'Tax scales - NAT 1004'!$A$12:$C$18,3,1)),0)
*13/3,
0),
IF($E$2="Monthly",
ROUND(
ROUND(((TRUNC($AN516*3/13,0)+0.99)*VLOOKUP((TRUNC($AN516*3/13,0)+0.99),'Tax scales - NAT 1004'!$A$12:$C$18,2,1)-VLOOKUP((TRUNC($AN516*3/13,0)+0.99),'Tax scales - NAT 1004'!$A$12:$C$18,3,1)),0)
*13/3,
0),
""))),
""),
"")</f>
        <v/>
      </c>
      <c r="AP516" s="118" t="str">
        <f>IFERROR(
IF(VLOOKUP($C516,'Employee information'!$B:$M,COLUMNS('Employee information'!$B:$M),0)=2,
IF($E$2="Fortnightly",
ROUND(
ROUND((((TRUNC($AN516/2,0)+0.99))*VLOOKUP((TRUNC($AN516/2,0)+0.99),'Tax scales - NAT 1004'!$A$25:$C$33,2,1)-VLOOKUP((TRUNC($AN516/2,0)+0.99),'Tax scales - NAT 1004'!$A$25:$C$33,3,1)),0)
*2,
0),
IF(AND($E$2="Monthly",ROUND($AN516-TRUNC($AN516),2)=0.33),
ROUND(
ROUND(((TRUNC(($AN516+0.01)*3/13,0)+0.99)*VLOOKUP((TRUNC(($AN516+0.01)*3/13,0)+0.99),'Tax scales - NAT 1004'!$A$25:$C$33,2,1)-VLOOKUP((TRUNC(($AN516+0.01)*3/13,0)+0.99),'Tax scales - NAT 1004'!$A$25:$C$33,3,1)),0)
*13/3,
0),
IF($E$2="Monthly",
ROUND(
ROUND(((TRUNC($AN516*3/13,0)+0.99)*VLOOKUP((TRUNC($AN516*3/13,0)+0.99),'Tax scales - NAT 1004'!$A$25:$C$33,2,1)-VLOOKUP((TRUNC($AN516*3/13,0)+0.99),'Tax scales - NAT 1004'!$A$25:$C$33,3,1)),0)
*13/3,
0),
""))),
""),
"")</f>
        <v/>
      </c>
      <c r="AQ516" s="118" t="str">
        <f>IFERROR(
IF(VLOOKUP($C516,'Employee information'!$B:$M,COLUMNS('Employee information'!$B:$M),0)=3,
IF($E$2="Fortnightly",
ROUND(
ROUND((((TRUNC($AN516/2,0)+0.99))*VLOOKUP((TRUNC($AN516/2,0)+0.99),'Tax scales - NAT 1004'!$A$39:$C$41,2,1)-VLOOKUP((TRUNC($AN516/2,0)+0.99),'Tax scales - NAT 1004'!$A$39:$C$41,3,1)),0)
*2,
0),
IF(AND($E$2="Monthly",ROUND($AN516-TRUNC($AN516),2)=0.33),
ROUND(
ROUND(((TRUNC(($AN516+0.01)*3/13,0)+0.99)*VLOOKUP((TRUNC(($AN516+0.01)*3/13,0)+0.99),'Tax scales - NAT 1004'!$A$39:$C$41,2,1)-VLOOKUP((TRUNC(($AN516+0.01)*3/13,0)+0.99),'Tax scales - NAT 1004'!$A$39:$C$41,3,1)),0)
*13/3,
0),
IF($E$2="Monthly",
ROUND(
ROUND(((TRUNC($AN516*3/13,0)+0.99)*VLOOKUP((TRUNC($AN516*3/13,0)+0.99),'Tax scales - NAT 1004'!$A$39:$C$41,2,1)-VLOOKUP((TRUNC($AN516*3/13,0)+0.99),'Tax scales - NAT 1004'!$A$39:$C$41,3,1)),0)
*13/3,
0),
""))),
""),
"")</f>
        <v/>
      </c>
      <c r="AR516" s="118" t="str">
        <f>IFERROR(
IF(AND(VLOOKUP($C516,'Employee information'!$B:$M,COLUMNS('Employee information'!$B:$M),0)=4,
VLOOKUP($C516,'Employee information'!$B:$J,COLUMNS('Employee information'!$B:$J),0)="Resident"),
TRUNC(TRUNC($AN516)*'Tax scales - NAT 1004'!$B$47),
IF(AND(VLOOKUP($C516,'Employee information'!$B:$M,COLUMNS('Employee information'!$B:$M),0)=4,
VLOOKUP($C516,'Employee information'!$B:$J,COLUMNS('Employee information'!$B:$J),0)="Foreign resident"),
TRUNC(TRUNC($AN516)*'Tax scales - NAT 1004'!$B$48),
"")),
"")</f>
        <v/>
      </c>
      <c r="AS516" s="118" t="str">
        <f>IFERROR(
IF(VLOOKUP($C516,'Employee information'!$B:$M,COLUMNS('Employee information'!$B:$M),0)=5,
IF($E$2="Fortnightly",
ROUND(
ROUND((((TRUNC($AN516/2,0)+0.99))*VLOOKUP((TRUNC($AN516/2,0)+0.99),'Tax scales - NAT 1004'!$A$53:$C$59,2,1)-VLOOKUP((TRUNC($AN516/2,0)+0.99),'Tax scales - NAT 1004'!$A$53:$C$59,3,1)),0)
*2,
0),
IF(AND($E$2="Monthly",ROUND($AN516-TRUNC($AN516),2)=0.33),
ROUND(
ROUND(((TRUNC(($AN516+0.01)*3/13,0)+0.99)*VLOOKUP((TRUNC(($AN516+0.01)*3/13,0)+0.99),'Tax scales - NAT 1004'!$A$53:$C$59,2,1)-VLOOKUP((TRUNC(($AN516+0.01)*3/13,0)+0.99),'Tax scales - NAT 1004'!$A$53:$C$59,3,1)),0)
*13/3,
0),
IF($E$2="Monthly",
ROUND(
ROUND(((TRUNC($AN516*3/13,0)+0.99)*VLOOKUP((TRUNC($AN516*3/13,0)+0.99),'Tax scales - NAT 1004'!$A$53:$C$59,2,1)-VLOOKUP((TRUNC($AN516*3/13,0)+0.99),'Tax scales - NAT 1004'!$A$53:$C$59,3,1)),0)
*13/3,
0),
""))),
""),
"")</f>
        <v/>
      </c>
      <c r="AT516" s="118" t="str">
        <f>IFERROR(
IF(VLOOKUP($C516,'Employee information'!$B:$M,COLUMNS('Employee information'!$B:$M),0)=6,
IF($E$2="Fortnightly",
ROUND(
ROUND((((TRUNC($AN516/2,0)+0.99))*VLOOKUP((TRUNC($AN516/2,0)+0.99),'Tax scales - NAT 1004'!$A$65:$C$73,2,1)-VLOOKUP((TRUNC($AN516/2,0)+0.99),'Tax scales - NAT 1004'!$A$65:$C$73,3,1)),0)
*2,
0),
IF(AND($E$2="Monthly",ROUND($AN516-TRUNC($AN516),2)=0.33),
ROUND(
ROUND(((TRUNC(($AN516+0.01)*3/13,0)+0.99)*VLOOKUP((TRUNC(($AN516+0.01)*3/13,0)+0.99),'Tax scales - NAT 1004'!$A$65:$C$73,2,1)-VLOOKUP((TRUNC(($AN516+0.01)*3/13,0)+0.99),'Tax scales - NAT 1004'!$A$65:$C$73,3,1)),0)
*13/3,
0),
IF($E$2="Monthly",
ROUND(
ROUND(((TRUNC($AN516*3/13,0)+0.99)*VLOOKUP((TRUNC($AN516*3/13,0)+0.99),'Tax scales - NAT 1004'!$A$65:$C$73,2,1)-VLOOKUP((TRUNC($AN516*3/13,0)+0.99),'Tax scales - NAT 1004'!$A$65:$C$73,3,1)),0)
*13/3,
0),
""))),
""),
"")</f>
        <v/>
      </c>
      <c r="AU516" s="118" t="str">
        <f>IFERROR(
IF(VLOOKUP($C516,'Employee information'!$B:$M,COLUMNS('Employee information'!$B:$M),0)=11,
IF($E$2="Fortnightly",
ROUND(
ROUND((((TRUNC($AN516/2,0)+0.99))*VLOOKUP((TRUNC($AN516/2,0)+0.99),'Tax scales - NAT 3539'!$A$14:$C$38,2,1)-VLOOKUP((TRUNC($AN516/2,0)+0.99),'Tax scales - NAT 3539'!$A$14:$C$38,3,1)),0)
*2,
0),
IF(AND($E$2="Monthly",ROUND($AN516-TRUNC($AN516),2)=0.33),
ROUND(
ROUND(((TRUNC(($AN516+0.01)*3/13,0)+0.99)*VLOOKUP((TRUNC(($AN516+0.01)*3/13,0)+0.99),'Tax scales - NAT 3539'!$A$14:$C$38,2,1)-VLOOKUP((TRUNC(($AN516+0.01)*3/13,0)+0.99),'Tax scales - NAT 3539'!$A$14:$C$38,3,1)),0)
*13/3,
0),
IF($E$2="Monthly",
ROUND(
ROUND(((TRUNC($AN516*3/13,0)+0.99)*VLOOKUP((TRUNC($AN516*3/13,0)+0.99),'Tax scales - NAT 3539'!$A$14:$C$38,2,1)-VLOOKUP((TRUNC($AN516*3/13,0)+0.99),'Tax scales - NAT 3539'!$A$14:$C$38,3,1)),0)
*13/3,
0),
""))),
""),
"")</f>
        <v/>
      </c>
      <c r="AV516" s="118" t="str">
        <f>IFERROR(
IF(VLOOKUP($C516,'Employee information'!$B:$M,COLUMNS('Employee information'!$B:$M),0)=22,
IF($E$2="Fortnightly",
ROUND(
ROUND((((TRUNC($AN516/2,0)+0.99))*VLOOKUP((TRUNC($AN516/2,0)+0.99),'Tax scales - NAT 3539'!$A$43:$C$69,2,1)-VLOOKUP((TRUNC($AN516/2,0)+0.99),'Tax scales - NAT 3539'!$A$43:$C$69,3,1)),0)
*2,
0),
IF(AND($E$2="Monthly",ROUND($AN516-TRUNC($AN516),2)=0.33),
ROUND(
ROUND(((TRUNC(($AN516+0.01)*3/13,0)+0.99)*VLOOKUP((TRUNC(($AN516+0.01)*3/13,0)+0.99),'Tax scales - NAT 3539'!$A$43:$C$69,2,1)-VLOOKUP((TRUNC(($AN516+0.01)*3/13,0)+0.99),'Tax scales - NAT 3539'!$A$43:$C$69,3,1)),0)
*13/3,
0),
IF($E$2="Monthly",
ROUND(
ROUND(((TRUNC($AN516*3/13,0)+0.99)*VLOOKUP((TRUNC($AN516*3/13,0)+0.99),'Tax scales - NAT 3539'!$A$43:$C$69,2,1)-VLOOKUP((TRUNC($AN516*3/13,0)+0.99),'Tax scales - NAT 3539'!$A$43:$C$69,3,1)),0)
*13/3,
0),
""))),
""),
"")</f>
        <v/>
      </c>
      <c r="AW516" s="118" t="str">
        <f>IFERROR(
IF(VLOOKUP($C516,'Employee information'!$B:$M,COLUMNS('Employee information'!$B:$M),0)=33,
IF($E$2="Fortnightly",
ROUND(
ROUND((((TRUNC($AN516/2,0)+0.99))*VLOOKUP((TRUNC($AN516/2,0)+0.99),'Tax scales - NAT 3539'!$A$74:$C$94,2,1)-VLOOKUP((TRUNC($AN516/2,0)+0.99),'Tax scales - NAT 3539'!$A$74:$C$94,3,1)),0)
*2,
0),
IF(AND($E$2="Monthly",ROUND($AN516-TRUNC($AN516),2)=0.33),
ROUND(
ROUND(((TRUNC(($AN516+0.01)*3/13,0)+0.99)*VLOOKUP((TRUNC(($AN516+0.01)*3/13,0)+0.99),'Tax scales - NAT 3539'!$A$74:$C$94,2,1)-VLOOKUP((TRUNC(($AN516+0.01)*3/13,0)+0.99),'Tax scales - NAT 3539'!$A$74:$C$94,3,1)),0)
*13/3,
0),
IF($E$2="Monthly",
ROUND(
ROUND(((TRUNC($AN516*3/13,0)+0.99)*VLOOKUP((TRUNC($AN516*3/13,0)+0.99),'Tax scales - NAT 3539'!$A$74:$C$94,2,1)-VLOOKUP((TRUNC($AN516*3/13,0)+0.99),'Tax scales - NAT 3539'!$A$74:$C$94,3,1)),0)
*13/3,
0),
""))),
""),
"")</f>
        <v/>
      </c>
      <c r="AX516" s="118" t="str">
        <f>IFERROR(
IF(VLOOKUP($C516,'Employee information'!$B:$M,COLUMNS('Employee information'!$B:$M),0)=55,
IF($E$2="Fortnightly",
ROUND(
ROUND((((TRUNC($AN516/2,0)+0.99))*VLOOKUP((TRUNC($AN516/2,0)+0.99),'Tax scales - NAT 3539'!$A$99:$C$123,2,1)-VLOOKUP((TRUNC($AN516/2,0)+0.99),'Tax scales - NAT 3539'!$A$99:$C$123,3,1)),0)
*2,
0),
IF(AND($E$2="Monthly",ROUND($AN516-TRUNC($AN516),2)=0.33),
ROUND(
ROUND(((TRUNC(($AN516+0.01)*3/13,0)+0.99)*VLOOKUP((TRUNC(($AN516+0.01)*3/13,0)+0.99),'Tax scales - NAT 3539'!$A$99:$C$123,2,1)-VLOOKUP((TRUNC(($AN516+0.01)*3/13,0)+0.99),'Tax scales - NAT 3539'!$A$99:$C$123,3,1)),0)
*13/3,
0),
IF($E$2="Monthly",
ROUND(
ROUND(((TRUNC($AN516*3/13,0)+0.99)*VLOOKUP((TRUNC($AN516*3/13,0)+0.99),'Tax scales - NAT 3539'!$A$99:$C$123,2,1)-VLOOKUP((TRUNC($AN516*3/13,0)+0.99),'Tax scales - NAT 3539'!$A$99:$C$123,3,1)),0)
*13/3,
0),
""))),
""),
"")</f>
        <v/>
      </c>
      <c r="AY516" s="118" t="str">
        <f>IFERROR(
IF(VLOOKUP($C516,'Employee information'!$B:$M,COLUMNS('Employee information'!$B:$M),0)=66,
IF($E$2="Fortnightly",
ROUND(
ROUND((((TRUNC($AN516/2,0)+0.99))*VLOOKUP((TRUNC($AN516/2,0)+0.99),'Tax scales - NAT 3539'!$A$127:$C$154,2,1)-VLOOKUP((TRUNC($AN516/2,0)+0.99),'Tax scales - NAT 3539'!$A$127:$C$154,3,1)),0)
*2,
0),
IF(AND($E$2="Monthly",ROUND($AN516-TRUNC($AN516),2)=0.33),
ROUND(
ROUND(((TRUNC(($AN516+0.01)*3/13,0)+0.99)*VLOOKUP((TRUNC(($AN516+0.01)*3/13,0)+0.99),'Tax scales - NAT 3539'!$A$127:$C$154,2,1)-VLOOKUP((TRUNC(($AN516+0.01)*3/13,0)+0.99),'Tax scales - NAT 3539'!$A$127:$C$154,3,1)),0)
*13/3,
0),
IF($E$2="Monthly",
ROUND(
ROUND(((TRUNC($AN516*3/13,0)+0.99)*VLOOKUP((TRUNC($AN516*3/13,0)+0.99),'Tax scales - NAT 3539'!$A$127:$C$154,2,1)-VLOOKUP((TRUNC($AN516*3/13,0)+0.99),'Tax scales - NAT 3539'!$A$127:$C$154,3,1)),0)
*13/3,
0),
""))),
""),
"")</f>
        <v/>
      </c>
      <c r="AZ516" s="118">
        <f>IFERROR(
HLOOKUP(VLOOKUP($C516,'Employee information'!$B:$M,COLUMNS('Employee information'!$B:$M),0),'PAYG worksheet'!$AO$503:$AY$522,COUNTA($C$504:$C516)+1,0),
0)</f>
        <v>0</v>
      </c>
      <c r="BA516" s="118"/>
      <c r="BB516" s="118">
        <f t="shared" si="542"/>
        <v>0</v>
      </c>
      <c r="BC516" s="119">
        <f>IFERROR(
IF(OR($AE516=1,$AE516=""),SUM($P516,$AA516,$AC516,$AK516)*VLOOKUP($C516,'Employee information'!$B:$Q,COLUMNS('Employee information'!$B:$H),0),
IF($AE516=0,SUM($P516,$AA516,$AK516)*VLOOKUP($C516,'Employee information'!$B:$Q,COLUMNS('Employee information'!$B:$H),0),
0)),
0)</f>
        <v>0</v>
      </c>
      <c r="BE516" s="114">
        <f t="shared" si="527"/>
        <v>0</v>
      </c>
      <c r="BF516" s="114">
        <f t="shared" si="528"/>
        <v>0</v>
      </c>
      <c r="BG516" s="114">
        <f t="shared" si="529"/>
        <v>0</v>
      </c>
      <c r="BH516" s="114">
        <f t="shared" si="530"/>
        <v>0</v>
      </c>
      <c r="BI516" s="114">
        <f t="shared" si="531"/>
        <v>0</v>
      </c>
      <c r="BJ516" s="114">
        <f t="shared" si="532"/>
        <v>0</v>
      </c>
      <c r="BK516" s="114">
        <f t="shared" si="533"/>
        <v>0</v>
      </c>
      <c r="BL516" s="114">
        <f t="shared" si="543"/>
        <v>0</v>
      </c>
      <c r="BM516" s="114">
        <f t="shared" si="534"/>
        <v>0</v>
      </c>
    </row>
    <row r="517" spans="1:65" x14ac:dyDescent="0.25">
      <c r="A517" s="228">
        <f t="shared" si="522"/>
        <v>18</v>
      </c>
      <c r="C517" s="278"/>
      <c r="E517" s="103">
        <f>IF($C517="",0,
IF(AND($E$2="Monthly",$A517&gt;12),0,
IF($E$2="Monthly",VLOOKUP($C517,'Employee information'!$B:$AM,COLUMNS('Employee information'!$B:S),0),
IF($E$2="Fortnightly",VLOOKUP($C517,'Employee information'!$B:$AM,COLUMNS('Employee information'!$B:R),0),
0))))</f>
        <v>0</v>
      </c>
      <c r="F517" s="106"/>
      <c r="G517" s="106"/>
      <c r="H517" s="106"/>
      <c r="I517" s="106"/>
      <c r="J517" s="103">
        <f t="shared" si="535"/>
        <v>0</v>
      </c>
      <c r="L517" s="113">
        <f>IF(AND($E$2="Monthly",$A517&gt;12),"",
IFERROR($J517*VLOOKUP($C517,'Employee information'!$B:$AI,COLUMNS('Employee information'!$B:$P),0),0))</f>
        <v>0</v>
      </c>
      <c r="M517" s="114">
        <f t="shared" si="536"/>
        <v>0</v>
      </c>
      <c r="O517" s="103">
        <f t="shared" si="537"/>
        <v>0</v>
      </c>
      <c r="P517" s="113">
        <f>IFERROR(
IF(AND($E$2="Monthly",$A517&gt;12),0,
$O517*VLOOKUP($C517,'Employee information'!$B:$AI,COLUMNS('Employee information'!$B:$P),0)),
0)</f>
        <v>0</v>
      </c>
      <c r="R517" s="114">
        <f t="shared" si="523"/>
        <v>0</v>
      </c>
      <c r="T517" s="103"/>
      <c r="U517" s="103"/>
      <c r="V517" s="282" t="str">
        <f>IF($C517="","",
IF(AND($E$2="Monthly",$A517&gt;12),"",
$T517*VLOOKUP($C517,'Employee information'!$B:$P,COLUMNS('Employee information'!$B:$P),0)))</f>
        <v/>
      </c>
      <c r="W517" s="282" t="str">
        <f>IF($C517="","",
IF(AND($E$2="Monthly",$A517&gt;12),"",
$U517*VLOOKUP($C517,'Employee information'!$B:$P,COLUMNS('Employee information'!$B:$P),0)))</f>
        <v/>
      </c>
      <c r="X517" s="114">
        <f t="shared" si="524"/>
        <v>0</v>
      </c>
      <c r="Y517" s="114">
        <f t="shared" si="525"/>
        <v>0</v>
      </c>
      <c r="AA517" s="118">
        <f>IFERROR(
IF(OR('Basic payroll data'!$D$12="",'Basic payroll data'!$D$12="No"),0,
$T517*VLOOKUP($C517,'Employee information'!$B:$P,COLUMNS('Employee information'!$B:$P),0)*AL_loading_perc),
0)</f>
        <v>0</v>
      </c>
      <c r="AC517" s="118"/>
      <c r="AD517" s="118"/>
      <c r="AE517" s="283" t="str">
        <f t="shared" si="538"/>
        <v/>
      </c>
      <c r="AF517" s="283" t="str">
        <f t="shared" si="539"/>
        <v/>
      </c>
      <c r="AG517" s="118"/>
      <c r="AH517" s="118"/>
      <c r="AI517" s="283" t="str">
        <f t="shared" si="540"/>
        <v/>
      </c>
      <c r="AJ517" s="118"/>
      <c r="AK517" s="118"/>
      <c r="AM517" s="118">
        <f t="shared" si="541"/>
        <v>0</v>
      </c>
      <c r="AN517" s="118">
        <f t="shared" si="526"/>
        <v>0</v>
      </c>
      <c r="AO517" s="118" t="str">
        <f>IFERROR(
IF(VLOOKUP($C517,'Employee information'!$B:$M,COLUMNS('Employee information'!$B:$M),0)=1,
IF($E$2="Fortnightly",
ROUND(
ROUND((((TRUNC($AN517/2,0)+0.99))*VLOOKUP((TRUNC($AN517/2,0)+0.99),'Tax scales - NAT 1004'!$A$12:$C$18,2,1)-VLOOKUP((TRUNC($AN517/2,0)+0.99),'Tax scales - NAT 1004'!$A$12:$C$18,3,1)),0)
*2,
0),
IF(AND($E$2="Monthly",ROUND($AN517-TRUNC($AN517),2)=0.33),
ROUND(
ROUND(((TRUNC(($AN517+0.01)*3/13,0)+0.99)*VLOOKUP((TRUNC(($AN517+0.01)*3/13,0)+0.99),'Tax scales - NAT 1004'!$A$12:$C$18,2,1)-VLOOKUP((TRUNC(($AN517+0.01)*3/13,0)+0.99),'Tax scales - NAT 1004'!$A$12:$C$18,3,1)),0)
*13/3,
0),
IF($E$2="Monthly",
ROUND(
ROUND(((TRUNC($AN517*3/13,0)+0.99)*VLOOKUP((TRUNC($AN517*3/13,0)+0.99),'Tax scales - NAT 1004'!$A$12:$C$18,2,1)-VLOOKUP((TRUNC($AN517*3/13,0)+0.99),'Tax scales - NAT 1004'!$A$12:$C$18,3,1)),0)
*13/3,
0),
""))),
""),
"")</f>
        <v/>
      </c>
      <c r="AP517" s="118" t="str">
        <f>IFERROR(
IF(VLOOKUP($C517,'Employee information'!$B:$M,COLUMNS('Employee information'!$B:$M),0)=2,
IF($E$2="Fortnightly",
ROUND(
ROUND((((TRUNC($AN517/2,0)+0.99))*VLOOKUP((TRUNC($AN517/2,0)+0.99),'Tax scales - NAT 1004'!$A$25:$C$33,2,1)-VLOOKUP((TRUNC($AN517/2,0)+0.99),'Tax scales - NAT 1004'!$A$25:$C$33,3,1)),0)
*2,
0),
IF(AND($E$2="Monthly",ROUND($AN517-TRUNC($AN517),2)=0.33),
ROUND(
ROUND(((TRUNC(($AN517+0.01)*3/13,0)+0.99)*VLOOKUP((TRUNC(($AN517+0.01)*3/13,0)+0.99),'Tax scales - NAT 1004'!$A$25:$C$33,2,1)-VLOOKUP((TRUNC(($AN517+0.01)*3/13,0)+0.99),'Tax scales - NAT 1004'!$A$25:$C$33,3,1)),0)
*13/3,
0),
IF($E$2="Monthly",
ROUND(
ROUND(((TRUNC($AN517*3/13,0)+0.99)*VLOOKUP((TRUNC($AN517*3/13,0)+0.99),'Tax scales - NAT 1004'!$A$25:$C$33,2,1)-VLOOKUP((TRUNC($AN517*3/13,0)+0.99),'Tax scales - NAT 1004'!$A$25:$C$33,3,1)),0)
*13/3,
0),
""))),
""),
"")</f>
        <v/>
      </c>
      <c r="AQ517" s="118" t="str">
        <f>IFERROR(
IF(VLOOKUP($C517,'Employee information'!$B:$M,COLUMNS('Employee information'!$B:$M),0)=3,
IF($E$2="Fortnightly",
ROUND(
ROUND((((TRUNC($AN517/2,0)+0.99))*VLOOKUP((TRUNC($AN517/2,0)+0.99),'Tax scales - NAT 1004'!$A$39:$C$41,2,1)-VLOOKUP((TRUNC($AN517/2,0)+0.99),'Tax scales - NAT 1004'!$A$39:$C$41,3,1)),0)
*2,
0),
IF(AND($E$2="Monthly",ROUND($AN517-TRUNC($AN517),2)=0.33),
ROUND(
ROUND(((TRUNC(($AN517+0.01)*3/13,0)+0.99)*VLOOKUP((TRUNC(($AN517+0.01)*3/13,0)+0.99),'Tax scales - NAT 1004'!$A$39:$C$41,2,1)-VLOOKUP((TRUNC(($AN517+0.01)*3/13,0)+0.99),'Tax scales - NAT 1004'!$A$39:$C$41,3,1)),0)
*13/3,
0),
IF($E$2="Monthly",
ROUND(
ROUND(((TRUNC($AN517*3/13,0)+0.99)*VLOOKUP((TRUNC($AN517*3/13,0)+0.99),'Tax scales - NAT 1004'!$A$39:$C$41,2,1)-VLOOKUP((TRUNC($AN517*3/13,0)+0.99),'Tax scales - NAT 1004'!$A$39:$C$41,3,1)),0)
*13/3,
0),
""))),
""),
"")</f>
        <v/>
      </c>
      <c r="AR517" s="118" t="str">
        <f>IFERROR(
IF(AND(VLOOKUP($C517,'Employee information'!$B:$M,COLUMNS('Employee information'!$B:$M),0)=4,
VLOOKUP($C517,'Employee information'!$B:$J,COLUMNS('Employee information'!$B:$J),0)="Resident"),
TRUNC(TRUNC($AN517)*'Tax scales - NAT 1004'!$B$47),
IF(AND(VLOOKUP($C517,'Employee information'!$B:$M,COLUMNS('Employee information'!$B:$M),0)=4,
VLOOKUP($C517,'Employee information'!$B:$J,COLUMNS('Employee information'!$B:$J),0)="Foreign resident"),
TRUNC(TRUNC($AN517)*'Tax scales - NAT 1004'!$B$48),
"")),
"")</f>
        <v/>
      </c>
      <c r="AS517" s="118" t="str">
        <f>IFERROR(
IF(VLOOKUP($C517,'Employee information'!$B:$M,COLUMNS('Employee information'!$B:$M),0)=5,
IF($E$2="Fortnightly",
ROUND(
ROUND((((TRUNC($AN517/2,0)+0.99))*VLOOKUP((TRUNC($AN517/2,0)+0.99),'Tax scales - NAT 1004'!$A$53:$C$59,2,1)-VLOOKUP((TRUNC($AN517/2,0)+0.99),'Tax scales - NAT 1004'!$A$53:$C$59,3,1)),0)
*2,
0),
IF(AND($E$2="Monthly",ROUND($AN517-TRUNC($AN517),2)=0.33),
ROUND(
ROUND(((TRUNC(($AN517+0.01)*3/13,0)+0.99)*VLOOKUP((TRUNC(($AN517+0.01)*3/13,0)+0.99),'Tax scales - NAT 1004'!$A$53:$C$59,2,1)-VLOOKUP((TRUNC(($AN517+0.01)*3/13,0)+0.99),'Tax scales - NAT 1004'!$A$53:$C$59,3,1)),0)
*13/3,
0),
IF($E$2="Monthly",
ROUND(
ROUND(((TRUNC($AN517*3/13,0)+0.99)*VLOOKUP((TRUNC($AN517*3/13,0)+0.99),'Tax scales - NAT 1004'!$A$53:$C$59,2,1)-VLOOKUP((TRUNC($AN517*3/13,0)+0.99),'Tax scales - NAT 1004'!$A$53:$C$59,3,1)),0)
*13/3,
0),
""))),
""),
"")</f>
        <v/>
      </c>
      <c r="AT517" s="118" t="str">
        <f>IFERROR(
IF(VLOOKUP($C517,'Employee information'!$B:$M,COLUMNS('Employee information'!$B:$M),0)=6,
IF($E$2="Fortnightly",
ROUND(
ROUND((((TRUNC($AN517/2,0)+0.99))*VLOOKUP((TRUNC($AN517/2,0)+0.99),'Tax scales - NAT 1004'!$A$65:$C$73,2,1)-VLOOKUP((TRUNC($AN517/2,0)+0.99),'Tax scales - NAT 1004'!$A$65:$C$73,3,1)),0)
*2,
0),
IF(AND($E$2="Monthly",ROUND($AN517-TRUNC($AN517),2)=0.33),
ROUND(
ROUND(((TRUNC(($AN517+0.01)*3/13,0)+0.99)*VLOOKUP((TRUNC(($AN517+0.01)*3/13,0)+0.99),'Tax scales - NAT 1004'!$A$65:$C$73,2,1)-VLOOKUP((TRUNC(($AN517+0.01)*3/13,0)+0.99),'Tax scales - NAT 1004'!$A$65:$C$73,3,1)),0)
*13/3,
0),
IF($E$2="Monthly",
ROUND(
ROUND(((TRUNC($AN517*3/13,0)+0.99)*VLOOKUP((TRUNC($AN517*3/13,0)+0.99),'Tax scales - NAT 1004'!$A$65:$C$73,2,1)-VLOOKUP((TRUNC($AN517*3/13,0)+0.99),'Tax scales - NAT 1004'!$A$65:$C$73,3,1)),0)
*13/3,
0),
""))),
""),
"")</f>
        <v/>
      </c>
      <c r="AU517" s="118" t="str">
        <f>IFERROR(
IF(VLOOKUP($C517,'Employee information'!$B:$M,COLUMNS('Employee information'!$B:$M),0)=11,
IF($E$2="Fortnightly",
ROUND(
ROUND((((TRUNC($AN517/2,0)+0.99))*VLOOKUP((TRUNC($AN517/2,0)+0.99),'Tax scales - NAT 3539'!$A$14:$C$38,2,1)-VLOOKUP((TRUNC($AN517/2,0)+0.99),'Tax scales - NAT 3539'!$A$14:$C$38,3,1)),0)
*2,
0),
IF(AND($E$2="Monthly",ROUND($AN517-TRUNC($AN517),2)=0.33),
ROUND(
ROUND(((TRUNC(($AN517+0.01)*3/13,0)+0.99)*VLOOKUP((TRUNC(($AN517+0.01)*3/13,0)+0.99),'Tax scales - NAT 3539'!$A$14:$C$38,2,1)-VLOOKUP((TRUNC(($AN517+0.01)*3/13,0)+0.99),'Tax scales - NAT 3539'!$A$14:$C$38,3,1)),0)
*13/3,
0),
IF($E$2="Monthly",
ROUND(
ROUND(((TRUNC($AN517*3/13,0)+0.99)*VLOOKUP((TRUNC($AN517*3/13,0)+0.99),'Tax scales - NAT 3539'!$A$14:$C$38,2,1)-VLOOKUP((TRUNC($AN517*3/13,0)+0.99),'Tax scales - NAT 3539'!$A$14:$C$38,3,1)),0)
*13/3,
0),
""))),
""),
"")</f>
        <v/>
      </c>
      <c r="AV517" s="118" t="str">
        <f>IFERROR(
IF(VLOOKUP($C517,'Employee information'!$B:$M,COLUMNS('Employee information'!$B:$M),0)=22,
IF($E$2="Fortnightly",
ROUND(
ROUND((((TRUNC($AN517/2,0)+0.99))*VLOOKUP((TRUNC($AN517/2,0)+0.99),'Tax scales - NAT 3539'!$A$43:$C$69,2,1)-VLOOKUP((TRUNC($AN517/2,0)+0.99),'Tax scales - NAT 3539'!$A$43:$C$69,3,1)),0)
*2,
0),
IF(AND($E$2="Monthly",ROUND($AN517-TRUNC($AN517),2)=0.33),
ROUND(
ROUND(((TRUNC(($AN517+0.01)*3/13,0)+0.99)*VLOOKUP((TRUNC(($AN517+0.01)*3/13,0)+0.99),'Tax scales - NAT 3539'!$A$43:$C$69,2,1)-VLOOKUP((TRUNC(($AN517+0.01)*3/13,0)+0.99),'Tax scales - NAT 3539'!$A$43:$C$69,3,1)),0)
*13/3,
0),
IF($E$2="Monthly",
ROUND(
ROUND(((TRUNC($AN517*3/13,0)+0.99)*VLOOKUP((TRUNC($AN517*3/13,0)+0.99),'Tax scales - NAT 3539'!$A$43:$C$69,2,1)-VLOOKUP((TRUNC($AN517*3/13,0)+0.99),'Tax scales - NAT 3539'!$A$43:$C$69,3,1)),0)
*13/3,
0),
""))),
""),
"")</f>
        <v/>
      </c>
      <c r="AW517" s="118" t="str">
        <f>IFERROR(
IF(VLOOKUP($C517,'Employee information'!$B:$M,COLUMNS('Employee information'!$B:$M),0)=33,
IF($E$2="Fortnightly",
ROUND(
ROUND((((TRUNC($AN517/2,0)+0.99))*VLOOKUP((TRUNC($AN517/2,0)+0.99),'Tax scales - NAT 3539'!$A$74:$C$94,2,1)-VLOOKUP((TRUNC($AN517/2,0)+0.99),'Tax scales - NAT 3539'!$A$74:$C$94,3,1)),0)
*2,
0),
IF(AND($E$2="Monthly",ROUND($AN517-TRUNC($AN517),2)=0.33),
ROUND(
ROUND(((TRUNC(($AN517+0.01)*3/13,0)+0.99)*VLOOKUP((TRUNC(($AN517+0.01)*3/13,0)+0.99),'Tax scales - NAT 3539'!$A$74:$C$94,2,1)-VLOOKUP((TRUNC(($AN517+0.01)*3/13,0)+0.99),'Tax scales - NAT 3539'!$A$74:$C$94,3,1)),0)
*13/3,
0),
IF($E$2="Monthly",
ROUND(
ROUND(((TRUNC($AN517*3/13,0)+0.99)*VLOOKUP((TRUNC($AN517*3/13,0)+0.99),'Tax scales - NAT 3539'!$A$74:$C$94,2,1)-VLOOKUP((TRUNC($AN517*3/13,0)+0.99),'Tax scales - NAT 3539'!$A$74:$C$94,3,1)),0)
*13/3,
0),
""))),
""),
"")</f>
        <v/>
      </c>
      <c r="AX517" s="118" t="str">
        <f>IFERROR(
IF(VLOOKUP($C517,'Employee information'!$B:$M,COLUMNS('Employee information'!$B:$M),0)=55,
IF($E$2="Fortnightly",
ROUND(
ROUND((((TRUNC($AN517/2,0)+0.99))*VLOOKUP((TRUNC($AN517/2,0)+0.99),'Tax scales - NAT 3539'!$A$99:$C$123,2,1)-VLOOKUP((TRUNC($AN517/2,0)+0.99),'Tax scales - NAT 3539'!$A$99:$C$123,3,1)),0)
*2,
0),
IF(AND($E$2="Monthly",ROUND($AN517-TRUNC($AN517),2)=0.33),
ROUND(
ROUND(((TRUNC(($AN517+0.01)*3/13,0)+0.99)*VLOOKUP((TRUNC(($AN517+0.01)*3/13,0)+0.99),'Tax scales - NAT 3539'!$A$99:$C$123,2,1)-VLOOKUP((TRUNC(($AN517+0.01)*3/13,0)+0.99),'Tax scales - NAT 3539'!$A$99:$C$123,3,1)),0)
*13/3,
0),
IF($E$2="Monthly",
ROUND(
ROUND(((TRUNC($AN517*3/13,0)+0.99)*VLOOKUP((TRUNC($AN517*3/13,0)+0.99),'Tax scales - NAT 3539'!$A$99:$C$123,2,1)-VLOOKUP((TRUNC($AN517*3/13,0)+0.99),'Tax scales - NAT 3539'!$A$99:$C$123,3,1)),0)
*13/3,
0),
""))),
""),
"")</f>
        <v/>
      </c>
      <c r="AY517" s="118" t="str">
        <f>IFERROR(
IF(VLOOKUP($C517,'Employee information'!$B:$M,COLUMNS('Employee information'!$B:$M),0)=66,
IF($E$2="Fortnightly",
ROUND(
ROUND((((TRUNC($AN517/2,0)+0.99))*VLOOKUP((TRUNC($AN517/2,0)+0.99),'Tax scales - NAT 3539'!$A$127:$C$154,2,1)-VLOOKUP((TRUNC($AN517/2,0)+0.99),'Tax scales - NAT 3539'!$A$127:$C$154,3,1)),0)
*2,
0),
IF(AND($E$2="Monthly",ROUND($AN517-TRUNC($AN517),2)=0.33),
ROUND(
ROUND(((TRUNC(($AN517+0.01)*3/13,0)+0.99)*VLOOKUP((TRUNC(($AN517+0.01)*3/13,0)+0.99),'Tax scales - NAT 3539'!$A$127:$C$154,2,1)-VLOOKUP((TRUNC(($AN517+0.01)*3/13,0)+0.99),'Tax scales - NAT 3539'!$A$127:$C$154,3,1)),0)
*13/3,
0),
IF($E$2="Monthly",
ROUND(
ROUND(((TRUNC($AN517*3/13,0)+0.99)*VLOOKUP((TRUNC($AN517*3/13,0)+0.99),'Tax scales - NAT 3539'!$A$127:$C$154,2,1)-VLOOKUP((TRUNC($AN517*3/13,0)+0.99),'Tax scales - NAT 3539'!$A$127:$C$154,3,1)),0)
*13/3,
0),
""))),
""),
"")</f>
        <v/>
      </c>
      <c r="AZ517" s="118">
        <f>IFERROR(
HLOOKUP(VLOOKUP($C517,'Employee information'!$B:$M,COLUMNS('Employee information'!$B:$M),0),'PAYG worksheet'!$AO$503:$AY$522,COUNTA($C$504:$C517)+1,0),
0)</f>
        <v>0</v>
      </c>
      <c r="BA517" s="118"/>
      <c r="BB517" s="118">
        <f t="shared" si="542"/>
        <v>0</v>
      </c>
      <c r="BC517" s="119">
        <f>IFERROR(
IF(OR($AE517=1,$AE517=""),SUM($P517,$AA517,$AC517,$AK517)*VLOOKUP($C517,'Employee information'!$B:$Q,COLUMNS('Employee information'!$B:$H),0),
IF($AE517=0,SUM($P517,$AA517,$AK517)*VLOOKUP($C517,'Employee information'!$B:$Q,COLUMNS('Employee information'!$B:$H),0),
0)),
0)</f>
        <v>0</v>
      </c>
      <c r="BE517" s="114">
        <f t="shared" si="527"/>
        <v>0</v>
      </c>
      <c r="BF517" s="114">
        <f t="shared" si="528"/>
        <v>0</v>
      </c>
      <c r="BG517" s="114">
        <f t="shared" si="529"/>
        <v>0</v>
      </c>
      <c r="BH517" s="114">
        <f t="shared" si="530"/>
        <v>0</v>
      </c>
      <c r="BI517" s="114">
        <f t="shared" si="531"/>
        <v>0</v>
      </c>
      <c r="BJ517" s="114">
        <f t="shared" si="532"/>
        <v>0</v>
      </c>
      <c r="BK517" s="114">
        <f t="shared" si="533"/>
        <v>0</v>
      </c>
      <c r="BL517" s="114">
        <f t="shared" si="543"/>
        <v>0</v>
      </c>
      <c r="BM517" s="114">
        <f t="shared" si="534"/>
        <v>0</v>
      </c>
    </row>
    <row r="518" spans="1:65" x14ac:dyDescent="0.25">
      <c r="A518" s="228">
        <f t="shared" si="522"/>
        <v>18</v>
      </c>
      <c r="C518" s="278"/>
      <c r="E518" s="103">
        <f>IF($C518="",0,
IF(AND($E$2="Monthly",$A518&gt;12),0,
IF($E$2="Monthly",VLOOKUP($C518,'Employee information'!$B:$AM,COLUMNS('Employee information'!$B:S),0),
IF($E$2="Fortnightly",VLOOKUP($C518,'Employee information'!$B:$AM,COLUMNS('Employee information'!$B:R),0),
0))))</f>
        <v>0</v>
      </c>
      <c r="F518" s="106"/>
      <c r="G518" s="106"/>
      <c r="H518" s="106"/>
      <c r="I518" s="106"/>
      <c r="J518" s="103">
        <f t="shared" si="535"/>
        <v>0</v>
      </c>
      <c r="L518" s="113">
        <f>IF(AND($E$2="Monthly",$A518&gt;12),"",
IFERROR($J518*VLOOKUP($C518,'Employee information'!$B:$AI,COLUMNS('Employee information'!$B:$P),0),0))</f>
        <v>0</v>
      </c>
      <c r="M518" s="114">
        <f t="shared" si="536"/>
        <v>0</v>
      </c>
      <c r="O518" s="103">
        <f t="shared" si="537"/>
        <v>0</v>
      </c>
      <c r="P518" s="113">
        <f>IFERROR(
IF(AND($E$2="Monthly",$A518&gt;12),0,
$O518*VLOOKUP($C518,'Employee information'!$B:$AI,COLUMNS('Employee information'!$B:$P),0)),
0)</f>
        <v>0</v>
      </c>
      <c r="R518" s="114">
        <f t="shared" si="523"/>
        <v>0</v>
      </c>
      <c r="T518" s="103"/>
      <c r="U518" s="103"/>
      <c r="V518" s="282" t="str">
        <f>IF($C518="","",
IF(AND($E$2="Monthly",$A518&gt;12),"",
$T518*VLOOKUP($C518,'Employee information'!$B:$P,COLUMNS('Employee information'!$B:$P),0)))</f>
        <v/>
      </c>
      <c r="W518" s="282" t="str">
        <f>IF($C518="","",
IF(AND($E$2="Monthly",$A518&gt;12),"",
$U518*VLOOKUP($C518,'Employee information'!$B:$P,COLUMNS('Employee information'!$B:$P),0)))</f>
        <v/>
      </c>
      <c r="X518" s="114">
        <f t="shared" si="524"/>
        <v>0</v>
      </c>
      <c r="Y518" s="114">
        <f t="shared" si="525"/>
        <v>0</v>
      </c>
      <c r="AA518" s="118">
        <f>IFERROR(
IF(OR('Basic payroll data'!$D$12="",'Basic payroll data'!$D$12="No"),0,
$T518*VLOOKUP($C518,'Employee information'!$B:$P,COLUMNS('Employee information'!$B:$P),0)*AL_loading_perc),
0)</f>
        <v>0</v>
      </c>
      <c r="AC518" s="118"/>
      <c r="AD518" s="118"/>
      <c r="AE518" s="283" t="str">
        <f t="shared" si="538"/>
        <v/>
      </c>
      <c r="AF518" s="283" t="str">
        <f t="shared" si="539"/>
        <v/>
      </c>
      <c r="AG518" s="118"/>
      <c r="AH518" s="118"/>
      <c r="AI518" s="283" t="str">
        <f t="shared" si="540"/>
        <v/>
      </c>
      <c r="AJ518" s="118"/>
      <c r="AK518" s="118"/>
      <c r="AM518" s="118">
        <f t="shared" si="541"/>
        <v>0</v>
      </c>
      <c r="AN518" s="118">
        <f t="shared" si="526"/>
        <v>0</v>
      </c>
      <c r="AO518" s="118" t="str">
        <f>IFERROR(
IF(VLOOKUP($C518,'Employee information'!$B:$M,COLUMNS('Employee information'!$B:$M),0)=1,
IF($E$2="Fortnightly",
ROUND(
ROUND((((TRUNC($AN518/2,0)+0.99))*VLOOKUP((TRUNC($AN518/2,0)+0.99),'Tax scales - NAT 1004'!$A$12:$C$18,2,1)-VLOOKUP((TRUNC($AN518/2,0)+0.99),'Tax scales - NAT 1004'!$A$12:$C$18,3,1)),0)
*2,
0),
IF(AND($E$2="Monthly",ROUND($AN518-TRUNC($AN518),2)=0.33),
ROUND(
ROUND(((TRUNC(($AN518+0.01)*3/13,0)+0.99)*VLOOKUP((TRUNC(($AN518+0.01)*3/13,0)+0.99),'Tax scales - NAT 1004'!$A$12:$C$18,2,1)-VLOOKUP((TRUNC(($AN518+0.01)*3/13,0)+0.99),'Tax scales - NAT 1004'!$A$12:$C$18,3,1)),0)
*13/3,
0),
IF($E$2="Monthly",
ROUND(
ROUND(((TRUNC($AN518*3/13,0)+0.99)*VLOOKUP((TRUNC($AN518*3/13,0)+0.99),'Tax scales - NAT 1004'!$A$12:$C$18,2,1)-VLOOKUP((TRUNC($AN518*3/13,0)+0.99),'Tax scales - NAT 1004'!$A$12:$C$18,3,1)),0)
*13/3,
0),
""))),
""),
"")</f>
        <v/>
      </c>
      <c r="AP518" s="118" t="str">
        <f>IFERROR(
IF(VLOOKUP($C518,'Employee information'!$B:$M,COLUMNS('Employee information'!$B:$M),0)=2,
IF($E$2="Fortnightly",
ROUND(
ROUND((((TRUNC($AN518/2,0)+0.99))*VLOOKUP((TRUNC($AN518/2,0)+0.99),'Tax scales - NAT 1004'!$A$25:$C$33,2,1)-VLOOKUP((TRUNC($AN518/2,0)+0.99),'Tax scales - NAT 1004'!$A$25:$C$33,3,1)),0)
*2,
0),
IF(AND($E$2="Monthly",ROUND($AN518-TRUNC($AN518),2)=0.33),
ROUND(
ROUND(((TRUNC(($AN518+0.01)*3/13,0)+0.99)*VLOOKUP((TRUNC(($AN518+0.01)*3/13,0)+0.99),'Tax scales - NAT 1004'!$A$25:$C$33,2,1)-VLOOKUP((TRUNC(($AN518+0.01)*3/13,0)+0.99),'Tax scales - NAT 1004'!$A$25:$C$33,3,1)),0)
*13/3,
0),
IF($E$2="Monthly",
ROUND(
ROUND(((TRUNC($AN518*3/13,0)+0.99)*VLOOKUP((TRUNC($AN518*3/13,0)+0.99),'Tax scales - NAT 1004'!$A$25:$C$33,2,1)-VLOOKUP((TRUNC($AN518*3/13,0)+0.99),'Tax scales - NAT 1004'!$A$25:$C$33,3,1)),0)
*13/3,
0),
""))),
""),
"")</f>
        <v/>
      </c>
      <c r="AQ518" s="118" t="str">
        <f>IFERROR(
IF(VLOOKUP($C518,'Employee information'!$B:$M,COLUMNS('Employee information'!$B:$M),0)=3,
IF($E$2="Fortnightly",
ROUND(
ROUND((((TRUNC($AN518/2,0)+0.99))*VLOOKUP((TRUNC($AN518/2,0)+0.99),'Tax scales - NAT 1004'!$A$39:$C$41,2,1)-VLOOKUP((TRUNC($AN518/2,0)+0.99),'Tax scales - NAT 1004'!$A$39:$C$41,3,1)),0)
*2,
0),
IF(AND($E$2="Monthly",ROUND($AN518-TRUNC($AN518),2)=0.33),
ROUND(
ROUND(((TRUNC(($AN518+0.01)*3/13,0)+0.99)*VLOOKUP((TRUNC(($AN518+0.01)*3/13,0)+0.99),'Tax scales - NAT 1004'!$A$39:$C$41,2,1)-VLOOKUP((TRUNC(($AN518+0.01)*3/13,0)+0.99),'Tax scales - NAT 1004'!$A$39:$C$41,3,1)),0)
*13/3,
0),
IF($E$2="Monthly",
ROUND(
ROUND(((TRUNC($AN518*3/13,0)+0.99)*VLOOKUP((TRUNC($AN518*3/13,0)+0.99),'Tax scales - NAT 1004'!$A$39:$C$41,2,1)-VLOOKUP((TRUNC($AN518*3/13,0)+0.99),'Tax scales - NAT 1004'!$A$39:$C$41,3,1)),0)
*13/3,
0),
""))),
""),
"")</f>
        <v/>
      </c>
      <c r="AR518" s="118" t="str">
        <f>IFERROR(
IF(AND(VLOOKUP($C518,'Employee information'!$B:$M,COLUMNS('Employee information'!$B:$M),0)=4,
VLOOKUP($C518,'Employee information'!$B:$J,COLUMNS('Employee information'!$B:$J),0)="Resident"),
TRUNC(TRUNC($AN518)*'Tax scales - NAT 1004'!$B$47),
IF(AND(VLOOKUP($C518,'Employee information'!$B:$M,COLUMNS('Employee information'!$B:$M),0)=4,
VLOOKUP($C518,'Employee information'!$B:$J,COLUMNS('Employee information'!$B:$J),0)="Foreign resident"),
TRUNC(TRUNC($AN518)*'Tax scales - NAT 1004'!$B$48),
"")),
"")</f>
        <v/>
      </c>
      <c r="AS518" s="118" t="str">
        <f>IFERROR(
IF(VLOOKUP($C518,'Employee information'!$B:$M,COLUMNS('Employee information'!$B:$M),0)=5,
IF($E$2="Fortnightly",
ROUND(
ROUND((((TRUNC($AN518/2,0)+0.99))*VLOOKUP((TRUNC($AN518/2,0)+0.99),'Tax scales - NAT 1004'!$A$53:$C$59,2,1)-VLOOKUP((TRUNC($AN518/2,0)+0.99),'Tax scales - NAT 1004'!$A$53:$C$59,3,1)),0)
*2,
0),
IF(AND($E$2="Monthly",ROUND($AN518-TRUNC($AN518),2)=0.33),
ROUND(
ROUND(((TRUNC(($AN518+0.01)*3/13,0)+0.99)*VLOOKUP((TRUNC(($AN518+0.01)*3/13,0)+0.99),'Tax scales - NAT 1004'!$A$53:$C$59,2,1)-VLOOKUP((TRUNC(($AN518+0.01)*3/13,0)+0.99),'Tax scales - NAT 1004'!$A$53:$C$59,3,1)),0)
*13/3,
0),
IF($E$2="Monthly",
ROUND(
ROUND(((TRUNC($AN518*3/13,0)+0.99)*VLOOKUP((TRUNC($AN518*3/13,0)+0.99),'Tax scales - NAT 1004'!$A$53:$C$59,2,1)-VLOOKUP((TRUNC($AN518*3/13,0)+0.99),'Tax scales - NAT 1004'!$A$53:$C$59,3,1)),0)
*13/3,
0),
""))),
""),
"")</f>
        <v/>
      </c>
      <c r="AT518" s="118" t="str">
        <f>IFERROR(
IF(VLOOKUP($C518,'Employee information'!$B:$M,COLUMNS('Employee information'!$B:$M),0)=6,
IF($E$2="Fortnightly",
ROUND(
ROUND((((TRUNC($AN518/2,0)+0.99))*VLOOKUP((TRUNC($AN518/2,0)+0.99),'Tax scales - NAT 1004'!$A$65:$C$73,2,1)-VLOOKUP((TRUNC($AN518/2,0)+0.99),'Tax scales - NAT 1004'!$A$65:$C$73,3,1)),0)
*2,
0),
IF(AND($E$2="Monthly",ROUND($AN518-TRUNC($AN518),2)=0.33),
ROUND(
ROUND(((TRUNC(($AN518+0.01)*3/13,0)+0.99)*VLOOKUP((TRUNC(($AN518+0.01)*3/13,0)+0.99),'Tax scales - NAT 1004'!$A$65:$C$73,2,1)-VLOOKUP((TRUNC(($AN518+0.01)*3/13,0)+0.99),'Tax scales - NAT 1004'!$A$65:$C$73,3,1)),0)
*13/3,
0),
IF($E$2="Monthly",
ROUND(
ROUND(((TRUNC($AN518*3/13,0)+0.99)*VLOOKUP((TRUNC($AN518*3/13,0)+0.99),'Tax scales - NAT 1004'!$A$65:$C$73,2,1)-VLOOKUP((TRUNC($AN518*3/13,0)+0.99),'Tax scales - NAT 1004'!$A$65:$C$73,3,1)),0)
*13/3,
0),
""))),
""),
"")</f>
        <v/>
      </c>
      <c r="AU518" s="118" t="str">
        <f>IFERROR(
IF(VLOOKUP($C518,'Employee information'!$B:$M,COLUMNS('Employee information'!$B:$M),0)=11,
IF($E$2="Fortnightly",
ROUND(
ROUND((((TRUNC($AN518/2,0)+0.99))*VLOOKUP((TRUNC($AN518/2,0)+0.99),'Tax scales - NAT 3539'!$A$14:$C$38,2,1)-VLOOKUP((TRUNC($AN518/2,0)+0.99),'Tax scales - NAT 3539'!$A$14:$C$38,3,1)),0)
*2,
0),
IF(AND($E$2="Monthly",ROUND($AN518-TRUNC($AN518),2)=0.33),
ROUND(
ROUND(((TRUNC(($AN518+0.01)*3/13,0)+0.99)*VLOOKUP((TRUNC(($AN518+0.01)*3/13,0)+0.99),'Tax scales - NAT 3539'!$A$14:$C$38,2,1)-VLOOKUP((TRUNC(($AN518+0.01)*3/13,0)+0.99),'Tax scales - NAT 3539'!$A$14:$C$38,3,1)),0)
*13/3,
0),
IF($E$2="Monthly",
ROUND(
ROUND(((TRUNC($AN518*3/13,0)+0.99)*VLOOKUP((TRUNC($AN518*3/13,0)+0.99),'Tax scales - NAT 3539'!$A$14:$C$38,2,1)-VLOOKUP((TRUNC($AN518*3/13,0)+0.99),'Tax scales - NAT 3539'!$A$14:$C$38,3,1)),0)
*13/3,
0),
""))),
""),
"")</f>
        <v/>
      </c>
      <c r="AV518" s="118" t="str">
        <f>IFERROR(
IF(VLOOKUP($C518,'Employee information'!$B:$M,COLUMNS('Employee information'!$B:$M),0)=22,
IF($E$2="Fortnightly",
ROUND(
ROUND((((TRUNC($AN518/2,0)+0.99))*VLOOKUP((TRUNC($AN518/2,0)+0.99),'Tax scales - NAT 3539'!$A$43:$C$69,2,1)-VLOOKUP((TRUNC($AN518/2,0)+0.99),'Tax scales - NAT 3539'!$A$43:$C$69,3,1)),0)
*2,
0),
IF(AND($E$2="Monthly",ROUND($AN518-TRUNC($AN518),2)=0.33),
ROUND(
ROUND(((TRUNC(($AN518+0.01)*3/13,0)+0.99)*VLOOKUP((TRUNC(($AN518+0.01)*3/13,0)+0.99),'Tax scales - NAT 3539'!$A$43:$C$69,2,1)-VLOOKUP((TRUNC(($AN518+0.01)*3/13,0)+0.99),'Tax scales - NAT 3539'!$A$43:$C$69,3,1)),0)
*13/3,
0),
IF($E$2="Monthly",
ROUND(
ROUND(((TRUNC($AN518*3/13,0)+0.99)*VLOOKUP((TRUNC($AN518*3/13,0)+0.99),'Tax scales - NAT 3539'!$A$43:$C$69,2,1)-VLOOKUP((TRUNC($AN518*3/13,0)+0.99),'Tax scales - NAT 3539'!$A$43:$C$69,3,1)),0)
*13/3,
0),
""))),
""),
"")</f>
        <v/>
      </c>
      <c r="AW518" s="118" t="str">
        <f>IFERROR(
IF(VLOOKUP($C518,'Employee information'!$B:$M,COLUMNS('Employee information'!$B:$M),0)=33,
IF($E$2="Fortnightly",
ROUND(
ROUND((((TRUNC($AN518/2,0)+0.99))*VLOOKUP((TRUNC($AN518/2,0)+0.99),'Tax scales - NAT 3539'!$A$74:$C$94,2,1)-VLOOKUP((TRUNC($AN518/2,0)+0.99),'Tax scales - NAT 3539'!$A$74:$C$94,3,1)),0)
*2,
0),
IF(AND($E$2="Monthly",ROUND($AN518-TRUNC($AN518),2)=0.33),
ROUND(
ROUND(((TRUNC(($AN518+0.01)*3/13,0)+0.99)*VLOOKUP((TRUNC(($AN518+0.01)*3/13,0)+0.99),'Tax scales - NAT 3539'!$A$74:$C$94,2,1)-VLOOKUP((TRUNC(($AN518+0.01)*3/13,0)+0.99),'Tax scales - NAT 3539'!$A$74:$C$94,3,1)),0)
*13/3,
0),
IF($E$2="Monthly",
ROUND(
ROUND(((TRUNC($AN518*3/13,0)+0.99)*VLOOKUP((TRUNC($AN518*3/13,0)+0.99),'Tax scales - NAT 3539'!$A$74:$C$94,2,1)-VLOOKUP((TRUNC($AN518*3/13,0)+0.99),'Tax scales - NAT 3539'!$A$74:$C$94,3,1)),0)
*13/3,
0),
""))),
""),
"")</f>
        <v/>
      </c>
      <c r="AX518" s="118" t="str">
        <f>IFERROR(
IF(VLOOKUP($C518,'Employee information'!$B:$M,COLUMNS('Employee information'!$B:$M),0)=55,
IF($E$2="Fortnightly",
ROUND(
ROUND((((TRUNC($AN518/2,0)+0.99))*VLOOKUP((TRUNC($AN518/2,0)+0.99),'Tax scales - NAT 3539'!$A$99:$C$123,2,1)-VLOOKUP((TRUNC($AN518/2,0)+0.99),'Tax scales - NAT 3539'!$A$99:$C$123,3,1)),0)
*2,
0),
IF(AND($E$2="Monthly",ROUND($AN518-TRUNC($AN518),2)=0.33),
ROUND(
ROUND(((TRUNC(($AN518+0.01)*3/13,0)+0.99)*VLOOKUP((TRUNC(($AN518+0.01)*3/13,0)+0.99),'Tax scales - NAT 3539'!$A$99:$C$123,2,1)-VLOOKUP((TRUNC(($AN518+0.01)*3/13,0)+0.99),'Tax scales - NAT 3539'!$A$99:$C$123,3,1)),0)
*13/3,
0),
IF($E$2="Monthly",
ROUND(
ROUND(((TRUNC($AN518*3/13,0)+0.99)*VLOOKUP((TRUNC($AN518*3/13,0)+0.99),'Tax scales - NAT 3539'!$A$99:$C$123,2,1)-VLOOKUP((TRUNC($AN518*3/13,0)+0.99),'Tax scales - NAT 3539'!$A$99:$C$123,3,1)),0)
*13/3,
0),
""))),
""),
"")</f>
        <v/>
      </c>
      <c r="AY518" s="118" t="str">
        <f>IFERROR(
IF(VLOOKUP($C518,'Employee information'!$B:$M,COLUMNS('Employee information'!$B:$M),0)=66,
IF($E$2="Fortnightly",
ROUND(
ROUND((((TRUNC($AN518/2,0)+0.99))*VLOOKUP((TRUNC($AN518/2,0)+0.99),'Tax scales - NAT 3539'!$A$127:$C$154,2,1)-VLOOKUP((TRUNC($AN518/2,0)+0.99),'Tax scales - NAT 3539'!$A$127:$C$154,3,1)),0)
*2,
0),
IF(AND($E$2="Monthly",ROUND($AN518-TRUNC($AN518),2)=0.33),
ROUND(
ROUND(((TRUNC(($AN518+0.01)*3/13,0)+0.99)*VLOOKUP((TRUNC(($AN518+0.01)*3/13,0)+0.99),'Tax scales - NAT 3539'!$A$127:$C$154,2,1)-VLOOKUP((TRUNC(($AN518+0.01)*3/13,0)+0.99),'Tax scales - NAT 3539'!$A$127:$C$154,3,1)),0)
*13/3,
0),
IF($E$2="Monthly",
ROUND(
ROUND(((TRUNC($AN518*3/13,0)+0.99)*VLOOKUP((TRUNC($AN518*3/13,0)+0.99),'Tax scales - NAT 3539'!$A$127:$C$154,2,1)-VLOOKUP((TRUNC($AN518*3/13,0)+0.99),'Tax scales - NAT 3539'!$A$127:$C$154,3,1)),0)
*13/3,
0),
""))),
""),
"")</f>
        <v/>
      </c>
      <c r="AZ518" s="118">
        <f>IFERROR(
HLOOKUP(VLOOKUP($C518,'Employee information'!$B:$M,COLUMNS('Employee information'!$B:$M),0),'PAYG worksheet'!$AO$503:$AY$522,COUNTA($C$504:$C518)+1,0),
0)</f>
        <v>0</v>
      </c>
      <c r="BA518" s="118"/>
      <c r="BB518" s="118">
        <f t="shared" si="542"/>
        <v>0</v>
      </c>
      <c r="BC518" s="119">
        <f>IFERROR(
IF(OR($AE518=1,$AE518=""),SUM($P518,$AA518,$AC518,$AK518)*VLOOKUP($C518,'Employee information'!$B:$Q,COLUMNS('Employee information'!$B:$H),0),
IF($AE518=0,SUM($P518,$AA518,$AK518)*VLOOKUP($C518,'Employee information'!$B:$Q,COLUMNS('Employee information'!$B:$H),0),
0)),
0)</f>
        <v>0</v>
      </c>
      <c r="BE518" s="114">
        <f t="shared" si="527"/>
        <v>0</v>
      </c>
      <c r="BF518" s="114">
        <f t="shared" si="528"/>
        <v>0</v>
      </c>
      <c r="BG518" s="114">
        <f t="shared" si="529"/>
        <v>0</v>
      </c>
      <c r="BH518" s="114">
        <f t="shared" si="530"/>
        <v>0</v>
      </c>
      <c r="BI518" s="114">
        <f t="shared" si="531"/>
        <v>0</v>
      </c>
      <c r="BJ518" s="114">
        <f t="shared" si="532"/>
        <v>0</v>
      </c>
      <c r="BK518" s="114">
        <f t="shared" si="533"/>
        <v>0</v>
      </c>
      <c r="BL518" s="114">
        <f t="shared" si="543"/>
        <v>0</v>
      </c>
      <c r="BM518" s="114">
        <f t="shared" si="534"/>
        <v>0</v>
      </c>
    </row>
    <row r="519" spans="1:65" x14ac:dyDescent="0.25">
      <c r="A519" s="228">
        <f t="shared" si="522"/>
        <v>18</v>
      </c>
      <c r="C519" s="278"/>
      <c r="E519" s="103">
        <f>IF($C519="",0,
IF(AND($E$2="Monthly",$A519&gt;12),0,
IF($E$2="Monthly",VLOOKUP($C519,'Employee information'!$B:$AM,COLUMNS('Employee information'!$B:S),0),
IF($E$2="Fortnightly",VLOOKUP($C519,'Employee information'!$B:$AM,COLUMNS('Employee information'!$B:R),0),
0))))</f>
        <v>0</v>
      </c>
      <c r="F519" s="106"/>
      <c r="G519" s="106"/>
      <c r="H519" s="106"/>
      <c r="I519" s="106"/>
      <c r="J519" s="103">
        <f t="shared" si="535"/>
        <v>0</v>
      </c>
      <c r="L519" s="113">
        <f>IF(AND($E$2="Monthly",$A519&gt;12),"",
IFERROR($J519*VLOOKUP($C519,'Employee information'!$B:$AI,COLUMNS('Employee information'!$B:$P),0),0))</f>
        <v>0</v>
      </c>
      <c r="M519" s="114">
        <f t="shared" si="536"/>
        <v>0</v>
      </c>
      <c r="O519" s="103">
        <f t="shared" si="537"/>
        <v>0</v>
      </c>
      <c r="P519" s="113">
        <f>IFERROR(
IF(AND($E$2="Monthly",$A519&gt;12),0,
$O519*VLOOKUP($C519,'Employee information'!$B:$AI,COLUMNS('Employee information'!$B:$P),0)),
0)</f>
        <v>0</v>
      </c>
      <c r="R519" s="114">
        <f t="shared" si="523"/>
        <v>0</v>
      </c>
      <c r="T519" s="103"/>
      <c r="U519" s="103"/>
      <c r="V519" s="282" t="str">
        <f>IF($C519="","",
IF(AND($E$2="Monthly",$A519&gt;12),"",
$T519*VLOOKUP($C519,'Employee information'!$B:$P,COLUMNS('Employee information'!$B:$P),0)))</f>
        <v/>
      </c>
      <c r="W519" s="282" t="str">
        <f>IF($C519="","",
IF(AND($E$2="Monthly",$A519&gt;12),"",
$U519*VLOOKUP($C519,'Employee information'!$B:$P,COLUMNS('Employee information'!$B:$P),0)))</f>
        <v/>
      </c>
      <c r="X519" s="114">
        <f t="shared" si="524"/>
        <v>0</v>
      </c>
      <c r="Y519" s="114">
        <f t="shared" si="525"/>
        <v>0</v>
      </c>
      <c r="AA519" s="118">
        <f>IFERROR(
IF(OR('Basic payroll data'!$D$12="",'Basic payroll data'!$D$12="No"),0,
$T519*VLOOKUP($C519,'Employee information'!$B:$P,COLUMNS('Employee information'!$B:$P),0)*AL_loading_perc),
0)</f>
        <v>0</v>
      </c>
      <c r="AC519" s="118"/>
      <c r="AD519" s="118"/>
      <c r="AE519" s="283" t="str">
        <f t="shared" si="538"/>
        <v/>
      </c>
      <c r="AF519" s="283" t="str">
        <f t="shared" si="539"/>
        <v/>
      </c>
      <c r="AG519" s="118"/>
      <c r="AH519" s="118"/>
      <c r="AI519" s="283" t="str">
        <f t="shared" si="540"/>
        <v/>
      </c>
      <c r="AJ519" s="118"/>
      <c r="AK519" s="118"/>
      <c r="AM519" s="118">
        <f t="shared" si="541"/>
        <v>0</v>
      </c>
      <c r="AN519" s="118">
        <f t="shared" si="526"/>
        <v>0</v>
      </c>
      <c r="AO519" s="118" t="str">
        <f>IFERROR(
IF(VLOOKUP($C519,'Employee information'!$B:$M,COLUMNS('Employee information'!$B:$M),0)=1,
IF($E$2="Fortnightly",
ROUND(
ROUND((((TRUNC($AN519/2,0)+0.99))*VLOOKUP((TRUNC($AN519/2,0)+0.99),'Tax scales - NAT 1004'!$A$12:$C$18,2,1)-VLOOKUP((TRUNC($AN519/2,0)+0.99),'Tax scales - NAT 1004'!$A$12:$C$18,3,1)),0)
*2,
0),
IF(AND($E$2="Monthly",ROUND($AN519-TRUNC($AN519),2)=0.33),
ROUND(
ROUND(((TRUNC(($AN519+0.01)*3/13,0)+0.99)*VLOOKUP((TRUNC(($AN519+0.01)*3/13,0)+0.99),'Tax scales - NAT 1004'!$A$12:$C$18,2,1)-VLOOKUP((TRUNC(($AN519+0.01)*3/13,0)+0.99),'Tax scales - NAT 1004'!$A$12:$C$18,3,1)),0)
*13/3,
0),
IF($E$2="Monthly",
ROUND(
ROUND(((TRUNC($AN519*3/13,0)+0.99)*VLOOKUP((TRUNC($AN519*3/13,0)+0.99),'Tax scales - NAT 1004'!$A$12:$C$18,2,1)-VLOOKUP((TRUNC($AN519*3/13,0)+0.99),'Tax scales - NAT 1004'!$A$12:$C$18,3,1)),0)
*13/3,
0),
""))),
""),
"")</f>
        <v/>
      </c>
      <c r="AP519" s="118" t="str">
        <f>IFERROR(
IF(VLOOKUP($C519,'Employee information'!$B:$M,COLUMNS('Employee information'!$B:$M),0)=2,
IF($E$2="Fortnightly",
ROUND(
ROUND((((TRUNC($AN519/2,0)+0.99))*VLOOKUP((TRUNC($AN519/2,0)+0.99),'Tax scales - NAT 1004'!$A$25:$C$33,2,1)-VLOOKUP((TRUNC($AN519/2,0)+0.99),'Tax scales - NAT 1004'!$A$25:$C$33,3,1)),0)
*2,
0),
IF(AND($E$2="Monthly",ROUND($AN519-TRUNC($AN519),2)=0.33),
ROUND(
ROUND(((TRUNC(($AN519+0.01)*3/13,0)+0.99)*VLOOKUP((TRUNC(($AN519+0.01)*3/13,0)+0.99),'Tax scales - NAT 1004'!$A$25:$C$33,2,1)-VLOOKUP((TRUNC(($AN519+0.01)*3/13,0)+0.99),'Tax scales - NAT 1004'!$A$25:$C$33,3,1)),0)
*13/3,
0),
IF($E$2="Monthly",
ROUND(
ROUND(((TRUNC($AN519*3/13,0)+0.99)*VLOOKUP((TRUNC($AN519*3/13,0)+0.99),'Tax scales - NAT 1004'!$A$25:$C$33,2,1)-VLOOKUP((TRUNC($AN519*3/13,0)+0.99),'Tax scales - NAT 1004'!$A$25:$C$33,3,1)),0)
*13/3,
0),
""))),
""),
"")</f>
        <v/>
      </c>
      <c r="AQ519" s="118" t="str">
        <f>IFERROR(
IF(VLOOKUP($C519,'Employee information'!$B:$M,COLUMNS('Employee information'!$B:$M),0)=3,
IF($E$2="Fortnightly",
ROUND(
ROUND((((TRUNC($AN519/2,0)+0.99))*VLOOKUP((TRUNC($AN519/2,0)+0.99),'Tax scales - NAT 1004'!$A$39:$C$41,2,1)-VLOOKUP((TRUNC($AN519/2,0)+0.99),'Tax scales - NAT 1004'!$A$39:$C$41,3,1)),0)
*2,
0),
IF(AND($E$2="Monthly",ROUND($AN519-TRUNC($AN519),2)=0.33),
ROUND(
ROUND(((TRUNC(($AN519+0.01)*3/13,0)+0.99)*VLOOKUP((TRUNC(($AN519+0.01)*3/13,0)+0.99),'Tax scales - NAT 1004'!$A$39:$C$41,2,1)-VLOOKUP((TRUNC(($AN519+0.01)*3/13,0)+0.99),'Tax scales - NAT 1004'!$A$39:$C$41,3,1)),0)
*13/3,
0),
IF($E$2="Monthly",
ROUND(
ROUND(((TRUNC($AN519*3/13,0)+0.99)*VLOOKUP((TRUNC($AN519*3/13,0)+0.99),'Tax scales - NAT 1004'!$A$39:$C$41,2,1)-VLOOKUP((TRUNC($AN519*3/13,0)+0.99),'Tax scales - NAT 1004'!$A$39:$C$41,3,1)),0)
*13/3,
0),
""))),
""),
"")</f>
        <v/>
      </c>
      <c r="AR519" s="118" t="str">
        <f>IFERROR(
IF(AND(VLOOKUP($C519,'Employee information'!$B:$M,COLUMNS('Employee information'!$B:$M),0)=4,
VLOOKUP($C519,'Employee information'!$B:$J,COLUMNS('Employee information'!$B:$J),0)="Resident"),
TRUNC(TRUNC($AN519)*'Tax scales - NAT 1004'!$B$47),
IF(AND(VLOOKUP($C519,'Employee information'!$B:$M,COLUMNS('Employee information'!$B:$M),0)=4,
VLOOKUP($C519,'Employee information'!$B:$J,COLUMNS('Employee information'!$B:$J),0)="Foreign resident"),
TRUNC(TRUNC($AN519)*'Tax scales - NAT 1004'!$B$48),
"")),
"")</f>
        <v/>
      </c>
      <c r="AS519" s="118" t="str">
        <f>IFERROR(
IF(VLOOKUP($C519,'Employee information'!$B:$M,COLUMNS('Employee information'!$B:$M),0)=5,
IF($E$2="Fortnightly",
ROUND(
ROUND((((TRUNC($AN519/2,0)+0.99))*VLOOKUP((TRUNC($AN519/2,0)+0.99),'Tax scales - NAT 1004'!$A$53:$C$59,2,1)-VLOOKUP((TRUNC($AN519/2,0)+0.99),'Tax scales - NAT 1004'!$A$53:$C$59,3,1)),0)
*2,
0),
IF(AND($E$2="Monthly",ROUND($AN519-TRUNC($AN519),2)=0.33),
ROUND(
ROUND(((TRUNC(($AN519+0.01)*3/13,0)+0.99)*VLOOKUP((TRUNC(($AN519+0.01)*3/13,0)+0.99),'Tax scales - NAT 1004'!$A$53:$C$59,2,1)-VLOOKUP((TRUNC(($AN519+0.01)*3/13,0)+0.99),'Tax scales - NAT 1004'!$A$53:$C$59,3,1)),0)
*13/3,
0),
IF($E$2="Monthly",
ROUND(
ROUND(((TRUNC($AN519*3/13,0)+0.99)*VLOOKUP((TRUNC($AN519*3/13,0)+0.99),'Tax scales - NAT 1004'!$A$53:$C$59,2,1)-VLOOKUP((TRUNC($AN519*3/13,0)+0.99),'Tax scales - NAT 1004'!$A$53:$C$59,3,1)),0)
*13/3,
0),
""))),
""),
"")</f>
        <v/>
      </c>
      <c r="AT519" s="118" t="str">
        <f>IFERROR(
IF(VLOOKUP($C519,'Employee information'!$B:$M,COLUMNS('Employee information'!$B:$M),0)=6,
IF($E$2="Fortnightly",
ROUND(
ROUND((((TRUNC($AN519/2,0)+0.99))*VLOOKUP((TRUNC($AN519/2,0)+0.99),'Tax scales - NAT 1004'!$A$65:$C$73,2,1)-VLOOKUP((TRUNC($AN519/2,0)+0.99),'Tax scales - NAT 1004'!$A$65:$C$73,3,1)),0)
*2,
0),
IF(AND($E$2="Monthly",ROUND($AN519-TRUNC($AN519),2)=0.33),
ROUND(
ROUND(((TRUNC(($AN519+0.01)*3/13,0)+0.99)*VLOOKUP((TRUNC(($AN519+0.01)*3/13,0)+0.99),'Tax scales - NAT 1004'!$A$65:$C$73,2,1)-VLOOKUP((TRUNC(($AN519+0.01)*3/13,0)+0.99),'Tax scales - NAT 1004'!$A$65:$C$73,3,1)),0)
*13/3,
0),
IF($E$2="Monthly",
ROUND(
ROUND(((TRUNC($AN519*3/13,0)+0.99)*VLOOKUP((TRUNC($AN519*3/13,0)+0.99),'Tax scales - NAT 1004'!$A$65:$C$73,2,1)-VLOOKUP((TRUNC($AN519*3/13,0)+0.99),'Tax scales - NAT 1004'!$A$65:$C$73,3,1)),0)
*13/3,
0),
""))),
""),
"")</f>
        <v/>
      </c>
      <c r="AU519" s="118" t="str">
        <f>IFERROR(
IF(VLOOKUP($C519,'Employee information'!$B:$M,COLUMNS('Employee information'!$B:$M),0)=11,
IF($E$2="Fortnightly",
ROUND(
ROUND((((TRUNC($AN519/2,0)+0.99))*VLOOKUP((TRUNC($AN519/2,0)+0.99),'Tax scales - NAT 3539'!$A$14:$C$38,2,1)-VLOOKUP((TRUNC($AN519/2,0)+0.99),'Tax scales - NAT 3539'!$A$14:$C$38,3,1)),0)
*2,
0),
IF(AND($E$2="Monthly",ROUND($AN519-TRUNC($AN519),2)=0.33),
ROUND(
ROUND(((TRUNC(($AN519+0.01)*3/13,0)+0.99)*VLOOKUP((TRUNC(($AN519+0.01)*3/13,0)+0.99),'Tax scales - NAT 3539'!$A$14:$C$38,2,1)-VLOOKUP((TRUNC(($AN519+0.01)*3/13,0)+0.99),'Tax scales - NAT 3539'!$A$14:$C$38,3,1)),0)
*13/3,
0),
IF($E$2="Monthly",
ROUND(
ROUND(((TRUNC($AN519*3/13,0)+0.99)*VLOOKUP((TRUNC($AN519*3/13,0)+0.99),'Tax scales - NAT 3539'!$A$14:$C$38,2,1)-VLOOKUP((TRUNC($AN519*3/13,0)+0.99),'Tax scales - NAT 3539'!$A$14:$C$38,3,1)),0)
*13/3,
0),
""))),
""),
"")</f>
        <v/>
      </c>
      <c r="AV519" s="118" t="str">
        <f>IFERROR(
IF(VLOOKUP($C519,'Employee information'!$B:$M,COLUMNS('Employee information'!$B:$M),0)=22,
IF($E$2="Fortnightly",
ROUND(
ROUND((((TRUNC($AN519/2,0)+0.99))*VLOOKUP((TRUNC($AN519/2,0)+0.99),'Tax scales - NAT 3539'!$A$43:$C$69,2,1)-VLOOKUP((TRUNC($AN519/2,0)+0.99),'Tax scales - NAT 3539'!$A$43:$C$69,3,1)),0)
*2,
0),
IF(AND($E$2="Monthly",ROUND($AN519-TRUNC($AN519),2)=0.33),
ROUND(
ROUND(((TRUNC(($AN519+0.01)*3/13,0)+0.99)*VLOOKUP((TRUNC(($AN519+0.01)*3/13,0)+0.99),'Tax scales - NAT 3539'!$A$43:$C$69,2,1)-VLOOKUP((TRUNC(($AN519+0.01)*3/13,0)+0.99),'Tax scales - NAT 3539'!$A$43:$C$69,3,1)),0)
*13/3,
0),
IF($E$2="Monthly",
ROUND(
ROUND(((TRUNC($AN519*3/13,0)+0.99)*VLOOKUP((TRUNC($AN519*3/13,0)+0.99),'Tax scales - NAT 3539'!$A$43:$C$69,2,1)-VLOOKUP((TRUNC($AN519*3/13,0)+0.99),'Tax scales - NAT 3539'!$A$43:$C$69,3,1)),0)
*13/3,
0),
""))),
""),
"")</f>
        <v/>
      </c>
      <c r="AW519" s="118" t="str">
        <f>IFERROR(
IF(VLOOKUP($C519,'Employee information'!$B:$M,COLUMNS('Employee information'!$B:$M),0)=33,
IF($E$2="Fortnightly",
ROUND(
ROUND((((TRUNC($AN519/2,0)+0.99))*VLOOKUP((TRUNC($AN519/2,0)+0.99),'Tax scales - NAT 3539'!$A$74:$C$94,2,1)-VLOOKUP((TRUNC($AN519/2,0)+0.99),'Tax scales - NAT 3539'!$A$74:$C$94,3,1)),0)
*2,
0),
IF(AND($E$2="Monthly",ROUND($AN519-TRUNC($AN519),2)=0.33),
ROUND(
ROUND(((TRUNC(($AN519+0.01)*3/13,0)+0.99)*VLOOKUP((TRUNC(($AN519+0.01)*3/13,0)+0.99),'Tax scales - NAT 3539'!$A$74:$C$94,2,1)-VLOOKUP((TRUNC(($AN519+0.01)*3/13,0)+0.99),'Tax scales - NAT 3539'!$A$74:$C$94,3,1)),0)
*13/3,
0),
IF($E$2="Monthly",
ROUND(
ROUND(((TRUNC($AN519*3/13,0)+0.99)*VLOOKUP((TRUNC($AN519*3/13,0)+0.99),'Tax scales - NAT 3539'!$A$74:$C$94,2,1)-VLOOKUP((TRUNC($AN519*3/13,0)+0.99),'Tax scales - NAT 3539'!$A$74:$C$94,3,1)),0)
*13/3,
0),
""))),
""),
"")</f>
        <v/>
      </c>
      <c r="AX519" s="118" t="str">
        <f>IFERROR(
IF(VLOOKUP($C519,'Employee information'!$B:$M,COLUMNS('Employee information'!$B:$M),0)=55,
IF($E$2="Fortnightly",
ROUND(
ROUND((((TRUNC($AN519/2,0)+0.99))*VLOOKUP((TRUNC($AN519/2,0)+0.99),'Tax scales - NAT 3539'!$A$99:$C$123,2,1)-VLOOKUP((TRUNC($AN519/2,0)+0.99),'Tax scales - NAT 3539'!$A$99:$C$123,3,1)),0)
*2,
0),
IF(AND($E$2="Monthly",ROUND($AN519-TRUNC($AN519),2)=0.33),
ROUND(
ROUND(((TRUNC(($AN519+0.01)*3/13,0)+0.99)*VLOOKUP((TRUNC(($AN519+0.01)*3/13,0)+0.99),'Tax scales - NAT 3539'!$A$99:$C$123,2,1)-VLOOKUP((TRUNC(($AN519+0.01)*3/13,0)+0.99),'Tax scales - NAT 3539'!$A$99:$C$123,3,1)),0)
*13/3,
0),
IF($E$2="Monthly",
ROUND(
ROUND(((TRUNC($AN519*3/13,0)+0.99)*VLOOKUP((TRUNC($AN519*3/13,0)+0.99),'Tax scales - NAT 3539'!$A$99:$C$123,2,1)-VLOOKUP((TRUNC($AN519*3/13,0)+0.99),'Tax scales - NAT 3539'!$A$99:$C$123,3,1)),0)
*13/3,
0),
""))),
""),
"")</f>
        <v/>
      </c>
      <c r="AY519" s="118" t="str">
        <f>IFERROR(
IF(VLOOKUP($C519,'Employee information'!$B:$M,COLUMNS('Employee information'!$B:$M),0)=66,
IF($E$2="Fortnightly",
ROUND(
ROUND((((TRUNC($AN519/2,0)+0.99))*VLOOKUP((TRUNC($AN519/2,0)+0.99),'Tax scales - NAT 3539'!$A$127:$C$154,2,1)-VLOOKUP((TRUNC($AN519/2,0)+0.99),'Tax scales - NAT 3539'!$A$127:$C$154,3,1)),0)
*2,
0),
IF(AND($E$2="Monthly",ROUND($AN519-TRUNC($AN519),2)=0.33),
ROUND(
ROUND(((TRUNC(($AN519+0.01)*3/13,0)+0.99)*VLOOKUP((TRUNC(($AN519+0.01)*3/13,0)+0.99),'Tax scales - NAT 3539'!$A$127:$C$154,2,1)-VLOOKUP((TRUNC(($AN519+0.01)*3/13,0)+0.99),'Tax scales - NAT 3539'!$A$127:$C$154,3,1)),0)
*13/3,
0),
IF($E$2="Monthly",
ROUND(
ROUND(((TRUNC($AN519*3/13,0)+0.99)*VLOOKUP((TRUNC($AN519*3/13,0)+0.99),'Tax scales - NAT 3539'!$A$127:$C$154,2,1)-VLOOKUP((TRUNC($AN519*3/13,0)+0.99),'Tax scales - NAT 3539'!$A$127:$C$154,3,1)),0)
*13/3,
0),
""))),
""),
"")</f>
        <v/>
      </c>
      <c r="AZ519" s="118">
        <f>IFERROR(
HLOOKUP(VLOOKUP($C519,'Employee information'!$B:$M,COLUMNS('Employee information'!$B:$M),0),'PAYG worksheet'!$AO$503:$AY$522,COUNTA($C$504:$C519)+1,0),
0)</f>
        <v>0</v>
      </c>
      <c r="BA519" s="118"/>
      <c r="BB519" s="118">
        <f t="shared" si="542"/>
        <v>0</v>
      </c>
      <c r="BC519" s="119">
        <f>IFERROR(
IF(OR($AE519=1,$AE519=""),SUM($P519,$AA519,$AC519,$AK519)*VLOOKUP($C519,'Employee information'!$B:$Q,COLUMNS('Employee information'!$B:$H),0),
IF($AE519=0,SUM($P519,$AA519,$AK519)*VLOOKUP($C519,'Employee information'!$B:$Q,COLUMNS('Employee information'!$B:$H),0),
0)),
0)</f>
        <v>0</v>
      </c>
      <c r="BE519" s="114">
        <f t="shared" si="527"/>
        <v>0</v>
      </c>
      <c r="BF519" s="114">
        <f t="shared" si="528"/>
        <v>0</v>
      </c>
      <c r="BG519" s="114">
        <f t="shared" si="529"/>
        <v>0</v>
      </c>
      <c r="BH519" s="114">
        <f t="shared" si="530"/>
        <v>0</v>
      </c>
      <c r="BI519" s="114">
        <f t="shared" si="531"/>
        <v>0</v>
      </c>
      <c r="BJ519" s="114">
        <f t="shared" si="532"/>
        <v>0</v>
      </c>
      <c r="BK519" s="114">
        <f t="shared" si="533"/>
        <v>0</v>
      </c>
      <c r="BL519" s="114">
        <f t="shared" si="543"/>
        <v>0</v>
      </c>
      <c r="BM519" s="114">
        <f t="shared" si="534"/>
        <v>0</v>
      </c>
    </row>
    <row r="520" spans="1:65" x14ac:dyDescent="0.25">
      <c r="A520" s="228">
        <f t="shared" si="522"/>
        <v>18</v>
      </c>
      <c r="C520" s="278"/>
      <c r="E520" s="103">
        <f>IF($C520="",0,
IF(AND($E$2="Monthly",$A520&gt;12),0,
IF($E$2="Monthly",VLOOKUP($C520,'Employee information'!$B:$AM,COLUMNS('Employee information'!$B:S),0),
IF($E$2="Fortnightly",VLOOKUP($C520,'Employee information'!$B:$AM,COLUMNS('Employee information'!$B:R),0),
0))))</f>
        <v>0</v>
      </c>
      <c r="F520" s="106"/>
      <c r="G520" s="106"/>
      <c r="H520" s="106"/>
      <c r="I520" s="106"/>
      <c r="J520" s="103">
        <f t="shared" si="535"/>
        <v>0</v>
      </c>
      <c r="L520" s="113">
        <f>IF(AND($E$2="Monthly",$A520&gt;12),"",
IFERROR($J520*VLOOKUP($C520,'Employee information'!$B:$AI,COLUMNS('Employee information'!$B:$P),0),0))</f>
        <v>0</v>
      </c>
      <c r="M520" s="114">
        <f t="shared" si="536"/>
        <v>0</v>
      </c>
      <c r="O520" s="103">
        <f t="shared" si="537"/>
        <v>0</v>
      </c>
      <c r="P520" s="113">
        <f>IFERROR(
IF(AND($E$2="Monthly",$A520&gt;12),0,
$O520*VLOOKUP($C520,'Employee information'!$B:$AI,COLUMNS('Employee information'!$B:$P),0)),
0)</f>
        <v>0</v>
      </c>
      <c r="R520" s="114">
        <f t="shared" si="523"/>
        <v>0</v>
      </c>
      <c r="T520" s="103"/>
      <c r="U520" s="103"/>
      <c r="V520" s="282" t="str">
        <f>IF($C520="","",
IF(AND($E$2="Monthly",$A520&gt;12),"",
$T520*VLOOKUP($C520,'Employee information'!$B:$P,COLUMNS('Employee information'!$B:$P),0)))</f>
        <v/>
      </c>
      <c r="W520" s="282" t="str">
        <f>IF($C520="","",
IF(AND($E$2="Monthly",$A520&gt;12),"",
$U520*VLOOKUP($C520,'Employee information'!$B:$P,COLUMNS('Employee information'!$B:$P),0)))</f>
        <v/>
      </c>
      <c r="X520" s="114">
        <f t="shared" si="524"/>
        <v>0</v>
      </c>
      <c r="Y520" s="114">
        <f t="shared" si="525"/>
        <v>0</v>
      </c>
      <c r="AA520" s="118">
        <f>IFERROR(
IF(OR('Basic payroll data'!$D$12="",'Basic payroll data'!$D$12="No"),0,
$T520*VLOOKUP($C520,'Employee information'!$B:$P,COLUMNS('Employee information'!$B:$P),0)*AL_loading_perc),
0)</f>
        <v>0</v>
      </c>
      <c r="AC520" s="118"/>
      <c r="AD520" s="118"/>
      <c r="AE520" s="283" t="str">
        <f t="shared" si="538"/>
        <v/>
      </c>
      <c r="AF520" s="283" t="str">
        <f t="shared" si="539"/>
        <v/>
      </c>
      <c r="AG520" s="118"/>
      <c r="AH520" s="118"/>
      <c r="AI520" s="283" t="str">
        <f t="shared" si="540"/>
        <v/>
      </c>
      <c r="AJ520" s="118"/>
      <c r="AK520" s="118"/>
      <c r="AM520" s="118">
        <f t="shared" si="541"/>
        <v>0</v>
      </c>
      <c r="AN520" s="118">
        <f t="shared" si="526"/>
        <v>0</v>
      </c>
      <c r="AO520" s="118" t="str">
        <f>IFERROR(
IF(VLOOKUP($C520,'Employee information'!$B:$M,COLUMNS('Employee information'!$B:$M),0)=1,
IF($E$2="Fortnightly",
ROUND(
ROUND((((TRUNC($AN520/2,0)+0.99))*VLOOKUP((TRUNC($AN520/2,0)+0.99),'Tax scales - NAT 1004'!$A$12:$C$18,2,1)-VLOOKUP((TRUNC($AN520/2,0)+0.99),'Tax scales - NAT 1004'!$A$12:$C$18,3,1)),0)
*2,
0),
IF(AND($E$2="Monthly",ROUND($AN520-TRUNC($AN520),2)=0.33),
ROUND(
ROUND(((TRUNC(($AN520+0.01)*3/13,0)+0.99)*VLOOKUP((TRUNC(($AN520+0.01)*3/13,0)+0.99),'Tax scales - NAT 1004'!$A$12:$C$18,2,1)-VLOOKUP((TRUNC(($AN520+0.01)*3/13,0)+0.99),'Tax scales - NAT 1004'!$A$12:$C$18,3,1)),0)
*13/3,
0),
IF($E$2="Monthly",
ROUND(
ROUND(((TRUNC($AN520*3/13,0)+0.99)*VLOOKUP((TRUNC($AN520*3/13,0)+0.99),'Tax scales - NAT 1004'!$A$12:$C$18,2,1)-VLOOKUP((TRUNC($AN520*3/13,0)+0.99),'Tax scales - NAT 1004'!$A$12:$C$18,3,1)),0)
*13/3,
0),
""))),
""),
"")</f>
        <v/>
      </c>
      <c r="AP520" s="118" t="str">
        <f>IFERROR(
IF(VLOOKUP($C520,'Employee information'!$B:$M,COLUMNS('Employee information'!$B:$M),0)=2,
IF($E$2="Fortnightly",
ROUND(
ROUND((((TRUNC($AN520/2,0)+0.99))*VLOOKUP((TRUNC($AN520/2,0)+0.99),'Tax scales - NAT 1004'!$A$25:$C$33,2,1)-VLOOKUP((TRUNC($AN520/2,0)+0.99),'Tax scales - NAT 1004'!$A$25:$C$33,3,1)),0)
*2,
0),
IF(AND($E$2="Monthly",ROUND($AN520-TRUNC($AN520),2)=0.33),
ROUND(
ROUND(((TRUNC(($AN520+0.01)*3/13,0)+0.99)*VLOOKUP((TRUNC(($AN520+0.01)*3/13,0)+0.99),'Tax scales - NAT 1004'!$A$25:$C$33,2,1)-VLOOKUP((TRUNC(($AN520+0.01)*3/13,0)+0.99),'Tax scales - NAT 1004'!$A$25:$C$33,3,1)),0)
*13/3,
0),
IF($E$2="Monthly",
ROUND(
ROUND(((TRUNC($AN520*3/13,0)+0.99)*VLOOKUP((TRUNC($AN520*3/13,0)+0.99),'Tax scales - NAT 1004'!$A$25:$C$33,2,1)-VLOOKUP((TRUNC($AN520*3/13,0)+0.99),'Tax scales - NAT 1004'!$A$25:$C$33,3,1)),0)
*13/3,
0),
""))),
""),
"")</f>
        <v/>
      </c>
      <c r="AQ520" s="118" t="str">
        <f>IFERROR(
IF(VLOOKUP($C520,'Employee information'!$B:$M,COLUMNS('Employee information'!$B:$M),0)=3,
IF($E$2="Fortnightly",
ROUND(
ROUND((((TRUNC($AN520/2,0)+0.99))*VLOOKUP((TRUNC($AN520/2,0)+0.99),'Tax scales - NAT 1004'!$A$39:$C$41,2,1)-VLOOKUP((TRUNC($AN520/2,0)+0.99),'Tax scales - NAT 1004'!$A$39:$C$41,3,1)),0)
*2,
0),
IF(AND($E$2="Monthly",ROUND($AN520-TRUNC($AN520),2)=0.33),
ROUND(
ROUND(((TRUNC(($AN520+0.01)*3/13,0)+0.99)*VLOOKUP((TRUNC(($AN520+0.01)*3/13,0)+0.99),'Tax scales - NAT 1004'!$A$39:$C$41,2,1)-VLOOKUP((TRUNC(($AN520+0.01)*3/13,0)+0.99),'Tax scales - NAT 1004'!$A$39:$C$41,3,1)),0)
*13/3,
0),
IF($E$2="Monthly",
ROUND(
ROUND(((TRUNC($AN520*3/13,0)+0.99)*VLOOKUP((TRUNC($AN520*3/13,0)+0.99),'Tax scales - NAT 1004'!$A$39:$C$41,2,1)-VLOOKUP((TRUNC($AN520*3/13,0)+0.99),'Tax scales - NAT 1004'!$A$39:$C$41,3,1)),0)
*13/3,
0),
""))),
""),
"")</f>
        <v/>
      </c>
      <c r="AR520" s="118" t="str">
        <f>IFERROR(
IF(AND(VLOOKUP($C520,'Employee information'!$B:$M,COLUMNS('Employee information'!$B:$M),0)=4,
VLOOKUP($C520,'Employee information'!$B:$J,COLUMNS('Employee information'!$B:$J),0)="Resident"),
TRUNC(TRUNC($AN520)*'Tax scales - NAT 1004'!$B$47),
IF(AND(VLOOKUP($C520,'Employee information'!$B:$M,COLUMNS('Employee information'!$B:$M),0)=4,
VLOOKUP($C520,'Employee information'!$B:$J,COLUMNS('Employee information'!$B:$J),0)="Foreign resident"),
TRUNC(TRUNC($AN520)*'Tax scales - NAT 1004'!$B$48),
"")),
"")</f>
        <v/>
      </c>
      <c r="AS520" s="118" t="str">
        <f>IFERROR(
IF(VLOOKUP($C520,'Employee information'!$B:$M,COLUMNS('Employee information'!$B:$M),0)=5,
IF($E$2="Fortnightly",
ROUND(
ROUND((((TRUNC($AN520/2,0)+0.99))*VLOOKUP((TRUNC($AN520/2,0)+0.99),'Tax scales - NAT 1004'!$A$53:$C$59,2,1)-VLOOKUP((TRUNC($AN520/2,0)+0.99),'Tax scales - NAT 1004'!$A$53:$C$59,3,1)),0)
*2,
0),
IF(AND($E$2="Monthly",ROUND($AN520-TRUNC($AN520),2)=0.33),
ROUND(
ROUND(((TRUNC(($AN520+0.01)*3/13,0)+0.99)*VLOOKUP((TRUNC(($AN520+0.01)*3/13,0)+0.99),'Tax scales - NAT 1004'!$A$53:$C$59,2,1)-VLOOKUP((TRUNC(($AN520+0.01)*3/13,0)+0.99),'Tax scales - NAT 1004'!$A$53:$C$59,3,1)),0)
*13/3,
0),
IF($E$2="Monthly",
ROUND(
ROUND(((TRUNC($AN520*3/13,0)+0.99)*VLOOKUP((TRUNC($AN520*3/13,0)+0.99),'Tax scales - NAT 1004'!$A$53:$C$59,2,1)-VLOOKUP((TRUNC($AN520*3/13,0)+0.99),'Tax scales - NAT 1004'!$A$53:$C$59,3,1)),0)
*13/3,
0),
""))),
""),
"")</f>
        <v/>
      </c>
      <c r="AT520" s="118" t="str">
        <f>IFERROR(
IF(VLOOKUP($C520,'Employee information'!$B:$M,COLUMNS('Employee information'!$B:$M),0)=6,
IF($E$2="Fortnightly",
ROUND(
ROUND((((TRUNC($AN520/2,0)+0.99))*VLOOKUP((TRUNC($AN520/2,0)+0.99),'Tax scales - NAT 1004'!$A$65:$C$73,2,1)-VLOOKUP((TRUNC($AN520/2,0)+0.99),'Tax scales - NAT 1004'!$A$65:$C$73,3,1)),0)
*2,
0),
IF(AND($E$2="Monthly",ROUND($AN520-TRUNC($AN520),2)=0.33),
ROUND(
ROUND(((TRUNC(($AN520+0.01)*3/13,0)+0.99)*VLOOKUP((TRUNC(($AN520+0.01)*3/13,0)+0.99),'Tax scales - NAT 1004'!$A$65:$C$73,2,1)-VLOOKUP((TRUNC(($AN520+0.01)*3/13,0)+0.99),'Tax scales - NAT 1004'!$A$65:$C$73,3,1)),0)
*13/3,
0),
IF($E$2="Monthly",
ROUND(
ROUND(((TRUNC($AN520*3/13,0)+0.99)*VLOOKUP((TRUNC($AN520*3/13,0)+0.99),'Tax scales - NAT 1004'!$A$65:$C$73,2,1)-VLOOKUP((TRUNC($AN520*3/13,0)+0.99),'Tax scales - NAT 1004'!$A$65:$C$73,3,1)),0)
*13/3,
0),
""))),
""),
"")</f>
        <v/>
      </c>
      <c r="AU520" s="118" t="str">
        <f>IFERROR(
IF(VLOOKUP($C520,'Employee information'!$B:$M,COLUMNS('Employee information'!$B:$M),0)=11,
IF($E$2="Fortnightly",
ROUND(
ROUND((((TRUNC($AN520/2,0)+0.99))*VLOOKUP((TRUNC($AN520/2,0)+0.99),'Tax scales - NAT 3539'!$A$14:$C$38,2,1)-VLOOKUP((TRUNC($AN520/2,0)+0.99),'Tax scales - NAT 3539'!$A$14:$C$38,3,1)),0)
*2,
0),
IF(AND($E$2="Monthly",ROUND($AN520-TRUNC($AN520),2)=0.33),
ROUND(
ROUND(((TRUNC(($AN520+0.01)*3/13,0)+0.99)*VLOOKUP((TRUNC(($AN520+0.01)*3/13,0)+0.99),'Tax scales - NAT 3539'!$A$14:$C$38,2,1)-VLOOKUP((TRUNC(($AN520+0.01)*3/13,0)+0.99),'Tax scales - NAT 3539'!$A$14:$C$38,3,1)),0)
*13/3,
0),
IF($E$2="Monthly",
ROUND(
ROUND(((TRUNC($AN520*3/13,0)+0.99)*VLOOKUP((TRUNC($AN520*3/13,0)+0.99),'Tax scales - NAT 3539'!$A$14:$C$38,2,1)-VLOOKUP((TRUNC($AN520*3/13,0)+0.99),'Tax scales - NAT 3539'!$A$14:$C$38,3,1)),0)
*13/3,
0),
""))),
""),
"")</f>
        <v/>
      </c>
      <c r="AV520" s="118" t="str">
        <f>IFERROR(
IF(VLOOKUP($C520,'Employee information'!$B:$M,COLUMNS('Employee information'!$B:$M),0)=22,
IF($E$2="Fortnightly",
ROUND(
ROUND((((TRUNC($AN520/2,0)+0.99))*VLOOKUP((TRUNC($AN520/2,0)+0.99),'Tax scales - NAT 3539'!$A$43:$C$69,2,1)-VLOOKUP((TRUNC($AN520/2,0)+0.99),'Tax scales - NAT 3539'!$A$43:$C$69,3,1)),0)
*2,
0),
IF(AND($E$2="Monthly",ROUND($AN520-TRUNC($AN520),2)=0.33),
ROUND(
ROUND(((TRUNC(($AN520+0.01)*3/13,0)+0.99)*VLOOKUP((TRUNC(($AN520+0.01)*3/13,0)+0.99),'Tax scales - NAT 3539'!$A$43:$C$69,2,1)-VLOOKUP((TRUNC(($AN520+0.01)*3/13,0)+0.99),'Tax scales - NAT 3539'!$A$43:$C$69,3,1)),0)
*13/3,
0),
IF($E$2="Monthly",
ROUND(
ROUND(((TRUNC($AN520*3/13,0)+0.99)*VLOOKUP((TRUNC($AN520*3/13,0)+0.99),'Tax scales - NAT 3539'!$A$43:$C$69,2,1)-VLOOKUP((TRUNC($AN520*3/13,0)+0.99),'Tax scales - NAT 3539'!$A$43:$C$69,3,1)),0)
*13/3,
0),
""))),
""),
"")</f>
        <v/>
      </c>
      <c r="AW520" s="118" t="str">
        <f>IFERROR(
IF(VLOOKUP($C520,'Employee information'!$B:$M,COLUMNS('Employee information'!$B:$M),0)=33,
IF($E$2="Fortnightly",
ROUND(
ROUND((((TRUNC($AN520/2,0)+0.99))*VLOOKUP((TRUNC($AN520/2,0)+0.99),'Tax scales - NAT 3539'!$A$74:$C$94,2,1)-VLOOKUP((TRUNC($AN520/2,0)+0.99),'Tax scales - NAT 3539'!$A$74:$C$94,3,1)),0)
*2,
0),
IF(AND($E$2="Monthly",ROUND($AN520-TRUNC($AN520),2)=0.33),
ROUND(
ROUND(((TRUNC(($AN520+0.01)*3/13,0)+0.99)*VLOOKUP((TRUNC(($AN520+0.01)*3/13,0)+0.99),'Tax scales - NAT 3539'!$A$74:$C$94,2,1)-VLOOKUP((TRUNC(($AN520+0.01)*3/13,0)+0.99),'Tax scales - NAT 3539'!$A$74:$C$94,3,1)),0)
*13/3,
0),
IF($E$2="Monthly",
ROUND(
ROUND(((TRUNC($AN520*3/13,0)+0.99)*VLOOKUP((TRUNC($AN520*3/13,0)+0.99),'Tax scales - NAT 3539'!$A$74:$C$94,2,1)-VLOOKUP((TRUNC($AN520*3/13,0)+0.99),'Tax scales - NAT 3539'!$A$74:$C$94,3,1)),0)
*13/3,
0),
""))),
""),
"")</f>
        <v/>
      </c>
      <c r="AX520" s="118" t="str">
        <f>IFERROR(
IF(VLOOKUP($C520,'Employee information'!$B:$M,COLUMNS('Employee information'!$B:$M),0)=55,
IF($E$2="Fortnightly",
ROUND(
ROUND((((TRUNC($AN520/2,0)+0.99))*VLOOKUP((TRUNC($AN520/2,0)+0.99),'Tax scales - NAT 3539'!$A$99:$C$123,2,1)-VLOOKUP((TRUNC($AN520/2,0)+0.99),'Tax scales - NAT 3539'!$A$99:$C$123,3,1)),0)
*2,
0),
IF(AND($E$2="Monthly",ROUND($AN520-TRUNC($AN520),2)=0.33),
ROUND(
ROUND(((TRUNC(($AN520+0.01)*3/13,0)+0.99)*VLOOKUP((TRUNC(($AN520+0.01)*3/13,0)+0.99),'Tax scales - NAT 3539'!$A$99:$C$123,2,1)-VLOOKUP((TRUNC(($AN520+0.01)*3/13,0)+0.99),'Tax scales - NAT 3539'!$A$99:$C$123,3,1)),0)
*13/3,
0),
IF($E$2="Monthly",
ROUND(
ROUND(((TRUNC($AN520*3/13,0)+0.99)*VLOOKUP((TRUNC($AN520*3/13,0)+0.99),'Tax scales - NAT 3539'!$A$99:$C$123,2,1)-VLOOKUP((TRUNC($AN520*3/13,0)+0.99),'Tax scales - NAT 3539'!$A$99:$C$123,3,1)),0)
*13/3,
0),
""))),
""),
"")</f>
        <v/>
      </c>
      <c r="AY520" s="118" t="str">
        <f>IFERROR(
IF(VLOOKUP($C520,'Employee information'!$B:$M,COLUMNS('Employee information'!$B:$M),0)=66,
IF($E$2="Fortnightly",
ROUND(
ROUND((((TRUNC($AN520/2,0)+0.99))*VLOOKUP((TRUNC($AN520/2,0)+0.99),'Tax scales - NAT 3539'!$A$127:$C$154,2,1)-VLOOKUP((TRUNC($AN520/2,0)+0.99),'Tax scales - NAT 3539'!$A$127:$C$154,3,1)),0)
*2,
0),
IF(AND($E$2="Monthly",ROUND($AN520-TRUNC($AN520),2)=0.33),
ROUND(
ROUND(((TRUNC(($AN520+0.01)*3/13,0)+0.99)*VLOOKUP((TRUNC(($AN520+0.01)*3/13,0)+0.99),'Tax scales - NAT 3539'!$A$127:$C$154,2,1)-VLOOKUP((TRUNC(($AN520+0.01)*3/13,0)+0.99),'Tax scales - NAT 3539'!$A$127:$C$154,3,1)),0)
*13/3,
0),
IF($E$2="Monthly",
ROUND(
ROUND(((TRUNC($AN520*3/13,0)+0.99)*VLOOKUP((TRUNC($AN520*3/13,0)+0.99),'Tax scales - NAT 3539'!$A$127:$C$154,2,1)-VLOOKUP((TRUNC($AN520*3/13,0)+0.99),'Tax scales - NAT 3539'!$A$127:$C$154,3,1)),0)
*13/3,
0),
""))),
""),
"")</f>
        <v/>
      </c>
      <c r="AZ520" s="118">
        <f>IFERROR(
HLOOKUP(VLOOKUP($C520,'Employee information'!$B:$M,COLUMNS('Employee information'!$B:$M),0),'PAYG worksheet'!$AO$503:$AY$522,COUNTA($C$504:$C520)+1,0),
0)</f>
        <v>0</v>
      </c>
      <c r="BA520" s="118"/>
      <c r="BB520" s="118">
        <f t="shared" si="542"/>
        <v>0</v>
      </c>
      <c r="BC520" s="119">
        <f>IFERROR(
IF(OR($AE520=1,$AE520=""),SUM($P520,$AA520,$AC520,$AK520)*VLOOKUP($C520,'Employee information'!$B:$Q,COLUMNS('Employee information'!$B:$H),0),
IF($AE520=0,SUM($P520,$AA520,$AK520)*VLOOKUP($C520,'Employee information'!$B:$Q,COLUMNS('Employee information'!$B:$H),0),
0)),
0)</f>
        <v>0</v>
      </c>
      <c r="BE520" s="114">
        <f t="shared" si="527"/>
        <v>0</v>
      </c>
      <c r="BF520" s="114">
        <f t="shared" si="528"/>
        <v>0</v>
      </c>
      <c r="BG520" s="114">
        <f t="shared" si="529"/>
        <v>0</v>
      </c>
      <c r="BH520" s="114">
        <f t="shared" si="530"/>
        <v>0</v>
      </c>
      <c r="BI520" s="114">
        <f t="shared" si="531"/>
        <v>0</v>
      </c>
      <c r="BJ520" s="114">
        <f t="shared" si="532"/>
        <v>0</v>
      </c>
      <c r="BK520" s="114">
        <f t="shared" si="533"/>
        <v>0</v>
      </c>
      <c r="BL520" s="114">
        <f t="shared" si="543"/>
        <v>0</v>
      </c>
      <c r="BM520" s="114">
        <f t="shared" si="534"/>
        <v>0</v>
      </c>
    </row>
    <row r="521" spans="1:65" x14ac:dyDescent="0.25">
      <c r="A521" s="228">
        <f t="shared" si="522"/>
        <v>18</v>
      </c>
      <c r="C521" s="278"/>
      <c r="E521" s="103">
        <f>IF($C521="",0,
IF(AND($E$2="Monthly",$A521&gt;12),0,
IF($E$2="Monthly",VLOOKUP($C521,'Employee information'!$B:$AM,COLUMNS('Employee information'!$B:S),0),
IF($E$2="Fortnightly",VLOOKUP($C521,'Employee information'!$B:$AM,COLUMNS('Employee information'!$B:R),0),
0))))</f>
        <v>0</v>
      </c>
      <c r="F521" s="106"/>
      <c r="G521" s="106"/>
      <c r="H521" s="106"/>
      <c r="I521" s="106"/>
      <c r="J521" s="103">
        <f t="shared" si="535"/>
        <v>0</v>
      </c>
      <c r="L521" s="113">
        <f>IF(AND($E$2="Monthly",$A521&gt;12),"",
IFERROR($J521*VLOOKUP($C521,'Employee information'!$B:$AI,COLUMNS('Employee information'!$B:$P),0),0))</f>
        <v>0</v>
      </c>
      <c r="M521" s="114">
        <f t="shared" si="536"/>
        <v>0</v>
      </c>
      <c r="O521" s="103">
        <f t="shared" si="537"/>
        <v>0</v>
      </c>
      <c r="P521" s="113">
        <f>IFERROR(
IF(AND($E$2="Monthly",$A521&gt;12),0,
$O521*VLOOKUP($C521,'Employee information'!$B:$AI,COLUMNS('Employee information'!$B:$P),0)),
0)</f>
        <v>0</v>
      </c>
      <c r="R521" s="114">
        <f t="shared" si="523"/>
        <v>0</v>
      </c>
      <c r="T521" s="103"/>
      <c r="U521" s="103"/>
      <c r="V521" s="282" t="str">
        <f>IF($C521="","",
IF(AND($E$2="Monthly",$A521&gt;12),"",
$T521*VLOOKUP($C521,'Employee information'!$B:$P,COLUMNS('Employee information'!$B:$P),0)))</f>
        <v/>
      </c>
      <c r="W521" s="282" t="str">
        <f>IF($C521="","",
IF(AND($E$2="Monthly",$A521&gt;12),"",
$U521*VLOOKUP($C521,'Employee information'!$B:$P,COLUMNS('Employee information'!$B:$P),0)))</f>
        <v/>
      </c>
      <c r="X521" s="114">
        <f t="shared" si="524"/>
        <v>0</v>
      </c>
      <c r="Y521" s="114">
        <f t="shared" si="525"/>
        <v>0</v>
      </c>
      <c r="AA521" s="118">
        <f>IFERROR(
IF(OR('Basic payroll data'!$D$12="",'Basic payroll data'!$D$12="No"),0,
$T521*VLOOKUP($C521,'Employee information'!$B:$P,COLUMNS('Employee information'!$B:$P),0)*AL_loading_perc),
0)</f>
        <v>0</v>
      </c>
      <c r="AC521" s="118"/>
      <c r="AD521" s="118"/>
      <c r="AE521" s="283" t="str">
        <f t="shared" si="538"/>
        <v/>
      </c>
      <c r="AF521" s="283" t="str">
        <f t="shared" si="539"/>
        <v/>
      </c>
      <c r="AG521" s="118"/>
      <c r="AH521" s="118"/>
      <c r="AI521" s="283" t="str">
        <f t="shared" si="540"/>
        <v/>
      </c>
      <c r="AJ521" s="118"/>
      <c r="AK521" s="118"/>
      <c r="AM521" s="118">
        <f t="shared" si="541"/>
        <v>0</v>
      </c>
      <c r="AN521" s="118">
        <f t="shared" si="526"/>
        <v>0</v>
      </c>
      <c r="AO521" s="118" t="str">
        <f>IFERROR(
IF(VLOOKUP($C521,'Employee information'!$B:$M,COLUMNS('Employee information'!$B:$M),0)=1,
IF($E$2="Fortnightly",
ROUND(
ROUND((((TRUNC($AN521/2,0)+0.99))*VLOOKUP((TRUNC($AN521/2,0)+0.99),'Tax scales - NAT 1004'!$A$12:$C$18,2,1)-VLOOKUP((TRUNC($AN521/2,0)+0.99),'Tax scales - NAT 1004'!$A$12:$C$18,3,1)),0)
*2,
0),
IF(AND($E$2="Monthly",ROUND($AN521-TRUNC($AN521),2)=0.33),
ROUND(
ROUND(((TRUNC(($AN521+0.01)*3/13,0)+0.99)*VLOOKUP((TRUNC(($AN521+0.01)*3/13,0)+0.99),'Tax scales - NAT 1004'!$A$12:$C$18,2,1)-VLOOKUP((TRUNC(($AN521+0.01)*3/13,0)+0.99),'Tax scales - NAT 1004'!$A$12:$C$18,3,1)),0)
*13/3,
0),
IF($E$2="Monthly",
ROUND(
ROUND(((TRUNC($AN521*3/13,0)+0.99)*VLOOKUP((TRUNC($AN521*3/13,0)+0.99),'Tax scales - NAT 1004'!$A$12:$C$18,2,1)-VLOOKUP((TRUNC($AN521*3/13,0)+0.99),'Tax scales - NAT 1004'!$A$12:$C$18,3,1)),0)
*13/3,
0),
""))),
""),
"")</f>
        <v/>
      </c>
      <c r="AP521" s="118" t="str">
        <f>IFERROR(
IF(VLOOKUP($C521,'Employee information'!$B:$M,COLUMNS('Employee information'!$B:$M),0)=2,
IF($E$2="Fortnightly",
ROUND(
ROUND((((TRUNC($AN521/2,0)+0.99))*VLOOKUP((TRUNC($AN521/2,0)+0.99),'Tax scales - NAT 1004'!$A$25:$C$33,2,1)-VLOOKUP((TRUNC($AN521/2,0)+0.99),'Tax scales - NAT 1004'!$A$25:$C$33,3,1)),0)
*2,
0),
IF(AND($E$2="Monthly",ROUND($AN521-TRUNC($AN521),2)=0.33),
ROUND(
ROUND(((TRUNC(($AN521+0.01)*3/13,0)+0.99)*VLOOKUP((TRUNC(($AN521+0.01)*3/13,0)+0.99),'Tax scales - NAT 1004'!$A$25:$C$33,2,1)-VLOOKUP((TRUNC(($AN521+0.01)*3/13,0)+0.99),'Tax scales - NAT 1004'!$A$25:$C$33,3,1)),0)
*13/3,
0),
IF($E$2="Monthly",
ROUND(
ROUND(((TRUNC($AN521*3/13,0)+0.99)*VLOOKUP((TRUNC($AN521*3/13,0)+0.99),'Tax scales - NAT 1004'!$A$25:$C$33,2,1)-VLOOKUP((TRUNC($AN521*3/13,0)+0.99),'Tax scales - NAT 1004'!$A$25:$C$33,3,1)),0)
*13/3,
0),
""))),
""),
"")</f>
        <v/>
      </c>
      <c r="AQ521" s="118" t="str">
        <f>IFERROR(
IF(VLOOKUP($C521,'Employee information'!$B:$M,COLUMNS('Employee information'!$B:$M),0)=3,
IF($E$2="Fortnightly",
ROUND(
ROUND((((TRUNC($AN521/2,0)+0.99))*VLOOKUP((TRUNC($AN521/2,0)+0.99),'Tax scales - NAT 1004'!$A$39:$C$41,2,1)-VLOOKUP((TRUNC($AN521/2,0)+0.99),'Tax scales - NAT 1004'!$A$39:$C$41,3,1)),0)
*2,
0),
IF(AND($E$2="Monthly",ROUND($AN521-TRUNC($AN521),2)=0.33),
ROUND(
ROUND(((TRUNC(($AN521+0.01)*3/13,0)+0.99)*VLOOKUP((TRUNC(($AN521+0.01)*3/13,0)+0.99),'Tax scales - NAT 1004'!$A$39:$C$41,2,1)-VLOOKUP((TRUNC(($AN521+0.01)*3/13,0)+0.99),'Tax scales - NAT 1004'!$A$39:$C$41,3,1)),0)
*13/3,
0),
IF($E$2="Monthly",
ROUND(
ROUND(((TRUNC($AN521*3/13,0)+0.99)*VLOOKUP((TRUNC($AN521*3/13,0)+0.99),'Tax scales - NAT 1004'!$A$39:$C$41,2,1)-VLOOKUP((TRUNC($AN521*3/13,0)+0.99),'Tax scales - NAT 1004'!$A$39:$C$41,3,1)),0)
*13/3,
0),
""))),
""),
"")</f>
        <v/>
      </c>
      <c r="AR521" s="118" t="str">
        <f>IFERROR(
IF(AND(VLOOKUP($C521,'Employee information'!$B:$M,COLUMNS('Employee information'!$B:$M),0)=4,
VLOOKUP($C521,'Employee information'!$B:$J,COLUMNS('Employee information'!$B:$J),0)="Resident"),
TRUNC(TRUNC($AN521)*'Tax scales - NAT 1004'!$B$47),
IF(AND(VLOOKUP($C521,'Employee information'!$B:$M,COLUMNS('Employee information'!$B:$M),0)=4,
VLOOKUP($C521,'Employee information'!$B:$J,COLUMNS('Employee information'!$B:$J),0)="Foreign resident"),
TRUNC(TRUNC($AN521)*'Tax scales - NAT 1004'!$B$48),
"")),
"")</f>
        <v/>
      </c>
      <c r="AS521" s="118" t="str">
        <f>IFERROR(
IF(VLOOKUP($C521,'Employee information'!$B:$M,COLUMNS('Employee information'!$B:$M),0)=5,
IF($E$2="Fortnightly",
ROUND(
ROUND((((TRUNC($AN521/2,0)+0.99))*VLOOKUP((TRUNC($AN521/2,0)+0.99),'Tax scales - NAT 1004'!$A$53:$C$59,2,1)-VLOOKUP((TRUNC($AN521/2,0)+0.99),'Tax scales - NAT 1004'!$A$53:$C$59,3,1)),0)
*2,
0),
IF(AND($E$2="Monthly",ROUND($AN521-TRUNC($AN521),2)=0.33),
ROUND(
ROUND(((TRUNC(($AN521+0.01)*3/13,0)+0.99)*VLOOKUP((TRUNC(($AN521+0.01)*3/13,0)+0.99),'Tax scales - NAT 1004'!$A$53:$C$59,2,1)-VLOOKUP((TRUNC(($AN521+0.01)*3/13,0)+0.99),'Tax scales - NAT 1004'!$A$53:$C$59,3,1)),0)
*13/3,
0),
IF($E$2="Monthly",
ROUND(
ROUND(((TRUNC($AN521*3/13,0)+0.99)*VLOOKUP((TRUNC($AN521*3/13,0)+0.99),'Tax scales - NAT 1004'!$A$53:$C$59,2,1)-VLOOKUP((TRUNC($AN521*3/13,0)+0.99),'Tax scales - NAT 1004'!$A$53:$C$59,3,1)),0)
*13/3,
0),
""))),
""),
"")</f>
        <v/>
      </c>
      <c r="AT521" s="118" t="str">
        <f>IFERROR(
IF(VLOOKUP($C521,'Employee information'!$B:$M,COLUMNS('Employee information'!$B:$M),0)=6,
IF($E$2="Fortnightly",
ROUND(
ROUND((((TRUNC($AN521/2,0)+0.99))*VLOOKUP((TRUNC($AN521/2,0)+0.99),'Tax scales - NAT 1004'!$A$65:$C$73,2,1)-VLOOKUP((TRUNC($AN521/2,0)+0.99),'Tax scales - NAT 1004'!$A$65:$C$73,3,1)),0)
*2,
0),
IF(AND($E$2="Monthly",ROUND($AN521-TRUNC($AN521),2)=0.33),
ROUND(
ROUND(((TRUNC(($AN521+0.01)*3/13,0)+0.99)*VLOOKUP((TRUNC(($AN521+0.01)*3/13,0)+0.99),'Tax scales - NAT 1004'!$A$65:$C$73,2,1)-VLOOKUP((TRUNC(($AN521+0.01)*3/13,0)+0.99),'Tax scales - NAT 1004'!$A$65:$C$73,3,1)),0)
*13/3,
0),
IF($E$2="Monthly",
ROUND(
ROUND(((TRUNC($AN521*3/13,0)+0.99)*VLOOKUP((TRUNC($AN521*3/13,0)+0.99),'Tax scales - NAT 1004'!$A$65:$C$73,2,1)-VLOOKUP((TRUNC($AN521*3/13,0)+0.99),'Tax scales - NAT 1004'!$A$65:$C$73,3,1)),0)
*13/3,
0),
""))),
""),
"")</f>
        <v/>
      </c>
      <c r="AU521" s="118" t="str">
        <f>IFERROR(
IF(VLOOKUP($C521,'Employee information'!$B:$M,COLUMNS('Employee information'!$B:$M),0)=11,
IF($E$2="Fortnightly",
ROUND(
ROUND((((TRUNC($AN521/2,0)+0.99))*VLOOKUP((TRUNC($AN521/2,0)+0.99),'Tax scales - NAT 3539'!$A$14:$C$38,2,1)-VLOOKUP((TRUNC($AN521/2,0)+0.99),'Tax scales - NAT 3539'!$A$14:$C$38,3,1)),0)
*2,
0),
IF(AND($E$2="Monthly",ROUND($AN521-TRUNC($AN521),2)=0.33),
ROUND(
ROUND(((TRUNC(($AN521+0.01)*3/13,0)+0.99)*VLOOKUP((TRUNC(($AN521+0.01)*3/13,0)+0.99),'Tax scales - NAT 3539'!$A$14:$C$38,2,1)-VLOOKUP((TRUNC(($AN521+0.01)*3/13,0)+0.99),'Tax scales - NAT 3539'!$A$14:$C$38,3,1)),0)
*13/3,
0),
IF($E$2="Monthly",
ROUND(
ROUND(((TRUNC($AN521*3/13,0)+0.99)*VLOOKUP((TRUNC($AN521*3/13,0)+0.99),'Tax scales - NAT 3539'!$A$14:$C$38,2,1)-VLOOKUP((TRUNC($AN521*3/13,0)+0.99),'Tax scales - NAT 3539'!$A$14:$C$38,3,1)),0)
*13/3,
0),
""))),
""),
"")</f>
        <v/>
      </c>
      <c r="AV521" s="118" t="str">
        <f>IFERROR(
IF(VLOOKUP($C521,'Employee information'!$B:$M,COLUMNS('Employee information'!$B:$M),0)=22,
IF($E$2="Fortnightly",
ROUND(
ROUND((((TRUNC($AN521/2,0)+0.99))*VLOOKUP((TRUNC($AN521/2,0)+0.99),'Tax scales - NAT 3539'!$A$43:$C$69,2,1)-VLOOKUP((TRUNC($AN521/2,0)+0.99),'Tax scales - NAT 3539'!$A$43:$C$69,3,1)),0)
*2,
0),
IF(AND($E$2="Monthly",ROUND($AN521-TRUNC($AN521),2)=0.33),
ROUND(
ROUND(((TRUNC(($AN521+0.01)*3/13,0)+0.99)*VLOOKUP((TRUNC(($AN521+0.01)*3/13,0)+0.99),'Tax scales - NAT 3539'!$A$43:$C$69,2,1)-VLOOKUP((TRUNC(($AN521+0.01)*3/13,0)+0.99),'Tax scales - NAT 3539'!$A$43:$C$69,3,1)),0)
*13/3,
0),
IF($E$2="Monthly",
ROUND(
ROUND(((TRUNC($AN521*3/13,0)+0.99)*VLOOKUP((TRUNC($AN521*3/13,0)+0.99),'Tax scales - NAT 3539'!$A$43:$C$69,2,1)-VLOOKUP((TRUNC($AN521*3/13,0)+0.99),'Tax scales - NAT 3539'!$A$43:$C$69,3,1)),0)
*13/3,
0),
""))),
""),
"")</f>
        <v/>
      </c>
      <c r="AW521" s="118" t="str">
        <f>IFERROR(
IF(VLOOKUP($C521,'Employee information'!$B:$M,COLUMNS('Employee information'!$B:$M),0)=33,
IF($E$2="Fortnightly",
ROUND(
ROUND((((TRUNC($AN521/2,0)+0.99))*VLOOKUP((TRUNC($AN521/2,0)+0.99),'Tax scales - NAT 3539'!$A$74:$C$94,2,1)-VLOOKUP((TRUNC($AN521/2,0)+0.99),'Tax scales - NAT 3539'!$A$74:$C$94,3,1)),0)
*2,
0),
IF(AND($E$2="Monthly",ROUND($AN521-TRUNC($AN521),2)=0.33),
ROUND(
ROUND(((TRUNC(($AN521+0.01)*3/13,0)+0.99)*VLOOKUP((TRUNC(($AN521+0.01)*3/13,0)+0.99),'Tax scales - NAT 3539'!$A$74:$C$94,2,1)-VLOOKUP((TRUNC(($AN521+0.01)*3/13,0)+0.99),'Tax scales - NAT 3539'!$A$74:$C$94,3,1)),0)
*13/3,
0),
IF($E$2="Monthly",
ROUND(
ROUND(((TRUNC($AN521*3/13,0)+0.99)*VLOOKUP((TRUNC($AN521*3/13,0)+0.99),'Tax scales - NAT 3539'!$A$74:$C$94,2,1)-VLOOKUP((TRUNC($AN521*3/13,0)+0.99),'Tax scales - NAT 3539'!$A$74:$C$94,3,1)),0)
*13/3,
0),
""))),
""),
"")</f>
        <v/>
      </c>
      <c r="AX521" s="118" t="str">
        <f>IFERROR(
IF(VLOOKUP($C521,'Employee information'!$B:$M,COLUMNS('Employee information'!$B:$M),0)=55,
IF($E$2="Fortnightly",
ROUND(
ROUND((((TRUNC($AN521/2,0)+0.99))*VLOOKUP((TRUNC($AN521/2,0)+0.99),'Tax scales - NAT 3539'!$A$99:$C$123,2,1)-VLOOKUP((TRUNC($AN521/2,0)+0.99),'Tax scales - NAT 3539'!$A$99:$C$123,3,1)),0)
*2,
0),
IF(AND($E$2="Monthly",ROUND($AN521-TRUNC($AN521),2)=0.33),
ROUND(
ROUND(((TRUNC(($AN521+0.01)*3/13,0)+0.99)*VLOOKUP((TRUNC(($AN521+0.01)*3/13,0)+0.99),'Tax scales - NAT 3539'!$A$99:$C$123,2,1)-VLOOKUP((TRUNC(($AN521+0.01)*3/13,0)+0.99),'Tax scales - NAT 3539'!$A$99:$C$123,3,1)),0)
*13/3,
0),
IF($E$2="Monthly",
ROUND(
ROUND(((TRUNC($AN521*3/13,0)+0.99)*VLOOKUP((TRUNC($AN521*3/13,0)+0.99),'Tax scales - NAT 3539'!$A$99:$C$123,2,1)-VLOOKUP((TRUNC($AN521*3/13,0)+0.99),'Tax scales - NAT 3539'!$A$99:$C$123,3,1)),0)
*13/3,
0),
""))),
""),
"")</f>
        <v/>
      </c>
      <c r="AY521" s="118" t="str">
        <f>IFERROR(
IF(VLOOKUP($C521,'Employee information'!$B:$M,COLUMNS('Employee information'!$B:$M),0)=66,
IF($E$2="Fortnightly",
ROUND(
ROUND((((TRUNC($AN521/2,0)+0.99))*VLOOKUP((TRUNC($AN521/2,0)+0.99),'Tax scales - NAT 3539'!$A$127:$C$154,2,1)-VLOOKUP((TRUNC($AN521/2,0)+0.99),'Tax scales - NAT 3539'!$A$127:$C$154,3,1)),0)
*2,
0),
IF(AND($E$2="Monthly",ROUND($AN521-TRUNC($AN521),2)=0.33),
ROUND(
ROUND(((TRUNC(($AN521+0.01)*3/13,0)+0.99)*VLOOKUP((TRUNC(($AN521+0.01)*3/13,0)+0.99),'Tax scales - NAT 3539'!$A$127:$C$154,2,1)-VLOOKUP((TRUNC(($AN521+0.01)*3/13,0)+0.99),'Tax scales - NAT 3539'!$A$127:$C$154,3,1)),0)
*13/3,
0),
IF($E$2="Monthly",
ROUND(
ROUND(((TRUNC($AN521*3/13,0)+0.99)*VLOOKUP((TRUNC($AN521*3/13,0)+0.99),'Tax scales - NAT 3539'!$A$127:$C$154,2,1)-VLOOKUP((TRUNC($AN521*3/13,0)+0.99),'Tax scales - NAT 3539'!$A$127:$C$154,3,1)),0)
*13/3,
0),
""))),
""),
"")</f>
        <v/>
      </c>
      <c r="AZ521" s="118">
        <f>IFERROR(
HLOOKUP(VLOOKUP($C521,'Employee information'!$B:$M,COLUMNS('Employee information'!$B:$M),0),'PAYG worksheet'!$AO$503:$AY$522,COUNTA($C$504:$C521)+1,0),
0)</f>
        <v>0</v>
      </c>
      <c r="BA521" s="118"/>
      <c r="BB521" s="118">
        <f t="shared" si="542"/>
        <v>0</v>
      </c>
      <c r="BC521" s="119">
        <f>IFERROR(
IF(OR($AE521=1,$AE521=""),SUM($P521,$AA521,$AC521,$AK521)*VLOOKUP($C521,'Employee information'!$B:$Q,COLUMNS('Employee information'!$B:$H),0),
IF($AE521=0,SUM($P521,$AA521,$AK521)*VLOOKUP($C521,'Employee information'!$B:$Q,COLUMNS('Employee information'!$B:$H),0),
0)),
0)</f>
        <v>0</v>
      </c>
      <c r="BE521" s="114">
        <f t="shared" si="527"/>
        <v>0</v>
      </c>
      <c r="BF521" s="114">
        <f t="shared" si="528"/>
        <v>0</v>
      </c>
      <c r="BG521" s="114">
        <f t="shared" si="529"/>
        <v>0</v>
      </c>
      <c r="BH521" s="114">
        <f t="shared" si="530"/>
        <v>0</v>
      </c>
      <c r="BI521" s="114">
        <f t="shared" si="531"/>
        <v>0</v>
      </c>
      <c r="BJ521" s="114">
        <f t="shared" si="532"/>
        <v>0</v>
      </c>
      <c r="BK521" s="114">
        <f t="shared" si="533"/>
        <v>0</v>
      </c>
      <c r="BL521" s="114">
        <f t="shared" si="543"/>
        <v>0</v>
      </c>
      <c r="BM521" s="114">
        <f t="shared" si="534"/>
        <v>0</v>
      </c>
    </row>
    <row r="522" spans="1:65" x14ac:dyDescent="0.25">
      <c r="A522" s="228">
        <f t="shared" si="522"/>
        <v>18</v>
      </c>
      <c r="C522" s="278"/>
      <c r="E522" s="103">
        <f>IF($C522="",0,
IF(AND($E$2="Monthly",$A522&gt;12),0,
IF($E$2="Monthly",VLOOKUP($C522,'Employee information'!$B:$AM,COLUMNS('Employee information'!$B:S),0),
IF($E$2="Fortnightly",VLOOKUP($C522,'Employee information'!$B:$AM,COLUMNS('Employee information'!$B:R),0),
0))))</f>
        <v>0</v>
      </c>
      <c r="F522" s="106"/>
      <c r="G522" s="106"/>
      <c r="H522" s="106"/>
      <c r="I522" s="106"/>
      <c r="J522" s="103">
        <f t="shared" si="535"/>
        <v>0</v>
      </c>
      <c r="L522" s="113">
        <f>IF(AND($E$2="Monthly",$A522&gt;12),"",
IFERROR($J522*VLOOKUP($C522,'Employee information'!$B:$AI,COLUMNS('Employee information'!$B:$P),0),0))</f>
        <v>0</v>
      </c>
      <c r="M522" s="114">
        <f t="shared" si="536"/>
        <v>0</v>
      </c>
      <c r="O522" s="103">
        <f t="shared" si="537"/>
        <v>0</v>
      </c>
      <c r="P522" s="113">
        <f>IFERROR(
IF(AND($E$2="Monthly",$A522&gt;12),0,
$O522*VLOOKUP($C522,'Employee information'!$B:$AI,COLUMNS('Employee information'!$B:$P),0)),
0)</f>
        <v>0</v>
      </c>
      <c r="R522" s="114">
        <f t="shared" si="523"/>
        <v>0</v>
      </c>
      <c r="T522" s="103"/>
      <c r="U522" s="103"/>
      <c r="V522" s="282" t="str">
        <f>IF($C522="","",
IF(AND($E$2="Monthly",$A522&gt;12),"",
$T522*VLOOKUP($C522,'Employee information'!$B:$P,COLUMNS('Employee information'!$B:$P),0)))</f>
        <v/>
      </c>
      <c r="W522" s="282" t="str">
        <f>IF($C522="","",
IF(AND($E$2="Monthly",$A522&gt;12),"",
$U522*VLOOKUP($C522,'Employee information'!$B:$P,COLUMNS('Employee information'!$B:$P),0)))</f>
        <v/>
      </c>
      <c r="X522" s="114">
        <f t="shared" si="524"/>
        <v>0</v>
      </c>
      <c r="Y522" s="114">
        <f t="shared" si="525"/>
        <v>0</v>
      </c>
      <c r="AA522" s="118">
        <f>IFERROR(
IF(OR('Basic payroll data'!$D$12="",'Basic payroll data'!$D$12="No"),0,
$T522*VLOOKUP($C522,'Employee information'!$B:$P,COLUMNS('Employee information'!$B:$P),0)*AL_loading_perc),
0)</f>
        <v>0</v>
      </c>
      <c r="AC522" s="118"/>
      <c r="AD522" s="118"/>
      <c r="AE522" s="283" t="str">
        <f t="shared" si="538"/>
        <v/>
      </c>
      <c r="AF522" s="283" t="str">
        <f t="shared" si="539"/>
        <v/>
      </c>
      <c r="AG522" s="118"/>
      <c r="AH522" s="118"/>
      <c r="AI522" s="283" t="str">
        <f t="shared" si="540"/>
        <v/>
      </c>
      <c r="AJ522" s="118"/>
      <c r="AK522" s="118"/>
      <c r="AM522" s="118">
        <f t="shared" si="541"/>
        <v>0</v>
      </c>
      <c r="AN522" s="118">
        <f t="shared" si="526"/>
        <v>0</v>
      </c>
      <c r="AO522" s="118" t="str">
        <f>IFERROR(
IF(VLOOKUP($C522,'Employee information'!$B:$M,COLUMNS('Employee information'!$B:$M),0)=1,
IF($E$2="Fortnightly",
ROUND(
ROUND((((TRUNC($AN522/2,0)+0.99))*VLOOKUP((TRUNC($AN522/2,0)+0.99),'Tax scales - NAT 1004'!$A$12:$C$18,2,1)-VLOOKUP((TRUNC($AN522/2,0)+0.99),'Tax scales - NAT 1004'!$A$12:$C$18,3,1)),0)
*2,
0),
IF(AND($E$2="Monthly",ROUND($AN522-TRUNC($AN522),2)=0.33),
ROUND(
ROUND(((TRUNC(($AN522+0.01)*3/13,0)+0.99)*VLOOKUP((TRUNC(($AN522+0.01)*3/13,0)+0.99),'Tax scales - NAT 1004'!$A$12:$C$18,2,1)-VLOOKUP((TRUNC(($AN522+0.01)*3/13,0)+0.99),'Tax scales - NAT 1004'!$A$12:$C$18,3,1)),0)
*13/3,
0),
IF($E$2="Monthly",
ROUND(
ROUND(((TRUNC($AN522*3/13,0)+0.99)*VLOOKUP((TRUNC($AN522*3/13,0)+0.99),'Tax scales - NAT 1004'!$A$12:$C$18,2,1)-VLOOKUP((TRUNC($AN522*3/13,0)+0.99),'Tax scales - NAT 1004'!$A$12:$C$18,3,1)),0)
*13/3,
0),
""))),
""),
"")</f>
        <v/>
      </c>
      <c r="AP522" s="118" t="str">
        <f>IFERROR(
IF(VLOOKUP($C522,'Employee information'!$B:$M,COLUMNS('Employee information'!$B:$M),0)=2,
IF($E$2="Fortnightly",
ROUND(
ROUND((((TRUNC($AN522/2,0)+0.99))*VLOOKUP((TRUNC($AN522/2,0)+0.99),'Tax scales - NAT 1004'!$A$25:$C$33,2,1)-VLOOKUP((TRUNC($AN522/2,0)+0.99),'Tax scales - NAT 1004'!$A$25:$C$33,3,1)),0)
*2,
0),
IF(AND($E$2="Monthly",ROUND($AN522-TRUNC($AN522),2)=0.33),
ROUND(
ROUND(((TRUNC(($AN522+0.01)*3/13,0)+0.99)*VLOOKUP((TRUNC(($AN522+0.01)*3/13,0)+0.99),'Tax scales - NAT 1004'!$A$25:$C$33,2,1)-VLOOKUP((TRUNC(($AN522+0.01)*3/13,0)+0.99),'Tax scales - NAT 1004'!$A$25:$C$33,3,1)),0)
*13/3,
0),
IF($E$2="Monthly",
ROUND(
ROUND(((TRUNC($AN522*3/13,0)+0.99)*VLOOKUP((TRUNC($AN522*3/13,0)+0.99),'Tax scales - NAT 1004'!$A$25:$C$33,2,1)-VLOOKUP((TRUNC($AN522*3/13,0)+0.99),'Tax scales - NAT 1004'!$A$25:$C$33,3,1)),0)
*13/3,
0),
""))),
""),
"")</f>
        <v/>
      </c>
      <c r="AQ522" s="118" t="str">
        <f>IFERROR(
IF(VLOOKUP($C522,'Employee information'!$B:$M,COLUMNS('Employee information'!$B:$M),0)=3,
IF($E$2="Fortnightly",
ROUND(
ROUND((((TRUNC($AN522/2,0)+0.99))*VLOOKUP((TRUNC($AN522/2,0)+0.99),'Tax scales - NAT 1004'!$A$39:$C$41,2,1)-VLOOKUP((TRUNC($AN522/2,0)+0.99),'Tax scales - NAT 1004'!$A$39:$C$41,3,1)),0)
*2,
0),
IF(AND($E$2="Monthly",ROUND($AN522-TRUNC($AN522),2)=0.33),
ROUND(
ROUND(((TRUNC(($AN522+0.01)*3/13,0)+0.99)*VLOOKUP((TRUNC(($AN522+0.01)*3/13,0)+0.99),'Tax scales - NAT 1004'!$A$39:$C$41,2,1)-VLOOKUP((TRUNC(($AN522+0.01)*3/13,0)+0.99),'Tax scales - NAT 1004'!$A$39:$C$41,3,1)),0)
*13/3,
0),
IF($E$2="Monthly",
ROUND(
ROUND(((TRUNC($AN522*3/13,0)+0.99)*VLOOKUP((TRUNC($AN522*3/13,0)+0.99),'Tax scales - NAT 1004'!$A$39:$C$41,2,1)-VLOOKUP((TRUNC($AN522*3/13,0)+0.99),'Tax scales - NAT 1004'!$A$39:$C$41,3,1)),0)
*13/3,
0),
""))),
""),
"")</f>
        <v/>
      </c>
      <c r="AR522" s="118" t="str">
        <f>IFERROR(
IF(AND(VLOOKUP($C522,'Employee information'!$B:$M,COLUMNS('Employee information'!$B:$M),0)=4,
VLOOKUP($C522,'Employee information'!$B:$J,COLUMNS('Employee information'!$B:$J),0)="Resident"),
TRUNC(TRUNC($AN522)*'Tax scales - NAT 1004'!$B$47),
IF(AND(VLOOKUP($C522,'Employee information'!$B:$M,COLUMNS('Employee information'!$B:$M),0)=4,
VLOOKUP($C522,'Employee information'!$B:$J,COLUMNS('Employee information'!$B:$J),0)="Foreign resident"),
TRUNC(TRUNC($AN522)*'Tax scales - NAT 1004'!$B$48),
"")),
"")</f>
        <v/>
      </c>
      <c r="AS522" s="118" t="str">
        <f>IFERROR(
IF(VLOOKUP($C522,'Employee information'!$B:$M,COLUMNS('Employee information'!$B:$M),0)=5,
IF($E$2="Fortnightly",
ROUND(
ROUND((((TRUNC($AN522/2,0)+0.99))*VLOOKUP((TRUNC($AN522/2,0)+0.99),'Tax scales - NAT 1004'!$A$53:$C$59,2,1)-VLOOKUP((TRUNC($AN522/2,0)+0.99),'Tax scales - NAT 1004'!$A$53:$C$59,3,1)),0)
*2,
0),
IF(AND($E$2="Monthly",ROUND($AN522-TRUNC($AN522),2)=0.33),
ROUND(
ROUND(((TRUNC(($AN522+0.01)*3/13,0)+0.99)*VLOOKUP((TRUNC(($AN522+0.01)*3/13,0)+0.99),'Tax scales - NAT 1004'!$A$53:$C$59,2,1)-VLOOKUP((TRUNC(($AN522+0.01)*3/13,0)+0.99),'Tax scales - NAT 1004'!$A$53:$C$59,3,1)),0)
*13/3,
0),
IF($E$2="Monthly",
ROUND(
ROUND(((TRUNC($AN522*3/13,0)+0.99)*VLOOKUP((TRUNC($AN522*3/13,0)+0.99),'Tax scales - NAT 1004'!$A$53:$C$59,2,1)-VLOOKUP((TRUNC($AN522*3/13,0)+0.99),'Tax scales - NAT 1004'!$A$53:$C$59,3,1)),0)
*13/3,
0),
""))),
""),
"")</f>
        <v/>
      </c>
      <c r="AT522" s="118" t="str">
        <f>IFERROR(
IF(VLOOKUP($C522,'Employee information'!$B:$M,COLUMNS('Employee information'!$B:$M),0)=6,
IF($E$2="Fortnightly",
ROUND(
ROUND((((TRUNC($AN522/2,0)+0.99))*VLOOKUP((TRUNC($AN522/2,0)+0.99),'Tax scales - NAT 1004'!$A$65:$C$73,2,1)-VLOOKUP((TRUNC($AN522/2,0)+0.99),'Tax scales - NAT 1004'!$A$65:$C$73,3,1)),0)
*2,
0),
IF(AND($E$2="Monthly",ROUND($AN522-TRUNC($AN522),2)=0.33),
ROUND(
ROUND(((TRUNC(($AN522+0.01)*3/13,0)+0.99)*VLOOKUP((TRUNC(($AN522+0.01)*3/13,0)+0.99),'Tax scales - NAT 1004'!$A$65:$C$73,2,1)-VLOOKUP((TRUNC(($AN522+0.01)*3/13,0)+0.99),'Tax scales - NAT 1004'!$A$65:$C$73,3,1)),0)
*13/3,
0),
IF($E$2="Monthly",
ROUND(
ROUND(((TRUNC($AN522*3/13,0)+0.99)*VLOOKUP((TRUNC($AN522*3/13,0)+0.99),'Tax scales - NAT 1004'!$A$65:$C$73,2,1)-VLOOKUP((TRUNC($AN522*3/13,0)+0.99),'Tax scales - NAT 1004'!$A$65:$C$73,3,1)),0)
*13/3,
0),
""))),
""),
"")</f>
        <v/>
      </c>
      <c r="AU522" s="118" t="str">
        <f>IFERROR(
IF(VLOOKUP($C522,'Employee information'!$B:$M,COLUMNS('Employee information'!$B:$M),0)=11,
IF($E$2="Fortnightly",
ROUND(
ROUND((((TRUNC($AN522/2,0)+0.99))*VLOOKUP((TRUNC($AN522/2,0)+0.99),'Tax scales - NAT 3539'!$A$14:$C$38,2,1)-VLOOKUP((TRUNC($AN522/2,0)+0.99),'Tax scales - NAT 3539'!$A$14:$C$38,3,1)),0)
*2,
0),
IF(AND($E$2="Monthly",ROUND($AN522-TRUNC($AN522),2)=0.33),
ROUND(
ROUND(((TRUNC(($AN522+0.01)*3/13,0)+0.99)*VLOOKUP((TRUNC(($AN522+0.01)*3/13,0)+0.99),'Tax scales - NAT 3539'!$A$14:$C$38,2,1)-VLOOKUP((TRUNC(($AN522+0.01)*3/13,0)+0.99),'Tax scales - NAT 3539'!$A$14:$C$38,3,1)),0)
*13/3,
0),
IF($E$2="Monthly",
ROUND(
ROUND(((TRUNC($AN522*3/13,0)+0.99)*VLOOKUP((TRUNC($AN522*3/13,0)+0.99),'Tax scales - NAT 3539'!$A$14:$C$38,2,1)-VLOOKUP((TRUNC($AN522*3/13,0)+0.99),'Tax scales - NAT 3539'!$A$14:$C$38,3,1)),0)
*13/3,
0),
""))),
""),
"")</f>
        <v/>
      </c>
      <c r="AV522" s="118" t="str">
        <f>IFERROR(
IF(VLOOKUP($C522,'Employee information'!$B:$M,COLUMNS('Employee information'!$B:$M),0)=22,
IF($E$2="Fortnightly",
ROUND(
ROUND((((TRUNC($AN522/2,0)+0.99))*VLOOKUP((TRUNC($AN522/2,0)+0.99),'Tax scales - NAT 3539'!$A$43:$C$69,2,1)-VLOOKUP((TRUNC($AN522/2,0)+0.99),'Tax scales - NAT 3539'!$A$43:$C$69,3,1)),0)
*2,
0),
IF(AND($E$2="Monthly",ROUND($AN522-TRUNC($AN522),2)=0.33),
ROUND(
ROUND(((TRUNC(($AN522+0.01)*3/13,0)+0.99)*VLOOKUP((TRUNC(($AN522+0.01)*3/13,0)+0.99),'Tax scales - NAT 3539'!$A$43:$C$69,2,1)-VLOOKUP((TRUNC(($AN522+0.01)*3/13,0)+0.99),'Tax scales - NAT 3539'!$A$43:$C$69,3,1)),0)
*13/3,
0),
IF($E$2="Monthly",
ROUND(
ROUND(((TRUNC($AN522*3/13,0)+0.99)*VLOOKUP((TRUNC($AN522*3/13,0)+0.99),'Tax scales - NAT 3539'!$A$43:$C$69,2,1)-VLOOKUP((TRUNC($AN522*3/13,0)+0.99),'Tax scales - NAT 3539'!$A$43:$C$69,3,1)),0)
*13/3,
0),
""))),
""),
"")</f>
        <v/>
      </c>
      <c r="AW522" s="118" t="str">
        <f>IFERROR(
IF(VLOOKUP($C522,'Employee information'!$B:$M,COLUMNS('Employee information'!$B:$M),0)=33,
IF($E$2="Fortnightly",
ROUND(
ROUND((((TRUNC($AN522/2,0)+0.99))*VLOOKUP((TRUNC($AN522/2,0)+0.99),'Tax scales - NAT 3539'!$A$74:$C$94,2,1)-VLOOKUP((TRUNC($AN522/2,0)+0.99),'Tax scales - NAT 3539'!$A$74:$C$94,3,1)),0)
*2,
0),
IF(AND($E$2="Monthly",ROUND($AN522-TRUNC($AN522),2)=0.33),
ROUND(
ROUND(((TRUNC(($AN522+0.01)*3/13,0)+0.99)*VLOOKUP((TRUNC(($AN522+0.01)*3/13,0)+0.99),'Tax scales - NAT 3539'!$A$74:$C$94,2,1)-VLOOKUP((TRUNC(($AN522+0.01)*3/13,0)+0.99),'Tax scales - NAT 3539'!$A$74:$C$94,3,1)),0)
*13/3,
0),
IF($E$2="Monthly",
ROUND(
ROUND(((TRUNC($AN522*3/13,0)+0.99)*VLOOKUP((TRUNC($AN522*3/13,0)+0.99),'Tax scales - NAT 3539'!$A$74:$C$94,2,1)-VLOOKUP((TRUNC($AN522*3/13,0)+0.99),'Tax scales - NAT 3539'!$A$74:$C$94,3,1)),0)
*13/3,
0),
""))),
""),
"")</f>
        <v/>
      </c>
      <c r="AX522" s="118" t="str">
        <f>IFERROR(
IF(VLOOKUP($C522,'Employee information'!$B:$M,COLUMNS('Employee information'!$B:$M),0)=55,
IF($E$2="Fortnightly",
ROUND(
ROUND((((TRUNC($AN522/2,0)+0.99))*VLOOKUP((TRUNC($AN522/2,0)+0.99),'Tax scales - NAT 3539'!$A$99:$C$123,2,1)-VLOOKUP((TRUNC($AN522/2,0)+0.99),'Tax scales - NAT 3539'!$A$99:$C$123,3,1)),0)
*2,
0),
IF(AND($E$2="Monthly",ROUND($AN522-TRUNC($AN522),2)=0.33),
ROUND(
ROUND(((TRUNC(($AN522+0.01)*3/13,0)+0.99)*VLOOKUP((TRUNC(($AN522+0.01)*3/13,0)+0.99),'Tax scales - NAT 3539'!$A$99:$C$123,2,1)-VLOOKUP((TRUNC(($AN522+0.01)*3/13,0)+0.99),'Tax scales - NAT 3539'!$A$99:$C$123,3,1)),0)
*13/3,
0),
IF($E$2="Monthly",
ROUND(
ROUND(((TRUNC($AN522*3/13,0)+0.99)*VLOOKUP((TRUNC($AN522*3/13,0)+0.99),'Tax scales - NAT 3539'!$A$99:$C$123,2,1)-VLOOKUP((TRUNC($AN522*3/13,0)+0.99),'Tax scales - NAT 3539'!$A$99:$C$123,3,1)),0)
*13/3,
0),
""))),
""),
"")</f>
        <v/>
      </c>
      <c r="AY522" s="118" t="str">
        <f>IFERROR(
IF(VLOOKUP($C522,'Employee information'!$B:$M,COLUMNS('Employee information'!$B:$M),0)=66,
IF($E$2="Fortnightly",
ROUND(
ROUND((((TRUNC($AN522/2,0)+0.99))*VLOOKUP((TRUNC($AN522/2,0)+0.99),'Tax scales - NAT 3539'!$A$127:$C$154,2,1)-VLOOKUP((TRUNC($AN522/2,0)+0.99),'Tax scales - NAT 3539'!$A$127:$C$154,3,1)),0)
*2,
0),
IF(AND($E$2="Monthly",ROUND($AN522-TRUNC($AN522),2)=0.33),
ROUND(
ROUND(((TRUNC(($AN522+0.01)*3/13,0)+0.99)*VLOOKUP((TRUNC(($AN522+0.01)*3/13,0)+0.99),'Tax scales - NAT 3539'!$A$127:$C$154,2,1)-VLOOKUP((TRUNC(($AN522+0.01)*3/13,0)+0.99),'Tax scales - NAT 3539'!$A$127:$C$154,3,1)),0)
*13/3,
0),
IF($E$2="Monthly",
ROUND(
ROUND(((TRUNC($AN522*3/13,0)+0.99)*VLOOKUP((TRUNC($AN522*3/13,0)+0.99),'Tax scales - NAT 3539'!$A$127:$C$154,2,1)-VLOOKUP((TRUNC($AN522*3/13,0)+0.99),'Tax scales - NAT 3539'!$A$127:$C$154,3,1)),0)
*13/3,
0),
""))),
""),
"")</f>
        <v/>
      </c>
      <c r="AZ522" s="118">
        <f>IFERROR(
HLOOKUP(VLOOKUP($C522,'Employee information'!$B:$M,COLUMNS('Employee information'!$B:$M),0),'PAYG worksheet'!$AO$503:$AY$522,COUNTA($C$504:$C522)+1,0),
0)</f>
        <v>0</v>
      </c>
      <c r="BA522" s="118"/>
      <c r="BB522" s="118">
        <f t="shared" si="542"/>
        <v>0</v>
      </c>
      <c r="BC522" s="119">
        <f>IFERROR(
IF(OR($AE522=1,$AE522=""),SUM($P522,$AA522,$AC522,$AK522)*VLOOKUP($C522,'Employee information'!$B:$Q,COLUMNS('Employee information'!$B:$H),0),
IF($AE522=0,SUM($P522,$AA522,$AK522)*VLOOKUP($C522,'Employee information'!$B:$Q,COLUMNS('Employee information'!$B:$H),0),
0)),
0)</f>
        <v>0</v>
      </c>
      <c r="BE522" s="114">
        <f t="shared" si="527"/>
        <v>0</v>
      </c>
      <c r="BF522" s="114">
        <f t="shared" si="528"/>
        <v>0</v>
      </c>
      <c r="BG522" s="114">
        <f t="shared" si="529"/>
        <v>0</v>
      </c>
      <c r="BH522" s="114">
        <f t="shared" si="530"/>
        <v>0</v>
      </c>
      <c r="BI522" s="114">
        <f t="shared" si="531"/>
        <v>0</v>
      </c>
      <c r="BJ522" s="114">
        <f t="shared" si="532"/>
        <v>0</v>
      </c>
      <c r="BK522" s="114">
        <f t="shared" si="533"/>
        <v>0</v>
      </c>
      <c r="BL522" s="114">
        <f t="shared" si="543"/>
        <v>0</v>
      </c>
      <c r="BM522" s="114">
        <f t="shared" si="534"/>
        <v>0</v>
      </c>
    </row>
    <row r="523" spans="1:65" x14ac:dyDescent="0.25">
      <c r="C523" s="284" t="s">
        <v>39</v>
      </c>
      <c r="D523" s="223"/>
      <c r="E523" s="111">
        <f>SUM(E504:E522)</f>
        <v>345</v>
      </c>
      <c r="F523" s="112">
        <f t="shared" ref="F523:H523" si="544">SUM(F504:F522)</f>
        <v>0</v>
      </c>
      <c r="G523" s="112">
        <f t="shared" si="544"/>
        <v>0</v>
      </c>
      <c r="H523" s="112">
        <f t="shared" si="544"/>
        <v>0</v>
      </c>
      <c r="I523" s="112"/>
      <c r="J523" s="111">
        <f t="shared" ref="J523" si="545">SUM(J504:J522)</f>
        <v>345</v>
      </c>
      <c r="K523" s="223"/>
      <c r="L523" s="115">
        <f>SUM(L504:L522)</f>
        <v>19122.576396206536</v>
      </c>
      <c r="M523" s="115">
        <f>SUM(M504:M522)</f>
        <v>346721.75974710222</v>
      </c>
      <c r="N523" s="223"/>
      <c r="O523" s="116">
        <f>SUM(O504:O522)</f>
        <v>345</v>
      </c>
      <c r="P523" s="117">
        <f>SUM(P504:P522)</f>
        <v>19122.576396206536</v>
      </c>
      <c r="R523" s="117">
        <f>SUM(R504:R522)</f>
        <v>346721.75974710222</v>
      </c>
      <c r="S523" s="223"/>
      <c r="T523" s="116">
        <f>SUM(T504:T522)</f>
        <v>0</v>
      </c>
      <c r="U523" s="116">
        <f t="shared" ref="U523:Y523" si="546">SUM(U504:U522)</f>
        <v>0</v>
      </c>
      <c r="V523" s="285">
        <f t="shared" si="546"/>
        <v>0</v>
      </c>
      <c r="W523" s="285">
        <f t="shared" si="546"/>
        <v>0</v>
      </c>
      <c r="X523" s="285">
        <f t="shared" si="546"/>
        <v>1538.4615384615386</v>
      </c>
      <c r="Y523" s="285">
        <f t="shared" si="546"/>
        <v>801.28205128205127</v>
      </c>
      <c r="Z523" s="223"/>
      <c r="AA523" s="117">
        <f t="shared" ref="AA523" si="547">SUM(AA504:AA522)</f>
        <v>0</v>
      </c>
      <c r="AC523" s="117">
        <f t="shared" ref="AC523" si="548">SUM(AC504:AC522)</f>
        <v>0</v>
      </c>
      <c r="AD523" s="117"/>
      <c r="AE523" s="117"/>
      <c r="AF523" s="117"/>
      <c r="AG523" s="117">
        <f t="shared" ref="AG523" si="549">SUM(AG504:AG522)</f>
        <v>0</v>
      </c>
      <c r="AH523" s="117"/>
      <c r="AI523" s="117"/>
      <c r="AJ523" s="117">
        <f>SUM(AJ504:AJ522)</f>
        <v>0</v>
      </c>
      <c r="AK523" s="117">
        <f>SUM(AK504:AK522)</f>
        <v>0</v>
      </c>
      <c r="AM523" s="117">
        <f t="shared" ref="AM523:AN523" si="550">SUM(AM504:AM522)</f>
        <v>19122.576396206536</v>
      </c>
      <c r="AN523" s="117">
        <f t="shared" si="550"/>
        <v>19122.576396206536</v>
      </c>
      <c r="AO523" s="117"/>
      <c r="AP523" s="117"/>
      <c r="AQ523" s="117"/>
      <c r="AR523" s="117"/>
      <c r="AS523" s="117"/>
      <c r="AT523" s="117"/>
      <c r="AU523" s="117"/>
      <c r="AV523" s="117"/>
      <c r="AW523" s="117"/>
      <c r="AX523" s="117"/>
      <c r="AY523" s="117"/>
      <c r="AZ523" s="117">
        <f>SUM(AZ504:AZ522)</f>
        <v>7481</v>
      </c>
      <c r="BA523" s="117">
        <f>SUM(BA504:BA522)</f>
        <v>0</v>
      </c>
      <c r="BB523" s="117">
        <f>SUM(BB504:BB522)</f>
        <v>11641.576396206534</v>
      </c>
      <c r="BC523" s="117">
        <f t="shared" ref="BC523" si="551">SUM(BC504:BC522)</f>
        <v>1816.6447576396208</v>
      </c>
      <c r="BD523" s="136"/>
      <c r="BE523" s="117">
        <f t="shared" ref="BE523:BM523" si="552">SUM(BE504:BE522)</f>
        <v>346961.75974710222</v>
      </c>
      <c r="BF523" s="117">
        <f t="shared" si="552"/>
        <v>346821.75974710222</v>
      </c>
      <c r="BG523" s="117">
        <f t="shared" si="552"/>
        <v>0</v>
      </c>
      <c r="BH523" s="117">
        <f t="shared" si="552"/>
        <v>140</v>
      </c>
      <c r="BI523" s="117">
        <f t="shared" si="552"/>
        <v>135472</v>
      </c>
      <c r="BJ523" s="117">
        <f t="shared" si="552"/>
        <v>0</v>
      </c>
      <c r="BK523" s="117">
        <f t="shared" si="552"/>
        <v>0</v>
      </c>
      <c r="BL523" s="117">
        <f t="shared" si="552"/>
        <v>100</v>
      </c>
      <c r="BM523" s="117">
        <f t="shared" si="552"/>
        <v>32948.067175974706</v>
      </c>
    </row>
    <row r="525" spans="1:65" x14ac:dyDescent="0.25">
      <c r="B525" s="228">
        <v>19</v>
      </c>
      <c r="C525" s="230" t="s">
        <v>2</v>
      </c>
      <c r="E525" s="232">
        <v>44116</v>
      </c>
      <c r="F525" s="148" t="s">
        <v>91</v>
      </c>
      <c r="L525" s="286"/>
      <c r="T525" s="127"/>
      <c r="U525" s="127"/>
      <c r="V525" s="127"/>
      <c r="W525" s="127"/>
      <c r="X525" s="127"/>
      <c r="Y525" s="127"/>
    </row>
    <row r="526" spans="1:65" x14ac:dyDescent="0.25">
      <c r="C526" s="230" t="s">
        <v>3</v>
      </c>
      <c r="E526" s="232">
        <v>44127</v>
      </c>
      <c r="F526" s="148" t="s">
        <v>90</v>
      </c>
      <c r="G526" s="229"/>
      <c r="H526" s="229"/>
      <c r="I526" s="229"/>
      <c r="J526" s="229"/>
      <c r="L526" s="164"/>
      <c r="T526" s="127"/>
      <c r="U526" s="127"/>
      <c r="V526" s="127"/>
      <c r="W526" s="127"/>
      <c r="X526" s="127"/>
      <c r="Y526" s="127"/>
    </row>
    <row r="527" spans="1:65" x14ac:dyDescent="0.25">
      <c r="C527" s="233"/>
    </row>
    <row r="528" spans="1:65" ht="34.5" customHeight="1" x14ac:dyDescent="0.25">
      <c r="C528" s="234"/>
      <c r="D528" s="235"/>
      <c r="E528" s="441" t="s">
        <v>4</v>
      </c>
      <c r="F528" s="442"/>
      <c r="G528" s="442"/>
      <c r="H528" s="442"/>
      <c r="I528" s="442"/>
      <c r="J528" s="443"/>
      <c r="L528" s="444" t="s">
        <v>253</v>
      </c>
      <c r="M528" s="445"/>
      <c r="N528" s="235"/>
      <c r="O528" s="444" t="s">
        <v>148</v>
      </c>
      <c r="P528" s="445"/>
      <c r="R528" s="235"/>
      <c r="T528" s="446" t="s">
        <v>269</v>
      </c>
      <c r="U528" s="447"/>
      <c r="V528" s="447"/>
      <c r="W528" s="447"/>
      <c r="X528" s="447"/>
      <c r="Y528" s="447"/>
      <c r="Z528" s="447"/>
      <c r="AA528" s="447"/>
      <c r="AC528" s="438" t="s">
        <v>274</v>
      </c>
      <c r="AD528" s="438"/>
      <c r="AE528" s="438"/>
      <c r="AF528" s="438"/>
      <c r="AG528" s="438"/>
      <c r="AH528" s="438"/>
      <c r="AI528" s="438"/>
      <c r="AJ528" s="438"/>
      <c r="AK528" s="438"/>
      <c r="AM528" s="439" t="s">
        <v>270</v>
      </c>
      <c r="AN528" s="439"/>
      <c r="AO528" s="439"/>
      <c r="AP528" s="439"/>
      <c r="AQ528" s="439"/>
      <c r="AR528" s="439"/>
      <c r="AS528" s="439"/>
      <c r="AT528" s="439"/>
      <c r="AU528" s="439"/>
      <c r="AV528" s="439"/>
      <c r="AW528" s="439"/>
      <c r="AX528" s="439"/>
      <c r="AY528" s="439"/>
      <c r="AZ528" s="439"/>
      <c r="BA528" s="439"/>
      <c r="BB528" s="439"/>
      <c r="BC528" s="440"/>
      <c r="BE528" s="439" t="s">
        <v>246</v>
      </c>
      <c r="BF528" s="439"/>
      <c r="BG528" s="439"/>
      <c r="BH528" s="439"/>
      <c r="BI528" s="439"/>
      <c r="BJ528" s="439"/>
      <c r="BK528" s="439"/>
      <c r="BL528" s="439"/>
      <c r="BM528" s="439"/>
    </row>
    <row r="529" spans="1:65" x14ac:dyDescent="0.25">
      <c r="C529" s="236"/>
      <c r="E529" s="229"/>
      <c r="F529" s="229"/>
      <c r="G529" s="229"/>
      <c r="H529" s="229"/>
      <c r="I529" s="229"/>
      <c r="J529" s="229"/>
      <c r="L529" s="164"/>
      <c r="O529" s="229"/>
      <c r="P529" s="164"/>
      <c r="T529" s="127"/>
      <c r="U529" s="127"/>
      <c r="V529" s="127"/>
      <c r="W529" s="127"/>
      <c r="X529" s="127"/>
      <c r="Y529" s="127"/>
      <c r="AA529" s="229"/>
      <c r="AC529" s="229"/>
      <c r="AD529" s="229"/>
      <c r="AE529" s="229"/>
      <c r="AF529" s="229"/>
      <c r="AG529" s="229"/>
      <c r="AH529" s="229"/>
      <c r="AI529" s="229"/>
      <c r="AJ529" s="229"/>
      <c r="AK529" s="127"/>
      <c r="AM529" s="229"/>
      <c r="AN529" s="229"/>
      <c r="AO529" s="229"/>
      <c r="AP529" s="229"/>
      <c r="AQ529" s="229"/>
      <c r="AR529" s="229"/>
      <c r="AS529" s="229"/>
      <c r="AT529" s="229"/>
      <c r="AU529" s="229"/>
      <c r="AV529" s="229"/>
      <c r="AW529" s="229"/>
      <c r="AX529" s="229"/>
      <c r="AY529" s="229"/>
      <c r="AZ529" s="229"/>
      <c r="BA529" s="229"/>
      <c r="BB529" s="229"/>
      <c r="BC529" s="229"/>
    </row>
    <row r="530" spans="1:65" ht="60" x14ac:dyDescent="0.25">
      <c r="C530" s="238" t="s">
        <v>5</v>
      </c>
      <c r="D530" s="239"/>
      <c r="E530" s="240" t="s">
        <v>268</v>
      </c>
      <c r="F530" s="241" t="s">
        <v>271</v>
      </c>
      <c r="G530" s="242" t="s">
        <v>267</v>
      </c>
      <c r="H530" s="243" t="s">
        <v>266</v>
      </c>
      <c r="I530" s="242" t="s">
        <v>265</v>
      </c>
      <c r="J530" s="244" t="s">
        <v>6</v>
      </c>
      <c r="L530" s="245" t="s">
        <v>7</v>
      </c>
      <c r="M530" s="246" t="s">
        <v>254</v>
      </c>
      <c r="N530" s="247"/>
      <c r="O530" s="248" t="s">
        <v>272</v>
      </c>
      <c r="P530" s="249" t="s">
        <v>200</v>
      </c>
      <c r="R530" s="250" t="s">
        <v>151</v>
      </c>
      <c r="T530" s="251" t="s">
        <v>8</v>
      </c>
      <c r="U530" s="252" t="s">
        <v>9</v>
      </c>
      <c r="V530" s="252" t="s">
        <v>120</v>
      </c>
      <c r="W530" s="252" t="s">
        <v>121</v>
      </c>
      <c r="X530" s="253" t="s">
        <v>118</v>
      </c>
      <c r="Y530" s="254" t="s">
        <v>119</v>
      </c>
      <c r="AA530" s="255" t="s">
        <v>84</v>
      </c>
      <c r="AC530" s="256" t="s">
        <v>142</v>
      </c>
      <c r="AD530" s="256" t="s">
        <v>138</v>
      </c>
      <c r="AE530" s="257" t="s">
        <v>147</v>
      </c>
      <c r="AF530" s="257" t="s">
        <v>149</v>
      </c>
      <c r="AG530" s="256" t="s">
        <v>305</v>
      </c>
      <c r="AH530" s="256" t="s">
        <v>306</v>
      </c>
      <c r="AI530" s="257" t="s">
        <v>150</v>
      </c>
      <c r="AJ530" s="258" t="s">
        <v>250</v>
      </c>
      <c r="AK530" s="259" t="s">
        <v>373</v>
      </c>
      <c r="AM530" s="260" t="s">
        <v>256</v>
      </c>
      <c r="AN530" s="261" t="s">
        <v>372</v>
      </c>
      <c r="AO530" s="253" t="s">
        <v>170</v>
      </c>
      <c r="AP530" s="253" t="s">
        <v>171</v>
      </c>
      <c r="AQ530" s="253" t="s">
        <v>172</v>
      </c>
      <c r="AR530" s="253" t="s">
        <v>173</v>
      </c>
      <c r="AS530" s="253" t="s">
        <v>174</v>
      </c>
      <c r="AT530" s="253" t="s">
        <v>175</v>
      </c>
      <c r="AU530" s="262" t="s">
        <v>210</v>
      </c>
      <c r="AV530" s="262" t="s">
        <v>211</v>
      </c>
      <c r="AW530" s="262" t="s">
        <v>212</v>
      </c>
      <c r="AX530" s="262" t="s">
        <v>213</v>
      </c>
      <c r="AY530" s="263" t="s">
        <v>214</v>
      </c>
      <c r="AZ530" s="264" t="s">
        <v>111</v>
      </c>
      <c r="BA530" s="265" t="s">
        <v>199</v>
      </c>
      <c r="BB530" s="252" t="s">
        <v>223</v>
      </c>
      <c r="BC530" s="260" t="s">
        <v>112</v>
      </c>
      <c r="BE530" s="260" t="s">
        <v>257</v>
      </c>
      <c r="BF530" s="266" t="s">
        <v>255</v>
      </c>
      <c r="BG530" s="262" t="s">
        <v>247</v>
      </c>
      <c r="BH530" s="262" t="s">
        <v>248</v>
      </c>
      <c r="BI530" s="260" t="s">
        <v>249</v>
      </c>
      <c r="BJ530" s="253" t="s">
        <v>199</v>
      </c>
      <c r="BK530" s="262" t="s">
        <v>251</v>
      </c>
      <c r="BL530" s="259" t="s">
        <v>373</v>
      </c>
      <c r="BM530" s="260" t="s">
        <v>252</v>
      </c>
    </row>
    <row r="531" spans="1:65" x14ac:dyDescent="0.25">
      <c r="T531" s="120"/>
      <c r="U531" s="120"/>
      <c r="V531" s="120"/>
      <c r="W531" s="120"/>
      <c r="X531" s="120"/>
      <c r="Y531" s="120"/>
      <c r="AM531" s="267" t="s">
        <v>322</v>
      </c>
      <c r="AN531" s="237"/>
      <c r="AO531" s="237"/>
      <c r="AP531" s="237"/>
      <c r="AQ531" s="237"/>
      <c r="AR531" s="237"/>
      <c r="AS531" s="237"/>
      <c r="AT531" s="237"/>
      <c r="AU531" s="237"/>
      <c r="AV531" s="237"/>
      <c r="AW531" s="237"/>
      <c r="AX531" s="237"/>
      <c r="AY531" s="237"/>
      <c r="AZ531" s="436" t="s">
        <v>320</v>
      </c>
      <c r="BA531" s="437"/>
      <c r="BB531" s="237"/>
      <c r="BC531" s="267" t="s">
        <v>321</v>
      </c>
    </row>
    <row r="532" spans="1:65" x14ac:dyDescent="0.25">
      <c r="A532" s="228">
        <f t="shared" ref="A532:A551" si="553">IF($E$526="","",$B$525)</f>
        <v>19</v>
      </c>
      <c r="C532" s="268"/>
      <c r="D532" s="239"/>
      <c r="E532" s="269"/>
      <c r="F532" s="270"/>
      <c r="G532" s="271"/>
      <c r="H532" s="272"/>
      <c r="I532" s="271"/>
      <c r="J532" s="273"/>
      <c r="O532" s="274"/>
      <c r="P532" s="247"/>
      <c r="T532" s="271"/>
      <c r="U532" s="271"/>
      <c r="V532" s="275"/>
      <c r="W532" s="269"/>
      <c r="X532" s="269"/>
      <c r="Y532" s="269"/>
      <c r="AA532" s="271"/>
      <c r="AC532" s="271"/>
      <c r="AD532" s="271"/>
      <c r="AE532" s="271"/>
      <c r="AF532" s="271"/>
      <c r="AG532" s="271"/>
      <c r="AH532" s="271"/>
      <c r="AI532" s="271"/>
      <c r="AJ532" s="271"/>
      <c r="AK532" s="275"/>
      <c r="AM532" s="271"/>
      <c r="AN532" s="271"/>
      <c r="AO532" s="276">
        <v>1</v>
      </c>
      <c r="AP532" s="276">
        <v>2</v>
      </c>
      <c r="AQ532" s="276">
        <v>3</v>
      </c>
      <c r="AR532" s="277">
        <v>4</v>
      </c>
      <c r="AS532" s="276">
        <v>5</v>
      </c>
      <c r="AT532" s="276">
        <v>6</v>
      </c>
      <c r="AU532" s="276">
        <v>11</v>
      </c>
      <c r="AV532" s="276">
        <v>22</v>
      </c>
      <c r="AW532" s="276">
        <v>33</v>
      </c>
      <c r="AX532" s="276">
        <v>55</v>
      </c>
      <c r="AY532" s="276">
        <v>66</v>
      </c>
      <c r="AZ532" s="271"/>
      <c r="BA532" s="271"/>
      <c r="BB532" s="271"/>
      <c r="BC532" s="273"/>
    </row>
    <row r="533" spans="1:65" x14ac:dyDescent="0.25">
      <c r="A533" s="228">
        <f t="shared" si="553"/>
        <v>19</v>
      </c>
      <c r="C533" s="278" t="s">
        <v>12</v>
      </c>
      <c r="E533" s="103">
        <f>IF($C533="",0,
IF(AND($E$2="Monthly",$A533&gt;12),0,
IF($E$2="Monthly",VLOOKUP($C533,'Employee information'!$B:$AM,COLUMNS('Employee information'!$B:S),0),
IF($E$2="Fortnightly",VLOOKUP($C533,'Employee information'!$B:$AM,COLUMNS('Employee information'!$B:R),0),
0))))</f>
        <v>75</v>
      </c>
      <c r="F533" s="279"/>
      <c r="G533" s="106"/>
      <c r="H533" s="280"/>
      <c r="I533" s="106"/>
      <c r="J533" s="103">
        <f>IF($E$2="Monthly",
IF(AND($E$2="Monthly",$H533&lt;&gt;""),$H533,
IF(AND($E$2="Monthly",$E533=0),SUM($F533:$G533),
$E533)),
IF($E$2="Fortnightly",
IF(AND($E$2="Fortnightly",$H533&lt;&gt;""),$H533,
IF(AND($E$2="Fortnightly",$F533&lt;&gt;"",$E533&lt;&gt;0),$F533,
IF(AND($E$2="Fortnightly",$E533=0),SUM($F533:$G533),
$E533)))))</f>
        <v>75</v>
      </c>
      <c r="L533" s="113">
        <f>IF(AND($E$2="Monthly",$A533&gt;12),"",
IFERROR($J533*VLOOKUP($C533,'Employee information'!$B:$AI,COLUMNS('Employee information'!$B:$P),0),0))</f>
        <v>3697.576396206533</v>
      </c>
      <c r="M533" s="114">
        <f>IF(AND($E$2="Monthly",$A533&gt;12),"",
SUMIFS($L:$L,$C:$C,$C533,$A:$A,"&lt;="&amp;$A533)
)</f>
        <v>70253.951527924131</v>
      </c>
      <c r="O533" s="103">
        <f>IF($E$2="Monthly",
IF(AND($E$2="Monthly",$H533&lt;&gt;""),$H533,
IF(AND($E$2="Monthly",$E533=0),$F533,
$E533)),
IF($E$2="Fortnightly",
IF(AND($E$2="Fortnightly",$H533&lt;&gt;""),$H533,
IF(AND($E$2="Fortnightly",$F533&lt;&gt;"",$E533&lt;&gt;0),$F533,
IF(AND($E$2="Fortnightly",$E533=0),$F533,
$E533)))))</f>
        <v>75</v>
      </c>
      <c r="P533" s="113">
        <f>IFERROR(
IF(AND($E$2="Monthly",$A533&gt;12),0,
$O533*VLOOKUP($C533,'Employee information'!$B:$AI,COLUMNS('Employee information'!$B:$P),0)),
0)</f>
        <v>3697.576396206533</v>
      </c>
      <c r="R533" s="114">
        <f t="shared" ref="R533:R551" si="554">IF(AND($E$2="Monthly",$A533&gt;12),"",
SUMIFS($P:$P,$C:$C,$C533,$A:$A,"&lt;="&amp;$A533)
)</f>
        <v>70253.951527924131</v>
      </c>
      <c r="T533" s="281"/>
      <c r="U533" s="103"/>
      <c r="V533" s="282">
        <f>IF($C533="","",
IF(AND($E$2="Monthly",$A533&gt;12),"",
$T533*VLOOKUP($C533,'Employee information'!$B:$P,COLUMNS('Employee information'!$B:$P),0)))</f>
        <v>0</v>
      </c>
      <c r="W533" s="282">
        <f>IF($C533="","",
IF(AND($E$2="Monthly",$A533&gt;12),"",
$U533*VLOOKUP($C533,'Employee information'!$B:$P,COLUMNS('Employee information'!$B:$P),0)))</f>
        <v>0</v>
      </c>
      <c r="X533" s="114">
        <f t="shared" ref="X533:X551" si="555">IF(AND($E$2="Monthly",$A533&gt;12),"",
SUMIFS($V:$V,$C:$C,$C533,$A:$A,"&lt;="&amp;$A533)
)</f>
        <v>0</v>
      </c>
      <c r="Y533" s="114">
        <f t="shared" ref="Y533:Y551" si="556">IF(AND($E$2="Monthly",$A533&gt;12),"",
SUMIFS($W:$W,$C:$C,$C533,$A:$A,"&lt;="&amp;$A533)
)</f>
        <v>0</v>
      </c>
      <c r="AA533" s="118">
        <f>IFERROR(
IF(OR('Basic payroll data'!$D$12="",'Basic payroll data'!$D$12="No"),0,
$T533*VLOOKUP($C533,'Employee information'!$B:$P,COLUMNS('Employee information'!$B:$P),0)*AL_loading_perc),
0)</f>
        <v>0</v>
      </c>
      <c r="AC533" s="118"/>
      <c r="AD533" s="118"/>
      <c r="AE533" s="283" t="str">
        <f>IF(LEFT($AD533,6)="Is OTE",1,
IF(LEFT($AD533,10)="Is not OTE",0,
""))</f>
        <v/>
      </c>
      <c r="AF533" s="283" t="str">
        <f>IF(RIGHT($AD533,12)="tax withheld",1,
IF(RIGHT($AD533,16)="tax not withheld",0,
""))</f>
        <v/>
      </c>
      <c r="AG533" s="118"/>
      <c r="AH533" s="118"/>
      <c r="AI533" s="283" t="str">
        <f>IF($AH533="FBT",0,
IF($AH533="Not FBT",1,
""))</f>
        <v/>
      </c>
      <c r="AJ533" s="118"/>
      <c r="AK533" s="118"/>
      <c r="AM533" s="118">
        <f>SUM($L533,$AA533,$AC533,$AG533,$AK533)-$AJ533</f>
        <v>3697.576396206533</v>
      </c>
      <c r="AN533" s="118">
        <f t="shared" ref="AN533:AN551" si="557">IF(AND(OR($AF533=1,$AF533=""),OR($AI533=1,$AI533="")),SUM($L533,$AA533,$AC533,$AG533,$AK533)-$AJ533,
IF(AND(OR($AF533=1,$AF533=""),$AI533=0),SUM($L533,$AA533,$AC533,$AK533)-$AJ533,
IF(AND($AF533=0,OR($AI533=1,$AI533="")),SUM($L533,$AA533,$AG533,$AK533)-$AJ533,
IF(AND($AF533=0,$AI533=0),SUM($L533,$AA533,$AK533)-$AJ533,
""))))</f>
        <v>3697.576396206533</v>
      </c>
      <c r="AO533" s="118" t="str">
        <f>IFERROR(
IF(VLOOKUP($C533,'Employee information'!$B:$M,COLUMNS('Employee information'!$B:$M),0)=1,
IF($E$2="Fortnightly",
ROUND(
ROUND((((TRUNC($AN533/2,0)+0.99))*VLOOKUP((TRUNC($AN533/2,0)+0.99),'Tax scales - NAT 1004'!$A$12:$C$18,2,1)-VLOOKUP((TRUNC($AN533/2,0)+0.99),'Tax scales - NAT 1004'!$A$12:$C$18,3,1)),0)
*2,
0),
IF(AND($E$2="Monthly",ROUND($AN533-TRUNC($AN533),2)=0.33),
ROUND(
ROUND(((TRUNC(($AN533+0.01)*3/13,0)+0.99)*VLOOKUP((TRUNC(($AN533+0.01)*3/13,0)+0.99),'Tax scales - NAT 1004'!$A$12:$C$18,2,1)-VLOOKUP((TRUNC(($AN533+0.01)*3/13,0)+0.99),'Tax scales - NAT 1004'!$A$12:$C$18,3,1)),0)
*13/3,
0),
IF($E$2="Monthly",
ROUND(
ROUND(((TRUNC($AN533*3/13,0)+0.99)*VLOOKUP((TRUNC($AN533*3/13,0)+0.99),'Tax scales - NAT 1004'!$A$12:$C$18,2,1)-VLOOKUP((TRUNC($AN533*3/13,0)+0.99),'Tax scales - NAT 1004'!$A$12:$C$18,3,1)),0)
*13/3,
0),
""))),
""),
"")</f>
        <v/>
      </c>
      <c r="AP533" s="118" t="str">
        <f>IFERROR(
IF(VLOOKUP($C533,'Employee information'!$B:$M,COLUMNS('Employee information'!$B:$M),0)=2,
IF($E$2="Fortnightly",
ROUND(
ROUND((((TRUNC($AN533/2,0)+0.99))*VLOOKUP((TRUNC($AN533/2,0)+0.99),'Tax scales - NAT 1004'!$A$25:$C$33,2,1)-VLOOKUP((TRUNC($AN533/2,0)+0.99),'Tax scales - NAT 1004'!$A$25:$C$33,3,1)),0)
*2,
0),
IF(AND($E$2="Monthly",ROUND($AN533-TRUNC($AN533),2)=0.33),
ROUND(
ROUND(((TRUNC(($AN533+0.01)*3/13,0)+0.99)*VLOOKUP((TRUNC(($AN533+0.01)*3/13,0)+0.99),'Tax scales - NAT 1004'!$A$25:$C$33,2,1)-VLOOKUP((TRUNC(($AN533+0.01)*3/13,0)+0.99),'Tax scales - NAT 1004'!$A$25:$C$33,3,1)),0)
*13/3,
0),
IF($E$2="Monthly",
ROUND(
ROUND(((TRUNC($AN533*3/13,0)+0.99)*VLOOKUP((TRUNC($AN533*3/13,0)+0.99),'Tax scales - NAT 1004'!$A$25:$C$33,2,1)-VLOOKUP((TRUNC($AN533*3/13,0)+0.99),'Tax scales - NAT 1004'!$A$25:$C$33,3,1)),0)
*13/3,
0),
""))),
""),
"")</f>
        <v/>
      </c>
      <c r="AQ533" s="118" t="str">
        <f>IFERROR(
IF(VLOOKUP($C533,'Employee information'!$B:$M,COLUMNS('Employee information'!$B:$M),0)=3,
IF($E$2="Fortnightly",
ROUND(
ROUND((((TRUNC($AN533/2,0)+0.99))*VLOOKUP((TRUNC($AN533/2,0)+0.99),'Tax scales - NAT 1004'!$A$39:$C$41,2,1)-VLOOKUP((TRUNC($AN533/2,0)+0.99),'Tax scales - NAT 1004'!$A$39:$C$41,3,1)),0)
*2,
0),
IF(AND($E$2="Monthly",ROUND($AN533-TRUNC($AN533),2)=0.33),
ROUND(
ROUND(((TRUNC(($AN533+0.01)*3/13,0)+0.99)*VLOOKUP((TRUNC(($AN533+0.01)*3/13,0)+0.99),'Tax scales - NAT 1004'!$A$39:$C$41,2,1)-VLOOKUP((TRUNC(($AN533+0.01)*3/13,0)+0.99),'Tax scales - NAT 1004'!$A$39:$C$41,3,1)),0)
*13/3,
0),
IF($E$2="Monthly",
ROUND(
ROUND(((TRUNC($AN533*3/13,0)+0.99)*VLOOKUP((TRUNC($AN533*3/13,0)+0.99),'Tax scales - NAT 1004'!$A$39:$C$41,2,1)-VLOOKUP((TRUNC($AN533*3/13,0)+0.99),'Tax scales - NAT 1004'!$A$39:$C$41,3,1)),0)
*13/3,
0),
""))),
""),
"")</f>
        <v/>
      </c>
      <c r="AR533" s="118" t="str">
        <f>IFERROR(
IF(AND(VLOOKUP($C533,'Employee information'!$B:$M,COLUMNS('Employee information'!$B:$M),0)=4,
VLOOKUP($C533,'Employee information'!$B:$J,COLUMNS('Employee information'!$B:$J),0)="Resident"),
TRUNC(TRUNC($AN533)*'Tax scales - NAT 1004'!$B$47),
IF(AND(VLOOKUP($C533,'Employee information'!$B:$M,COLUMNS('Employee information'!$B:$M),0)=4,
VLOOKUP($C533,'Employee information'!$B:$J,COLUMNS('Employee information'!$B:$J),0)="Foreign resident"),
TRUNC(TRUNC($AN533)*'Tax scales - NAT 1004'!$B$48),
"")),
"")</f>
        <v/>
      </c>
      <c r="AS533" s="118" t="str">
        <f>IFERROR(
IF(VLOOKUP($C533,'Employee information'!$B:$M,COLUMNS('Employee information'!$B:$M),0)=5,
IF($E$2="Fortnightly",
ROUND(
ROUND((((TRUNC($AN533/2,0)+0.99))*VLOOKUP((TRUNC($AN533/2,0)+0.99),'Tax scales - NAT 1004'!$A$53:$C$59,2,1)-VLOOKUP((TRUNC($AN533/2,0)+0.99),'Tax scales - NAT 1004'!$A$53:$C$59,3,1)),0)
*2,
0),
IF(AND($E$2="Monthly",ROUND($AN533-TRUNC($AN533),2)=0.33),
ROUND(
ROUND(((TRUNC(($AN533+0.01)*3/13,0)+0.99)*VLOOKUP((TRUNC(($AN533+0.01)*3/13,0)+0.99),'Tax scales - NAT 1004'!$A$53:$C$59,2,1)-VLOOKUP((TRUNC(($AN533+0.01)*3/13,0)+0.99),'Tax scales - NAT 1004'!$A$53:$C$59,3,1)),0)
*13/3,
0),
IF($E$2="Monthly",
ROUND(
ROUND(((TRUNC($AN533*3/13,0)+0.99)*VLOOKUP((TRUNC($AN533*3/13,0)+0.99),'Tax scales - NAT 1004'!$A$53:$C$59,2,1)-VLOOKUP((TRUNC($AN533*3/13,0)+0.99),'Tax scales - NAT 1004'!$A$53:$C$59,3,1)),0)
*13/3,
0),
""))),
""),
"")</f>
        <v/>
      </c>
      <c r="AT533" s="118" t="str">
        <f>IFERROR(
IF(VLOOKUP($C533,'Employee information'!$B:$M,COLUMNS('Employee information'!$B:$M),0)=6,
IF($E$2="Fortnightly",
ROUND(
ROUND((((TRUNC($AN533/2,0)+0.99))*VLOOKUP((TRUNC($AN533/2,0)+0.99),'Tax scales - NAT 1004'!$A$65:$C$73,2,1)-VLOOKUP((TRUNC($AN533/2,0)+0.99),'Tax scales - NAT 1004'!$A$65:$C$73,3,1)),0)
*2,
0),
IF(AND($E$2="Monthly",ROUND($AN533-TRUNC($AN533),2)=0.33),
ROUND(
ROUND(((TRUNC(($AN533+0.01)*3/13,0)+0.99)*VLOOKUP((TRUNC(($AN533+0.01)*3/13,0)+0.99),'Tax scales - NAT 1004'!$A$65:$C$73,2,1)-VLOOKUP((TRUNC(($AN533+0.01)*3/13,0)+0.99),'Tax scales - NAT 1004'!$A$65:$C$73,3,1)),0)
*13/3,
0),
IF($E$2="Monthly",
ROUND(
ROUND(((TRUNC($AN533*3/13,0)+0.99)*VLOOKUP((TRUNC($AN533*3/13,0)+0.99),'Tax scales - NAT 1004'!$A$65:$C$73,2,1)-VLOOKUP((TRUNC($AN533*3/13,0)+0.99),'Tax scales - NAT 1004'!$A$65:$C$73,3,1)),0)
*13/3,
0),
""))),
""),
"")</f>
        <v/>
      </c>
      <c r="AU533" s="118">
        <f>IFERROR(
IF(VLOOKUP($C533,'Employee information'!$B:$M,COLUMNS('Employee information'!$B:$M),0)=11,
IF($E$2="Fortnightly",
ROUND(
ROUND((((TRUNC($AN533/2,0)+0.99))*VLOOKUP((TRUNC($AN533/2,0)+0.99),'Tax scales - NAT 3539'!$A$14:$C$38,2,1)-VLOOKUP((TRUNC($AN533/2,0)+0.99),'Tax scales - NAT 3539'!$A$14:$C$38,3,1)),0)
*2,
0),
IF(AND($E$2="Monthly",ROUND($AN533-TRUNC($AN533),2)=0.33),
ROUND(
ROUND(((TRUNC(($AN533+0.01)*3/13,0)+0.99)*VLOOKUP((TRUNC(($AN533+0.01)*3/13,0)+0.99),'Tax scales - NAT 3539'!$A$14:$C$38,2,1)-VLOOKUP((TRUNC(($AN533+0.01)*3/13,0)+0.99),'Tax scales - NAT 3539'!$A$14:$C$38,3,1)),0)
*13/3,
0),
IF($E$2="Monthly",
ROUND(
ROUND(((TRUNC($AN533*3/13,0)+0.99)*VLOOKUP((TRUNC($AN533*3/13,0)+0.99),'Tax scales - NAT 3539'!$A$14:$C$38,2,1)-VLOOKUP((TRUNC($AN533*3/13,0)+0.99),'Tax scales - NAT 3539'!$A$14:$C$38,3,1)),0)
*13/3,
0),
""))),
""),
"")</f>
        <v>1448</v>
      </c>
      <c r="AV533" s="118" t="str">
        <f>IFERROR(
IF(VLOOKUP($C533,'Employee information'!$B:$M,COLUMNS('Employee information'!$B:$M),0)=22,
IF($E$2="Fortnightly",
ROUND(
ROUND((((TRUNC($AN533/2,0)+0.99))*VLOOKUP((TRUNC($AN533/2,0)+0.99),'Tax scales - NAT 3539'!$A$43:$C$69,2,1)-VLOOKUP((TRUNC($AN533/2,0)+0.99),'Tax scales - NAT 3539'!$A$43:$C$69,3,1)),0)
*2,
0),
IF(AND($E$2="Monthly",ROUND($AN533-TRUNC($AN533),2)=0.33),
ROUND(
ROUND(((TRUNC(($AN533+0.01)*3/13,0)+0.99)*VLOOKUP((TRUNC(($AN533+0.01)*3/13,0)+0.99),'Tax scales - NAT 3539'!$A$43:$C$69,2,1)-VLOOKUP((TRUNC(($AN533+0.01)*3/13,0)+0.99),'Tax scales - NAT 3539'!$A$43:$C$69,3,1)),0)
*13/3,
0),
IF($E$2="Monthly",
ROUND(
ROUND(((TRUNC($AN533*3/13,0)+0.99)*VLOOKUP((TRUNC($AN533*3/13,0)+0.99),'Tax scales - NAT 3539'!$A$43:$C$69,2,1)-VLOOKUP((TRUNC($AN533*3/13,0)+0.99),'Tax scales - NAT 3539'!$A$43:$C$69,3,1)),0)
*13/3,
0),
""))),
""),
"")</f>
        <v/>
      </c>
      <c r="AW533" s="118" t="str">
        <f>IFERROR(
IF(VLOOKUP($C533,'Employee information'!$B:$M,COLUMNS('Employee information'!$B:$M),0)=33,
IF($E$2="Fortnightly",
ROUND(
ROUND((((TRUNC($AN533/2,0)+0.99))*VLOOKUP((TRUNC($AN533/2,0)+0.99),'Tax scales - NAT 3539'!$A$74:$C$94,2,1)-VLOOKUP((TRUNC($AN533/2,0)+0.99),'Tax scales - NAT 3539'!$A$74:$C$94,3,1)),0)
*2,
0),
IF(AND($E$2="Monthly",ROUND($AN533-TRUNC($AN533),2)=0.33),
ROUND(
ROUND(((TRUNC(($AN533+0.01)*3/13,0)+0.99)*VLOOKUP((TRUNC(($AN533+0.01)*3/13,0)+0.99),'Tax scales - NAT 3539'!$A$74:$C$94,2,1)-VLOOKUP((TRUNC(($AN533+0.01)*3/13,0)+0.99),'Tax scales - NAT 3539'!$A$74:$C$94,3,1)),0)
*13/3,
0),
IF($E$2="Monthly",
ROUND(
ROUND(((TRUNC($AN533*3/13,0)+0.99)*VLOOKUP((TRUNC($AN533*3/13,0)+0.99),'Tax scales - NAT 3539'!$A$74:$C$94,2,1)-VLOOKUP((TRUNC($AN533*3/13,0)+0.99),'Tax scales - NAT 3539'!$A$74:$C$94,3,1)),0)
*13/3,
0),
""))),
""),
"")</f>
        <v/>
      </c>
      <c r="AX533" s="118" t="str">
        <f>IFERROR(
IF(VLOOKUP($C533,'Employee information'!$B:$M,COLUMNS('Employee information'!$B:$M),0)=55,
IF($E$2="Fortnightly",
ROUND(
ROUND((((TRUNC($AN533/2,0)+0.99))*VLOOKUP((TRUNC($AN533/2,0)+0.99),'Tax scales - NAT 3539'!$A$99:$C$123,2,1)-VLOOKUP((TRUNC($AN533/2,0)+0.99),'Tax scales - NAT 3539'!$A$99:$C$123,3,1)),0)
*2,
0),
IF(AND($E$2="Monthly",ROUND($AN533-TRUNC($AN533),2)=0.33),
ROUND(
ROUND(((TRUNC(($AN533+0.01)*3/13,0)+0.99)*VLOOKUP((TRUNC(($AN533+0.01)*3/13,0)+0.99),'Tax scales - NAT 3539'!$A$99:$C$123,2,1)-VLOOKUP((TRUNC(($AN533+0.01)*3/13,0)+0.99),'Tax scales - NAT 3539'!$A$99:$C$123,3,1)),0)
*13/3,
0),
IF($E$2="Monthly",
ROUND(
ROUND(((TRUNC($AN533*3/13,0)+0.99)*VLOOKUP((TRUNC($AN533*3/13,0)+0.99),'Tax scales - NAT 3539'!$A$99:$C$123,2,1)-VLOOKUP((TRUNC($AN533*3/13,0)+0.99),'Tax scales - NAT 3539'!$A$99:$C$123,3,1)),0)
*13/3,
0),
""))),
""),
"")</f>
        <v/>
      </c>
      <c r="AY533" s="118" t="str">
        <f>IFERROR(
IF(VLOOKUP($C533,'Employee information'!$B:$M,COLUMNS('Employee information'!$B:$M),0)=66,
IF($E$2="Fortnightly",
ROUND(
ROUND((((TRUNC($AN533/2,0)+0.99))*VLOOKUP((TRUNC($AN533/2,0)+0.99),'Tax scales - NAT 3539'!$A$127:$C$154,2,1)-VLOOKUP((TRUNC($AN533/2,0)+0.99),'Tax scales - NAT 3539'!$A$127:$C$154,3,1)),0)
*2,
0),
IF(AND($E$2="Monthly",ROUND($AN533-TRUNC($AN533),2)=0.33),
ROUND(
ROUND(((TRUNC(($AN533+0.01)*3/13,0)+0.99)*VLOOKUP((TRUNC(($AN533+0.01)*3/13,0)+0.99),'Tax scales - NAT 3539'!$A$127:$C$154,2,1)-VLOOKUP((TRUNC(($AN533+0.01)*3/13,0)+0.99),'Tax scales - NAT 3539'!$A$127:$C$154,3,1)),0)
*13/3,
0),
IF($E$2="Monthly",
ROUND(
ROUND(((TRUNC($AN533*3/13,0)+0.99)*VLOOKUP((TRUNC($AN533*3/13,0)+0.99),'Tax scales - NAT 3539'!$A$127:$C$154,2,1)-VLOOKUP((TRUNC($AN533*3/13,0)+0.99),'Tax scales - NAT 3539'!$A$127:$C$154,3,1)),0)
*13/3,
0),
""))),
""),
"")</f>
        <v/>
      </c>
      <c r="AZ533" s="118">
        <f>IFERROR(
HLOOKUP(VLOOKUP($C533,'Employee information'!$B:$M,COLUMNS('Employee information'!$B:$M),0),'PAYG worksheet'!$AO$532:$AY$551,COUNTA($C$533:$C533)+1,0),
0)</f>
        <v>1448</v>
      </c>
      <c r="BA533" s="118"/>
      <c r="BB533" s="118">
        <f>IFERROR($AM533-$AZ533-$BA533,"")</f>
        <v>2249.576396206533</v>
      </c>
      <c r="BC533" s="119">
        <f>IFERROR(
IF(OR($AE533=1,$AE533=""),SUM($P533,$AA533,$AC533,$AK533)*VLOOKUP($C533,'Employee information'!$B:$Q,COLUMNS('Employee information'!$B:$H),0),
IF($AE533=0,SUM($P533,$AA533,$AK533)*VLOOKUP($C533,'Employee information'!$B:$Q,COLUMNS('Employee information'!$B:$H),0),
0)),
0)</f>
        <v>351.26975763962065</v>
      </c>
      <c r="BE533" s="114">
        <f t="shared" ref="BE533:BE551" si="558">IF(AND($E$2="Monthly",$A533&gt;12),"",
SUMIFS($AM:$AM,$C:$C,$C533,$A:$A,"&lt;="&amp;$A533)
)</f>
        <v>70253.951527924131</v>
      </c>
      <c r="BF533" s="114">
        <f t="shared" ref="BF533:BF551" si="559">IF(AND($E$2="Monthly",$A533&gt;12),"",
SUMIFS($AN:$AN,$C:$C,$C533,$A:$A,"&lt;="&amp;$A533)
)</f>
        <v>70253.951527924131</v>
      </c>
      <c r="BG533" s="114">
        <f t="shared" ref="BG533:BG551" si="560">IF(AND($E$2="Monthly",$A533&gt;12),"",
SUMIFS($AC:$AC,$C:$C,$C533,$A:$A,"&lt;="&amp;$A533)
)</f>
        <v>0</v>
      </c>
      <c r="BH533" s="114">
        <f t="shared" ref="BH533:BH551" si="561">IF(AND($E$2="Monthly",$A533&gt;12),"",
SUMIFS($AG:$AG,$C:$C,$C533,$A:$A,"&lt;="&amp;$A533)
)</f>
        <v>0</v>
      </c>
      <c r="BI533" s="114">
        <f t="shared" ref="BI533:BI551" si="562">IF(AND($E$2="Monthly",$A533&gt;12),"",
SUMIFS($AZ:$AZ,$C:$C,$C533,$A:$A,"&lt;="&amp;$A533)
)</f>
        <v>27512</v>
      </c>
      <c r="BJ533" s="114">
        <f t="shared" ref="BJ533:BJ551" si="563">IF(AND($E$2="Monthly",$A533&gt;12),"",
SUMIFS($BA:$BA,$C:$C,$C533,$A:$A,"&lt;="&amp;$A533)
)</f>
        <v>0</v>
      </c>
      <c r="BK533" s="114">
        <f t="shared" ref="BK533:BK551" si="564">IF(AND($E$2="Monthly",$A533&gt;12),"",
SUMIFS($AJ:$AJ,$C:$C,$C533,$A:$A,"&lt;="&amp;$A533)
)</f>
        <v>0</v>
      </c>
      <c r="BL533" s="114">
        <f>IF(AND($E$2="Monthly",$A533&gt;12),"",
SUMIFS($AK:$AK,$C:$C,$C533,$A:$A,"&lt;="&amp;$A533)
)</f>
        <v>0</v>
      </c>
      <c r="BM533" s="114">
        <f t="shared" ref="BM533:BM551" si="565">IF(AND($E$2="Monthly",$A533&gt;12),"",
SUMIFS($BC:$BC,$C:$C,$C533,$A:$A,"&lt;="&amp;$A533)
)</f>
        <v>6674.1253951527915</v>
      </c>
    </row>
    <row r="534" spans="1:65" x14ac:dyDescent="0.25">
      <c r="A534" s="228">
        <f t="shared" si="553"/>
        <v>19</v>
      </c>
      <c r="C534" s="278" t="s">
        <v>13</v>
      </c>
      <c r="E534" s="103">
        <f>IF($C534="",0,
IF(AND($E$2="Monthly",$A534&gt;12),0,
IF($E$2="Monthly",VLOOKUP($C534,'Employee information'!$B:$AM,COLUMNS('Employee information'!$B:S),0),
IF($E$2="Fortnightly",VLOOKUP($C534,'Employee information'!$B:$AM,COLUMNS('Employee information'!$B:R),0),
0))))</f>
        <v>0</v>
      </c>
      <c r="F534" s="106"/>
      <c r="G534" s="106"/>
      <c r="H534" s="106"/>
      <c r="I534" s="106"/>
      <c r="J534" s="103">
        <f t="shared" ref="J534:J551" si="566">IF($E$2="Monthly",
IF(AND($E$2="Monthly",$H534&lt;&gt;""),$H534,
IF(AND($E$2="Monthly",$E534=0),SUM($F534:$G534),
$E534)),
IF($E$2="Fortnightly",
IF(AND($E$2="Fortnightly",$H534&lt;&gt;""),$H534,
IF(AND($E$2="Fortnightly",$F534&lt;&gt;"",$E534&lt;&gt;0),$F534,
IF(AND($E$2="Fortnightly",$E534=0),SUM($F534:$G534),
$E534)))))</f>
        <v>0</v>
      </c>
      <c r="L534" s="113">
        <f>IF(AND($E$2="Monthly",$A534&gt;12),"",
IFERROR($J534*VLOOKUP($C534,'Employee information'!$B:$AI,COLUMNS('Employee information'!$B:$P),0),0))</f>
        <v>0</v>
      </c>
      <c r="M534" s="114">
        <f t="shared" ref="M534:M551" si="567">IF(AND($E$2="Monthly",$A534&gt;12),"",
SUMIFS($L:$L,$C:$C,$C534,$A:$A,"&lt;="&amp;$A534)
)</f>
        <v>1615.3846153846152</v>
      </c>
      <c r="O534" s="103">
        <f t="shared" ref="O534:O551" si="568">IF($E$2="Monthly",
IF(AND($E$2="Monthly",$H534&lt;&gt;""),$H534,
IF(AND($E$2="Monthly",$E534=0),$F534,
$E534)),
IF($E$2="Fortnightly",
IF(AND($E$2="Fortnightly",$H534&lt;&gt;""),$H534,
IF(AND($E$2="Fortnightly",$F534&lt;&gt;"",$E534&lt;&gt;0),$F534,
IF(AND($E$2="Fortnightly",$E534=0),$F534,
$E534)))))</f>
        <v>0</v>
      </c>
      <c r="P534" s="113">
        <f>IFERROR(
IF(AND($E$2="Monthly",$A534&gt;12),0,
$O534*VLOOKUP($C534,'Employee information'!$B:$AI,COLUMNS('Employee information'!$B:$P),0)),
0)</f>
        <v>0</v>
      </c>
      <c r="R534" s="114">
        <f t="shared" si="554"/>
        <v>1615.3846153846152</v>
      </c>
      <c r="T534" s="103"/>
      <c r="U534" s="103"/>
      <c r="V534" s="282">
        <f>IF($C534="","",
IF(AND($E$2="Monthly",$A534&gt;12),"",
$T534*VLOOKUP($C534,'Employee information'!$B:$P,COLUMNS('Employee information'!$B:$P),0)))</f>
        <v>0</v>
      </c>
      <c r="W534" s="282">
        <f>IF($C534="","",
IF(AND($E$2="Monthly",$A534&gt;12),"",
$U534*VLOOKUP($C534,'Employee information'!$B:$P,COLUMNS('Employee information'!$B:$P),0)))</f>
        <v>0</v>
      </c>
      <c r="X534" s="114">
        <f t="shared" si="555"/>
        <v>0</v>
      </c>
      <c r="Y534" s="114">
        <f t="shared" si="556"/>
        <v>288.46153846153845</v>
      </c>
      <c r="AA534" s="118">
        <f>IFERROR(
IF(OR('Basic payroll data'!$D$12="",'Basic payroll data'!$D$12="No"),0,
$T534*VLOOKUP($C534,'Employee information'!$B:$P,COLUMNS('Employee information'!$B:$P),0)*AL_loading_perc),
0)</f>
        <v>0</v>
      </c>
      <c r="AC534" s="118"/>
      <c r="AD534" s="118"/>
      <c r="AE534" s="283" t="str">
        <f t="shared" ref="AE534:AE551" si="569">IF(LEFT($AD534,6)="Is OTE",1,
IF(LEFT($AD534,10)="Is not OTE",0,
""))</f>
        <v/>
      </c>
      <c r="AF534" s="283" t="str">
        <f t="shared" ref="AF534:AF551" si="570">IF(RIGHT($AD534,12)="tax withheld",1,
IF(RIGHT($AD534,16)="tax not withheld",0,
""))</f>
        <v/>
      </c>
      <c r="AG534" s="118"/>
      <c r="AH534" s="118"/>
      <c r="AI534" s="283" t="str">
        <f t="shared" ref="AI534:AI551" si="571">IF($AH534="FBT",0,
IF($AH534="Not FBT",1,
""))</f>
        <v/>
      </c>
      <c r="AJ534" s="118"/>
      <c r="AK534" s="118"/>
      <c r="AM534" s="118">
        <f t="shared" ref="AM534:AM551" si="572">SUM($L534,$AA534,$AC534,$AG534,$AK534)-$AJ534</f>
        <v>0</v>
      </c>
      <c r="AN534" s="118">
        <f t="shared" si="557"/>
        <v>0</v>
      </c>
      <c r="AO534" s="118" t="str">
        <f>IFERROR(
IF(VLOOKUP($C534,'Employee information'!$B:$M,COLUMNS('Employee information'!$B:$M),0)=1,
IF($E$2="Fortnightly",
ROUND(
ROUND((((TRUNC($AN534/2,0)+0.99))*VLOOKUP((TRUNC($AN534/2,0)+0.99),'Tax scales - NAT 1004'!$A$12:$C$18,2,1)-VLOOKUP((TRUNC($AN534/2,0)+0.99),'Tax scales - NAT 1004'!$A$12:$C$18,3,1)),0)
*2,
0),
IF(AND($E$2="Monthly",ROUND($AN534-TRUNC($AN534),2)=0.33),
ROUND(
ROUND(((TRUNC(($AN534+0.01)*3/13,0)+0.99)*VLOOKUP((TRUNC(($AN534+0.01)*3/13,0)+0.99),'Tax scales - NAT 1004'!$A$12:$C$18,2,1)-VLOOKUP((TRUNC(($AN534+0.01)*3/13,0)+0.99),'Tax scales - NAT 1004'!$A$12:$C$18,3,1)),0)
*13/3,
0),
IF($E$2="Monthly",
ROUND(
ROUND(((TRUNC($AN534*3/13,0)+0.99)*VLOOKUP((TRUNC($AN534*3/13,0)+0.99),'Tax scales - NAT 1004'!$A$12:$C$18,2,1)-VLOOKUP((TRUNC($AN534*3/13,0)+0.99),'Tax scales - NAT 1004'!$A$12:$C$18,3,1)),0)
*13/3,
0),
""))),
""),
"")</f>
        <v/>
      </c>
      <c r="AP534" s="118" t="str">
        <f>IFERROR(
IF(VLOOKUP($C534,'Employee information'!$B:$M,COLUMNS('Employee information'!$B:$M),0)=2,
IF($E$2="Fortnightly",
ROUND(
ROUND((((TRUNC($AN534/2,0)+0.99))*VLOOKUP((TRUNC($AN534/2,0)+0.99),'Tax scales - NAT 1004'!$A$25:$C$33,2,1)-VLOOKUP((TRUNC($AN534/2,0)+0.99),'Tax scales - NAT 1004'!$A$25:$C$33,3,1)),0)
*2,
0),
IF(AND($E$2="Monthly",ROUND($AN534-TRUNC($AN534),2)=0.33),
ROUND(
ROUND(((TRUNC(($AN534+0.01)*3/13,0)+0.99)*VLOOKUP((TRUNC(($AN534+0.01)*3/13,0)+0.99),'Tax scales - NAT 1004'!$A$25:$C$33,2,1)-VLOOKUP((TRUNC(($AN534+0.01)*3/13,0)+0.99),'Tax scales - NAT 1004'!$A$25:$C$33,3,1)),0)
*13/3,
0),
IF($E$2="Monthly",
ROUND(
ROUND(((TRUNC($AN534*3/13,0)+0.99)*VLOOKUP((TRUNC($AN534*3/13,0)+0.99),'Tax scales - NAT 1004'!$A$25:$C$33,2,1)-VLOOKUP((TRUNC($AN534*3/13,0)+0.99),'Tax scales - NAT 1004'!$A$25:$C$33,3,1)),0)
*13/3,
0),
""))),
""),
"")</f>
        <v/>
      </c>
      <c r="AQ534" s="118" t="str">
        <f>IFERROR(
IF(VLOOKUP($C534,'Employee information'!$B:$M,COLUMNS('Employee information'!$B:$M),0)=3,
IF($E$2="Fortnightly",
ROUND(
ROUND((((TRUNC($AN534/2,0)+0.99))*VLOOKUP((TRUNC($AN534/2,0)+0.99),'Tax scales - NAT 1004'!$A$39:$C$41,2,1)-VLOOKUP((TRUNC($AN534/2,0)+0.99),'Tax scales - NAT 1004'!$A$39:$C$41,3,1)),0)
*2,
0),
IF(AND($E$2="Monthly",ROUND($AN534-TRUNC($AN534),2)=0.33),
ROUND(
ROUND(((TRUNC(($AN534+0.01)*3/13,0)+0.99)*VLOOKUP((TRUNC(($AN534+0.01)*3/13,0)+0.99),'Tax scales - NAT 1004'!$A$39:$C$41,2,1)-VLOOKUP((TRUNC(($AN534+0.01)*3/13,0)+0.99),'Tax scales - NAT 1004'!$A$39:$C$41,3,1)),0)
*13/3,
0),
IF($E$2="Monthly",
ROUND(
ROUND(((TRUNC($AN534*3/13,0)+0.99)*VLOOKUP((TRUNC($AN534*3/13,0)+0.99),'Tax scales - NAT 1004'!$A$39:$C$41,2,1)-VLOOKUP((TRUNC($AN534*3/13,0)+0.99),'Tax scales - NAT 1004'!$A$39:$C$41,3,1)),0)
*13/3,
0),
""))),
""),
"")</f>
        <v/>
      </c>
      <c r="AR534" s="118" t="str">
        <f>IFERROR(
IF(AND(VLOOKUP($C534,'Employee information'!$B:$M,COLUMNS('Employee information'!$B:$M),0)=4,
VLOOKUP($C534,'Employee information'!$B:$J,COLUMNS('Employee information'!$B:$J),0)="Resident"),
TRUNC(TRUNC($AN534)*'Tax scales - NAT 1004'!$B$47),
IF(AND(VLOOKUP($C534,'Employee information'!$B:$M,COLUMNS('Employee information'!$B:$M),0)=4,
VLOOKUP($C534,'Employee information'!$B:$J,COLUMNS('Employee information'!$B:$J),0)="Foreign resident"),
TRUNC(TRUNC($AN534)*'Tax scales - NAT 1004'!$B$48),
"")),
"")</f>
        <v/>
      </c>
      <c r="AS534" s="118" t="str">
        <f>IFERROR(
IF(VLOOKUP($C534,'Employee information'!$B:$M,COLUMNS('Employee information'!$B:$M),0)=5,
IF($E$2="Fortnightly",
ROUND(
ROUND((((TRUNC($AN534/2,0)+0.99))*VLOOKUP((TRUNC($AN534/2,0)+0.99),'Tax scales - NAT 1004'!$A$53:$C$59,2,1)-VLOOKUP((TRUNC($AN534/2,0)+0.99),'Tax scales - NAT 1004'!$A$53:$C$59,3,1)),0)
*2,
0),
IF(AND($E$2="Monthly",ROUND($AN534-TRUNC($AN534),2)=0.33),
ROUND(
ROUND(((TRUNC(($AN534+0.01)*3/13,0)+0.99)*VLOOKUP((TRUNC(($AN534+0.01)*3/13,0)+0.99),'Tax scales - NAT 1004'!$A$53:$C$59,2,1)-VLOOKUP((TRUNC(($AN534+0.01)*3/13,0)+0.99),'Tax scales - NAT 1004'!$A$53:$C$59,3,1)),0)
*13/3,
0),
IF($E$2="Monthly",
ROUND(
ROUND(((TRUNC($AN534*3/13,0)+0.99)*VLOOKUP((TRUNC($AN534*3/13,0)+0.99),'Tax scales - NAT 1004'!$A$53:$C$59,2,1)-VLOOKUP((TRUNC($AN534*3/13,0)+0.99),'Tax scales - NAT 1004'!$A$53:$C$59,3,1)),0)
*13/3,
0),
""))),
""),
"")</f>
        <v/>
      </c>
      <c r="AT534" s="118" t="str">
        <f>IFERROR(
IF(VLOOKUP($C534,'Employee information'!$B:$M,COLUMNS('Employee information'!$B:$M),0)=6,
IF($E$2="Fortnightly",
ROUND(
ROUND((((TRUNC($AN534/2,0)+0.99))*VLOOKUP((TRUNC($AN534/2,0)+0.99),'Tax scales - NAT 1004'!$A$65:$C$73,2,1)-VLOOKUP((TRUNC($AN534/2,0)+0.99),'Tax scales - NAT 1004'!$A$65:$C$73,3,1)),0)
*2,
0),
IF(AND($E$2="Monthly",ROUND($AN534-TRUNC($AN534),2)=0.33),
ROUND(
ROUND(((TRUNC(($AN534+0.01)*3/13,0)+0.99)*VLOOKUP((TRUNC(($AN534+0.01)*3/13,0)+0.99),'Tax scales - NAT 1004'!$A$65:$C$73,2,1)-VLOOKUP((TRUNC(($AN534+0.01)*3/13,0)+0.99),'Tax scales - NAT 1004'!$A$65:$C$73,3,1)),0)
*13/3,
0),
IF($E$2="Monthly",
ROUND(
ROUND(((TRUNC($AN534*3/13,0)+0.99)*VLOOKUP((TRUNC($AN534*3/13,0)+0.99),'Tax scales - NAT 1004'!$A$65:$C$73,2,1)-VLOOKUP((TRUNC($AN534*3/13,0)+0.99),'Tax scales - NAT 1004'!$A$65:$C$73,3,1)),0)
*13/3,
0),
""))),
""),
"")</f>
        <v/>
      </c>
      <c r="AU534" s="118">
        <f>IFERROR(
IF(VLOOKUP($C534,'Employee information'!$B:$M,COLUMNS('Employee information'!$B:$M),0)=11,
IF($E$2="Fortnightly",
ROUND(
ROUND((((TRUNC($AN534/2,0)+0.99))*VLOOKUP((TRUNC($AN534/2,0)+0.99),'Tax scales - NAT 3539'!$A$14:$C$38,2,1)-VLOOKUP((TRUNC($AN534/2,0)+0.99),'Tax scales - NAT 3539'!$A$14:$C$38,3,1)),0)
*2,
0),
IF(AND($E$2="Monthly",ROUND($AN534-TRUNC($AN534),2)=0.33),
ROUND(
ROUND(((TRUNC(($AN534+0.01)*3/13,0)+0.99)*VLOOKUP((TRUNC(($AN534+0.01)*3/13,0)+0.99),'Tax scales - NAT 3539'!$A$14:$C$38,2,1)-VLOOKUP((TRUNC(($AN534+0.01)*3/13,0)+0.99),'Tax scales - NAT 3539'!$A$14:$C$38,3,1)),0)
*13/3,
0),
IF($E$2="Monthly",
ROUND(
ROUND(((TRUNC($AN534*3/13,0)+0.99)*VLOOKUP((TRUNC($AN534*3/13,0)+0.99),'Tax scales - NAT 3539'!$A$14:$C$38,2,1)-VLOOKUP((TRUNC($AN534*3/13,0)+0.99),'Tax scales - NAT 3539'!$A$14:$C$38,3,1)),0)
*13/3,
0),
""))),
""),
"")</f>
        <v>0</v>
      </c>
      <c r="AV534" s="118" t="str">
        <f>IFERROR(
IF(VLOOKUP($C534,'Employee information'!$B:$M,COLUMNS('Employee information'!$B:$M),0)=22,
IF($E$2="Fortnightly",
ROUND(
ROUND((((TRUNC($AN534/2,0)+0.99))*VLOOKUP((TRUNC($AN534/2,0)+0.99),'Tax scales - NAT 3539'!$A$43:$C$69,2,1)-VLOOKUP((TRUNC($AN534/2,0)+0.99),'Tax scales - NAT 3539'!$A$43:$C$69,3,1)),0)
*2,
0),
IF(AND($E$2="Monthly",ROUND($AN534-TRUNC($AN534),2)=0.33),
ROUND(
ROUND(((TRUNC(($AN534+0.01)*3/13,0)+0.99)*VLOOKUP((TRUNC(($AN534+0.01)*3/13,0)+0.99),'Tax scales - NAT 3539'!$A$43:$C$69,2,1)-VLOOKUP((TRUNC(($AN534+0.01)*3/13,0)+0.99),'Tax scales - NAT 3539'!$A$43:$C$69,3,1)),0)
*13/3,
0),
IF($E$2="Monthly",
ROUND(
ROUND(((TRUNC($AN534*3/13,0)+0.99)*VLOOKUP((TRUNC($AN534*3/13,0)+0.99),'Tax scales - NAT 3539'!$A$43:$C$69,2,1)-VLOOKUP((TRUNC($AN534*3/13,0)+0.99),'Tax scales - NAT 3539'!$A$43:$C$69,3,1)),0)
*13/3,
0),
""))),
""),
"")</f>
        <v/>
      </c>
      <c r="AW534" s="118" t="str">
        <f>IFERROR(
IF(VLOOKUP($C534,'Employee information'!$B:$M,COLUMNS('Employee information'!$B:$M),0)=33,
IF($E$2="Fortnightly",
ROUND(
ROUND((((TRUNC($AN534/2,0)+0.99))*VLOOKUP((TRUNC($AN534/2,0)+0.99),'Tax scales - NAT 3539'!$A$74:$C$94,2,1)-VLOOKUP((TRUNC($AN534/2,0)+0.99),'Tax scales - NAT 3539'!$A$74:$C$94,3,1)),0)
*2,
0),
IF(AND($E$2="Monthly",ROUND($AN534-TRUNC($AN534),2)=0.33),
ROUND(
ROUND(((TRUNC(($AN534+0.01)*3/13,0)+0.99)*VLOOKUP((TRUNC(($AN534+0.01)*3/13,0)+0.99),'Tax scales - NAT 3539'!$A$74:$C$94,2,1)-VLOOKUP((TRUNC(($AN534+0.01)*3/13,0)+0.99),'Tax scales - NAT 3539'!$A$74:$C$94,3,1)),0)
*13/3,
0),
IF($E$2="Monthly",
ROUND(
ROUND(((TRUNC($AN534*3/13,0)+0.99)*VLOOKUP((TRUNC($AN534*3/13,0)+0.99),'Tax scales - NAT 3539'!$A$74:$C$94,2,1)-VLOOKUP((TRUNC($AN534*3/13,0)+0.99),'Tax scales - NAT 3539'!$A$74:$C$94,3,1)),0)
*13/3,
0),
""))),
""),
"")</f>
        <v/>
      </c>
      <c r="AX534" s="118" t="str">
        <f>IFERROR(
IF(VLOOKUP($C534,'Employee information'!$B:$M,COLUMNS('Employee information'!$B:$M),0)=55,
IF($E$2="Fortnightly",
ROUND(
ROUND((((TRUNC($AN534/2,0)+0.99))*VLOOKUP((TRUNC($AN534/2,0)+0.99),'Tax scales - NAT 3539'!$A$99:$C$123,2,1)-VLOOKUP((TRUNC($AN534/2,0)+0.99),'Tax scales - NAT 3539'!$A$99:$C$123,3,1)),0)
*2,
0),
IF(AND($E$2="Monthly",ROUND($AN534-TRUNC($AN534),2)=0.33),
ROUND(
ROUND(((TRUNC(($AN534+0.01)*3/13,0)+0.99)*VLOOKUP((TRUNC(($AN534+0.01)*3/13,0)+0.99),'Tax scales - NAT 3539'!$A$99:$C$123,2,1)-VLOOKUP((TRUNC(($AN534+0.01)*3/13,0)+0.99),'Tax scales - NAT 3539'!$A$99:$C$123,3,1)),0)
*13/3,
0),
IF($E$2="Monthly",
ROUND(
ROUND(((TRUNC($AN534*3/13,0)+0.99)*VLOOKUP((TRUNC($AN534*3/13,0)+0.99),'Tax scales - NAT 3539'!$A$99:$C$123,2,1)-VLOOKUP((TRUNC($AN534*3/13,0)+0.99),'Tax scales - NAT 3539'!$A$99:$C$123,3,1)),0)
*13/3,
0),
""))),
""),
"")</f>
        <v/>
      </c>
      <c r="AY534" s="118" t="str">
        <f>IFERROR(
IF(VLOOKUP($C534,'Employee information'!$B:$M,COLUMNS('Employee information'!$B:$M),0)=66,
IF($E$2="Fortnightly",
ROUND(
ROUND((((TRUNC($AN534/2,0)+0.99))*VLOOKUP((TRUNC($AN534/2,0)+0.99),'Tax scales - NAT 3539'!$A$127:$C$154,2,1)-VLOOKUP((TRUNC($AN534/2,0)+0.99),'Tax scales - NAT 3539'!$A$127:$C$154,3,1)),0)
*2,
0),
IF(AND($E$2="Monthly",ROUND($AN534-TRUNC($AN534),2)=0.33),
ROUND(
ROUND(((TRUNC(($AN534+0.01)*3/13,0)+0.99)*VLOOKUP((TRUNC(($AN534+0.01)*3/13,0)+0.99),'Tax scales - NAT 3539'!$A$127:$C$154,2,1)-VLOOKUP((TRUNC(($AN534+0.01)*3/13,0)+0.99),'Tax scales - NAT 3539'!$A$127:$C$154,3,1)),0)
*13/3,
0),
IF($E$2="Monthly",
ROUND(
ROUND(((TRUNC($AN534*3/13,0)+0.99)*VLOOKUP((TRUNC($AN534*3/13,0)+0.99),'Tax scales - NAT 3539'!$A$127:$C$154,2,1)-VLOOKUP((TRUNC($AN534*3/13,0)+0.99),'Tax scales - NAT 3539'!$A$127:$C$154,3,1)),0)
*13/3,
0),
""))),
""),
"")</f>
        <v/>
      </c>
      <c r="AZ534" s="118">
        <f>IFERROR(
HLOOKUP(VLOOKUP($C534,'Employee information'!$B:$M,COLUMNS('Employee information'!$B:$M),0),'PAYG worksheet'!$AO$532:$AY$551,COUNTA($C$533:$C534)+1,0),
0)</f>
        <v>0</v>
      </c>
      <c r="BA534" s="118"/>
      <c r="BB534" s="118">
        <f t="shared" ref="BB534:BB551" si="573">IFERROR($AM534-$AZ534-$BA534,"")</f>
        <v>0</v>
      </c>
      <c r="BC534" s="119">
        <f>IFERROR(
IF(OR($AE534=1,$AE534=""),SUM($P534,$AA534,$AC534,$AK534)*VLOOKUP($C534,'Employee information'!$B:$Q,COLUMNS('Employee information'!$B:$H),0),
IF($AE534=0,SUM($P534,$AA534,$AK534)*VLOOKUP($C534,'Employee information'!$B:$Q,COLUMNS('Employee information'!$B:$H),0),
0)),
0)</f>
        <v>0</v>
      </c>
      <c r="BE534" s="114">
        <f t="shared" si="558"/>
        <v>1615.3846153846152</v>
      </c>
      <c r="BF534" s="114">
        <f t="shared" si="559"/>
        <v>1615.3846153846152</v>
      </c>
      <c r="BG534" s="114">
        <f t="shared" si="560"/>
        <v>0</v>
      </c>
      <c r="BH534" s="114">
        <f t="shared" si="561"/>
        <v>0</v>
      </c>
      <c r="BI534" s="114">
        <f t="shared" si="562"/>
        <v>474</v>
      </c>
      <c r="BJ534" s="114">
        <f t="shared" si="563"/>
        <v>0</v>
      </c>
      <c r="BK534" s="114">
        <f t="shared" si="564"/>
        <v>0</v>
      </c>
      <c r="BL534" s="114">
        <f t="shared" ref="BL534:BL551" si="574">IF(AND($E$2="Monthly",$A534&gt;12),"",
SUMIFS($AK:$AK,$C:$C,$C534,$A:$A,"&lt;="&amp;$A534)
)</f>
        <v>0</v>
      </c>
      <c r="BM534" s="114">
        <f t="shared" si="565"/>
        <v>153.46153846153845</v>
      </c>
    </row>
    <row r="535" spans="1:65" x14ac:dyDescent="0.25">
      <c r="A535" s="228">
        <f t="shared" si="553"/>
        <v>19</v>
      </c>
      <c r="C535" s="278" t="s">
        <v>14</v>
      </c>
      <c r="E535" s="103">
        <f>IF($C535="",0,
IF(AND($E$2="Monthly",$A535&gt;12),0,
IF($E$2="Monthly",VLOOKUP($C535,'Employee information'!$B:$AM,COLUMNS('Employee information'!$B:S),0),
IF($E$2="Fortnightly",VLOOKUP($C535,'Employee information'!$B:$AM,COLUMNS('Employee information'!$B:R),0),
0))))</f>
        <v>0</v>
      </c>
      <c r="F535" s="106"/>
      <c r="G535" s="106"/>
      <c r="H535" s="106"/>
      <c r="I535" s="106"/>
      <c r="J535" s="103">
        <f t="shared" si="566"/>
        <v>0</v>
      </c>
      <c r="L535" s="113">
        <f>IF(AND($E$2="Monthly",$A535&gt;12),"",
IFERROR($J535*VLOOKUP($C535,'Employee information'!$B:$AI,COLUMNS('Employee information'!$B:$P),0),0))</f>
        <v>0</v>
      </c>
      <c r="M535" s="114">
        <f t="shared" si="567"/>
        <v>900</v>
      </c>
      <c r="O535" s="103">
        <f t="shared" si="568"/>
        <v>0</v>
      </c>
      <c r="P535" s="113">
        <f>IFERROR(
IF(AND($E$2="Monthly",$A535&gt;12),0,
$O535*VLOOKUP($C535,'Employee information'!$B:$AI,COLUMNS('Employee information'!$B:$P),0)),
0)</f>
        <v>0</v>
      </c>
      <c r="R535" s="114">
        <f t="shared" si="554"/>
        <v>900</v>
      </c>
      <c r="T535" s="103"/>
      <c r="U535" s="103"/>
      <c r="V535" s="282">
        <f>IF($C535="","",
IF(AND($E$2="Monthly",$A535&gt;12),"",
$T535*VLOOKUP($C535,'Employee information'!$B:$P,COLUMNS('Employee information'!$B:$P),0)))</f>
        <v>0</v>
      </c>
      <c r="W535" s="282">
        <f>IF($C535="","",
IF(AND($E$2="Monthly",$A535&gt;12),"",
$U535*VLOOKUP($C535,'Employee information'!$B:$P,COLUMNS('Employee information'!$B:$P),0)))</f>
        <v>0</v>
      </c>
      <c r="X535" s="114">
        <f t="shared" si="555"/>
        <v>0</v>
      </c>
      <c r="Y535" s="114">
        <f t="shared" si="556"/>
        <v>0</v>
      </c>
      <c r="AA535" s="118">
        <f>IFERROR(
IF(OR('Basic payroll data'!$D$12="",'Basic payroll data'!$D$12="No"),0,
$T535*VLOOKUP($C535,'Employee information'!$B:$P,COLUMNS('Employee information'!$B:$P),0)*AL_loading_perc),
0)</f>
        <v>0</v>
      </c>
      <c r="AC535" s="118"/>
      <c r="AD535" s="118"/>
      <c r="AE535" s="283" t="str">
        <f t="shared" si="569"/>
        <v/>
      </c>
      <c r="AF535" s="283" t="str">
        <f t="shared" si="570"/>
        <v/>
      </c>
      <c r="AG535" s="118"/>
      <c r="AH535" s="118"/>
      <c r="AI535" s="283" t="str">
        <f t="shared" si="571"/>
        <v/>
      </c>
      <c r="AJ535" s="118"/>
      <c r="AK535" s="118"/>
      <c r="AM535" s="118">
        <f t="shared" si="572"/>
        <v>0</v>
      </c>
      <c r="AN535" s="118">
        <f t="shared" si="557"/>
        <v>0</v>
      </c>
      <c r="AO535" s="118" t="str">
        <f>IFERROR(
IF(VLOOKUP($C535,'Employee information'!$B:$M,COLUMNS('Employee information'!$B:$M),0)=1,
IF($E$2="Fortnightly",
ROUND(
ROUND((((TRUNC($AN535/2,0)+0.99))*VLOOKUP((TRUNC($AN535/2,0)+0.99),'Tax scales - NAT 1004'!$A$12:$C$18,2,1)-VLOOKUP((TRUNC($AN535/2,0)+0.99),'Tax scales - NAT 1004'!$A$12:$C$18,3,1)),0)
*2,
0),
IF(AND($E$2="Monthly",ROUND($AN535-TRUNC($AN535),2)=0.33),
ROUND(
ROUND(((TRUNC(($AN535+0.01)*3/13,0)+0.99)*VLOOKUP((TRUNC(($AN535+0.01)*3/13,0)+0.99),'Tax scales - NAT 1004'!$A$12:$C$18,2,1)-VLOOKUP((TRUNC(($AN535+0.01)*3/13,0)+0.99),'Tax scales - NAT 1004'!$A$12:$C$18,3,1)),0)
*13/3,
0),
IF($E$2="Monthly",
ROUND(
ROUND(((TRUNC($AN535*3/13,0)+0.99)*VLOOKUP((TRUNC($AN535*3/13,0)+0.99),'Tax scales - NAT 1004'!$A$12:$C$18,2,1)-VLOOKUP((TRUNC($AN535*3/13,0)+0.99),'Tax scales - NAT 1004'!$A$12:$C$18,3,1)),0)
*13/3,
0),
""))),
""),
"")</f>
        <v/>
      </c>
      <c r="AP535" s="118" t="str">
        <f>IFERROR(
IF(VLOOKUP($C535,'Employee information'!$B:$M,COLUMNS('Employee information'!$B:$M),0)=2,
IF($E$2="Fortnightly",
ROUND(
ROUND((((TRUNC($AN535/2,0)+0.99))*VLOOKUP((TRUNC($AN535/2,0)+0.99),'Tax scales - NAT 1004'!$A$25:$C$33,2,1)-VLOOKUP((TRUNC($AN535/2,0)+0.99),'Tax scales - NAT 1004'!$A$25:$C$33,3,1)),0)
*2,
0),
IF(AND($E$2="Monthly",ROUND($AN535-TRUNC($AN535),2)=0.33),
ROUND(
ROUND(((TRUNC(($AN535+0.01)*3/13,0)+0.99)*VLOOKUP((TRUNC(($AN535+0.01)*3/13,0)+0.99),'Tax scales - NAT 1004'!$A$25:$C$33,2,1)-VLOOKUP((TRUNC(($AN535+0.01)*3/13,0)+0.99),'Tax scales - NAT 1004'!$A$25:$C$33,3,1)),0)
*13/3,
0),
IF($E$2="Monthly",
ROUND(
ROUND(((TRUNC($AN535*3/13,0)+0.99)*VLOOKUP((TRUNC($AN535*3/13,0)+0.99),'Tax scales - NAT 1004'!$A$25:$C$33,2,1)-VLOOKUP((TRUNC($AN535*3/13,0)+0.99),'Tax scales - NAT 1004'!$A$25:$C$33,3,1)),0)
*13/3,
0),
""))),
""),
"")</f>
        <v/>
      </c>
      <c r="AQ535" s="118" t="str">
        <f>IFERROR(
IF(VLOOKUP($C535,'Employee information'!$B:$M,COLUMNS('Employee information'!$B:$M),0)=3,
IF($E$2="Fortnightly",
ROUND(
ROUND((((TRUNC($AN535/2,0)+0.99))*VLOOKUP((TRUNC($AN535/2,0)+0.99),'Tax scales - NAT 1004'!$A$39:$C$41,2,1)-VLOOKUP((TRUNC($AN535/2,0)+0.99),'Tax scales - NAT 1004'!$A$39:$C$41,3,1)),0)
*2,
0),
IF(AND($E$2="Monthly",ROUND($AN535-TRUNC($AN535),2)=0.33),
ROUND(
ROUND(((TRUNC(($AN535+0.01)*3/13,0)+0.99)*VLOOKUP((TRUNC(($AN535+0.01)*3/13,0)+0.99),'Tax scales - NAT 1004'!$A$39:$C$41,2,1)-VLOOKUP((TRUNC(($AN535+0.01)*3/13,0)+0.99),'Tax scales - NAT 1004'!$A$39:$C$41,3,1)),0)
*13/3,
0),
IF($E$2="Monthly",
ROUND(
ROUND(((TRUNC($AN535*3/13,0)+0.99)*VLOOKUP((TRUNC($AN535*3/13,0)+0.99),'Tax scales - NAT 1004'!$A$39:$C$41,2,1)-VLOOKUP((TRUNC($AN535*3/13,0)+0.99),'Tax scales - NAT 1004'!$A$39:$C$41,3,1)),0)
*13/3,
0),
""))),
""),
"")</f>
        <v/>
      </c>
      <c r="AR535" s="118" t="str">
        <f>IFERROR(
IF(AND(VLOOKUP($C535,'Employee information'!$B:$M,COLUMNS('Employee information'!$B:$M),0)=4,
VLOOKUP($C535,'Employee information'!$B:$J,COLUMNS('Employee information'!$B:$J),0)="Resident"),
TRUNC(TRUNC($AN535)*'Tax scales - NAT 1004'!$B$47),
IF(AND(VLOOKUP($C535,'Employee information'!$B:$M,COLUMNS('Employee information'!$B:$M),0)=4,
VLOOKUP($C535,'Employee information'!$B:$J,COLUMNS('Employee information'!$B:$J),0)="Foreign resident"),
TRUNC(TRUNC($AN535)*'Tax scales - NAT 1004'!$B$48),
"")),
"")</f>
        <v/>
      </c>
      <c r="AS535" s="118" t="str">
        <f>IFERROR(
IF(VLOOKUP($C535,'Employee information'!$B:$M,COLUMNS('Employee information'!$B:$M),0)=5,
IF($E$2="Fortnightly",
ROUND(
ROUND((((TRUNC($AN535/2,0)+0.99))*VLOOKUP((TRUNC($AN535/2,0)+0.99),'Tax scales - NAT 1004'!$A$53:$C$59,2,1)-VLOOKUP((TRUNC($AN535/2,0)+0.99),'Tax scales - NAT 1004'!$A$53:$C$59,3,1)),0)
*2,
0),
IF(AND($E$2="Monthly",ROUND($AN535-TRUNC($AN535),2)=0.33),
ROUND(
ROUND(((TRUNC(($AN535+0.01)*3/13,0)+0.99)*VLOOKUP((TRUNC(($AN535+0.01)*3/13,0)+0.99),'Tax scales - NAT 1004'!$A$53:$C$59,2,1)-VLOOKUP((TRUNC(($AN535+0.01)*3/13,0)+0.99),'Tax scales - NAT 1004'!$A$53:$C$59,3,1)),0)
*13/3,
0),
IF($E$2="Monthly",
ROUND(
ROUND(((TRUNC($AN535*3/13,0)+0.99)*VLOOKUP((TRUNC($AN535*3/13,0)+0.99),'Tax scales - NAT 1004'!$A$53:$C$59,2,1)-VLOOKUP((TRUNC($AN535*3/13,0)+0.99),'Tax scales - NAT 1004'!$A$53:$C$59,3,1)),0)
*13/3,
0),
""))),
""),
"")</f>
        <v/>
      </c>
      <c r="AT535" s="118" t="str">
        <f>IFERROR(
IF(VLOOKUP($C535,'Employee information'!$B:$M,COLUMNS('Employee information'!$B:$M),0)=6,
IF($E$2="Fortnightly",
ROUND(
ROUND((((TRUNC($AN535/2,0)+0.99))*VLOOKUP((TRUNC($AN535/2,0)+0.99),'Tax scales - NAT 1004'!$A$65:$C$73,2,1)-VLOOKUP((TRUNC($AN535/2,0)+0.99),'Tax scales - NAT 1004'!$A$65:$C$73,3,1)),0)
*2,
0),
IF(AND($E$2="Monthly",ROUND($AN535-TRUNC($AN535),2)=0.33),
ROUND(
ROUND(((TRUNC(($AN535+0.01)*3/13,0)+0.99)*VLOOKUP((TRUNC(($AN535+0.01)*3/13,0)+0.99),'Tax scales - NAT 1004'!$A$65:$C$73,2,1)-VLOOKUP((TRUNC(($AN535+0.01)*3/13,0)+0.99),'Tax scales - NAT 1004'!$A$65:$C$73,3,1)),0)
*13/3,
0),
IF($E$2="Monthly",
ROUND(
ROUND(((TRUNC($AN535*3/13,0)+0.99)*VLOOKUP((TRUNC($AN535*3/13,0)+0.99),'Tax scales - NAT 1004'!$A$65:$C$73,2,1)-VLOOKUP((TRUNC($AN535*3/13,0)+0.99),'Tax scales - NAT 1004'!$A$65:$C$73,3,1)),0)
*13/3,
0),
""))),
""),
"")</f>
        <v/>
      </c>
      <c r="AU535" s="118" t="str">
        <f>IFERROR(
IF(VLOOKUP($C535,'Employee information'!$B:$M,COLUMNS('Employee information'!$B:$M),0)=11,
IF($E$2="Fortnightly",
ROUND(
ROUND((((TRUNC($AN535/2,0)+0.99))*VLOOKUP((TRUNC($AN535/2,0)+0.99),'Tax scales - NAT 3539'!$A$14:$C$38,2,1)-VLOOKUP((TRUNC($AN535/2,0)+0.99),'Tax scales - NAT 3539'!$A$14:$C$38,3,1)),0)
*2,
0),
IF(AND($E$2="Monthly",ROUND($AN535-TRUNC($AN535),2)=0.33),
ROUND(
ROUND(((TRUNC(($AN535+0.01)*3/13,0)+0.99)*VLOOKUP((TRUNC(($AN535+0.01)*3/13,0)+0.99),'Tax scales - NAT 3539'!$A$14:$C$38,2,1)-VLOOKUP((TRUNC(($AN535+0.01)*3/13,0)+0.99),'Tax scales - NAT 3539'!$A$14:$C$38,3,1)),0)
*13/3,
0),
IF($E$2="Monthly",
ROUND(
ROUND(((TRUNC($AN535*3/13,0)+0.99)*VLOOKUP((TRUNC($AN535*3/13,0)+0.99),'Tax scales - NAT 3539'!$A$14:$C$38,2,1)-VLOOKUP((TRUNC($AN535*3/13,0)+0.99),'Tax scales - NAT 3539'!$A$14:$C$38,3,1)),0)
*13/3,
0),
""))),
""),
"")</f>
        <v/>
      </c>
      <c r="AV535" s="118" t="str">
        <f>IFERROR(
IF(VLOOKUP($C535,'Employee information'!$B:$M,COLUMNS('Employee information'!$B:$M),0)=22,
IF($E$2="Fortnightly",
ROUND(
ROUND((((TRUNC($AN535/2,0)+0.99))*VLOOKUP((TRUNC($AN535/2,0)+0.99),'Tax scales - NAT 3539'!$A$43:$C$69,2,1)-VLOOKUP((TRUNC($AN535/2,0)+0.99),'Tax scales - NAT 3539'!$A$43:$C$69,3,1)),0)
*2,
0),
IF(AND($E$2="Monthly",ROUND($AN535-TRUNC($AN535),2)=0.33),
ROUND(
ROUND(((TRUNC(($AN535+0.01)*3/13,0)+0.99)*VLOOKUP((TRUNC(($AN535+0.01)*3/13,0)+0.99),'Tax scales - NAT 3539'!$A$43:$C$69,2,1)-VLOOKUP((TRUNC(($AN535+0.01)*3/13,0)+0.99),'Tax scales - NAT 3539'!$A$43:$C$69,3,1)),0)
*13/3,
0),
IF($E$2="Monthly",
ROUND(
ROUND(((TRUNC($AN535*3/13,0)+0.99)*VLOOKUP((TRUNC($AN535*3/13,0)+0.99),'Tax scales - NAT 3539'!$A$43:$C$69,2,1)-VLOOKUP((TRUNC($AN535*3/13,0)+0.99),'Tax scales - NAT 3539'!$A$43:$C$69,3,1)),0)
*13/3,
0),
""))),
""),
"")</f>
        <v/>
      </c>
      <c r="AW535" s="118">
        <f>IFERROR(
IF(VLOOKUP($C535,'Employee information'!$B:$M,COLUMNS('Employee information'!$B:$M),0)=33,
IF($E$2="Fortnightly",
ROUND(
ROUND((((TRUNC($AN535/2,0)+0.99))*VLOOKUP((TRUNC($AN535/2,0)+0.99),'Tax scales - NAT 3539'!$A$74:$C$94,2,1)-VLOOKUP((TRUNC($AN535/2,0)+0.99),'Tax scales - NAT 3539'!$A$74:$C$94,3,1)),0)
*2,
0),
IF(AND($E$2="Monthly",ROUND($AN535-TRUNC($AN535),2)=0.33),
ROUND(
ROUND(((TRUNC(($AN535+0.01)*3/13,0)+0.99)*VLOOKUP((TRUNC(($AN535+0.01)*3/13,0)+0.99),'Tax scales - NAT 3539'!$A$74:$C$94,2,1)-VLOOKUP((TRUNC(($AN535+0.01)*3/13,0)+0.99),'Tax scales - NAT 3539'!$A$74:$C$94,3,1)),0)
*13/3,
0),
IF($E$2="Monthly",
ROUND(
ROUND(((TRUNC($AN535*3/13,0)+0.99)*VLOOKUP((TRUNC($AN535*3/13,0)+0.99),'Tax scales - NAT 3539'!$A$74:$C$94,2,1)-VLOOKUP((TRUNC($AN535*3/13,0)+0.99),'Tax scales - NAT 3539'!$A$74:$C$94,3,1)),0)
*13/3,
0),
""))),
""),
"")</f>
        <v>0</v>
      </c>
      <c r="AX535" s="118" t="str">
        <f>IFERROR(
IF(VLOOKUP($C535,'Employee information'!$B:$M,COLUMNS('Employee information'!$B:$M),0)=55,
IF($E$2="Fortnightly",
ROUND(
ROUND((((TRUNC($AN535/2,0)+0.99))*VLOOKUP((TRUNC($AN535/2,0)+0.99),'Tax scales - NAT 3539'!$A$99:$C$123,2,1)-VLOOKUP((TRUNC($AN535/2,0)+0.99),'Tax scales - NAT 3539'!$A$99:$C$123,3,1)),0)
*2,
0),
IF(AND($E$2="Monthly",ROUND($AN535-TRUNC($AN535),2)=0.33),
ROUND(
ROUND(((TRUNC(($AN535+0.01)*3/13,0)+0.99)*VLOOKUP((TRUNC(($AN535+0.01)*3/13,0)+0.99),'Tax scales - NAT 3539'!$A$99:$C$123,2,1)-VLOOKUP((TRUNC(($AN535+0.01)*3/13,0)+0.99),'Tax scales - NAT 3539'!$A$99:$C$123,3,1)),0)
*13/3,
0),
IF($E$2="Monthly",
ROUND(
ROUND(((TRUNC($AN535*3/13,0)+0.99)*VLOOKUP((TRUNC($AN535*3/13,0)+0.99),'Tax scales - NAT 3539'!$A$99:$C$123,2,1)-VLOOKUP((TRUNC($AN535*3/13,0)+0.99),'Tax scales - NAT 3539'!$A$99:$C$123,3,1)),0)
*13/3,
0),
""))),
""),
"")</f>
        <v/>
      </c>
      <c r="AY535" s="118" t="str">
        <f>IFERROR(
IF(VLOOKUP($C535,'Employee information'!$B:$M,COLUMNS('Employee information'!$B:$M),0)=66,
IF($E$2="Fortnightly",
ROUND(
ROUND((((TRUNC($AN535/2,0)+0.99))*VLOOKUP((TRUNC($AN535/2,0)+0.99),'Tax scales - NAT 3539'!$A$127:$C$154,2,1)-VLOOKUP((TRUNC($AN535/2,0)+0.99),'Tax scales - NAT 3539'!$A$127:$C$154,3,1)),0)
*2,
0),
IF(AND($E$2="Monthly",ROUND($AN535-TRUNC($AN535),2)=0.33),
ROUND(
ROUND(((TRUNC(($AN535+0.01)*3/13,0)+0.99)*VLOOKUP((TRUNC(($AN535+0.01)*3/13,0)+0.99),'Tax scales - NAT 3539'!$A$127:$C$154,2,1)-VLOOKUP((TRUNC(($AN535+0.01)*3/13,0)+0.99),'Tax scales - NAT 3539'!$A$127:$C$154,3,1)),0)
*13/3,
0),
IF($E$2="Monthly",
ROUND(
ROUND(((TRUNC($AN535*3/13,0)+0.99)*VLOOKUP((TRUNC($AN535*3/13,0)+0.99),'Tax scales - NAT 3539'!$A$127:$C$154,2,1)-VLOOKUP((TRUNC($AN535*3/13,0)+0.99),'Tax scales - NAT 3539'!$A$127:$C$154,3,1)),0)
*13/3,
0),
""))),
""),
"")</f>
        <v/>
      </c>
      <c r="AZ535" s="118">
        <f>IFERROR(
HLOOKUP(VLOOKUP($C535,'Employee information'!$B:$M,COLUMNS('Employee information'!$B:$M),0),'PAYG worksheet'!$AO$532:$AY$551,COUNTA($C$533:$C535)+1,0),
0)</f>
        <v>0</v>
      </c>
      <c r="BA535" s="118"/>
      <c r="BB535" s="118">
        <f t="shared" si="573"/>
        <v>0</v>
      </c>
      <c r="BC535" s="119">
        <f>IFERROR(
IF(OR($AE535=1,$AE535=""),SUM($P535,$AA535,$AC535,$AK535)*VLOOKUP($C535,'Employee information'!$B:$Q,COLUMNS('Employee information'!$B:$H),0),
IF($AE535=0,SUM($P535,$AA535,$AK535)*VLOOKUP($C535,'Employee information'!$B:$Q,COLUMNS('Employee information'!$B:$H),0),
0)),
0)</f>
        <v>0</v>
      </c>
      <c r="BE535" s="114">
        <f t="shared" si="558"/>
        <v>900</v>
      </c>
      <c r="BF535" s="114">
        <f t="shared" si="559"/>
        <v>900</v>
      </c>
      <c r="BG535" s="114">
        <f t="shared" si="560"/>
        <v>0</v>
      </c>
      <c r="BH535" s="114">
        <f t="shared" si="561"/>
        <v>0</v>
      </c>
      <c r="BI535" s="114">
        <f t="shared" si="562"/>
        <v>292</v>
      </c>
      <c r="BJ535" s="114">
        <f t="shared" si="563"/>
        <v>0</v>
      </c>
      <c r="BK535" s="114">
        <f t="shared" si="564"/>
        <v>0</v>
      </c>
      <c r="BL535" s="114">
        <f t="shared" si="574"/>
        <v>0</v>
      </c>
      <c r="BM535" s="114">
        <f t="shared" si="565"/>
        <v>85.5</v>
      </c>
    </row>
    <row r="536" spans="1:65" x14ac:dyDescent="0.25">
      <c r="A536" s="228">
        <f t="shared" si="553"/>
        <v>19</v>
      </c>
      <c r="C536" s="278" t="s">
        <v>15</v>
      </c>
      <c r="E536" s="103">
        <f>IF($C536="",0,
IF(AND($E$2="Monthly",$A536&gt;12),0,
IF($E$2="Monthly",VLOOKUP($C536,'Employee information'!$B:$AM,COLUMNS('Employee information'!$B:S),0),
IF($E$2="Fortnightly",VLOOKUP($C536,'Employee information'!$B:$AM,COLUMNS('Employee information'!$B:R),0),
0))))</f>
        <v>75</v>
      </c>
      <c r="F536" s="106"/>
      <c r="G536" s="106"/>
      <c r="H536" s="106"/>
      <c r="I536" s="106"/>
      <c r="J536" s="103">
        <f t="shared" si="566"/>
        <v>75</v>
      </c>
      <c r="L536" s="113">
        <f>IF(AND($E$2="Monthly",$A536&gt;12),"",
IFERROR($J536*VLOOKUP($C536,'Employee information'!$B:$AI,COLUMNS('Employee information'!$B:$P),0),0))</f>
        <v>7692.3076923076924</v>
      </c>
      <c r="M536" s="114">
        <f t="shared" si="567"/>
        <v>146153.84615384613</v>
      </c>
      <c r="O536" s="103">
        <f t="shared" si="568"/>
        <v>75</v>
      </c>
      <c r="P536" s="113">
        <f>IFERROR(
IF(AND($E$2="Monthly",$A536&gt;12),0,
$O536*VLOOKUP($C536,'Employee information'!$B:$AI,COLUMNS('Employee information'!$B:$P),0)),
0)</f>
        <v>7692.3076923076924</v>
      </c>
      <c r="R536" s="114">
        <f t="shared" si="554"/>
        <v>146153.84615384613</v>
      </c>
      <c r="T536" s="103"/>
      <c r="U536" s="103"/>
      <c r="V536" s="282">
        <f>IF($C536="","",
IF(AND($E$2="Monthly",$A536&gt;12),"",
$T536*VLOOKUP($C536,'Employee information'!$B:$P,COLUMNS('Employee information'!$B:$P),0)))</f>
        <v>0</v>
      </c>
      <c r="W536" s="282">
        <f>IF($C536="","",
IF(AND($E$2="Monthly",$A536&gt;12),"",
$U536*VLOOKUP($C536,'Employee information'!$B:$P,COLUMNS('Employee information'!$B:$P),0)))</f>
        <v>0</v>
      </c>
      <c r="X536" s="114">
        <f t="shared" si="555"/>
        <v>1538.4615384615386</v>
      </c>
      <c r="Y536" s="114">
        <f t="shared" si="556"/>
        <v>512.82051282051282</v>
      </c>
      <c r="AA536" s="118">
        <f>IFERROR(
IF(OR('Basic payroll data'!$D$12="",'Basic payroll data'!$D$12="No"),0,
$T536*VLOOKUP($C536,'Employee information'!$B:$P,COLUMNS('Employee information'!$B:$P),0)*AL_loading_perc),
0)</f>
        <v>0</v>
      </c>
      <c r="AC536" s="118"/>
      <c r="AD536" s="118"/>
      <c r="AE536" s="283" t="str">
        <f t="shared" si="569"/>
        <v/>
      </c>
      <c r="AF536" s="283" t="str">
        <f t="shared" si="570"/>
        <v/>
      </c>
      <c r="AG536" s="118"/>
      <c r="AH536" s="118"/>
      <c r="AI536" s="283" t="str">
        <f t="shared" si="571"/>
        <v/>
      </c>
      <c r="AJ536" s="118"/>
      <c r="AK536" s="118"/>
      <c r="AM536" s="118">
        <f t="shared" si="572"/>
        <v>7692.3076923076924</v>
      </c>
      <c r="AN536" s="118">
        <f t="shared" si="557"/>
        <v>7692.3076923076924</v>
      </c>
      <c r="AO536" s="118" t="str">
        <f>IFERROR(
IF(VLOOKUP($C536,'Employee information'!$B:$M,COLUMNS('Employee information'!$B:$M),0)=1,
IF($E$2="Fortnightly",
ROUND(
ROUND((((TRUNC($AN536/2,0)+0.99))*VLOOKUP((TRUNC($AN536/2,0)+0.99),'Tax scales - NAT 1004'!$A$12:$C$18,2,1)-VLOOKUP((TRUNC($AN536/2,0)+0.99),'Tax scales - NAT 1004'!$A$12:$C$18,3,1)),0)
*2,
0),
IF(AND($E$2="Monthly",ROUND($AN536-TRUNC($AN536),2)=0.33),
ROUND(
ROUND(((TRUNC(($AN536+0.01)*3/13,0)+0.99)*VLOOKUP((TRUNC(($AN536+0.01)*3/13,0)+0.99),'Tax scales - NAT 1004'!$A$12:$C$18,2,1)-VLOOKUP((TRUNC(($AN536+0.01)*3/13,0)+0.99),'Tax scales - NAT 1004'!$A$12:$C$18,3,1)),0)
*13/3,
0),
IF($E$2="Monthly",
ROUND(
ROUND(((TRUNC($AN536*3/13,0)+0.99)*VLOOKUP((TRUNC($AN536*3/13,0)+0.99),'Tax scales - NAT 1004'!$A$12:$C$18,2,1)-VLOOKUP((TRUNC($AN536*3/13,0)+0.99),'Tax scales - NAT 1004'!$A$12:$C$18,3,1)),0)
*13/3,
0),
""))),
""),
"")</f>
        <v/>
      </c>
      <c r="AP536" s="118" t="str">
        <f>IFERROR(
IF(VLOOKUP($C536,'Employee information'!$B:$M,COLUMNS('Employee information'!$B:$M),0)=2,
IF($E$2="Fortnightly",
ROUND(
ROUND((((TRUNC($AN536/2,0)+0.99))*VLOOKUP((TRUNC($AN536/2,0)+0.99),'Tax scales - NAT 1004'!$A$25:$C$33,2,1)-VLOOKUP((TRUNC($AN536/2,0)+0.99),'Tax scales - NAT 1004'!$A$25:$C$33,3,1)),0)
*2,
0),
IF(AND($E$2="Monthly",ROUND($AN536-TRUNC($AN536),2)=0.33),
ROUND(
ROUND(((TRUNC(($AN536+0.01)*3/13,0)+0.99)*VLOOKUP((TRUNC(($AN536+0.01)*3/13,0)+0.99),'Tax scales - NAT 1004'!$A$25:$C$33,2,1)-VLOOKUP((TRUNC(($AN536+0.01)*3/13,0)+0.99),'Tax scales - NAT 1004'!$A$25:$C$33,3,1)),0)
*13/3,
0),
IF($E$2="Monthly",
ROUND(
ROUND(((TRUNC($AN536*3/13,0)+0.99)*VLOOKUP((TRUNC($AN536*3/13,0)+0.99),'Tax scales - NAT 1004'!$A$25:$C$33,2,1)-VLOOKUP((TRUNC($AN536*3/13,0)+0.99),'Tax scales - NAT 1004'!$A$25:$C$33,3,1)),0)
*13/3,
0),
""))),
""),
"")</f>
        <v/>
      </c>
      <c r="AQ536" s="118" t="str">
        <f>IFERROR(
IF(VLOOKUP($C536,'Employee information'!$B:$M,COLUMNS('Employee information'!$B:$M),0)=3,
IF($E$2="Fortnightly",
ROUND(
ROUND((((TRUNC($AN536/2,0)+0.99))*VLOOKUP((TRUNC($AN536/2,0)+0.99),'Tax scales - NAT 1004'!$A$39:$C$41,2,1)-VLOOKUP((TRUNC($AN536/2,0)+0.99),'Tax scales - NAT 1004'!$A$39:$C$41,3,1)),0)
*2,
0),
IF(AND($E$2="Monthly",ROUND($AN536-TRUNC($AN536),2)=0.33),
ROUND(
ROUND(((TRUNC(($AN536+0.01)*3/13,0)+0.99)*VLOOKUP((TRUNC(($AN536+0.01)*3/13,0)+0.99),'Tax scales - NAT 1004'!$A$39:$C$41,2,1)-VLOOKUP((TRUNC(($AN536+0.01)*3/13,0)+0.99),'Tax scales - NAT 1004'!$A$39:$C$41,3,1)),0)
*13/3,
0),
IF($E$2="Monthly",
ROUND(
ROUND(((TRUNC($AN536*3/13,0)+0.99)*VLOOKUP((TRUNC($AN536*3/13,0)+0.99),'Tax scales - NAT 1004'!$A$39:$C$41,2,1)-VLOOKUP((TRUNC($AN536*3/13,0)+0.99),'Tax scales - NAT 1004'!$A$39:$C$41,3,1)),0)
*13/3,
0),
""))),
""),
"")</f>
        <v/>
      </c>
      <c r="AR536" s="118" t="str">
        <f>IFERROR(
IF(AND(VLOOKUP($C536,'Employee information'!$B:$M,COLUMNS('Employee information'!$B:$M),0)=4,
VLOOKUP($C536,'Employee information'!$B:$J,COLUMNS('Employee information'!$B:$J),0)="Resident"),
TRUNC(TRUNC($AN536)*'Tax scales - NAT 1004'!$B$47),
IF(AND(VLOOKUP($C536,'Employee information'!$B:$M,COLUMNS('Employee information'!$B:$M),0)=4,
VLOOKUP($C536,'Employee information'!$B:$J,COLUMNS('Employee information'!$B:$J),0)="Foreign resident"),
TRUNC(TRUNC($AN536)*'Tax scales - NAT 1004'!$B$48),
"")),
"")</f>
        <v/>
      </c>
      <c r="AS536" s="118" t="str">
        <f>IFERROR(
IF(VLOOKUP($C536,'Employee information'!$B:$M,COLUMNS('Employee information'!$B:$M),0)=5,
IF($E$2="Fortnightly",
ROUND(
ROUND((((TRUNC($AN536/2,0)+0.99))*VLOOKUP((TRUNC($AN536/2,0)+0.99),'Tax scales - NAT 1004'!$A$53:$C$59,2,1)-VLOOKUP((TRUNC($AN536/2,0)+0.99),'Tax scales - NAT 1004'!$A$53:$C$59,3,1)),0)
*2,
0),
IF(AND($E$2="Monthly",ROUND($AN536-TRUNC($AN536),2)=0.33),
ROUND(
ROUND(((TRUNC(($AN536+0.01)*3/13,0)+0.99)*VLOOKUP((TRUNC(($AN536+0.01)*3/13,0)+0.99),'Tax scales - NAT 1004'!$A$53:$C$59,2,1)-VLOOKUP((TRUNC(($AN536+0.01)*3/13,0)+0.99),'Tax scales - NAT 1004'!$A$53:$C$59,3,1)),0)
*13/3,
0),
IF($E$2="Monthly",
ROUND(
ROUND(((TRUNC($AN536*3/13,0)+0.99)*VLOOKUP((TRUNC($AN536*3/13,0)+0.99),'Tax scales - NAT 1004'!$A$53:$C$59,2,1)-VLOOKUP((TRUNC($AN536*3/13,0)+0.99),'Tax scales - NAT 1004'!$A$53:$C$59,3,1)),0)
*13/3,
0),
""))),
""),
"")</f>
        <v/>
      </c>
      <c r="AT536" s="118" t="str">
        <f>IFERROR(
IF(VLOOKUP($C536,'Employee information'!$B:$M,COLUMNS('Employee information'!$B:$M),0)=6,
IF($E$2="Fortnightly",
ROUND(
ROUND((((TRUNC($AN536/2,0)+0.99))*VLOOKUP((TRUNC($AN536/2,0)+0.99),'Tax scales - NAT 1004'!$A$65:$C$73,2,1)-VLOOKUP((TRUNC($AN536/2,0)+0.99),'Tax scales - NAT 1004'!$A$65:$C$73,3,1)),0)
*2,
0),
IF(AND($E$2="Monthly",ROUND($AN536-TRUNC($AN536),2)=0.33),
ROUND(
ROUND(((TRUNC(($AN536+0.01)*3/13,0)+0.99)*VLOOKUP((TRUNC(($AN536+0.01)*3/13,0)+0.99),'Tax scales - NAT 1004'!$A$65:$C$73,2,1)-VLOOKUP((TRUNC(($AN536+0.01)*3/13,0)+0.99),'Tax scales - NAT 1004'!$A$65:$C$73,3,1)),0)
*13/3,
0),
IF($E$2="Monthly",
ROUND(
ROUND(((TRUNC($AN536*3/13,0)+0.99)*VLOOKUP((TRUNC($AN536*3/13,0)+0.99),'Tax scales - NAT 1004'!$A$65:$C$73,2,1)-VLOOKUP((TRUNC($AN536*3/13,0)+0.99),'Tax scales - NAT 1004'!$A$65:$C$73,3,1)),0)
*13/3,
0),
""))),
""),
"")</f>
        <v/>
      </c>
      <c r="AU536" s="118" t="str">
        <f>IFERROR(
IF(VLOOKUP($C536,'Employee information'!$B:$M,COLUMNS('Employee information'!$B:$M),0)=11,
IF($E$2="Fortnightly",
ROUND(
ROUND((((TRUNC($AN536/2,0)+0.99))*VLOOKUP((TRUNC($AN536/2,0)+0.99),'Tax scales - NAT 3539'!$A$14:$C$38,2,1)-VLOOKUP((TRUNC($AN536/2,0)+0.99),'Tax scales - NAT 3539'!$A$14:$C$38,3,1)),0)
*2,
0),
IF(AND($E$2="Monthly",ROUND($AN536-TRUNC($AN536),2)=0.33),
ROUND(
ROUND(((TRUNC(($AN536+0.01)*3/13,0)+0.99)*VLOOKUP((TRUNC(($AN536+0.01)*3/13,0)+0.99),'Tax scales - NAT 3539'!$A$14:$C$38,2,1)-VLOOKUP((TRUNC(($AN536+0.01)*3/13,0)+0.99),'Tax scales - NAT 3539'!$A$14:$C$38,3,1)),0)
*13/3,
0),
IF($E$2="Monthly",
ROUND(
ROUND(((TRUNC($AN536*3/13,0)+0.99)*VLOOKUP((TRUNC($AN536*3/13,0)+0.99),'Tax scales - NAT 3539'!$A$14:$C$38,2,1)-VLOOKUP((TRUNC($AN536*3/13,0)+0.99),'Tax scales - NAT 3539'!$A$14:$C$38,3,1)),0)
*13/3,
0),
""))),
""),
"")</f>
        <v/>
      </c>
      <c r="AV536" s="118" t="str">
        <f>IFERROR(
IF(VLOOKUP($C536,'Employee information'!$B:$M,COLUMNS('Employee information'!$B:$M),0)=22,
IF($E$2="Fortnightly",
ROUND(
ROUND((((TRUNC($AN536/2,0)+0.99))*VLOOKUP((TRUNC($AN536/2,0)+0.99),'Tax scales - NAT 3539'!$A$43:$C$69,2,1)-VLOOKUP((TRUNC($AN536/2,0)+0.99),'Tax scales - NAT 3539'!$A$43:$C$69,3,1)),0)
*2,
0),
IF(AND($E$2="Monthly",ROUND($AN536-TRUNC($AN536),2)=0.33),
ROUND(
ROUND(((TRUNC(($AN536+0.01)*3/13,0)+0.99)*VLOOKUP((TRUNC(($AN536+0.01)*3/13,0)+0.99),'Tax scales - NAT 3539'!$A$43:$C$69,2,1)-VLOOKUP((TRUNC(($AN536+0.01)*3/13,0)+0.99),'Tax scales - NAT 3539'!$A$43:$C$69,3,1)),0)
*13/3,
0),
IF($E$2="Monthly",
ROUND(
ROUND(((TRUNC($AN536*3/13,0)+0.99)*VLOOKUP((TRUNC($AN536*3/13,0)+0.99),'Tax scales - NAT 3539'!$A$43:$C$69,2,1)-VLOOKUP((TRUNC($AN536*3/13,0)+0.99),'Tax scales - NAT 3539'!$A$43:$C$69,3,1)),0)
*13/3,
0),
""))),
""),
"")</f>
        <v/>
      </c>
      <c r="AW536" s="118" t="str">
        <f>IFERROR(
IF(VLOOKUP($C536,'Employee information'!$B:$M,COLUMNS('Employee information'!$B:$M),0)=33,
IF($E$2="Fortnightly",
ROUND(
ROUND((((TRUNC($AN536/2,0)+0.99))*VLOOKUP((TRUNC($AN536/2,0)+0.99),'Tax scales - NAT 3539'!$A$74:$C$94,2,1)-VLOOKUP((TRUNC($AN536/2,0)+0.99),'Tax scales - NAT 3539'!$A$74:$C$94,3,1)),0)
*2,
0),
IF(AND($E$2="Monthly",ROUND($AN536-TRUNC($AN536),2)=0.33),
ROUND(
ROUND(((TRUNC(($AN536+0.01)*3/13,0)+0.99)*VLOOKUP((TRUNC(($AN536+0.01)*3/13,0)+0.99),'Tax scales - NAT 3539'!$A$74:$C$94,2,1)-VLOOKUP((TRUNC(($AN536+0.01)*3/13,0)+0.99),'Tax scales - NAT 3539'!$A$74:$C$94,3,1)),0)
*13/3,
0),
IF($E$2="Monthly",
ROUND(
ROUND(((TRUNC($AN536*3/13,0)+0.99)*VLOOKUP((TRUNC($AN536*3/13,0)+0.99),'Tax scales - NAT 3539'!$A$74:$C$94,2,1)-VLOOKUP((TRUNC($AN536*3/13,0)+0.99),'Tax scales - NAT 3539'!$A$74:$C$94,3,1)),0)
*13/3,
0),
""))),
""),
"")</f>
        <v/>
      </c>
      <c r="AX536" s="118">
        <f>IFERROR(
IF(VLOOKUP($C536,'Employee information'!$B:$M,COLUMNS('Employee information'!$B:$M),0)=55,
IF($E$2="Fortnightly",
ROUND(
ROUND((((TRUNC($AN536/2,0)+0.99))*VLOOKUP((TRUNC($AN536/2,0)+0.99),'Tax scales - NAT 3539'!$A$99:$C$123,2,1)-VLOOKUP((TRUNC($AN536/2,0)+0.99),'Tax scales - NAT 3539'!$A$99:$C$123,3,1)),0)
*2,
0),
IF(AND($E$2="Monthly",ROUND($AN536-TRUNC($AN536),2)=0.33),
ROUND(
ROUND(((TRUNC(($AN536+0.01)*3/13,0)+0.99)*VLOOKUP((TRUNC(($AN536+0.01)*3/13,0)+0.99),'Tax scales - NAT 3539'!$A$99:$C$123,2,1)-VLOOKUP((TRUNC(($AN536+0.01)*3/13,0)+0.99),'Tax scales - NAT 3539'!$A$99:$C$123,3,1)),0)
*13/3,
0),
IF($E$2="Monthly",
ROUND(
ROUND(((TRUNC($AN536*3/13,0)+0.99)*VLOOKUP((TRUNC($AN536*3/13,0)+0.99),'Tax scales - NAT 3539'!$A$99:$C$123,2,1)-VLOOKUP((TRUNC($AN536*3/13,0)+0.99),'Tax scales - NAT 3539'!$A$99:$C$123,3,1)),0)
*13/3,
0),
""))),
""),
"")</f>
        <v>3104</v>
      </c>
      <c r="AY536" s="118" t="str">
        <f>IFERROR(
IF(VLOOKUP($C536,'Employee information'!$B:$M,COLUMNS('Employee information'!$B:$M),0)=66,
IF($E$2="Fortnightly",
ROUND(
ROUND((((TRUNC($AN536/2,0)+0.99))*VLOOKUP((TRUNC($AN536/2,0)+0.99),'Tax scales - NAT 3539'!$A$127:$C$154,2,1)-VLOOKUP((TRUNC($AN536/2,0)+0.99),'Tax scales - NAT 3539'!$A$127:$C$154,3,1)),0)
*2,
0),
IF(AND($E$2="Monthly",ROUND($AN536-TRUNC($AN536),2)=0.33),
ROUND(
ROUND(((TRUNC(($AN536+0.01)*3/13,0)+0.99)*VLOOKUP((TRUNC(($AN536+0.01)*3/13,0)+0.99),'Tax scales - NAT 3539'!$A$127:$C$154,2,1)-VLOOKUP((TRUNC(($AN536+0.01)*3/13,0)+0.99),'Tax scales - NAT 3539'!$A$127:$C$154,3,1)),0)
*13/3,
0),
IF($E$2="Monthly",
ROUND(
ROUND(((TRUNC($AN536*3/13,0)+0.99)*VLOOKUP((TRUNC($AN536*3/13,0)+0.99),'Tax scales - NAT 3539'!$A$127:$C$154,2,1)-VLOOKUP((TRUNC($AN536*3/13,0)+0.99),'Tax scales - NAT 3539'!$A$127:$C$154,3,1)),0)
*13/3,
0),
""))),
""),
"")</f>
        <v/>
      </c>
      <c r="AZ536" s="118">
        <f>IFERROR(
HLOOKUP(VLOOKUP($C536,'Employee information'!$B:$M,COLUMNS('Employee information'!$B:$M),0),'PAYG worksheet'!$AO$532:$AY$551,COUNTA($C$533:$C536)+1,0),
0)</f>
        <v>3104</v>
      </c>
      <c r="BA536" s="118"/>
      <c r="BB536" s="118">
        <f t="shared" si="573"/>
        <v>4588.3076923076924</v>
      </c>
      <c r="BC536" s="119">
        <f>IFERROR(
IF(OR($AE536=1,$AE536=""),SUM($P536,$AA536,$AC536,$AK536)*VLOOKUP($C536,'Employee information'!$B:$Q,COLUMNS('Employee information'!$B:$H),0),
IF($AE536=0,SUM($P536,$AA536,$AK536)*VLOOKUP($C536,'Employee information'!$B:$Q,COLUMNS('Employee information'!$B:$H),0),
0)),
0)</f>
        <v>730.76923076923083</v>
      </c>
      <c r="BE536" s="114">
        <f t="shared" si="558"/>
        <v>146293.84615384613</v>
      </c>
      <c r="BF536" s="114">
        <f t="shared" si="559"/>
        <v>146153.84615384613</v>
      </c>
      <c r="BG536" s="114">
        <f t="shared" si="560"/>
        <v>0</v>
      </c>
      <c r="BH536" s="114">
        <f t="shared" si="561"/>
        <v>140</v>
      </c>
      <c r="BI536" s="114">
        <f t="shared" si="562"/>
        <v>58976</v>
      </c>
      <c r="BJ536" s="114">
        <f t="shared" si="563"/>
        <v>0</v>
      </c>
      <c r="BK536" s="114">
        <f t="shared" si="564"/>
        <v>0</v>
      </c>
      <c r="BL536" s="114">
        <f t="shared" si="574"/>
        <v>0</v>
      </c>
      <c r="BM536" s="114">
        <f t="shared" si="565"/>
        <v>13884.615384615381</v>
      </c>
    </row>
    <row r="537" spans="1:65" x14ac:dyDescent="0.25">
      <c r="A537" s="228">
        <f t="shared" si="553"/>
        <v>19</v>
      </c>
      <c r="C537" s="278" t="s">
        <v>16</v>
      </c>
      <c r="E537" s="103">
        <f>IF($C537="",0,
IF(AND($E$2="Monthly",$A537&gt;12),0,
IF($E$2="Monthly",VLOOKUP($C537,'Employee information'!$B:$AM,COLUMNS('Employee information'!$B:S),0),
IF($E$2="Fortnightly",VLOOKUP($C537,'Employee information'!$B:$AM,COLUMNS('Employee information'!$B:R),0),
0))))</f>
        <v>75</v>
      </c>
      <c r="F537" s="106"/>
      <c r="G537" s="106"/>
      <c r="H537" s="106"/>
      <c r="I537" s="106"/>
      <c r="J537" s="103">
        <f t="shared" si="566"/>
        <v>75</v>
      </c>
      <c r="L537" s="113">
        <f>IF(AND($E$2="Monthly",$A537&gt;12),"",
IFERROR($J537*VLOOKUP($C537,'Employee information'!$B:$AI,COLUMNS('Employee information'!$B:$P),0),0))</f>
        <v>4125</v>
      </c>
      <c r="M537" s="114">
        <f t="shared" si="567"/>
        <v>78375</v>
      </c>
      <c r="O537" s="103">
        <f t="shared" si="568"/>
        <v>75</v>
      </c>
      <c r="P537" s="113">
        <f>IFERROR(
IF(AND($E$2="Monthly",$A537&gt;12),0,
$O537*VLOOKUP($C537,'Employee information'!$B:$AI,COLUMNS('Employee information'!$B:$P),0)),
0)</f>
        <v>4125</v>
      </c>
      <c r="R537" s="114">
        <f t="shared" si="554"/>
        <v>78375</v>
      </c>
      <c r="T537" s="103"/>
      <c r="U537" s="103"/>
      <c r="V537" s="282">
        <f>IF($C537="","",
IF(AND($E$2="Monthly",$A537&gt;12),"",
$T537*VLOOKUP($C537,'Employee information'!$B:$P,COLUMNS('Employee information'!$B:$P),0)))</f>
        <v>0</v>
      </c>
      <c r="W537" s="282">
        <f>IF($C537="","",
IF(AND($E$2="Monthly",$A537&gt;12),"",
$U537*VLOOKUP($C537,'Employee information'!$B:$P,COLUMNS('Employee information'!$B:$P),0)))</f>
        <v>0</v>
      </c>
      <c r="X537" s="114">
        <f t="shared" si="555"/>
        <v>0</v>
      </c>
      <c r="Y537" s="114">
        <f t="shared" si="556"/>
        <v>0</v>
      </c>
      <c r="AA537" s="118">
        <f>IFERROR(
IF(OR('Basic payroll data'!$D$12="",'Basic payroll data'!$D$12="No"),0,
$T537*VLOOKUP($C537,'Employee information'!$B:$P,COLUMNS('Employee information'!$B:$P),0)*AL_loading_perc),
0)</f>
        <v>0</v>
      </c>
      <c r="AC537" s="118"/>
      <c r="AD537" s="118"/>
      <c r="AE537" s="283" t="str">
        <f t="shared" si="569"/>
        <v/>
      </c>
      <c r="AF537" s="283" t="str">
        <f t="shared" si="570"/>
        <v/>
      </c>
      <c r="AG537" s="118"/>
      <c r="AH537" s="118"/>
      <c r="AI537" s="283" t="str">
        <f t="shared" si="571"/>
        <v/>
      </c>
      <c r="AJ537" s="118"/>
      <c r="AK537" s="118"/>
      <c r="AM537" s="118">
        <f t="shared" si="572"/>
        <v>4125</v>
      </c>
      <c r="AN537" s="118">
        <f t="shared" si="557"/>
        <v>4125</v>
      </c>
      <c r="AO537" s="118" t="str">
        <f>IFERROR(
IF(VLOOKUP($C537,'Employee information'!$B:$M,COLUMNS('Employee information'!$B:$M),0)=1,
IF($E$2="Fortnightly",
ROUND(
ROUND((((TRUNC($AN537/2,0)+0.99))*VLOOKUP((TRUNC($AN537/2,0)+0.99),'Tax scales - NAT 1004'!$A$12:$C$18,2,1)-VLOOKUP((TRUNC($AN537/2,0)+0.99),'Tax scales - NAT 1004'!$A$12:$C$18,3,1)),0)
*2,
0),
IF(AND($E$2="Monthly",ROUND($AN537-TRUNC($AN537),2)=0.33),
ROUND(
ROUND(((TRUNC(($AN537+0.01)*3/13,0)+0.99)*VLOOKUP((TRUNC(($AN537+0.01)*3/13,0)+0.99),'Tax scales - NAT 1004'!$A$12:$C$18,2,1)-VLOOKUP((TRUNC(($AN537+0.01)*3/13,0)+0.99),'Tax scales - NAT 1004'!$A$12:$C$18,3,1)),0)
*13/3,
0),
IF($E$2="Monthly",
ROUND(
ROUND(((TRUNC($AN537*3/13,0)+0.99)*VLOOKUP((TRUNC($AN537*3/13,0)+0.99),'Tax scales - NAT 1004'!$A$12:$C$18,2,1)-VLOOKUP((TRUNC($AN537*3/13,0)+0.99),'Tax scales - NAT 1004'!$A$12:$C$18,3,1)),0)
*13/3,
0),
""))),
""),
"")</f>
        <v/>
      </c>
      <c r="AP537" s="118" t="str">
        <f>IFERROR(
IF(VLOOKUP($C537,'Employee information'!$B:$M,COLUMNS('Employee information'!$B:$M),0)=2,
IF($E$2="Fortnightly",
ROUND(
ROUND((((TRUNC($AN537/2,0)+0.99))*VLOOKUP((TRUNC($AN537/2,0)+0.99),'Tax scales - NAT 1004'!$A$25:$C$33,2,1)-VLOOKUP((TRUNC($AN537/2,0)+0.99),'Tax scales - NAT 1004'!$A$25:$C$33,3,1)),0)
*2,
0),
IF(AND($E$2="Monthly",ROUND($AN537-TRUNC($AN537),2)=0.33),
ROUND(
ROUND(((TRUNC(($AN537+0.01)*3/13,0)+0.99)*VLOOKUP((TRUNC(($AN537+0.01)*3/13,0)+0.99),'Tax scales - NAT 1004'!$A$25:$C$33,2,1)-VLOOKUP((TRUNC(($AN537+0.01)*3/13,0)+0.99),'Tax scales - NAT 1004'!$A$25:$C$33,3,1)),0)
*13/3,
0),
IF($E$2="Monthly",
ROUND(
ROUND(((TRUNC($AN537*3/13,0)+0.99)*VLOOKUP((TRUNC($AN537*3/13,0)+0.99),'Tax scales - NAT 1004'!$A$25:$C$33,2,1)-VLOOKUP((TRUNC($AN537*3/13,0)+0.99),'Tax scales - NAT 1004'!$A$25:$C$33,3,1)),0)
*13/3,
0),
""))),
""),
"")</f>
        <v/>
      </c>
      <c r="AQ537" s="118" t="str">
        <f>IFERROR(
IF(VLOOKUP($C537,'Employee information'!$B:$M,COLUMNS('Employee information'!$B:$M),0)=3,
IF($E$2="Fortnightly",
ROUND(
ROUND((((TRUNC($AN537/2,0)+0.99))*VLOOKUP((TRUNC($AN537/2,0)+0.99),'Tax scales - NAT 1004'!$A$39:$C$41,2,1)-VLOOKUP((TRUNC($AN537/2,0)+0.99),'Tax scales - NAT 1004'!$A$39:$C$41,3,1)),0)
*2,
0),
IF(AND($E$2="Monthly",ROUND($AN537-TRUNC($AN537),2)=0.33),
ROUND(
ROUND(((TRUNC(($AN537+0.01)*3/13,0)+0.99)*VLOOKUP((TRUNC(($AN537+0.01)*3/13,0)+0.99),'Tax scales - NAT 1004'!$A$39:$C$41,2,1)-VLOOKUP((TRUNC(($AN537+0.01)*3/13,0)+0.99),'Tax scales - NAT 1004'!$A$39:$C$41,3,1)),0)
*13/3,
0),
IF($E$2="Monthly",
ROUND(
ROUND(((TRUNC($AN537*3/13,0)+0.99)*VLOOKUP((TRUNC($AN537*3/13,0)+0.99),'Tax scales - NAT 1004'!$A$39:$C$41,2,1)-VLOOKUP((TRUNC($AN537*3/13,0)+0.99),'Tax scales - NAT 1004'!$A$39:$C$41,3,1)),0)
*13/3,
0),
""))),
""),
"")</f>
        <v/>
      </c>
      <c r="AR537" s="118" t="str">
        <f>IFERROR(
IF(AND(VLOOKUP($C537,'Employee information'!$B:$M,COLUMNS('Employee information'!$B:$M),0)=4,
VLOOKUP($C537,'Employee information'!$B:$J,COLUMNS('Employee information'!$B:$J),0)="Resident"),
TRUNC(TRUNC($AN537)*'Tax scales - NAT 1004'!$B$47),
IF(AND(VLOOKUP($C537,'Employee information'!$B:$M,COLUMNS('Employee information'!$B:$M),0)=4,
VLOOKUP($C537,'Employee information'!$B:$J,COLUMNS('Employee information'!$B:$J),0)="Foreign resident"),
TRUNC(TRUNC($AN537)*'Tax scales - NAT 1004'!$B$48),
"")),
"")</f>
        <v/>
      </c>
      <c r="AS537" s="118" t="str">
        <f>IFERROR(
IF(VLOOKUP($C537,'Employee information'!$B:$M,COLUMNS('Employee information'!$B:$M),0)=5,
IF($E$2="Fortnightly",
ROUND(
ROUND((((TRUNC($AN537/2,0)+0.99))*VLOOKUP((TRUNC($AN537/2,0)+0.99),'Tax scales - NAT 1004'!$A$53:$C$59,2,1)-VLOOKUP((TRUNC($AN537/2,0)+0.99),'Tax scales - NAT 1004'!$A$53:$C$59,3,1)),0)
*2,
0),
IF(AND($E$2="Monthly",ROUND($AN537-TRUNC($AN537),2)=0.33),
ROUND(
ROUND(((TRUNC(($AN537+0.01)*3/13,0)+0.99)*VLOOKUP((TRUNC(($AN537+0.01)*3/13,0)+0.99),'Tax scales - NAT 1004'!$A$53:$C$59,2,1)-VLOOKUP((TRUNC(($AN537+0.01)*3/13,0)+0.99),'Tax scales - NAT 1004'!$A$53:$C$59,3,1)),0)
*13/3,
0),
IF($E$2="Monthly",
ROUND(
ROUND(((TRUNC($AN537*3/13,0)+0.99)*VLOOKUP((TRUNC($AN537*3/13,0)+0.99),'Tax scales - NAT 1004'!$A$53:$C$59,2,1)-VLOOKUP((TRUNC($AN537*3/13,0)+0.99),'Tax scales - NAT 1004'!$A$53:$C$59,3,1)),0)
*13/3,
0),
""))),
""),
"")</f>
        <v/>
      </c>
      <c r="AT537" s="118" t="str">
        <f>IFERROR(
IF(VLOOKUP($C537,'Employee information'!$B:$M,COLUMNS('Employee information'!$B:$M),0)=6,
IF($E$2="Fortnightly",
ROUND(
ROUND((((TRUNC($AN537/2,0)+0.99))*VLOOKUP((TRUNC($AN537/2,0)+0.99),'Tax scales - NAT 1004'!$A$65:$C$73,2,1)-VLOOKUP((TRUNC($AN537/2,0)+0.99),'Tax scales - NAT 1004'!$A$65:$C$73,3,1)),0)
*2,
0),
IF(AND($E$2="Monthly",ROUND($AN537-TRUNC($AN537),2)=0.33),
ROUND(
ROUND(((TRUNC(($AN537+0.01)*3/13,0)+0.99)*VLOOKUP((TRUNC(($AN537+0.01)*3/13,0)+0.99),'Tax scales - NAT 1004'!$A$65:$C$73,2,1)-VLOOKUP((TRUNC(($AN537+0.01)*3/13,0)+0.99),'Tax scales - NAT 1004'!$A$65:$C$73,3,1)),0)
*13/3,
0),
IF($E$2="Monthly",
ROUND(
ROUND(((TRUNC($AN537*3/13,0)+0.99)*VLOOKUP((TRUNC($AN537*3/13,0)+0.99),'Tax scales - NAT 1004'!$A$65:$C$73,2,1)-VLOOKUP((TRUNC($AN537*3/13,0)+0.99),'Tax scales - NAT 1004'!$A$65:$C$73,3,1)),0)
*13/3,
0),
""))),
""),
"")</f>
        <v/>
      </c>
      <c r="AU537" s="118">
        <f>IFERROR(
IF(VLOOKUP($C537,'Employee information'!$B:$M,COLUMNS('Employee information'!$B:$M),0)=11,
IF($E$2="Fortnightly",
ROUND(
ROUND((((TRUNC($AN537/2,0)+0.99))*VLOOKUP((TRUNC($AN537/2,0)+0.99),'Tax scales - NAT 3539'!$A$14:$C$38,2,1)-VLOOKUP((TRUNC($AN537/2,0)+0.99),'Tax scales - NAT 3539'!$A$14:$C$38,3,1)),0)
*2,
0),
IF(AND($E$2="Monthly",ROUND($AN537-TRUNC($AN537),2)=0.33),
ROUND(
ROUND(((TRUNC(($AN537+0.01)*3/13,0)+0.99)*VLOOKUP((TRUNC(($AN537+0.01)*3/13,0)+0.99),'Tax scales - NAT 3539'!$A$14:$C$38,2,1)-VLOOKUP((TRUNC(($AN537+0.01)*3/13,0)+0.99),'Tax scales - NAT 3539'!$A$14:$C$38,3,1)),0)
*13/3,
0),
IF($E$2="Monthly",
ROUND(
ROUND(((TRUNC($AN537*3/13,0)+0.99)*VLOOKUP((TRUNC($AN537*3/13,0)+0.99),'Tax scales - NAT 3539'!$A$14:$C$38,2,1)-VLOOKUP((TRUNC($AN537*3/13,0)+0.99),'Tax scales - NAT 3539'!$A$14:$C$38,3,1)),0)
*13/3,
0),
""))),
""),
"")</f>
        <v>1680</v>
      </c>
      <c r="AV537" s="118" t="str">
        <f>IFERROR(
IF(VLOOKUP($C537,'Employee information'!$B:$M,COLUMNS('Employee information'!$B:$M),0)=22,
IF($E$2="Fortnightly",
ROUND(
ROUND((((TRUNC($AN537/2,0)+0.99))*VLOOKUP((TRUNC($AN537/2,0)+0.99),'Tax scales - NAT 3539'!$A$43:$C$69,2,1)-VLOOKUP((TRUNC($AN537/2,0)+0.99),'Tax scales - NAT 3539'!$A$43:$C$69,3,1)),0)
*2,
0),
IF(AND($E$2="Monthly",ROUND($AN537-TRUNC($AN537),2)=0.33),
ROUND(
ROUND(((TRUNC(($AN537+0.01)*3/13,0)+0.99)*VLOOKUP((TRUNC(($AN537+0.01)*3/13,0)+0.99),'Tax scales - NAT 3539'!$A$43:$C$69,2,1)-VLOOKUP((TRUNC(($AN537+0.01)*3/13,0)+0.99),'Tax scales - NAT 3539'!$A$43:$C$69,3,1)),0)
*13/3,
0),
IF($E$2="Monthly",
ROUND(
ROUND(((TRUNC($AN537*3/13,0)+0.99)*VLOOKUP((TRUNC($AN537*3/13,0)+0.99),'Tax scales - NAT 3539'!$A$43:$C$69,2,1)-VLOOKUP((TRUNC($AN537*3/13,0)+0.99),'Tax scales - NAT 3539'!$A$43:$C$69,3,1)),0)
*13/3,
0),
""))),
""),
"")</f>
        <v/>
      </c>
      <c r="AW537" s="118" t="str">
        <f>IFERROR(
IF(VLOOKUP($C537,'Employee information'!$B:$M,COLUMNS('Employee information'!$B:$M),0)=33,
IF($E$2="Fortnightly",
ROUND(
ROUND((((TRUNC($AN537/2,0)+0.99))*VLOOKUP((TRUNC($AN537/2,0)+0.99),'Tax scales - NAT 3539'!$A$74:$C$94,2,1)-VLOOKUP((TRUNC($AN537/2,0)+0.99),'Tax scales - NAT 3539'!$A$74:$C$94,3,1)),0)
*2,
0),
IF(AND($E$2="Monthly",ROUND($AN537-TRUNC($AN537),2)=0.33),
ROUND(
ROUND(((TRUNC(($AN537+0.01)*3/13,0)+0.99)*VLOOKUP((TRUNC(($AN537+0.01)*3/13,0)+0.99),'Tax scales - NAT 3539'!$A$74:$C$94,2,1)-VLOOKUP((TRUNC(($AN537+0.01)*3/13,0)+0.99),'Tax scales - NAT 3539'!$A$74:$C$94,3,1)),0)
*13/3,
0),
IF($E$2="Monthly",
ROUND(
ROUND(((TRUNC($AN537*3/13,0)+0.99)*VLOOKUP((TRUNC($AN537*3/13,0)+0.99),'Tax scales - NAT 3539'!$A$74:$C$94,2,1)-VLOOKUP((TRUNC($AN537*3/13,0)+0.99),'Tax scales - NAT 3539'!$A$74:$C$94,3,1)),0)
*13/3,
0),
""))),
""),
"")</f>
        <v/>
      </c>
      <c r="AX537" s="118" t="str">
        <f>IFERROR(
IF(VLOOKUP($C537,'Employee information'!$B:$M,COLUMNS('Employee information'!$B:$M),0)=55,
IF($E$2="Fortnightly",
ROUND(
ROUND((((TRUNC($AN537/2,0)+0.99))*VLOOKUP((TRUNC($AN537/2,0)+0.99),'Tax scales - NAT 3539'!$A$99:$C$123,2,1)-VLOOKUP((TRUNC($AN537/2,0)+0.99),'Tax scales - NAT 3539'!$A$99:$C$123,3,1)),0)
*2,
0),
IF(AND($E$2="Monthly",ROUND($AN537-TRUNC($AN537),2)=0.33),
ROUND(
ROUND(((TRUNC(($AN537+0.01)*3/13,0)+0.99)*VLOOKUP((TRUNC(($AN537+0.01)*3/13,0)+0.99),'Tax scales - NAT 3539'!$A$99:$C$123,2,1)-VLOOKUP((TRUNC(($AN537+0.01)*3/13,0)+0.99),'Tax scales - NAT 3539'!$A$99:$C$123,3,1)),0)
*13/3,
0),
IF($E$2="Monthly",
ROUND(
ROUND(((TRUNC($AN537*3/13,0)+0.99)*VLOOKUP((TRUNC($AN537*3/13,0)+0.99),'Tax scales - NAT 3539'!$A$99:$C$123,2,1)-VLOOKUP((TRUNC($AN537*3/13,0)+0.99),'Tax scales - NAT 3539'!$A$99:$C$123,3,1)),0)
*13/3,
0),
""))),
""),
"")</f>
        <v/>
      </c>
      <c r="AY537" s="118" t="str">
        <f>IFERROR(
IF(VLOOKUP($C537,'Employee information'!$B:$M,COLUMNS('Employee information'!$B:$M),0)=66,
IF($E$2="Fortnightly",
ROUND(
ROUND((((TRUNC($AN537/2,0)+0.99))*VLOOKUP((TRUNC($AN537/2,0)+0.99),'Tax scales - NAT 3539'!$A$127:$C$154,2,1)-VLOOKUP((TRUNC($AN537/2,0)+0.99),'Tax scales - NAT 3539'!$A$127:$C$154,3,1)),0)
*2,
0),
IF(AND($E$2="Monthly",ROUND($AN537-TRUNC($AN537),2)=0.33),
ROUND(
ROUND(((TRUNC(($AN537+0.01)*3/13,0)+0.99)*VLOOKUP((TRUNC(($AN537+0.01)*3/13,0)+0.99),'Tax scales - NAT 3539'!$A$127:$C$154,2,1)-VLOOKUP((TRUNC(($AN537+0.01)*3/13,0)+0.99),'Tax scales - NAT 3539'!$A$127:$C$154,3,1)),0)
*13/3,
0),
IF($E$2="Monthly",
ROUND(
ROUND(((TRUNC($AN537*3/13,0)+0.99)*VLOOKUP((TRUNC($AN537*3/13,0)+0.99),'Tax scales - NAT 3539'!$A$127:$C$154,2,1)-VLOOKUP((TRUNC($AN537*3/13,0)+0.99),'Tax scales - NAT 3539'!$A$127:$C$154,3,1)),0)
*13/3,
0),
""))),
""),
"")</f>
        <v/>
      </c>
      <c r="AZ537" s="118">
        <f>IFERROR(
HLOOKUP(VLOOKUP($C537,'Employee information'!$B:$M,COLUMNS('Employee information'!$B:$M),0),'PAYG worksheet'!$AO$532:$AY$551,COUNTA($C$533:$C537)+1,0),
0)</f>
        <v>1680</v>
      </c>
      <c r="BA537" s="118"/>
      <c r="BB537" s="118">
        <f t="shared" si="573"/>
        <v>2445</v>
      </c>
      <c r="BC537" s="119">
        <f>IFERROR(
IF(OR($AE537=1,$AE537=""),SUM($P537,$AA537,$AC537,$AK537)*VLOOKUP($C537,'Employee information'!$B:$Q,COLUMNS('Employee information'!$B:$H),0),
IF($AE537=0,SUM($P537,$AA537,$AK537)*VLOOKUP($C537,'Employee information'!$B:$Q,COLUMNS('Employee information'!$B:$H),0),
0)),
0)</f>
        <v>391.875</v>
      </c>
      <c r="BE537" s="114">
        <f t="shared" si="558"/>
        <v>78475</v>
      </c>
      <c r="BF537" s="114">
        <f t="shared" si="559"/>
        <v>78475</v>
      </c>
      <c r="BG537" s="114">
        <f t="shared" si="560"/>
        <v>0</v>
      </c>
      <c r="BH537" s="114">
        <f t="shared" si="561"/>
        <v>0</v>
      </c>
      <c r="BI537" s="114">
        <f t="shared" si="562"/>
        <v>31968</v>
      </c>
      <c r="BJ537" s="114">
        <f t="shared" si="563"/>
        <v>0</v>
      </c>
      <c r="BK537" s="114">
        <f t="shared" si="564"/>
        <v>0</v>
      </c>
      <c r="BL537" s="114">
        <f t="shared" si="574"/>
        <v>100</v>
      </c>
      <c r="BM537" s="114">
        <f t="shared" si="565"/>
        <v>7455.125</v>
      </c>
    </row>
    <row r="538" spans="1:65" x14ac:dyDescent="0.25">
      <c r="A538" s="228">
        <f t="shared" si="553"/>
        <v>19</v>
      </c>
      <c r="C538" s="278" t="s">
        <v>17</v>
      </c>
      <c r="E538" s="103">
        <f>IF($C538="",0,
IF(AND($E$2="Monthly",$A538&gt;12),0,
IF($E$2="Monthly",VLOOKUP($C538,'Employee information'!$B:$AM,COLUMNS('Employee information'!$B:S),0),
IF($E$2="Fortnightly",VLOOKUP($C538,'Employee information'!$B:$AM,COLUMNS('Employee information'!$B:R),0),
0))))</f>
        <v>75</v>
      </c>
      <c r="F538" s="106"/>
      <c r="G538" s="106"/>
      <c r="H538" s="106"/>
      <c r="I538" s="106"/>
      <c r="J538" s="103">
        <f t="shared" si="566"/>
        <v>75</v>
      </c>
      <c r="L538" s="113">
        <f>IF(AND($E$2="Monthly",$A538&gt;12),"",
IFERROR($J538*VLOOKUP($C538,'Employee information'!$B:$AI,COLUMNS('Employee information'!$B:$P),0),0))</f>
        <v>2500</v>
      </c>
      <c r="M538" s="114">
        <f t="shared" si="567"/>
        <v>47500</v>
      </c>
      <c r="O538" s="103">
        <f t="shared" si="568"/>
        <v>75</v>
      </c>
      <c r="P538" s="113">
        <f>IFERROR(
IF(AND($E$2="Monthly",$A538&gt;12),0,
$O538*VLOOKUP($C538,'Employee information'!$B:$AI,COLUMNS('Employee information'!$B:$P),0)),
0)</f>
        <v>2500</v>
      </c>
      <c r="R538" s="114">
        <f t="shared" si="554"/>
        <v>47500</v>
      </c>
      <c r="T538" s="103"/>
      <c r="U538" s="103"/>
      <c r="V538" s="282">
        <f>IF($C538="","",
IF(AND($E$2="Monthly",$A538&gt;12),"",
$T538*VLOOKUP($C538,'Employee information'!$B:$P,COLUMNS('Employee information'!$B:$P),0)))</f>
        <v>0</v>
      </c>
      <c r="W538" s="282">
        <f>IF($C538="","",
IF(AND($E$2="Monthly",$A538&gt;12),"",
$U538*VLOOKUP($C538,'Employee information'!$B:$P,COLUMNS('Employee information'!$B:$P),0)))</f>
        <v>0</v>
      </c>
      <c r="X538" s="114">
        <f t="shared" si="555"/>
        <v>0</v>
      </c>
      <c r="Y538" s="114">
        <f t="shared" si="556"/>
        <v>0</v>
      </c>
      <c r="AA538" s="118">
        <f>IFERROR(
IF(OR('Basic payroll data'!$D$12="",'Basic payroll data'!$D$12="No"),0,
$T538*VLOOKUP($C538,'Employee information'!$B:$P,COLUMNS('Employee information'!$B:$P),0)*AL_loading_perc),
0)</f>
        <v>0</v>
      </c>
      <c r="AC538" s="118"/>
      <c r="AD538" s="118"/>
      <c r="AE538" s="283" t="str">
        <f t="shared" si="569"/>
        <v/>
      </c>
      <c r="AF538" s="283" t="str">
        <f t="shared" si="570"/>
        <v/>
      </c>
      <c r="AG538" s="118"/>
      <c r="AH538" s="118"/>
      <c r="AI538" s="283" t="str">
        <f t="shared" si="571"/>
        <v/>
      </c>
      <c r="AJ538" s="118"/>
      <c r="AK538" s="118"/>
      <c r="AM538" s="118">
        <f t="shared" si="572"/>
        <v>2500</v>
      </c>
      <c r="AN538" s="118">
        <f t="shared" si="557"/>
        <v>2500</v>
      </c>
      <c r="AO538" s="118" t="str">
        <f>IFERROR(
IF(VLOOKUP($C538,'Employee information'!$B:$M,COLUMNS('Employee information'!$B:$M),0)=1,
IF($E$2="Fortnightly",
ROUND(
ROUND((((TRUNC($AN538/2,0)+0.99))*VLOOKUP((TRUNC($AN538/2,0)+0.99),'Tax scales - NAT 1004'!$A$12:$C$18,2,1)-VLOOKUP((TRUNC($AN538/2,0)+0.99),'Tax scales - NAT 1004'!$A$12:$C$18,3,1)),0)
*2,
0),
IF(AND($E$2="Monthly",ROUND($AN538-TRUNC($AN538),2)=0.33),
ROUND(
ROUND(((TRUNC(($AN538+0.01)*3/13,0)+0.99)*VLOOKUP((TRUNC(($AN538+0.01)*3/13,0)+0.99),'Tax scales - NAT 1004'!$A$12:$C$18,2,1)-VLOOKUP((TRUNC(($AN538+0.01)*3/13,0)+0.99),'Tax scales - NAT 1004'!$A$12:$C$18,3,1)),0)
*13/3,
0),
IF($E$2="Monthly",
ROUND(
ROUND(((TRUNC($AN538*3/13,0)+0.99)*VLOOKUP((TRUNC($AN538*3/13,0)+0.99),'Tax scales - NAT 1004'!$A$12:$C$18,2,1)-VLOOKUP((TRUNC($AN538*3/13,0)+0.99),'Tax scales - NAT 1004'!$A$12:$C$18,3,1)),0)
*13/3,
0),
""))),
""),
"")</f>
        <v/>
      </c>
      <c r="AP538" s="118" t="str">
        <f>IFERROR(
IF(VLOOKUP($C538,'Employee information'!$B:$M,COLUMNS('Employee information'!$B:$M),0)=2,
IF($E$2="Fortnightly",
ROUND(
ROUND((((TRUNC($AN538/2,0)+0.99))*VLOOKUP((TRUNC($AN538/2,0)+0.99),'Tax scales - NAT 1004'!$A$25:$C$33,2,1)-VLOOKUP((TRUNC($AN538/2,0)+0.99),'Tax scales - NAT 1004'!$A$25:$C$33,3,1)),0)
*2,
0),
IF(AND($E$2="Monthly",ROUND($AN538-TRUNC($AN538),2)=0.33),
ROUND(
ROUND(((TRUNC(($AN538+0.01)*3/13,0)+0.99)*VLOOKUP((TRUNC(($AN538+0.01)*3/13,0)+0.99),'Tax scales - NAT 1004'!$A$25:$C$33,2,1)-VLOOKUP((TRUNC(($AN538+0.01)*3/13,0)+0.99),'Tax scales - NAT 1004'!$A$25:$C$33,3,1)),0)
*13/3,
0),
IF($E$2="Monthly",
ROUND(
ROUND(((TRUNC($AN538*3/13,0)+0.99)*VLOOKUP((TRUNC($AN538*3/13,0)+0.99),'Tax scales - NAT 1004'!$A$25:$C$33,2,1)-VLOOKUP((TRUNC($AN538*3/13,0)+0.99),'Tax scales - NAT 1004'!$A$25:$C$33,3,1)),0)
*13/3,
0),
""))),
""),
"")</f>
        <v/>
      </c>
      <c r="AQ538" s="118" t="str">
        <f>IFERROR(
IF(VLOOKUP($C538,'Employee information'!$B:$M,COLUMNS('Employee information'!$B:$M),0)=3,
IF($E$2="Fortnightly",
ROUND(
ROUND((((TRUNC($AN538/2,0)+0.99))*VLOOKUP((TRUNC($AN538/2,0)+0.99),'Tax scales - NAT 1004'!$A$39:$C$41,2,1)-VLOOKUP((TRUNC($AN538/2,0)+0.99),'Tax scales - NAT 1004'!$A$39:$C$41,3,1)),0)
*2,
0),
IF(AND($E$2="Monthly",ROUND($AN538-TRUNC($AN538),2)=0.33),
ROUND(
ROUND(((TRUNC(($AN538+0.01)*3/13,0)+0.99)*VLOOKUP((TRUNC(($AN538+0.01)*3/13,0)+0.99),'Tax scales - NAT 1004'!$A$39:$C$41,2,1)-VLOOKUP((TRUNC(($AN538+0.01)*3/13,0)+0.99),'Tax scales - NAT 1004'!$A$39:$C$41,3,1)),0)
*13/3,
0),
IF($E$2="Monthly",
ROUND(
ROUND(((TRUNC($AN538*3/13,0)+0.99)*VLOOKUP((TRUNC($AN538*3/13,0)+0.99),'Tax scales - NAT 1004'!$A$39:$C$41,2,1)-VLOOKUP((TRUNC($AN538*3/13,0)+0.99),'Tax scales - NAT 1004'!$A$39:$C$41,3,1)),0)
*13/3,
0),
""))),
""),
"")</f>
        <v/>
      </c>
      <c r="AR538" s="118">
        <f>IFERROR(
IF(AND(VLOOKUP($C538,'Employee information'!$B:$M,COLUMNS('Employee information'!$B:$M),0)=4,
VLOOKUP($C538,'Employee information'!$B:$J,COLUMNS('Employee information'!$B:$J),0)="Resident"),
TRUNC(TRUNC($AN538)*'Tax scales - NAT 1004'!$B$47),
IF(AND(VLOOKUP($C538,'Employee information'!$B:$M,COLUMNS('Employee information'!$B:$M),0)=4,
VLOOKUP($C538,'Employee information'!$B:$J,COLUMNS('Employee information'!$B:$J),0)="Foreign resident"),
TRUNC(TRUNC($AN538)*'Tax scales - NAT 1004'!$B$48),
"")),
"")</f>
        <v>1175</v>
      </c>
      <c r="AS538" s="118" t="str">
        <f>IFERROR(
IF(VLOOKUP($C538,'Employee information'!$B:$M,COLUMNS('Employee information'!$B:$M),0)=5,
IF($E$2="Fortnightly",
ROUND(
ROUND((((TRUNC($AN538/2,0)+0.99))*VLOOKUP((TRUNC($AN538/2,0)+0.99),'Tax scales - NAT 1004'!$A$53:$C$59,2,1)-VLOOKUP((TRUNC($AN538/2,0)+0.99),'Tax scales - NAT 1004'!$A$53:$C$59,3,1)),0)
*2,
0),
IF(AND($E$2="Monthly",ROUND($AN538-TRUNC($AN538),2)=0.33),
ROUND(
ROUND(((TRUNC(($AN538+0.01)*3/13,0)+0.99)*VLOOKUP((TRUNC(($AN538+0.01)*3/13,0)+0.99),'Tax scales - NAT 1004'!$A$53:$C$59,2,1)-VLOOKUP((TRUNC(($AN538+0.01)*3/13,0)+0.99),'Tax scales - NAT 1004'!$A$53:$C$59,3,1)),0)
*13/3,
0),
IF($E$2="Monthly",
ROUND(
ROUND(((TRUNC($AN538*3/13,0)+0.99)*VLOOKUP((TRUNC($AN538*3/13,0)+0.99),'Tax scales - NAT 1004'!$A$53:$C$59,2,1)-VLOOKUP((TRUNC($AN538*3/13,0)+0.99),'Tax scales - NAT 1004'!$A$53:$C$59,3,1)),0)
*13/3,
0),
""))),
""),
"")</f>
        <v/>
      </c>
      <c r="AT538" s="118" t="str">
        <f>IFERROR(
IF(VLOOKUP($C538,'Employee information'!$B:$M,COLUMNS('Employee information'!$B:$M),0)=6,
IF($E$2="Fortnightly",
ROUND(
ROUND((((TRUNC($AN538/2,0)+0.99))*VLOOKUP((TRUNC($AN538/2,0)+0.99),'Tax scales - NAT 1004'!$A$65:$C$73,2,1)-VLOOKUP((TRUNC($AN538/2,0)+0.99),'Tax scales - NAT 1004'!$A$65:$C$73,3,1)),0)
*2,
0),
IF(AND($E$2="Monthly",ROUND($AN538-TRUNC($AN538),2)=0.33),
ROUND(
ROUND(((TRUNC(($AN538+0.01)*3/13,0)+0.99)*VLOOKUP((TRUNC(($AN538+0.01)*3/13,0)+0.99),'Tax scales - NAT 1004'!$A$65:$C$73,2,1)-VLOOKUP((TRUNC(($AN538+0.01)*3/13,0)+0.99),'Tax scales - NAT 1004'!$A$65:$C$73,3,1)),0)
*13/3,
0),
IF($E$2="Monthly",
ROUND(
ROUND(((TRUNC($AN538*3/13,0)+0.99)*VLOOKUP((TRUNC($AN538*3/13,0)+0.99),'Tax scales - NAT 1004'!$A$65:$C$73,2,1)-VLOOKUP((TRUNC($AN538*3/13,0)+0.99),'Tax scales - NAT 1004'!$A$65:$C$73,3,1)),0)
*13/3,
0),
""))),
""),
"")</f>
        <v/>
      </c>
      <c r="AU538" s="118" t="str">
        <f>IFERROR(
IF(VLOOKUP($C538,'Employee information'!$B:$M,COLUMNS('Employee information'!$B:$M),0)=11,
IF($E$2="Fortnightly",
ROUND(
ROUND((((TRUNC($AN538/2,0)+0.99))*VLOOKUP((TRUNC($AN538/2,0)+0.99),'Tax scales - NAT 3539'!$A$14:$C$38,2,1)-VLOOKUP((TRUNC($AN538/2,0)+0.99),'Tax scales - NAT 3539'!$A$14:$C$38,3,1)),0)
*2,
0),
IF(AND($E$2="Monthly",ROUND($AN538-TRUNC($AN538),2)=0.33),
ROUND(
ROUND(((TRUNC(($AN538+0.01)*3/13,0)+0.99)*VLOOKUP((TRUNC(($AN538+0.01)*3/13,0)+0.99),'Tax scales - NAT 3539'!$A$14:$C$38,2,1)-VLOOKUP((TRUNC(($AN538+0.01)*3/13,0)+0.99),'Tax scales - NAT 3539'!$A$14:$C$38,3,1)),0)
*13/3,
0),
IF($E$2="Monthly",
ROUND(
ROUND(((TRUNC($AN538*3/13,0)+0.99)*VLOOKUP((TRUNC($AN538*3/13,0)+0.99),'Tax scales - NAT 3539'!$A$14:$C$38,2,1)-VLOOKUP((TRUNC($AN538*3/13,0)+0.99),'Tax scales - NAT 3539'!$A$14:$C$38,3,1)),0)
*13/3,
0),
""))),
""),
"")</f>
        <v/>
      </c>
      <c r="AV538" s="118" t="str">
        <f>IFERROR(
IF(VLOOKUP($C538,'Employee information'!$B:$M,COLUMNS('Employee information'!$B:$M),0)=22,
IF($E$2="Fortnightly",
ROUND(
ROUND((((TRUNC($AN538/2,0)+0.99))*VLOOKUP((TRUNC($AN538/2,0)+0.99),'Tax scales - NAT 3539'!$A$43:$C$69,2,1)-VLOOKUP((TRUNC($AN538/2,0)+0.99),'Tax scales - NAT 3539'!$A$43:$C$69,3,1)),0)
*2,
0),
IF(AND($E$2="Monthly",ROUND($AN538-TRUNC($AN538),2)=0.33),
ROUND(
ROUND(((TRUNC(($AN538+0.01)*3/13,0)+0.99)*VLOOKUP((TRUNC(($AN538+0.01)*3/13,0)+0.99),'Tax scales - NAT 3539'!$A$43:$C$69,2,1)-VLOOKUP((TRUNC(($AN538+0.01)*3/13,0)+0.99),'Tax scales - NAT 3539'!$A$43:$C$69,3,1)),0)
*13/3,
0),
IF($E$2="Monthly",
ROUND(
ROUND(((TRUNC($AN538*3/13,0)+0.99)*VLOOKUP((TRUNC($AN538*3/13,0)+0.99),'Tax scales - NAT 3539'!$A$43:$C$69,2,1)-VLOOKUP((TRUNC($AN538*3/13,0)+0.99),'Tax scales - NAT 3539'!$A$43:$C$69,3,1)),0)
*13/3,
0),
""))),
""),
"")</f>
        <v/>
      </c>
      <c r="AW538" s="118" t="str">
        <f>IFERROR(
IF(VLOOKUP($C538,'Employee information'!$B:$M,COLUMNS('Employee information'!$B:$M),0)=33,
IF($E$2="Fortnightly",
ROUND(
ROUND((((TRUNC($AN538/2,0)+0.99))*VLOOKUP((TRUNC($AN538/2,0)+0.99),'Tax scales - NAT 3539'!$A$74:$C$94,2,1)-VLOOKUP((TRUNC($AN538/2,0)+0.99),'Tax scales - NAT 3539'!$A$74:$C$94,3,1)),0)
*2,
0),
IF(AND($E$2="Monthly",ROUND($AN538-TRUNC($AN538),2)=0.33),
ROUND(
ROUND(((TRUNC(($AN538+0.01)*3/13,0)+0.99)*VLOOKUP((TRUNC(($AN538+0.01)*3/13,0)+0.99),'Tax scales - NAT 3539'!$A$74:$C$94,2,1)-VLOOKUP((TRUNC(($AN538+0.01)*3/13,0)+0.99),'Tax scales - NAT 3539'!$A$74:$C$94,3,1)),0)
*13/3,
0),
IF($E$2="Monthly",
ROUND(
ROUND(((TRUNC($AN538*3/13,0)+0.99)*VLOOKUP((TRUNC($AN538*3/13,0)+0.99),'Tax scales - NAT 3539'!$A$74:$C$94,2,1)-VLOOKUP((TRUNC($AN538*3/13,0)+0.99),'Tax scales - NAT 3539'!$A$74:$C$94,3,1)),0)
*13/3,
0),
""))),
""),
"")</f>
        <v/>
      </c>
      <c r="AX538" s="118" t="str">
        <f>IFERROR(
IF(VLOOKUP($C538,'Employee information'!$B:$M,COLUMNS('Employee information'!$B:$M),0)=55,
IF($E$2="Fortnightly",
ROUND(
ROUND((((TRUNC($AN538/2,0)+0.99))*VLOOKUP((TRUNC($AN538/2,0)+0.99),'Tax scales - NAT 3539'!$A$99:$C$123,2,1)-VLOOKUP((TRUNC($AN538/2,0)+0.99),'Tax scales - NAT 3539'!$A$99:$C$123,3,1)),0)
*2,
0),
IF(AND($E$2="Monthly",ROUND($AN538-TRUNC($AN538),2)=0.33),
ROUND(
ROUND(((TRUNC(($AN538+0.01)*3/13,0)+0.99)*VLOOKUP((TRUNC(($AN538+0.01)*3/13,0)+0.99),'Tax scales - NAT 3539'!$A$99:$C$123,2,1)-VLOOKUP((TRUNC(($AN538+0.01)*3/13,0)+0.99),'Tax scales - NAT 3539'!$A$99:$C$123,3,1)),0)
*13/3,
0),
IF($E$2="Monthly",
ROUND(
ROUND(((TRUNC($AN538*3/13,0)+0.99)*VLOOKUP((TRUNC($AN538*3/13,0)+0.99),'Tax scales - NAT 3539'!$A$99:$C$123,2,1)-VLOOKUP((TRUNC($AN538*3/13,0)+0.99),'Tax scales - NAT 3539'!$A$99:$C$123,3,1)),0)
*13/3,
0),
""))),
""),
"")</f>
        <v/>
      </c>
      <c r="AY538" s="118" t="str">
        <f>IFERROR(
IF(VLOOKUP($C538,'Employee information'!$B:$M,COLUMNS('Employee information'!$B:$M),0)=66,
IF($E$2="Fortnightly",
ROUND(
ROUND((((TRUNC($AN538/2,0)+0.99))*VLOOKUP((TRUNC($AN538/2,0)+0.99),'Tax scales - NAT 3539'!$A$127:$C$154,2,1)-VLOOKUP((TRUNC($AN538/2,0)+0.99),'Tax scales - NAT 3539'!$A$127:$C$154,3,1)),0)
*2,
0),
IF(AND($E$2="Monthly",ROUND($AN538-TRUNC($AN538),2)=0.33),
ROUND(
ROUND(((TRUNC(($AN538+0.01)*3/13,0)+0.99)*VLOOKUP((TRUNC(($AN538+0.01)*3/13,0)+0.99),'Tax scales - NAT 3539'!$A$127:$C$154,2,1)-VLOOKUP((TRUNC(($AN538+0.01)*3/13,0)+0.99),'Tax scales - NAT 3539'!$A$127:$C$154,3,1)),0)
*13/3,
0),
IF($E$2="Monthly",
ROUND(
ROUND(((TRUNC($AN538*3/13,0)+0.99)*VLOOKUP((TRUNC($AN538*3/13,0)+0.99),'Tax scales - NAT 3539'!$A$127:$C$154,2,1)-VLOOKUP((TRUNC($AN538*3/13,0)+0.99),'Tax scales - NAT 3539'!$A$127:$C$154,3,1)),0)
*13/3,
0),
""))),
""),
"")</f>
        <v/>
      </c>
      <c r="AZ538" s="118">
        <f>IFERROR(
HLOOKUP(VLOOKUP($C538,'Employee information'!$B:$M,COLUMNS('Employee information'!$B:$M),0),'PAYG worksheet'!$AO$532:$AY$551,COUNTA($C$533:$C538)+1,0),
0)</f>
        <v>1175</v>
      </c>
      <c r="BA538" s="118"/>
      <c r="BB538" s="118">
        <f t="shared" si="573"/>
        <v>1325</v>
      </c>
      <c r="BC538" s="119">
        <f>IFERROR(
IF(OR($AE538=1,$AE538=""),SUM($P538,$AA538,$AC538,$AK538)*VLOOKUP($C538,'Employee information'!$B:$Q,COLUMNS('Employee information'!$B:$H),0),
IF($AE538=0,SUM($P538,$AA538,$AK538)*VLOOKUP($C538,'Employee information'!$B:$Q,COLUMNS('Employee information'!$B:$H),0),
0)),
0)</f>
        <v>237.5</v>
      </c>
      <c r="BE538" s="114">
        <f t="shared" si="558"/>
        <v>47500</v>
      </c>
      <c r="BF538" s="114">
        <f t="shared" si="559"/>
        <v>47500</v>
      </c>
      <c r="BG538" s="114">
        <f t="shared" si="560"/>
        <v>0</v>
      </c>
      <c r="BH538" s="114">
        <f t="shared" si="561"/>
        <v>0</v>
      </c>
      <c r="BI538" s="114">
        <f t="shared" si="562"/>
        <v>22325</v>
      </c>
      <c r="BJ538" s="114">
        <f t="shared" si="563"/>
        <v>0</v>
      </c>
      <c r="BK538" s="114">
        <f t="shared" si="564"/>
        <v>0</v>
      </c>
      <c r="BL538" s="114">
        <f t="shared" si="574"/>
        <v>0</v>
      </c>
      <c r="BM538" s="114">
        <f t="shared" si="565"/>
        <v>4512.5</v>
      </c>
    </row>
    <row r="539" spans="1:65" x14ac:dyDescent="0.25">
      <c r="A539" s="228">
        <f t="shared" si="553"/>
        <v>19</v>
      </c>
      <c r="C539" s="278" t="s">
        <v>95</v>
      </c>
      <c r="E539" s="103">
        <f>IF($C539="",0,
IF(AND($E$2="Monthly",$A539&gt;12),0,
IF($E$2="Monthly",VLOOKUP($C539,'Employee information'!$B:$AM,COLUMNS('Employee information'!$B:S),0),
IF($E$2="Fortnightly",VLOOKUP($C539,'Employee information'!$B:$AM,COLUMNS('Employee information'!$B:R),0),
0))))</f>
        <v>45</v>
      </c>
      <c r="F539" s="106"/>
      <c r="G539" s="106"/>
      <c r="H539" s="106"/>
      <c r="I539" s="106"/>
      <c r="J539" s="103">
        <f t="shared" si="566"/>
        <v>45</v>
      </c>
      <c r="L539" s="113">
        <f>IF(AND($E$2="Monthly",$A539&gt;12),"",
IFERROR($J539*VLOOKUP($C539,'Employee information'!$B:$AI,COLUMNS('Employee information'!$B:$P),0),0))</f>
        <v>1107.6923076923078</v>
      </c>
      <c r="M539" s="114">
        <f t="shared" si="567"/>
        <v>21046.153846153855</v>
      </c>
      <c r="O539" s="103">
        <f t="shared" si="568"/>
        <v>45</v>
      </c>
      <c r="P539" s="113">
        <f>IFERROR(
IF(AND($E$2="Monthly",$A539&gt;12),0,
$O539*VLOOKUP($C539,'Employee information'!$B:$AI,COLUMNS('Employee information'!$B:$P),0)),
0)</f>
        <v>1107.6923076923078</v>
      </c>
      <c r="R539" s="114">
        <f t="shared" si="554"/>
        <v>21046.153846153855</v>
      </c>
      <c r="T539" s="103"/>
      <c r="U539" s="103"/>
      <c r="V539" s="282">
        <f>IF($C539="","",
IF(AND($E$2="Monthly",$A539&gt;12),"",
$T539*VLOOKUP($C539,'Employee information'!$B:$P,COLUMNS('Employee information'!$B:$P),0)))</f>
        <v>0</v>
      </c>
      <c r="W539" s="282">
        <f>IF($C539="","",
IF(AND($E$2="Monthly",$A539&gt;12),"",
$U539*VLOOKUP($C539,'Employee information'!$B:$P,COLUMNS('Employee information'!$B:$P),0)))</f>
        <v>0</v>
      </c>
      <c r="X539" s="114">
        <f t="shared" si="555"/>
        <v>0</v>
      </c>
      <c r="Y539" s="114">
        <f t="shared" si="556"/>
        <v>0</v>
      </c>
      <c r="AA539" s="118">
        <f>IFERROR(
IF(OR('Basic payroll data'!$D$12="",'Basic payroll data'!$D$12="No"),0,
$T539*VLOOKUP($C539,'Employee information'!$B:$P,COLUMNS('Employee information'!$B:$P),0)*AL_loading_perc),
0)</f>
        <v>0</v>
      </c>
      <c r="AC539" s="118"/>
      <c r="AD539" s="118"/>
      <c r="AE539" s="283" t="str">
        <f t="shared" si="569"/>
        <v/>
      </c>
      <c r="AF539" s="283" t="str">
        <f t="shared" si="570"/>
        <v/>
      </c>
      <c r="AG539" s="118"/>
      <c r="AH539" s="118"/>
      <c r="AI539" s="283" t="str">
        <f t="shared" si="571"/>
        <v/>
      </c>
      <c r="AJ539" s="118"/>
      <c r="AK539" s="118"/>
      <c r="AM539" s="118">
        <f t="shared" si="572"/>
        <v>1107.6923076923078</v>
      </c>
      <c r="AN539" s="118">
        <f t="shared" si="557"/>
        <v>1107.6923076923078</v>
      </c>
      <c r="AO539" s="118" t="str">
        <f>IFERROR(
IF(VLOOKUP($C539,'Employee information'!$B:$M,COLUMNS('Employee information'!$B:$M),0)=1,
IF($E$2="Fortnightly",
ROUND(
ROUND((((TRUNC($AN539/2,0)+0.99))*VLOOKUP((TRUNC($AN539/2,0)+0.99),'Tax scales - NAT 1004'!$A$12:$C$18,2,1)-VLOOKUP((TRUNC($AN539/2,0)+0.99),'Tax scales - NAT 1004'!$A$12:$C$18,3,1)),0)
*2,
0),
IF(AND($E$2="Monthly",ROUND($AN539-TRUNC($AN539),2)=0.33),
ROUND(
ROUND(((TRUNC(($AN539+0.01)*3/13,0)+0.99)*VLOOKUP((TRUNC(($AN539+0.01)*3/13,0)+0.99),'Tax scales - NAT 1004'!$A$12:$C$18,2,1)-VLOOKUP((TRUNC(($AN539+0.01)*3/13,0)+0.99),'Tax scales - NAT 1004'!$A$12:$C$18,3,1)),0)
*13/3,
0),
IF($E$2="Monthly",
ROUND(
ROUND(((TRUNC($AN539*3/13,0)+0.99)*VLOOKUP((TRUNC($AN539*3/13,0)+0.99),'Tax scales - NAT 1004'!$A$12:$C$18,2,1)-VLOOKUP((TRUNC($AN539*3/13,0)+0.99),'Tax scales - NAT 1004'!$A$12:$C$18,3,1)),0)
*13/3,
0),
""))),
""),
"")</f>
        <v/>
      </c>
      <c r="AP539" s="118" t="str">
        <f>IFERROR(
IF(VLOOKUP($C539,'Employee information'!$B:$M,COLUMNS('Employee information'!$B:$M),0)=2,
IF($E$2="Fortnightly",
ROUND(
ROUND((((TRUNC($AN539/2,0)+0.99))*VLOOKUP((TRUNC($AN539/2,0)+0.99),'Tax scales - NAT 1004'!$A$25:$C$33,2,1)-VLOOKUP((TRUNC($AN539/2,0)+0.99),'Tax scales - NAT 1004'!$A$25:$C$33,3,1)),0)
*2,
0),
IF(AND($E$2="Monthly",ROUND($AN539-TRUNC($AN539),2)=0.33),
ROUND(
ROUND(((TRUNC(($AN539+0.01)*3/13,0)+0.99)*VLOOKUP((TRUNC(($AN539+0.01)*3/13,0)+0.99),'Tax scales - NAT 1004'!$A$25:$C$33,2,1)-VLOOKUP((TRUNC(($AN539+0.01)*3/13,0)+0.99),'Tax scales - NAT 1004'!$A$25:$C$33,3,1)),0)
*13/3,
0),
IF($E$2="Monthly",
ROUND(
ROUND(((TRUNC($AN539*3/13,0)+0.99)*VLOOKUP((TRUNC($AN539*3/13,0)+0.99),'Tax scales - NAT 1004'!$A$25:$C$33,2,1)-VLOOKUP((TRUNC($AN539*3/13,0)+0.99),'Tax scales - NAT 1004'!$A$25:$C$33,3,1)),0)
*13/3,
0),
""))),
""),
"")</f>
        <v/>
      </c>
      <c r="AQ539" s="118" t="str">
        <f>IFERROR(
IF(VLOOKUP($C539,'Employee information'!$B:$M,COLUMNS('Employee information'!$B:$M),0)=3,
IF($E$2="Fortnightly",
ROUND(
ROUND((((TRUNC($AN539/2,0)+0.99))*VLOOKUP((TRUNC($AN539/2,0)+0.99),'Tax scales - NAT 1004'!$A$39:$C$41,2,1)-VLOOKUP((TRUNC($AN539/2,0)+0.99),'Tax scales - NAT 1004'!$A$39:$C$41,3,1)),0)
*2,
0),
IF(AND($E$2="Monthly",ROUND($AN539-TRUNC($AN539),2)=0.33),
ROUND(
ROUND(((TRUNC(($AN539+0.01)*3/13,0)+0.99)*VLOOKUP((TRUNC(($AN539+0.01)*3/13,0)+0.99),'Tax scales - NAT 1004'!$A$39:$C$41,2,1)-VLOOKUP((TRUNC(($AN539+0.01)*3/13,0)+0.99),'Tax scales - NAT 1004'!$A$39:$C$41,3,1)),0)
*13/3,
0),
IF($E$2="Monthly",
ROUND(
ROUND(((TRUNC($AN539*3/13,0)+0.99)*VLOOKUP((TRUNC($AN539*3/13,0)+0.99),'Tax scales - NAT 1004'!$A$39:$C$41,2,1)-VLOOKUP((TRUNC($AN539*3/13,0)+0.99),'Tax scales - NAT 1004'!$A$39:$C$41,3,1)),0)
*13/3,
0),
""))),
""),
"")</f>
        <v/>
      </c>
      <c r="AR539" s="118" t="str">
        <f>IFERROR(
IF(AND(VLOOKUP($C539,'Employee information'!$B:$M,COLUMNS('Employee information'!$B:$M),0)=4,
VLOOKUP($C539,'Employee information'!$B:$J,COLUMNS('Employee information'!$B:$J),0)="Resident"),
TRUNC(TRUNC($AN539)*'Tax scales - NAT 1004'!$B$47),
IF(AND(VLOOKUP($C539,'Employee information'!$B:$M,COLUMNS('Employee information'!$B:$M),0)=4,
VLOOKUP($C539,'Employee information'!$B:$J,COLUMNS('Employee information'!$B:$J),0)="Foreign resident"),
TRUNC(TRUNC($AN539)*'Tax scales - NAT 1004'!$B$48),
"")),
"")</f>
        <v/>
      </c>
      <c r="AS539" s="118" t="str">
        <f>IFERROR(
IF(VLOOKUP($C539,'Employee information'!$B:$M,COLUMNS('Employee information'!$B:$M),0)=5,
IF($E$2="Fortnightly",
ROUND(
ROUND((((TRUNC($AN539/2,0)+0.99))*VLOOKUP((TRUNC($AN539/2,0)+0.99),'Tax scales - NAT 1004'!$A$53:$C$59,2,1)-VLOOKUP((TRUNC($AN539/2,0)+0.99),'Tax scales - NAT 1004'!$A$53:$C$59,3,1)),0)
*2,
0),
IF(AND($E$2="Monthly",ROUND($AN539-TRUNC($AN539),2)=0.33),
ROUND(
ROUND(((TRUNC(($AN539+0.01)*3/13,0)+0.99)*VLOOKUP((TRUNC(($AN539+0.01)*3/13,0)+0.99),'Tax scales - NAT 1004'!$A$53:$C$59,2,1)-VLOOKUP((TRUNC(($AN539+0.01)*3/13,0)+0.99),'Tax scales - NAT 1004'!$A$53:$C$59,3,1)),0)
*13/3,
0),
IF($E$2="Monthly",
ROUND(
ROUND(((TRUNC($AN539*3/13,0)+0.99)*VLOOKUP((TRUNC($AN539*3/13,0)+0.99),'Tax scales - NAT 1004'!$A$53:$C$59,2,1)-VLOOKUP((TRUNC($AN539*3/13,0)+0.99),'Tax scales - NAT 1004'!$A$53:$C$59,3,1)),0)
*13/3,
0),
""))),
""),
"")</f>
        <v/>
      </c>
      <c r="AT539" s="118" t="str">
        <f>IFERROR(
IF(VLOOKUP($C539,'Employee information'!$B:$M,COLUMNS('Employee information'!$B:$M),0)=6,
IF($E$2="Fortnightly",
ROUND(
ROUND((((TRUNC($AN539/2,0)+0.99))*VLOOKUP((TRUNC($AN539/2,0)+0.99),'Tax scales - NAT 1004'!$A$65:$C$73,2,1)-VLOOKUP((TRUNC($AN539/2,0)+0.99),'Tax scales - NAT 1004'!$A$65:$C$73,3,1)),0)
*2,
0),
IF(AND($E$2="Monthly",ROUND($AN539-TRUNC($AN539),2)=0.33),
ROUND(
ROUND(((TRUNC(($AN539+0.01)*3/13,0)+0.99)*VLOOKUP((TRUNC(($AN539+0.01)*3/13,0)+0.99),'Tax scales - NAT 1004'!$A$65:$C$73,2,1)-VLOOKUP((TRUNC(($AN539+0.01)*3/13,0)+0.99),'Tax scales - NAT 1004'!$A$65:$C$73,3,1)),0)
*13/3,
0),
IF($E$2="Monthly",
ROUND(
ROUND(((TRUNC($AN539*3/13,0)+0.99)*VLOOKUP((TRUNC($AN539*3/13,0)+0.99),'Tax scales - NAT 1004'!$A$65:$C$73,2,1)-VLOOKUP((TRUNC($AN539*3/13,0)+0.99),'Tax scales - NAT 1004'!$A$65:$C$73,3,1)),0)
*13/3,
0),
""))),
""),
"")</f>
        <v/>
      </c>
      <c r="AU539" s="118" t="str">
        <f>IFERROR(
IF(VLOOKUP($C539,'Employee information'!$B:$M,COLUMNS('Employee information'!$B:$M),0)=11,
IF($E$2="Fortnightly",
ROUND(
ROUND((((TRUNC($AN539/2,0)+0.99))*VLOOKUP((TRUNC($AN539/2,0)+0.99),'Tax scales - NAT 3539'!$A$14:$C$38,2,1)-VLOOKUP((TRUNC($AN539/2,0)+0.99),'Tax scales - NAT 3539'!$A$14:$C$38,3,1)),0)
*2,
0),
IF(AND($E$2="Monthly",ROUND($AN539-TRUNC($AN539),2)=0.33),
ROUND(
ROUND(((TRUNC(($AN539+0.01)*3/13,0)+0.99)*VLOOKUP((TRUNC(($AN539+0.01)*3/13,0)+0.99),'Tax scales - NAT 3539'!$A$14:$C$38,2,1)-VLOOKUP((TRUNC(($AN539+0.01)*3/13,0)+0.99),'Tax scales - NAT 3539'!$A$14:$C$38,3,1)),0)
*13/3,
0),
IF($E$2="Monthly",
ROUND(
ROUND(((TRUNC($AN539*3/13,0)+0.99)*VLOOKUP((TRUNC($AN539*3/13,0)+0.99),'Tax scales - NAT 3539'!$A$14:$C$38,2,1)-VLOOKUP((TRUNC($AN539*3/13,0)+0.99),'Tax scales - NAT 3539'!$A$14:$C$38,3,1)),0)
*13/3,
0),
""))),
""),
"")</f>
        <v/>
      </c>
      <c r="AV539" s="118" t="str">
        <f>IFERROR(
IF(VLOOKUP($C539,'Employee information'!$B:$M,COLUMNS('Employee information'!$B:$M),0)=22,
IF($E$2="Fortnightly",
ROUND(
ROUND((((TRUNC($AN539/2,0)+0.99))*VLOOKUP((TRUNC($AN539/2,0)+0.99),'Tax scales - NAT 3539'!$A$43:$C$69,2,1)-VLOOKUP((TRUNC($AN539/2,0)+0.99),'Tax scales - NAT 3539'!$A$43:$C$69,3,1)),0)
*2,
0),
IF(AND($E$2="Monthly",ROUND($AN539-TRUNC($AN539),2)=0.33),
ROUND(
ROUND(((TRUNC(($AN539+0.01)*3/13,0)+0.99)*VLOOKUP((TRUNC(($AN539+0.01)*3/13,0)+0.99),'Tax scales - NAT 3539'!$A$43:$C$69,2,1)-VLOOKUP((TRUNC(($AN539+0.01)*3/13,0)+0.99),'Tax scales - NAT 3539'!$A$43:$C$69,3,1)),0)
*13/3,
0),
IF($E$2="Monthly",
ROUND(
ROUND(((TRUNC($AN539*3/13,0)+0.99)*VLOOKUP((TRUNC($AN539*3/13,0)+0.99),'Tax scales - NAT 3539'!$A$43:$C$69,2,1)-VLOOKUP((TRUNC($AN539*3/13,0)+0.99),'Tax scales - NAT 3539'!$A$43:$C$69,3,1)),0)
*13/3,
0),
""))),
""),
"")</f>
        <v/>
      </c>
      <c r="AW539" s="118" t="str">
        <f>IFERROR(
IF(VLOOKUP($C539,'Employee information'!$B:$M,COLUMNS('Employee information'!$B:$M),0)=33,
IF($E$2="Fortnightly",
ROUND(
ROUND((((TRUNC($AN539/2,0)+0.99))*VLOOKUP((TRUNC($AN539/2,0)+0.99),'Tax scales - NAT 3539'!$A$74:$C$94,2,1)-VLOOKUP((TRUNC($AN539/2,0)+0.99),'Tax scales - NAT 3539'!$A$74:$C$94,3,1)),0)
*2,
0),
IF(AND($E$2="Monthly",ROUND($AN539-TRUNC($AN539),2)=0.33),
ROUND(
ROUND(((TRUNC(($AN539+0.01)*3/13,0)+0.99)*VLOOKUP((TRUNC(($AN539+0.01)*3/13,0)+0.99),'Tax scales - NAT 3539'!$A$74:$C$94,2,1)-VLOOKUP((TRUNC(($AN539+0.01)*3/13,0)+0.99),'Tax scales - NAT 3539'!$A$74:$C$94,3,1)),0)
*13/3,
0),
IF($E$2="Monthly",
ROUND(
ROUND(((TRUNC($AN539*3/13,0)+0.99)*VLOOKUP((TRUNC($AN539*3/13,0)+0.99),'Tax scales - NAT 3539'!$A$74:$C$94,2,1)-VLOOKUP((TRUNC($AN539*3/13,0)+0.99),'Tax scales - NAT 3539'!$A$74:$C$94,3,1)),0)
*13/3,
0),
""))),
""),
"")</f>
        <v/>
      </c>
      <c r="AX539" s="118" t="str">
        <f>IFERROR(
IF(VLOOKUP($C539,'Employee information'!$B:$M,COLUMNS('Employee information'!$B:$M),0)=55,
IF($E$2="Fortnightly",
ROUND(
ROUND((((TRUNC($AN539/2,0)+0.99))*VLOOKUP((TRUNC($AN539/2,0)+0.99),'Tax scales - NAT 3539'!$A$99:$C$123,2,1)-VLOOKUP((TRUNC($AN539/2,0)+0.99),'Tax scales - NAT 3539'!$A$99:$C$123,3,1)),0)
*2,
0),
IF(AND($E$2="Monthly",ROUND($AN539-TRUNC($AN539),2)=0.33),
ROUND(
ROUND(((TRUNC(($AN539+0.01)*3/13,0)+0.99)*VLOOKUP((TRUNC(($AN539+0.01)*3/13,0)+0.99),'Tax scales - NAT 3539'!$A$99:$C$123,2,1)-VLOOKUP((TRUNC(($AN539+0.01)*3/13,0)+0.99),'Tax scales - NAT 3539'!$A$99:$C$123,3,1)),0)
*13/3,
0),
IF($E$2="Monthly",
ROUND(
ROUND(((TRUNC($AN539*3/13,0)+0.99)*VLOOKUP((TRUNC($AN539*3/13,0)+0.99),'Tax scales - NAT 3539'!$A$99:$C$123,2,1)-VLOOKUP((TRUNC($AN539*3/13,0)+0.99),'Tax scales - NAT 3539'!$A$99:$C$123,3,1)),0)
*13/3,
0),
""))),
""),
"")</f>
        <v/>
      </c>
      <c r="AY539" s="118">
        <f>IFERROR(
IF(VLOOKUP($C539,'Employee information'!$B:$M,COLUMNS('Employee information'!$B:$M),0)=66,
IF($E$2="Fortnightly",
ROUND(
ROUND((((TRUNC($AN539/2,0)+0.99))*VLOOKUP((TRUNC($AN539/2,0)+0.99),'Tax scales - NAT 3539'!$A$127:$C$154,2,1)-VLOOKUP((TRUNC($AN539/2,0)+0.99),'Tax scales - NAT 3539'!$A$127:$C$154,3,1)),0)
*2,
0),
IF(AND($E$2="Monthly",ROUND($AN539-TRUNC($AN539),2)=0.33),
ROUND(
ROUND(((TRUNC(($AN539+0.01)*3/13,0)+0.99)*VLOOKUP((TRUNC(($AN539+0.01)*3/13,0)+0.99),'Tax scales - NAT 3539'!$A$127:$C$154,2,1)-VLOOKUP((TRUNC(($AN539+0.01)*3/13,0)+0.99),'Tax scales - NAT 3539'!$A$127:$C$154,3,1)),0)
*13/3,
0),
IF($E$2="Monthly",
ROUND(
ROUND(((TRUNC($AN539*3/13,0)+0.99)*VLOOKUP((TRUNC($AN539*3/13,0)+0.99),'Tax scales - NAT 3539'!$A$127:$C$154,2,1)-VLOOKUP((TRUNC($AN539*3/13,0)+0.99),'Tax scales - NAT 3539'!$A$127:$C$154,3,1)),0)
*13/3,
0),
""))),
""),
"")</f>
        <v>74</v>
      </c>
      <c r="AZ539" s="118">
        <f>IFERROR(
HLOOKUP(VLOOKUP($C539,'Employee information'!$B:$M,COLUMNS('Employee information'!$B:$M),0),'PAYG worksheet'!$AO$532:$AY$551,COUNTA($C$533:$C539)+1,0),
0)</f>
        <v>74</v>
      </c>
      <c r="BA539" s="118"/>
      <c r="BB539" s="118">
        <f t="shared" si="573"/>
        <v>1033.6923076923078</v>
      </c>
      <c r="BC539" s="119">
        <f>IFERROR(
IF(OR($AE539=1,$AE539=""),SUM($P539,$AA539,$AC539,$AK539)*VLOOKUP($C539,'Employee information'!$B:$Q,COLUMNS('Employee information'!$B:$H),0),
IF($AE539=0,SUM($P539,$AA539,$AK539)*VLOOKUP($C539,'Employee information'!$B:$Q,COLUMNS('Employee information'!$B:$H),0),
0)),
0)</f>
        <v>105.23076923076924</v>
      </c>
      <c r="BE539" s="114">
        <f t="shared" si="558"/>
        <v>21046.153846153855</v>
      </c>
      <c r="BF539" s="114">
        <f t="shared" si="559"/>
        <v>21046.153846153855</v>
      </c>
      <c r="BG539" s="114">
        <f t="shared" si="560"/>
        <v>0</v>
      </c>
      <c r="BH539" s="114">
        <f t="shared" si="561"/>
        <v>0</v>
      </c>
      <c r="BI539" s="114">
        <f t="shared" si="562"/>
        <v>1406</v>
      </c>
      <c r="BJ539" s="114">
        <f t="shared" si="563"/>
        <v>0</v>
      </c>
      <c r="BK539" s="114">
        <f t="shared" si="564"/>
        <v>0</v>
      </c>
      <c r="BL539" s="114">
        <f t="shared" si="574"/>
        <v>0</v>
      </c>
      <c r="BM539" s="114">
        <f t="shared" si="565"/>
        <v>1999.3846153846162</v>
      </c>
    </row>
    <row r="540" spans="1:65" x14ac:dyDescent="0.25">
      <c r="A540" s="228">
        <f t="shared" si="553"/>
        <v>19</v>
      </c>
      <c r="C540" s="278"/>
      <c r="E540" s="103">
        <f>IF($C540="",0,
IF(AND($E$2="Monthly",$A540&gt;12),0,
IF($E$2="Monthly",VLOOKUP($C540,'Employee information'!$B:$AM,COLUMNS('Employee information'!$B:S),0),
IF($E$2="Fortnightly",VLOOKUP($C540,'Employee information'!$B:$AM,COLUMNS('Employee information'!$B:R),0),
0))))</f>
        <v>0</v>
      </c>
      <c r="F540" s="106"/>
      <c r="G540" s="106"/>
      <c r="H540" s="106"/>
      <c r="I540" s="106"/>
      <c r="J540" s="103">
        <f>IF($E$2="Monthly",
IF(AND($E$2="Monthly",$H540&lt;&gt;""),$H540,
IF(AND($E$2="Monthly",$E540=0),SUM($F540:$G540),
$E540)),
IF($E$2="Fortnightly",
IF(AND($E$2="Fortnightly",$H540&lt;&gt;""),$H540,
IF(AND($E$2="Fortnightly",$F540&lt;&gt;"",$E540&lt;&gt;0),$F540,
IF(AND($E$2="Fortnightly",$E540=0),SUM($F540:$G540),
$E540)))))</f>
        <v>0</v>
      </c>
      <c r="L540" s="113">
        <f>IF(AND($E$2="Monthly",$A540&gt;12),"",
IFERROR($J540*VLOOKUP($C540,'Employee information'!$B:$AI,COLUMNS('Employee information'!$B:$P),0),0))</f>
        <v>0</v>
      </c>
      <c r="M540" s="114">
        <f t="shared" si="567"/>
        <v>0</v>
      </c>
      <c r="O540" s="103">
        <f t="shared" si="568"/>
        <v>0</v>
      </c>
      <c r="P540" s="113">
        <f>IFERROR(
IF(AND($E$2="Monthly",$A540&gt;12),0,
$O540*VLOOKUP($C540,'Employee information'!$B:$AI,COLUMNS('Employee information'!$B:$P),0)),
0)</f>
        <v>0</v>
      </c>
      <c r="R540" s="114">
        <f t="shared" si="554"/>
        <v>0</v>
      </c>
      <c r="T540" s="103"/>
      <c r="U540" s="103"/>
      <c r="V540" s="282" t="str">
        <f>IF($C540="","",
IF(AND($E$2="Monthly",$A540&gt;12),"",
$T540*VLOOKUP($C540,'Employee information'!$B:$P,COLUMNS('Employee information'!$B:$P),0)))</f>
        <v/>
      </c>
      <c r="W540" s="282" t="str">
        <f>IF($C540="","",
IF(AND($E$2="Monthly",$A540&gt;12),"",
$U540*VLOOKUP($C540,'Employee information'!$B:$P,COLUMNS('Employee information'!$B:$P),0)))</f>
        <v/>
      </c>
      <c r="X540" s="114">
        <f t="shared" si="555"/>
        <v>0</v>
      </c>
      <c r="Y540" s="114">
        <f t="shared" si="556"/>
        <v>0</v>
      </c>
      <c r="AA540" s="118">
        <f>IFERROR(
IF(OR('Basic payroll data'!$D$12="",'Basic payroll data'!$D$12="No"),0,
$T540*VLOOKUP($C540,'Employee information'!$B:$P,COLUMNS('Employee information'!$B:$P),0)*AL_loading_perc),
0)</f>
        <v>0</v>
      </c>
      <c r="AC540" s="118"/>
      <c r="AD540" s="118"/>
      <c r="AE540" s="283" t="str">
        <f t="shared" si="569"/>
        <v/>
      </c>
      <c r="AF540" s="283" t="str">
        <f t="shared" si="570"/>
        <v/>
      </c>
      <c r="AG540" s="118"/>
      <c r="AH540" s="118"/>
      <c r="AI540" s="283" t="str">
        <f t="shared" si="571"/>
        <v/>
      </c>
      <c r="AJ540" s="118"/>
      <c r="AK540" s="118"/>
      <c r="AM540" s="118">
        <f t="shared" si="572"/>
        <v>0</v>
      </c>
      <c r="AN540" s="118">
        <f t="shared" si="557"/>
        <v>0</v>
      </c>
      <c r="AO540" s="118" t="str">
        <f>IFERROR(
IF(VLOOKUP($C540,'Employee information'!$B:$M,COLUMNS('Employee information'!$B:$M),0)=1,
IF($E$2="Fortnightly",
ROUND(
ROUND((((TRUNC($AN540/2,0)+0.99))*VLOOKUP((TRUNC($AN540/2,0)+0.99),'Tax scales - NAT 1004'!$A$12:$C$18,2,1)-VLOOKUP((TRUNC($AN540/2,0)+0.99),'Tax scales - NAT 1004'!$A$12:$C$18,3,1)),0)
*2,
0),
IF(AND($E$2="Monthly",ROUND($AN540-TRUNC($AN540),2)=0.33),
ROUND(
ROUND(((TRUNC(($AN540+0.01)*3/13,0)+0.99)*VLOOKUP((TRUNC(($AN540+0.01)*3/13,0)+0.99),'Tax scales - NAT 1004'!$A$12:$C$18,2,1)-VLOOKUP((TRUNC(($AN540+0.01)*3/13,0)+0.99),'Tax scales - NAT 1004'!$A$12:$C$18,3,1)),0)
*13/3,
0),
IF($E$2="Monthly",
ROUND(
ROUND(((TRUNC($AN540*3/13,0)+0.99)*VLOOKUP((TRUNC($AN540*3/13,0)+0.99),'Tax scales - NAT 1004'!$A$12:$C$18,2,1)-VLOOKUP((TRUNC($AN540*3/13,0)+0.99),'Tax scales - NAT 1004'!$A$12:$C$18,3,1)),0)
*13/3,
0),
""))),
""),
"")</f>
        <v/>
      </c>
      <c r="AP540" s="118" t="str">
        <f>IFERROR(
IF(VLOOKUP($C540,'Employee information'!$B:$M,COLUMNS('Employee information'!$B:$M),0)=2,
IF($E$2="Fortnightly",
ROUND(
ROUND((((TRUNC($AN540/2,0)+0.99))*VLOOKUP((TRUNC($AN540/2,0)+0.99),'Tax scales - NAT 1004'!$A$25:$C$33,2,1)-VLOOKUP((TRUNC($AN540/2,0)+0.99),'Tax scales - NAT 1004'!$A$25:$C$33,3,1)),0)
*2,
0),
IF(AND($E$2="Monthly",ROUND($AN540-TRUNC($AN540),2)=0.33),
ROUND(
ROUND(((TRUNC(($AN540+0.01)*3/13,0)+0.99)*VLOOKUP((TRUNC(($AN540+0.01)*3/13,0)+0.99),'Tax scales - NAT 1004'!$A$25:$C$33,2,1)-VLOOKUP((TRUNC(($AN540+0.01)*3/13,0)+0.99),'Tax scales - NAT 1004'!$A$25:$C$33,3,1)),0)
*13/3,
0),
IF($E$2="Monthly",
ROUND(
ROUND(((TRUNC($AN540*3/13,0)+0.99)*VLOOKUP((TRUNC($AN540*3/13,0)+0.99),'Tax scales - NAT 1004'!$A$25:$C$33,2,1)-VLOOKUP((TRUNC($AN540*3/13,0)+0.99),'Tax scales - NAT 1004'!$A$25:$C$33,3,1)),0)
*13/3,
0),
""))),
""),
"")</f>
        <v/>
      </c>
      <c r="AQ540" s="118" t="str">
        <f>IFERROR(
IF(VLOOKUP($C540,'Employee information'!$B:$M,COLUMNS('Employee information'!$B:$M),0)=3,
IF($E$2="Fortnightly",
ROUND(
ROUND((((TRUNC($AN540/2,0)+0.99))*VLOOKUP((TRUNC($AN540/2,0)+0.99),'Tax scales - NAT 1004'!$A$39:$C$41,2,1)-VLOOKUP((TRUNC($AN540/2,0)+0.99),'Tax scales - NAT 1004'!$A$39:$C$41,3,1)),0)
*2,
0),
IF(AND($E$2="Monthly",ROUND($AN540-TRUNC($AN540),2)=0.33),
ROUND(
ROUND(((TRUNC(($AN540+0.01)*3/13,0)+0.99)*VLOOKUP((TRUNC(($AN540+0.01)*3/13,0)+0.99),'Tax scales - NAT 1004'!$A$39:$C$41,2,1)-VLOOKUP((TRUNC(($AN540+0.01)*3/13,0)+0.99),'Tax scales - NAT 1004'!$A$39:$C$41,3,1)),0)
*13/3,
0),
IF($E$2="Monthly",
ROUND(
ROUND(((TRUNC($AN540*3/13,0)+0.99)*VLOOKUP((TRUNC($AN540*3/13,0)+0.99),'Tax scales - NAT 1004'!$A$39:$C$41,2,1)-VLOOKUP((TRUNC($AN540*3/13,0)+0.99),'Tax scales - NAT 1004'!$A$39:$C$41,3,1)),0)
*13/3,
0),
""))),
""),
"")</f>
        <v/>
      </c>
      <c r="AR540" s="118" t="str">
        <f>IFERROR(
IF(AND(VLOOKUP($C540,'Employee information'!$B:$M,COLUMNS('Employee information'!$B:$M),0)=4,
VLOOKUP($C540,'Employee information'!$B:$J,COLUMNS('Employee information'!$B:$J),0)="Resident"),
TRUNC(TRUNC($AN540)*'Tax scales - NAT 1004'!$B$47),
IF(AND(VLOOKUP($C540,'Employee information'!$B:$M,COLUMNS('Employee information'!$B:$M),0)=4,
VLOOKUP($C540,'Employee information'!$B:$J,COLUMNS('Employee information'!$B:$J),0)="Foreign resident"),
TRUNC(TRUNC($AN540)*'Tax scales - NAT 1004'!$B$48),
"")),
"")</f>
        <v/>
      </c>
      <c r="AS540" s="118" t="str">
        <f>IFERROR(
IF(VLOOKUP($C540,'Employee information'!$B:$M,COLUMNS('Employee information'!$B:$M),0)=5,
IF($E$2="Fortnightly",
ROUND(
ROUND((((TRUNC($AN540/2,0)+0.99))*VLOOKUP((TRUNC($AN540/2,0)+0.99),'Tax scales - NAT 1004'!$A$53:$C$59,2,1)-VLOOKUP((TRUNC($AN540/2,0)+0.99),'Tax scales - NAT 1004'!$A$53:$C$59,3,1)),0)
*2,
0),
IF(AND($E$2="Monthly",ROUND($AN540-TRUNC($AN540),2)=0.33),
ROUND(
ROUND(((TRUNC(($AN540+0.01)*3/13,0)+0.99)*VLOOKUP((TRUNC(($AN540+0.01)*3/13,0)+0.99),'Tax scales - NAT 1004'!$A$53:$C$59,2,1)-VLOOKUP((TRUNC(($AN540+0.01)*3/13,0)+0.99),'Tax scales - NAT 1004'!$A$53:$C$59,3,1)),0)
*13/3,
0),
IF($E$2="Monthly",
ROUND(
ROUND(((TRUNC($AN540*3/13,0)+0.99)*VLOOKUP((TRUNC($AN540*3/13,0)+0.99),'Tax scales - NAT 1004'!$A$53:$C$59,2,1)-VLOOKUP((TRUNC($AN540*3/13,0)+0.99),'Tax scales - NAT 1004'!$A$53:$C$59,3,1)),0)
*13/3,
0),
""))),
""),
"")</f>
        <v/>
      </c>
      <c r="AT540" s="118" t="str">
        <f>IFERROR(
IF(VLOOKUP($C540,'Employee information'!$B:$M,COLUMNS('Employee information'!$B:$M),0)=6,
IF($E$2="Fortnightly",
ROUND(
ROUND((((TRUNC($AN540/2,0)+0.99))*VLOOKUP((TRUNC($AN540/2,0)+0.99),'Tax scales - NAT 1004'!$A$65:$C$73,2,1)-VLOOKUP((TRUNC($AN540/2,0)+0.99),'Tax scales - NAT 1004'!$A$65:$C$73,3,1)),0)
*2,
0),
IF(AND($E$2="Monthly",ROUND($AN540-TRUNC($AN540),2)=0.33),
ROUND(
ROUND(((TRUNC(($AN540+0.01)*3/13,0)+0.99)*VLOOKUP((TRUNC(($AN540+0.01)*3/13,0)+0.99),'Tax scales - NAT 1004'!$A$65:$C$73,2,1)-VLOOKUP((TRUNC(($AN540+0.01)*3/13,0)+0.99),'Tax scales - NAT 1004'!$A$65:$C$73,3,1)),0)
*13/3,
0),
IF($E$2="Monthly",
ROUND(
ROUND(((TRUNC($AN540*3/13,0)+0.99)*VLOOKUP((TRUNC($AN540*3/13,0)+0.99),'Tax scales - NAT 1004'!$A$65:$C$73,2,1)-VLOOKUP((TRUNC($AN540*3/13,0)+0.99),'Tax scales - NAT 1004'!$A$65:$C$73,3,1)),0)
*13/3,
0),
""))),
""),
"")</f>
        <v/>
      </c>
      <c r="AU540" s="118" t="str">
        <f>IFERROR(
IF(VLOOKUP($C540,'Employee information'!$B:$M,COLUMNS('Employee information'!$B:$M),0)=11,
IF($E$2="Fortnightly",
ROUND(
ROUND((((TRUNC($AN540/2,0)+0.99))*VLOOKUP((TRUNC($AN540/2,0)+0.99),'Tax scales - NAT 3539'!$A$14:$C$38,2,1)-VLOOKUP((TRUNC($AN540/2,0)+0.99),'Tax scales - NAT 3539'!$A$14:$C$38,3,1)),0)
*2,
0),
IF(AND($E$2="Monthly",ROUND($AN540-TRUNC($AN540),2)=0.33),
ROUND(
ROUND(((TRUNC(($AN540+0.01)*3/13,0)+0.99)*VLOOKUP((TRUNC(($AN540+0.01)*3/13,0)+0.99),'Tax scales - NAT 3539'!$A$14:$C$38,2,1)-VLOOKUP((TRUNC(($AN540+0.01)*3/13,0)+0.99),'Tax scales - NAT 3539'!$A$14:$C$38,3,1)),0)
*13/3,
0),
IF($E$2="Monthly",
ROUND(
ROUND(((TRUNC($AN540*3/13,0)+0.99)*VLOOKUP((TRUNC($AN540*3/13,0)+0.99),'Tax scales - NAT 3539'!$A$14:$C$38,2,1)-VLOOKUP((TRUNC($AN540*3/13,0)+0.99),'Tax scales - NAT 3539'!$A$14:$C$38,3,1)),0)
*13/3,
0),
""))),
""),
"")</f>
        <v/>
      </c>
      <c r="AV540" s="118" t="str">
        <f>IFERROR(
IF(VLOOKUP($C540,'Employee information'!$B:$M,COLUMNS('Employee information'!$B:$M),0)=22,
IF($E$2="Fortnightly",
ROUND(
ROUND((((TRUNC($AN540/2,0)+0.99))*VLOOKUP((TRUNC($AN540/2,0)+0.99),'Tax scales - NAT 3539'!$A$43:$C$69,2,1)-VLOOKUP((TRUNC($AN540/2,0)+0.99),'Tax scales - NAT 3539'!$A$43:$C$69,3,1)),0)
*2,
0),
IF(AND($E$2="Monthly",ROUND($AN540-TRUNC($AN540),2)=0.33),
ROUND(
ROUND(((TRUNC(($AN540+0.01)*3/13,0)+0.99)*VLOOKUP((TRUNC(($AN540+0.01)*3/13,0)+0.99),'Tax scales - NAT 3539'!$A$43:$C$69,2,1)-VLOOKUP((TRUNC(($AN540+0.01)*3/13,0)+0.99),'Tax scales - NAT 3539'!$A$43:$C$69,3,1)),0)
*13/3,
0),
IF($E$2="Monthly",
ROUND(
ROUND(((TRUNC($AN540*3/13,0)+0.99)*VLOOKUP((TRUNC($AN540*3/13,0)+0.99),'Tax scales - NAT 3539'!$A$43:$C$69,2,1)-VLOOKUP((TRUNC($AN540*3/13,0)+0.99),'Tax scales - NAT 3539'!$A$43:$C$69,3,1)),0)
*13/3,
0),
""))),
""),
"")</f>
        <v/>
      </c>
      <c r="AW540" s="118" t="str">
        <f>IFERROR(
IF(VLOOKUP($C540,'Employee information'!$B:$M,COLUMNS('Employee information'!$B:$M),0)=33,
IF($E$2="Fortnightly",
ROUND(
ROUND((((TRUNC($AN540/2,0)+0.99))*VLOOKUP((TRUNC($AN540/2,0)+0.99),'Tax scales - NAT 3539'!$A$74:$C$94,2,1)-VLOOKUP((TRUNC($AN540/2,0)+0.99),'Tax scales - NAT 3539'!$A$74:$C$94,3,1)),0)
*2,
0),
IF(AND($E$2="Monthly",ROUND($AN540-TRUNC($AN540),2)=0.33),
ROUND(
ROUND(((TRUNC(($AN540+0.01)*3/13,0)+0.99)*VLOOKUP((TRUNC(($AN540+0.01)*3/13,0)+0.99),'Tax scales - NAT 3539'!$A$74:$C$94,2,1)-VLOOKUP((TRUNC(($AN540+0.01)*3/13,0)+0.99),'Tax scales - NAT 3539'!$A$74:$C$94,3,1)),0)
*13/3,
0),
IF($E$2="Monthly",
ROUND(
ROUND(((TRUNC($AN540*3/13,0)+0.99)*VLOOKUP((TRUNC($AN540*3/13,0)+0.99),'Tax scales - NAT 3539'!$A$74:$C$94,2,1)-VLOOKUP((TRUNC($AN540*3/13,0)+0.99),'Tax scales - NAT 3539'!$A$74:$C$94,3,1)),0)
*13/3,
0),
""))),
""),
"")</f>
        <v/>
      </c>
      <c r="AX540" s="118" t="str">
        <f>IFERROR(
IF(VLOOKUP($C540,'Employee information'!$B:$M,COLUMNS('Employee information'!$B:$M),0)=55,
IF($E$2="Fortnightly",
ROUND(
ROUND((((TRUNC($AN540/2,0)+0.99))*VLOOKUP((TRUNC($AN540/2,0)+0.99),'Tax scales - NAT 3539'!$A$99:$C$123,2,1)-VLOOKUP((TRUNC($AN540/2,0)+0.99),'Tax scales - NAT 3539'!$A$99:$C$123,3,1)),0)
*2,
0),
IF(AND($E$2="Monthly",ROUND($AN540-TRUNC($AN540),2)=0.33),
ROUND(
ROUND(((TRUNC(($AN540+0.01)*3/13,0)+0.99)*VLOOKUP((TRUNC(($AN540+0.01)*3/13,0)+0.99),'Tax scales - NAT 3539'!$A$99:$C$123,2,1)-VLOOKUP((TRUNC(($AN540+0.01)*3/13,0)+0.99),'Tax scales - NAT 3539'!$A$99:$C$123,3,1)),0)
*13/3,
0),
IF($E$2="Monthly",
ROUND(
ROUND(((TRUNC($AN540*3/13,0)+0.99)*VLOOKUP((TRUNC($AN540*3/13,0)+0.99),'Tax scales - NAT 3539'!$A$99:$C$123,2,1)-VLOOKUP((TRUNC($AN540*3/13,0)+0.99),'Tax scales - NAT 3539'!$A$99:$C$123,3,1)),0)
*13/3,
0),
""))),
""),
"")</f>
        <v/>
      </c>
      <c r="AY540" s="118" t="str">
        <f>IFERROR(
IF(VLOOKUP($C540,'Employee information'!$B:$M,COLUMNS('Employee information'!$B:$M),0)=66,
IF($E$2="Fortnightly",
ROUND(
ROUND((((TRUNC($AN540/2,0)+0.99))*VLOOKUP((TRUNC($AN540/2,0)+0.99),'Tax scales - NAT 3539'!$A$127:$C$154,2,1)-VLOOKUP((TRUNC($AN540/2,0)+0.99),'Tax scales - NAT 3539'!$A$127:$C$154,3,1)),0)
*2,
0),
IF(AND($E$2="Monthly",ROUND($AN540-TRUNC($AN540),2)=0.33),
ROUND(
ROUND(((TRUNC(($AN540+0.01)*3/13,0)+0.99)*VLOOKUP((TRUNC(($AN540+0.01)*3/13,0)+0.99),'Tax scales - NAT 3539'!$A$127:$C$154,2,1)-VLOOKUP((TRUNC(($AN540+0.01)*3/13,0)+0.99),'Tax scales - NAT 3539'!$A$127:$C$154,3,1)),0)
*13/3,
0),
IF($E$2="Monthly",
ROUND(
ROUND(((TRUNC($AN540*3/13,0)+0.99)*VLOOKUP((TRUNC($AN540*3/13,0)+0.99),'Tax scales - NAT 3539'!$A$127:$C$154,2,1)-VLOOKUP((TRUNC($AN540*3/13,0)+0.99),'Tax scales - NAT 3539'!$A$127:$C$154,3,1)),0)
*13/3,
0),
""))),
""),
"")</f>
        <v/>
      </c>
      <c r="AZ540" s="118">
        <f>IFERROR(
HLOOKUP(VLOOKUP($C540,'Employee information'!$B:$M,COLUMNS('Employee information'!$B:$M),0),'PAYG worksheet'!$AO$532:$AY$551,COUNTA($C$533:$C540)+1,0),
0)</f>
        <v>0</v>
      </c>
      <c r="BA540" s="118"/>
      <c r="BB540" s="118">
        <f t="shared" si="573"/>
        <v>0</v>
      </c>
      <c r="BC540" s="119">
        <f>IFERROR(
IF(OR($AE540=1,$AE540=""),SUM($P540,$AA540,$AC540,$AK540)*VLOOKUP($C540,'Employee information'!$B:$Q,COLUMNS('Employee information'!$B:$H),0),
IF($AE540=0,SUM($P540,$AA540,$AK540)*VLOOKUP($C540,'Employee information'!$B:$Q,COLUMNS('Employee information'!$B:$H),0),
0)),
0)</f>
        <v>0</v>
      </c>
      <c r="BE540" s="114">
        <f t="shared" si="558"/>
        <v>0</v>
      </c>
      <c r="BF540" s="114">
        <f t="shared" si="559"/>
        <v>0</v>
      </c>
      <c r="BG540" s="114">
        <f t="shared" si="560"/>
        <v>0</v>
      </c>
      <c r="BH540" s="114">
        <f t="shared" si="561"/>
        <v>0</v>
      </c>
      <c r="BI540" s="114">
        <f t="shared" si="562"/>
        <v>0</v>
      </c>
      <c r="BJ540" s="114">
        <f t="shared" si="563"/>
        <v>0</v>
      </c>
      <c r="BK540" s="114">
        <f t="shared" si="564"/>
        <v>0</v>
      </c>
      <c r="BL540" s="114">
        <f t="shared" si="574"/>
        <v>0</v>
      </c>
      <c r="BM540" s="114">
        <f t="shared" si="565"/>
        <v>0</v>
      </c>
    </row>
    <row r="541" spans="1:65" x14ac:dyDescent="0.25">
      <c r="A541" s="228">
        <f t="shared" si="553"/>
        <v>19</v>
      </c>
      <c r="C541" s="278"/>
      <c r="E541" s="103">
        <f>IF($C541="",0,
IF(AND($E$2="Monthly",$A541&gt;12),0,
IF($E$2="Monthly",VLOOKUP($C541,'Employee information'!$B:$AM,COLUMNS('Employee information'!$B:S),0),
IF($E$2="Fortnightly",VLOOKUP($C541,'Employee information'!$B:$AM,COLUMNS('Employee information'!$B:R),0),
0))))</f>
        <v>0</v>
      </c>
      <c r="F541" s="106"/>
      <c r="G541" s="106"/>
      <c r="H541" s="106"/>
      <c r="I541" s="106"/>
      <c r="J541" s="103">
        <f t="shared" si="566"/>
        <v>0</v>
      </c>
      <c r="L541" s="113">
        <f>IF(AND($E$2="Monthly",$A541&gt;12),"",
IFERROR($J541*VLOOKUP($C541,'Employee information'!$B:$AI,COLUMNS('Employee information'!$B:$P),0),0))</f>
        <v>0</v>
      </c>
      <c r="M541" s="114">
        <f t="shared" si="567"/>
        <v>0</v>
      </c>
      <c r="O541" s="103">
        <f t="shared" si="568"/>
        <v>0</v>
      </c>
      <c r="P541" s="113">
        <f>IFERROR(
IF(AND($E$2="Monthly",$A541&gt;12),0,
$O541*VLOOKUP($C541,'Employee information'!$B:$AI,COLUMNS('Employee information'!$B:$P),0)),
0)</f>
        <v>0</v>
      </c>
      <c r="R541" s="114">
        <f t="shared" si="554"/>
        <v>0</v>
      </c>
      <c r="T541" s="103"/>
      <c r="U541" s="103"/>
      <c r="V541" s="282" t="str">
        <f>IF($C541="","",
IF(AND($E$2="Monthly",$A541&gt;12),"",
$T541*VLOOKUP($C541,'Employee information'!$B:$P,COLUMNS('Employee information'!$B:$P),0)))</f>
        <v/>
      </c>
      <c r="W541" s="282" t="str">
        <f>IF($C541="","",
IF(AND($E$2="Monthly",$A541&gt;12),"",
$U541*VLOOKUP($C541,'Employee information'!$B:$P,COLUMNS('Employee information'!$B:$P),0)))</f>
        <v/>
      </c>
      <c r="X541" s="114">
        <f t="shared" si="555"/>
        <v>0</v>
      </c>
      <c r="Y541" s="114">
        <f t="shared" si="556"/>
        <v>0</v>
      </c>
      <c r="AA541" s="118">
        <f>IFERROR(
IF(OR('Basic payroll data'!$D$12="",'Basic payroll data'!$D$12="No"),0,
$T541*VLOOKUP($C541,'Employee information'!$B:$P,COLUMNS('Employee information'!$B:$P),0)*AL_loading_perc),
0)</f>
        <v>0</v>
      </c>
      <c r="AC541" s="118"/>
      <c r="AD541" s="118"/>
      <c r="AE541" s="283" t="str">
        <f t="shared" si="569"/>
        <v/>
      </c>
      <c r="AF541" s="283" t="str">
        <f t="shared" si="570"/>
        <v/>
      </c>
      <c r="AG541" s="118"/>
      <c r="AH541" s="118"/>
      <c r="AI541" s="283" t="str">
        <f t="shared" si="571"/>
        <v/>
      </c>
      <c r="AJ541" s="118"/>
      <c r="AK541" s="118"/>
      <c r="AM541" s="118">
        <f t="shared" si="572"/>
        <v>0</v>
      </c>
      <c r="AN541" s="118">
        <f t="shared" si="557"/>
        <v>0</v>
      </c>
      <c r="AO541" s="118" t="str">
        <f>IFERROR(
IF(VLOOKUP($C541,'Employee information'!$B:$M,COLUMNS('Employee information'!$B:$M),0)=1,
IF($E$2="Fortnightly",
ROUND(
ROUND((((TRUNC($AN541/2,0)+0.99))*VLOOKUP((TRUNC($AN541/2,0)+0.99),'Tax scales - NAT 1004'!$A$12:$C$18,2,1)-VLOOKUP((TRUNC($AN541/2,0)+0.99),'Tax scales - NAT 1004'!$A$12:$C$18,3,1)),0)
*2,
0),
IF(AND($E$2="Monthly",ROUND($AN541-TRUNC($AN541),2)=0.33),
ROUND(
ROUND(((TRUNC(($AN541+0.01)*3/13,0)+0.99)*VLOOKUP((TRUNC(($AN541+0.01)*3/13,0)+0.99),'Tax scales - NAT 1004'!$A$12:$C$18,2,1)-VLOOKUP((TRUNC(($AN541+0.01)*3/13,0)+0.99),'Tax scales - NAT 1004'!$A$12:$C$18,3,1)),0)
*13/3,
0),
IF($E$2="Monthly",
ROUND(
ROUND(((TRUNC($AN541*3/13,0)+0.99)*VLOOKUP((TRUNC($AN541*3/13,0)+0.99),'Tax scales - NAT 1004'!$A$12:$C$18,2,1)-VLOOKUP((TRUNC($AN541*3/13,0)+0.99),'Tax scales - NAT 1004'!$A$12:$C$18,3,1)),0)
*13/3,
0),
""))),
""),
"")</f>
        <v/>
      </c>
      <c r="AP541" s="118" t="str">
        <f>IFERROR(
IF(VLOOKUP($C541,'Employee information'!$B:$M,COLUMNS('Employee information'!$B:$M),0)=2,
IF($E$2="Fortnightly",
ROUND(
ROUND((((TRUNC($AN541/2,0)+0.99))*VLOOKUP((TRUNC($AN541/2,0)+0.99),'Tax scales - NAT 1004'!$A$25:$C$33,2,1)-VLOOKUP((TRUNC($AN541/2,0)+0.99),'Tax scales - NAT 1004'!$A$25:$C$33,3,1)),0)
*2,
0),
IF(AND($E$2="Monthly",ROUND($AN541-TRUNC($AN541),2)=0.33),
ROUND(
ROUND(((TRUNC(($AN541+0.01)*3/13,0)+0.99)*VLOOKUP((TRUNC(($AN541+0.01)*3/13,0)+0.99),'Tax scales - NAT 1004'!$A$25:$C$33,2,1)-VLOOKUP((TRUNC(($AN541+0.01)*3/13,0)+0.99),'Tax scales - NAT 1004'!$A$25:$C$33,3,1)),0)
*13/3,
0),
IF($E$2="Monthly",
ROUND(
ROUND(((TRUNC($AN541*3/13,0)+0.99)*VLOOKUP((TRUNC($AN541*3/13,0)+0.99),'Tax scales - NAT 1004'!$A$25:$C$33,2,1)-VLOOKUP((TRUNC($AN541*3/13,0)+0.99),'Tax scales - NAT 1004'!$A$25:$C$33,3,1)),0)
*13/3,
0),
""))),
""),
"")</f>
        <v/>
      </c>
      <c r="AQ541" s="118" t="str">
        <f>IFERROR(
IF(VLOOKUP($C541,'Employee information'!$B:$M,COLUMNS('Employee information'!$B:$M),0)=3,
IF($E$2="Fortnightly",
ROUND(
ROUND((((TRUNC($AN541/2,0)+0.99))*VLOOKUP((TRUNC($AN541/2,0)+0.99),'Tax scales - NAT 1004'!$A$39:$C$41,2,1)-VLOOKUP((TRUNC($AN541/2,0)+0.99),'Tax scales - NAT 1004'!$A$39:$C$41,3,1)),0)
*2,
0),
IF(AND($E$2="Monthly",ROUND($AN541-TRUNC($AN541),2)=0.33),
ROUND(
ROUND(((TRUNC(($AN541+0.01)*3/13,0)+0.99)*VLOOKUP((TRUNC(($AN541+0.01)*3/13,0)+0.99),'Tax scales - NAT 1004'!$A$39:$C$41,2,1)-VLOOKUP((TRUNC(($AN541+0.01)*3/13,0)+0.99),'Tax scales - NAT 1004'!$A$39:$C$41,3,1)),0)
*13/3,
0),
IF($E$2="Monthly",
ROUND(
ROUND(((TRUNC($AN541*3/13,0)+0.99)*VLOOKUP((TRUNC($AN541*3/13,0)+0.99),'Tax scales - NAT 1004'!$A$39:$C$41,2,1)-VLOOKUP((TRUNC($AN541*3/13,0)+0.99),'Tax scales - NAT 1004'!$A$39:$C$41,3,1)),0)
*13/3,
0),
""))),
""),
"")</f>
        <v/>
      </c>
      <c r="AR541" s="118" t="str">
        <f>IFERROR(
IF(AND(VLOOKUP($C541,'Employee information'!$B:$M,COLUMNS('Employee information'!$B:$M),0)=4,
VLOOKUP($C541,'Employee information'!$B:$J,COLUMNS('Employee information'!$B:$J),0)="Resident"),
TRUNC(TRUNC($AN541)*'Tax scales - NAT 1004'!$B$47),
IF(AND(VLOOKUP($C541,'Employee information'!$B:$M,COLUMNS('Employee information'!$B:$M),0)=4,
VLOOKUP($C541,'Employee information'!$B:$J,COLUMNS('Employee information'!$B:$J),0)="Foreign resident"),
TRUNC(TRUNC($AN541)*'Tax scales - NAT 1004'!$B$48),
"")),
"")</f>
        <v/>
      </c>
      <c r="AS541" s="118" t="str">
        <f>IFERROR(
IF(VLOOKUP($C541,'Employee information'!$B:$M,COLUMNS('Employee information'!$B:$M),0)=5,
IF($E$2="Fortnightly",
ROUND(
ROUND((((TRUNC($AN541/2,0)+0.99))*VLOOKUP((TRUNC($AN541/2,0)+0.99),'Tax scales - NAT 1004'!$A$53:$C$59,2,1)-VLOOKUP((TRUNC($AN541/2,0)+0.99),'Tax scales - NAT 1004'!$A$53:$C$59,3,1)),0)
*2,
0),
IF(AND($E$2="Monthly",ROUND($AN541-TRUNC($AN541),2)=0.33),
ROUND(
ROUND(((TRUNC(($AN541+0.01)*3/13,0)+0.99)*VLOOKUP((TRUNC(($AN541+0.01)*3/13,0)+0.99),'Tax scales - NAT 1004'!$A$53:$C$59,2,1)-VLOOKUP((TRUNC(($AN541+0.01)*3/13,0)+0.99),'Tax scales - NAT 1004'!$A$53:$C$59,3,1)),0)
*13/3,
0),
IF($E$2="Monthly",
ROUND(
ROUND(((TRUNC($AN541*3/13,0)+0.99)*VLOOKUP((TRUNC($AN541*3/13,0)+0.99),'Tax scales - NAT 1004'!$A$53:$C$59,2,1)-VLOOKUP((TRUNC($AN541*3/13,0)+0.99),'Tax scales - NAT 1004'!$A$53:$C$59,3,1)),0)
*13/3,
0),
""))),
""),
"")</f>
        <v/>
      </c>
      <c r="AT541" s="118" t="str">
        <f>IFERROR(
IF(VLOOKUP($C541,'Employee information'!$B:$M,COLUMNS('Employee information'!$B:$M),0)=6,
IF($E$2="Fortnightly",
ROUND(
ROUND((((TRUNC($AN541/2,0)+0.99))*VLOOKUP((TRUNC($AN541/2,0)+0.99),'Tax scales - NAT 1004'!$A$65:$C$73,2,1)-VLOOKUP((TRUNC($AN541/2,0)+0.99),'Tax scales - NAT 1004'!$A$65:$C$73,3,1)),0)
*2,
0),
IF(AND($E$2="Monthly",ROUND($AN541-TRUNC($AN541),2)=0.33),
ROUND(
ROUND(((TRUNC(($AN541+0.01)*3/13,0)+0.99)*VLOOKUP((TRUNC(($AN541+0.01)*3/13,0)+0.99),'Tax scales - NAT 1004'!$A$65:$C$73,2,1)-VLOOKUP((TRUNC(($AN541+0.01)*3/13,0)+0.99),'Tax scales - NAT 1004'!$A$65:$C$73,3,1)),0)
*13/3,
0),
IF($E$2="Monthly",
ROUND(
ROUND(((TRUNC($AN541*3/13,0)+0.99)*VLOOKUP((TRUNC($AN541*3/13,0)+0.99),'Tax scales - NAT 1004'!$A$65:$C$73,2,1)-VLOOKUP((TRUNC($AN541*3/13,0)+0.99),'Tax scales - NAT 1004'!$A$65:$C$73,3,1)),0)
*13/3,
0),
""))),
""),
"")</f>
        <v/>
      </c>
      <c r="AU541" s="118" t="str">
        <f>IFERROR(
IF(VLOOKUP($C541,'Employee information'!$B:$M,COLUMNS('Employee information'!$B:$M),0)=11,
IF($E$2="Fortnightly",
ROUND(
ROUND((((TRUNC($AN541/2,0)+0.99))*VLOOKUP((TRUNC($AN541/2,0)+0.99),'Tax scales - NAT 3539'!$A$14:$C$38,2,1)-VLOOKUP((TRUNC($AN541/2,0)+0.99),'Tax scales - NAT 3539'!$A$14:$C$38,3,1)),0)
*2,
0),
IF(AND($E$2="Monthly",ROUND($AN541-TRUNC($AN541),2)=0.33),
ROUND(
ROUND(((TRUNC(($AN541+0.01)*3/13,0)+0.99)*VLOOKUP((TRUNC(($AN541+0.01)*3/13,0)+0.99),'Tax scales - NAT 3539'!$A$14:$C$38,2,1)-VLOOKUP((TRUNC(($AN541+0.01)*3/13,0)+0.99),'Tax scales - NAT 3539'!$A$14:$C$38,3,1)),0)
*13/3,
0),
IF($E$2="Monthly",
ROUND(
ROUND(((TRUNC($AN541*3/13,0)+0.99)*VLOOKUP((TRUNC($AN541*3/13,0)+0.99),'Tax scales - NAT 3539'!$A$14:$C$38,2,1)-VLOOKUP((TRUNC($AN541*3/13,0)+0.99),'Tax scales - NAT 3539'!$A$14:$C$38,3,1)),0)
*13/3,
0),
""))),
""),
"")</f>
        <v/>
      </c>
      <c r="AV541" s="118" t="str">
        <f>IFERROR(
IF(VLOOKUP($C541,'Employee information'!$B:$M,COLUMNS('Employee information'!$B:$M),0)=22,
IF($E$2="Fortnightly",
ROUND(
ROUND((((TRUNC($AN541/2,0)+0.99))*VLOOKUP((TRUNC($AN541/2,0)+0.99),'Tax scales - NAT 3539'!$A$43:$C$69,2,1)-VLOOKUP((TRUNC($AN541/2,0)+0.99),'Tax scales - NAT 3539'!$A$43:$C$69,3,1)),0)
*2,
0),
IF(AND($E$2="Monthly",ROUND($AN541-TRUNC($AN541),2)=0.33),
ROUND(
ROUND(((TRUNC(($AN541+0.01)*3/13,0)+0.99)*VLOOKUP((TRUNC(($AN541+0.01)*3/13,0)+0.99),'Tax scales - NAT 3539'!$A$43:$C$69,2,1)-VLOOKUP((TRUNC(($AN541+0.01)*3/13,0)+0.99),'Tax scales - NAT 3539'!$A$43:$C$69,3,1)),0)
*13/3,
0),
IF($E$2="Monthly",
ROUND(
ROUND(((TRUNC($AN541*3/13,0)+0.99)*VLOOKUP((TRUNC($AN541*3/13,0)+0.99),'Tax scales - NAT 3539'!$A$43:$C$69,2,1)-VLOOKUP((TRUNC($AN541*3/13,0)+0.99),'Tax scales - NAT 3539'!$A$43:$C$69,3,1)),0)
*13/3,
0),
""))),
""),
"")</f>
        <v/>
      </c>
      <c r="AW541" s="118" t="str">
        <f>IFERROR(
IF(VLOOKUP($C541,'Employee information'!$B:$M,COLUMNS('Employee information'!$B:$M),0)=33,
IF($E$2="Fortnightly",
ROUND(
ROUND((((TRUNC($AN541/2,0)+0.99))*VLOOKUP((TRUNC($AN541/2,0)+0.99),'Tax scales - NAT 3539'!$A$74:$C$94,2,1)-VLOOKUP((TRUNC($AN541/2,0)+0.99),'Tax scales - NAT 3539'!$A$74:$C$94,3,1)),0)
*2,
0),
IF(AND($E$2="Monthly",ROUND($AN541-TRUNC($AN541),2)=0.33),
ROUND(
ROUND(((TRUNC(($AN541+0.01)*3/13,0)+0.99)*VLOOKUP((TRUNC(($AN541+0.01)*3/13,0)+0.99),'Tax scales - NAT 3539'!$A$74:$C$94,2,1)-VLOOKUP((TRUNC(($AN541+0.01)*3/13,0)+0.99),'Tax scales - NAT 3539'!$A$74:$C$94,3,1)),0)
*13/3,
0),
IF($E$2="Monthly",
ROUND(
ROUND(((TRUNC($AN541*3/13,0)+0.99)*VLOOKUP((TRUNC($AN541*3/13,0)+0.99),'Tax scales - NAT 3539'!$A$74:$C$94,2,1)-VLOOKUP((TRUNC($AN541*3/13,0)+0.99),'Tax scales - NAT 3539'!$A$74:$C$94,3,1)),0)
*13/3,
0),
""))),
""),
"")</f>
        <v/>
      </c>
      <c r="AX541" s="118" t="str">
        <f>IFERROR(
IF(VLOOKUP($C541,'Employee information'!$B:$M,COLUMNS('Employee information'!$B:$M),0)=55,
IF($E$2="Fortnightly",
ROUND(
ROUND((((TRUNC($AN541/2,0)+0.99))*VLOOKUP((TRUNC($AN541/2,0)+0.99),'Tax scales - NAT 3539'!$A$99:$C$123,2,1)-VLOOKUP((TRUNC($AN541/2,0)+0.99),'Tax scales - NAT 3539'!$A$99:$C$123,3,1)),0)
*2,
0),
IF(AND($E$2="Monthly",ROUND($AN541-TRUNC($AN541),2)=0.33),
ROUND(
ROUND(((TRUNC(($AN541+0.01)*3/13,0)+0.99)*VLOOKUP((TRUNC(($AN541+0.01)*3/13,0)+0.99),'Tax scales - NAT 3539'!$A$99:$C$123,2,1)-VLOOKUP((TRUNC(($AN541+0.01)*3/13,0)+0.99),'Tax scales - NAT 3539'!$A$99:$C$123,3,1)),0)
*13/3,
0),
IF($E$2="Monthly",
ROUND(
ROUND(((TRUNC($AN541*3/13,0)+0.99)*VLOOKUP((TRUNC($AN541*3/13,0)+0.99),'Tax scales - NAT 3539'!$A$99:$C$123,2,1)-VLOOKUP((TRUNC($AN541*3/13,0)+0.99),'Tax scales - NAT 3539'!$A$99:$C$123,3,1)),0)
*13/3,
0),
""))),
""),
"")</f>
        <v/>
      </c>
      <c r="AY541" s="118" t="str">
        <f>IFERROR(
IF(VLOOKUP($C541,'Employee information'!$B:$M,COLUMNS('Employee information'!$B:$M),0)=66,
IF($E$2="Fortnightly",
ROUND(
ROUND((((TRUNC($AN541/2,0)+0.99))*VLOOKUP((TRUNC($AN541/2,0)+0.99),'Tax scales - NAT 3539'!$A$127:$C$154,2,1)-VLOOKUP((TRUNC($AN541/2,0)+0.99),'Tax scales - NAT 3539'!$A$127:$C$154,3,1)),0)
*2,
0),
IF(AND($E$2="Monthly",ROUND($AN541-TRUNC($AN541),2)=0.33),
ROUND(
ROUND(((TRUNC(($AN541+0.01)*3/13,0)+0.99)*VLOOKUP((TRUNC(($AN541+0.01)*3/13,0)+0.99),'Tax scales - NAT 3539'!$A$127:$C$154,2,1)-VLOOKUP((TRUNC(($AN541+0.01)*3/13,0)+0.99),'Tax scales - NAT 3539'!$A$127:$C$154,3,1)),0)
*13/3,
0),
IF($E$2="Monthly",
ROUND(
ROUND(((TRUNC($AN541*3/13,0)+0.99)*VLOOKUP((TRUNC($AN541*3/13,0)+0.99),'Tax scales - NAT 3539'!$A$127:$C$154,2,1)-VLOOKUP((TRUNC($AN541*3/13,0)+0.99),'Tax scales - NAT 3539'!$A$127:$C$154,3,1)),0)
*13/3,
0),
""))),
""),
"")</f>
        <v/>
      </c>
      <c r="AZ541" s="118">
        <f>IFERROR(
HLOOKUP(VLOOKUP($C541,'Employee information'!$B:$M,COLUMNS('Employee information'!$B:$M),0),'PAYG worksheet'!$AO$532:$AY$551,COUNTA($C$533:$C541)+1,0),
0)</f>
        <v>0</v>
      </c>
      <c r="BA541" s="118"/>
      <c r="BB541" s="118">
        <f t="shared" si="573"/>
        <v>0</v>
      </c>
      <c r="BC541" s="119">
        <f>IFERROR(
IF(OR($AE541=1,$AE541=""),SUM($P541,$AA541,$AC541,$AK541)*VLOOKUP($C541,'Employee information'!$B:$Q,COLUMNS('Employee information'!$B:$H),0),
IF($AE541=0,SUM($P541,$AA541,$AK541)*VLOOKUP($C541,'Employee information'!$B:$Q,COLUMNS('Employee information'!$B:$H),0),
0)),
0)</f>
        <v>0</v>
      </c>
      <c r="BE541" s="114">
        <f t="shared" si="558"/>
        <v>0</v>
      </c>
      <c r="BF541" s="114">
        <f t="shared" si="559"/>
        <v>0</v>
      </c>
      <c r="BG541" s="114">
        <f t="shared" si="560"/>
        <v>0</v>
      </c>
      <c r="BH541" s="114">
        <f t="shared" si="561"/>
        <v>0</v>
      </c>
      <c r="BI541" s="114">
        <f t="shared" si="562"/>
        <v>0</v>
      </c>
      <c r="BJ541" s="114">
        <f t="shared" si="563"/>
        <v>0</v>
      </c>
      <c r="BK541" s="114">
        <f t="shared" si="564"/>
        <v>0</v>
      </c>
      <c r="BL541" s="114">
        <f t="shared" si="574"/>
        <v>0</v>
      </c>
      <c r="BM541" s="114">
        <f t="shared" si="565"/>
        <v>0</v>
      </c>
    </row>
    <row r="542" spans="1:65" x14ac:dyDescent="0.25">
      <c r="A542" s="228">
        <f t="shared" si="553"/>
        <v>19</v>
      </c>
      <c r="C542" s="278"/>
      <c r="E542" s="103">
        <f>IF($C542="",0,
IF(AND($E$2="Monthly",$A542&gt;12),0,
IF($E$2="Monthly",VLOOKUP($C542,'Employee information'!$B:$AM,COLUMNS('Employee information'!$B:S),0),
IF($E$2="Fortnightly",VLOOKUP($C542,'Employee information'!$B:$AM,COLUMNS('Employee information'!$B:R),0),
0))))</f>
        <v>0</v>
      </c>
      <c r="F542" s="106"/>
      <c r="G542" s="106"/>
      <c r="H542" s="106"/>
      <c r="I542" s="106"/>
      <c r="J542" s="103">
        <f t="shared" si="566"/>
        <v>0</v>
      </c>
      <c r="L542" s="113">
        <f>IF(AND($E$2="Monthly",$A542&gt;12),"",
IFERROR($J542*VLOOKUP($C542,'Employee information'!$B:$AI,COLUMNS('Employee information'!$B:$P),0),0))</f>
        <v>0</v>
      </c>
      <c r="M542" s="114">
        <f t="shared" si="567"/>
        <v>0</v>
      </c>
      <c r="O542" s="103">
        <f>IF($E$2="Monthly",
IF(AND($E$2="Monthly",$H542&lt;&gt;""),$H542,
IF(AND($E$2="Monthly",$E542=0),$F542,
$E542)),
IF($E$2="Fortnightly",
IF(AND($E$2="Fortnightly",$H542&lt;&gt;""),$H542,
IF(AND($E$2="Fortnightly",$F542&lt;&gt;"",$E542&lt;&gt;0),$F542,
IF(AND($E$2="Fortnightly",$E542=0),$F542,
$E542)))))</f>
        <v>0</v>
      </c>
      <c r="P542" s="113">
        <f>IFERROR(
IF(AND($E$2="Monthly",$A542&gt;12),0,
$O542*VLOOKUP($C542,'Employee information'!$B:$AI,COLUMNS('Employee information'!$B:$P),0)),
0)</f>
        <v>0</v>
      </c>
      <c r="R542" s="114">
        <f t="shared" si="554"/>
        <v>0</v>
      </c>
      <c r="T542" s="103"/>
      <c r="U542" s="103"/>
      <c r="V542" s="282" t="str">
        <f>IF($C542="","",
IF(AND($E$2="Monthly",$A542&gt;12),"",
$T542*VLOOKUP($C542,'Employee information'!$B:$P,COLUMNS('Employee information'!$B:$P),0)))</f>
        <v/>
      </c>
      <c r="W542" s="282" t="str">
        <f>IF($C542="","",
IF(AND($E$2="Monthly",$A542&gt;12),"",
$U542*VLOOKUP($C542,'Employee information'!$B:$P,COLUMNS('Employee information'!$B:$P),0)))</f>
        <v/>
      </c>
      <c r="X542" s="114">
        <f t="shared" si="555"/>
        <v>0</v>
      </c>
      <c r="Y542" s="114">
        <f t="shared" si="556"/>
        <v>0</v>
      </c>
      <c r="AA542" s="118">
        <f>IFERROR(
IF(OR('Basic payroll data'!$D$12="",'Basic payroll data'!$D$12="No"),0,
$T542*VLOOKUP($C542,'Employee information'!$B:$P,COLUMNS('Employee information'!$B:$P),0)*AL_loading_perc),
0)</f>
        <v>0</v>
      </c>
      <c r="AC542" s="118"/>
      <c r="AD542" s="118"/>
      <c r="AE542" s="283" t="str">
        <f t="shared" si="569"/>
        <v/>
      </c>
      <c r="AF542" s="283" t="str">
        <f t="shared" si="570"/>
        <v/>
      </c>
      <c r="AG542" s="118"/>
      <c r="AH542" s="118"/>
      <c r="AI542" s="283" t="str">
        <f t="shared" si="571"/>
        <v/>
      </c>
      <c r="AJ542" s="118"/>
      <c r="AK542" s="118"/>
      <c r="AM542" s="118">
        <f t="shared" si="572"/>
        <v>0</v>
      </c>
      <c r="AN542" s="118">
        <f t="shared" si="557"/>
        <v>0</v>
      </c>
      <c r="AO542" s="118" t="str">
        <f>IFERROR(
IF(VLOOKUP($C542,'Employee information'!$B:$M,COLUMNS('Employee information'!$B:$M),0)=1,
IF($E$2="Fortnightly",
ROUND(
ROUND((((TRUNC($AN542/2,0)+0.99))*VLOOKUP((TRUNC($AN542/2,0)+0.99),'Tax scales - NAT 1004'!$A$12:$C$18,2,1)-VLOOKUP((TRUNC($AN542/2,0)+0.99),'Tax scales - NAT 1004'!$A$12:$C$18,3,1)),0)
*2,
0),
IF(AND($E$2="Monthly",ROUND($AN542-TRUNC($AN542),2)=0.33),
ROUND(
ROUND(((TRUNC(($AN542+0.01)*3/13,0)+0.99)*VLOOKUP((TRUNC(($AN542+0.01)*3/13,0)+0.99),'Tax scales - NAT 1004'!$A$12:$C$18,2,1)-VLOOKUP((TRUNC(($AN542+0.01)*3/13,0)+0.99),'Tax scales - NAT 1004'!$A$12:$C$18,3,1)),0)
*13/3,
0),
IF($E$2="Monthly",
ROUND(
ROUND(((TRUNC($AN542*3/13,0)+0.99)*VLOOKUP((TRUNC($AN542*3/13,0)+0.99),'Tax scales - NAT 1004'!$A$12:$C$18,2,1)-VLOOKUP((TRUNC($AN542*3/13,0)+0.99),'Tax scales - NAT 1004'!$A$12:$C$18,3,1)),0)
*13/3,
0),
""))),
""),
"")</f>
        <v/>
      </c>
      <c r="AP542" s="118" t="str">
        <f>IFERROR(
IF(VLOOKUP($C542,'Employee information'!$B:$M,COLUMNS('Employee information'!$B:$M),0)=2,
IF($E$2="Fortnightly",
ROUND(
ROUND((((TRUNC($AN542/2,0)+0.99))*VLOOKUP((TRUNC($AN542/2,0)+0.99),'Tax scales - NAT 1004'!$A$25:$C$33,2,1)-VLOOKUP((TRUNC($AN542/2,0)+0.99),'Tax scales - NAT 1004'!$A$25:$C$33,3,1)),0)
*2,
0),
IF(AND($E$2="Monthly",ROUND($AN542-TRUNC($AN542),2)=0.33),
ROUND(
ROUND(((TRUNC(($AN542+0.01)*3/13,0)+0.99)*VLOOKUP((TRUNC(($AN542+0.01)*3/13,0)+0.99),'Tax scales - NAT 1004'!$A$25:$C$33,2,1)-VLOOKUP((TRUNC(($AN542+0.01)*3/13,0)+0.99),'Tax scales - NAT 1004'!$A$25:$C$33,3,1)),0)
*13/3,
0),
IF($E$2="Monthly",
ROUND(
ROUND(((TRUNC($AN542*3/13,0)+0.99)*VLOOKUP((TRUNC($AN542*3/13,0)+0.99),'Tax scales - NAT 1004'!$A$25:$C$33,2,1)-VLOOKUP((TRUNC($AN542*3/13,0)+0.99),'Tax scales - NAT 1004'!$A$25:$C$33,3,1)),0)
*13/3,
0),
""))),
""),
"")</f>
        <v/>
      </c>
      <c r="AQ542" s="118" t="str">
        <f>IFERROR(
IF(VLOOKUP($C542,'Employee information'!$B:$M,COLUMNS('Employee information'!$B:$M),0)=3,
IF($E$2="Fortnightly",
ROUND(
ROUND((((TRUNC($AN542/2,0)+0.99))*VLOOKUP((TRUNC($AN542/2,0)+0.99),'Tax scales - NAT 1004'!$A$39:$C$41,2,1)-VLOOKUP((TRUNC($AN542/2,0)+0.99),'Tax scales - NAT 1004'!$A$39:$C$41,3,1)),0)
*2,
0),
IF(AND($E$2="Monthly",ROUND($AN542-TRUNC($AN542),2)=0.33),
ROUND(
ROUND(((TRUNC(($AN542+0.01)*3/13,0)+0.99)*VLOOKUP((TRUNC(($AN542+0.01)*3/13,0)+0.99),'Tax scales - NAT 1004'!$A$39:$C$41,2,1)-VLOOKUP((TRUNC(($AN542+0.01)*3/13,0)+0.99),'Tax scales - NAT 1004'!$A$39:$C$41,3,1)),0)
*13/3,
0),
IF($E$2="Monthly",
ROUND(
ROUND(((TRUNC($AN542*3/13,0)+0.99)*VLOOKUP((TRUNC($AN542*3/13,0)+0.99),'Tax scales - NAT 1004'!$A$39:$C$41,2,1)-VLOOKUP((TRUNC($AN542*3/13,0)+0.99),'Tax scales - NAT 1004'!$A$39:$C$41,3,1)),0)
*13/3,
0),
""))),
""),
"")</f>
        <v/>
      </c>
      <c r="AR542" s="118" t="str">
        <f>IFERROR(
IF(AND(VLOOKUP($C542,'Employee information'!$B:$M,COLUMNS('Employee information'!$B:$M),0)=4,
VLOOKUP($C542,'Employee information'!$B:$J,COLUMNS('Employee information'!$B:$J),0)="Resident"),
TRUNC(TRUNC($AN542)*'Tax scales - NAT 1004'!$B$47),
IF(AND(VLOOKUP($C542,'Employee information'!$B:$M,COLUMNS('Employee information'!$B:$M),0)=4,
VLOOKUP($C542,'Employee information'!$B:$J,COLUMNS('Employee information'!$B:$J),0)="Foreign resident"),
TRUNC(TRUNC($AN542)*'Tax scales - NAT 1004'!$B$48),
"")),
"")</f>
        <v/>
      </c>
      <c r="AS542" s="118" t="str">
        <f>IFERROR(
IF(VLOOKUP($C542,'Employee information'!$B:$M,COLUMNS('Employee information'!$B:$M),0)=5,
IF($E$2="Fortnightly",
ROUND(
ROUND((((TRUNC($AN542/2,0)+0.99))*VLOOKUP((TRUNC($AN542/2,0)+0.99),'Tax scales - NAT 1004'!$A$53:$C$59,2,1)-VLOOKUP((TRUNC($AN542/2,0)+0.99),'Tax scales - NAT 1004'!$A$53:$C$59,3,1)),0)
*2,
0),
IF(AND($E$2="Monthly",ROUND($AN542-TRUNC($AN542),2)=0.33),
ROUND(
ROUND(((TRUNC(($AN542+0.01)*3/13,0)+0.99)*VLOOKUP((TRUNC(($AN542+0.01)*3/13,0)+0.99),'Tax scales - NAT 1004'!$A$53:$C$59,2,1)-VLOOKUP((TRUNC(($AN542+0.01)*3/13,0)+0.99),'Tax scales - NAT 1004'!$A$53:$C$59,3,1)),0)
*13/3,
0),
IF($E$2="Monthly",
ROUND(
ROUND(((TRUNC($AN542*3/13,0)+0.99)*VLOOKUP((TRUNC($AN542*3/13,0)+0.99),'Tax scales - NAT 1004'!$A$53:$C$59,2,1)-VLOOKUP((TRUNC($AN542*3/13,0)+0.99),'Tax scales - NAT 1004'!$A$53:$C$59,3,1)),0)
*13/3,
0),
""))),
""),
"")</f>
        <v/>
      </c>
      <c r="AT542" s="118" t="str">
        <f>IFERROR(
IF(VLOOKUP($C542,'Employee information'!$B:$M,COLUMNS('Employee information'!$B:$M),0)=6,
IF($E$2="Fortnightly",
ROUND(
ROUND((((TRUNC($AN542/2,0)+0.99))*VLOOKUP((TRUNC($AN542/2,0)+0.99),'Tax scales - NAT 1004'!$A$65:$C$73,2,1)-VLOOKUP((TRUNC($AN542/2,0)+0.99),'Tax scales - NAT 1004'!$A$65:$C$73,3,1)),0)
*2,
0),
IF(AND($E$2="Monthly",ROUND($AN542-TRUNC($AN542),2)=0.33),
ROUND(
ROUND(((TRUNC(($AN542+0.01)*3/13,0)+0.99)*VLOOKUP((TRUNC(($AN542+0.01)*3/13,0)+0.99),'Tax scales - NAT 1004'!$A$65:$C$73,2,1)-VLOOKUP((TRUNC(($AN542+0.01)*3/13,0)+0.99),'Tax scales - NAT 1004'!$A$65:$C$73,3,1)),0)
*13/3,
0),
IF($E$2="Monthly",
ROUND(
ROUND(((TRUNC($AN542*3/13,0)+0.99)*VLOOKUP((TRUNC($AN542*3/13,0)+0.99),'Tax scales - NAT 1004'!$A$65:$C$73,2,1)-VLOOKUP((TRUNC($AN542*3/13,0)+0.99),'Tax scales - NAT 1004'!$A$65:$C$73,3,1)),0)
*13/3,
0),
""))),
""),
"")</f>
        <v/>
      </c>
      <c r="AU542" s="118" t="str">
        <f>IFERROR(
IF(VLOOKUP($C542,'Employee information'!$B:$M,COLUMNS('Employee information'!$B:$M),0)=11,
IF($E$2="Fortnightly",
ROUND(
ROUND((((TRUNC($AN542/2,0)+0.99))*VLOOKUP((TRUNC($AN542/2,0)+0.99),'Tax scales - NAT 3539'!$A$14:$C$38,2,1)-VLOOKUP((TRUNC($AN542/2,0)+0.99),'Tax scales - NAT 3539'!$A$14:$C$38,3,1)),0)
*2,
0),
IF(AND($E$2="Monthly",ROUND($AN542-TRUNC($AN542),2)=0.33),
ROUND(
ROUND(((TRUNC(($AN542+0.01)*3/13,0)+0.99)*VLOOKUP((TRUNC(($AN542+0.01)*3/13,0)+0.99),'Tax scales - NAT 3539'!$A$14:$C$38,2,1)-VLOOKUP((TRUNC(($AN542+0.01)*3/13,0)+0.99),'Tax scales - NAT 3539'!$A$14:$C$38,3,1)),0)
*13/3,
0),
IF($E$2="Monthly",
ROUND(
ROUND(((TRUNC($AN542*3/13,0)+0.99)*VLOOKUP((TRUNC($AN542*3/13,0)+0.99),'Tax scales - NAT 3539'!$A$14:$C$38,2,1)-VLOOKUP((TRUNC($AN542*3/13,0)+0.99),'Tax scales - NAT 3539'!$A$14:$C$38,3,1)),0)
*13/3,
0),
""))),
""),
"")</f>
        <v/>
      </c>
      <c r="AV542" s="118" t="str">
        <f>IFERROR(
IF(VLOOKUP($C542,'Employee information'!$B:$M,COLUMNS('Employee information'!$B:$M),0)=22,
IF($E$2="Fortnightly",
ROUND(
ROUND((((TRUNC($AN542/2,0)+0.99))*VLOOKUP((TRUNC($AN542/2,0)+0.99),'Tax scales - NAT 3539'!$A$43:$C$69,2,1)-VLOOKUP((TRUNC($AN542/2,0)+0.99),'Tax scales - NAT 3539'!$A$43:$C$69,3,1)),0)
*2,
0),
IF(AND($E$2="Monthly",ROUND($AN542-TRUNC($AN542),2)=0.33),
ROUND(
ROUND(((TRUNC(($AN542+0.01)*3/13,0)+0.99)*VLOOKUP((TRUNC(($AN542+0.01)*3/13,0)+0.99),'Tax scales - NAT 3539'!$A$43:$C$69,2,1)-VLOOKUP((TRUNC(($AN542+0.01)*3/13,0)+0.99),'Tax scales - NAT 3539'!$A$43:$C$69,3,1)),0)
*13/3,
0),
IF($E$2="Monthly",
ROUND(
ROUND(((TRUNC($AN542*3/13,0)+0.99)*VLOOKUP((TRUNC($AN542*3/13,0)+0.99),'Tax scales - NAT 3539'!$A$43:$C$69,2,1)-VLOOKUP((TRUNC($AN542*3/13,0)+0.99),'Tax scales - NAT 3539'!$A$43:$C$69,3,1)),0)
*13/3,
0),
""))),
""),
"")</f>
        <v/>
      </c>
      <c r="AW542" s="118" t="str">
        <f>IFERROR(
IF(VLOOKUP($C542,'Employee information'!$B:$M,COLUMNS('Employee information'!$B:$M),0)=33,
IF($E$2="Fortnightly",
ROUND(
ROUND((((TRUNC($AN542/2,0)+0.99))*VLOOKUP((TRUNC($AN542/2,0)+0.99),'Tax scales - NAT 3539'!$A$74:$C$94,2,1)-VLOOKUP((TRUNC($AN542/2,0)+0.99),'Tax scales - NAT 3539'!$A$74:$C$94,3,1)),0)
*2,
0),
IF(AND($E$2="Monthly",ROUND($AN542-TRUNC($AN542),2)=0.33),
ROUND(
ROUND(((TRUNC(($AN542+0.01)*3/13,0)+0.99)*VLOOKUP((TRUNC(($AN542+0.01)*3/13,0)+0.99),'Tax scales - NAT 3539'!$A$74:$C$94,2,1)-VLOOKUP((TRUNC(($AN542+0.01)*3/13,0)+0.99),'Tax scales - NAT 3539'!$A$74:$C$94,3,1)),0)
*13/3,
0),
IF($E$2="Monthly",
ROUND(
ROUND(((TRUNC($AN542*3/13,0)+0.99)*VLOOKUP((TRUNC($AN542*3/13,0)+0.99),'Tax scales - NAT 3539'!$A$74:$C$94,2,1)-VLOOKUP((TRUNC($AN542*3/13,0)+0.99),'Tax scales - NAT 3539'!$A$74:$C$94,3,1)),0)
*13/3,
0),
""))),
""),
"")</f>
        <v/>
      </c>
      <c r="AX542" s="118" t="str">
        <f>IFERROR(
IF(VLOOKUP($C542,'Employee information'!$B:$M,COLUMNS('Employee information'!$B:$M),0)=55,
IF($E$2="Fortnightly",
ROUND(
ROUND((((TRUNC($AN542/2,0)+0.99))*VLOOKUP((TRUNC($AN542/2,0)+0.99),'Tax scales - NAT 3539'!$A$99:$C$123,2,1)-VLOOKUP((TRUNC($AN542/2,0)+0.99),'Tax scales - NAT 3539'!$A$99:$C$123,3,1)),0)
*2,
0),
IF(AND($E$2="Monthly",ROUND($AN542-TRUNC($AN542),2)=0.33),
ROUND(
ROUND(((TRUNC(($AN542+0.01)*3/13,0)+0.99)*VLOOKUP((TRUNC(($AN542+0.01)*3/13,0)+0.99),'Tax scales - NAT 3539'!$A$99:$C$123,2,1)-VLOOKUP((TRUNC(($AN542+0.01)*3/13,0)+0.99),'Tax scales - NAT 3539'!$A$99:$C$123,3,1)),0)
*13/3,
0),
IF($E$2="Monthly",
ROUND(
ROUND(((TRUNC($AN542*3/13,0)+0.99)*VLOOKUP((TRUNC($AN542*3/13,0)+0.99),'Tax scales - NAT 3539'!$A$99:$C$123,2,1)-VLOOKUP((TRUNC($AN542*3/13,0)+0.99),'Tax scales - NAT 3539'!$A$99:$C$123,3,1)),0)
*13/3,
0),
""))),
""),
"")</f>
        <v/>
      </c>
      <c r="AY542" s="118" t="str">
        <f>IFERROR(
IF(VLOOKUP($C542,'Employee information'!$B:$M,COLUMNS('Employee information'!$B:$M),0)=66,
IF($E$2="Fortnightly",
ROUND(
ROUND((((TRUNC($AN542/2,0)+0.99))*VLOOKUP((TRUNC($AN542/2,0)+0.99),'Tax scales - NAT 3539'!$A$127:$C$154,2,1)-VLOOKUP((TRUNC($AN542/2,0)+0.99),'Tax scales - NAT 3539'!$A$127:$C$154,3,1)),0)
*2,
0),
IF(AND($E$2="Monthly",ROUND($AN542-TRUNC($AN542),2)=0.33),
ROUND(
ROUND(((TRUNC(($AN542+0.01)*3/13,0)+0.99)*VLOOKUP((TRUNC(($AN542+0.01)*3/13,0)+0.99),'Tax scales - NAT 3539'!$A$127:$C$154,2,1)-VLOOKUP((TRUNC(($AN542+0.01)*3/13,0)+0.99),'Tax scales - NAT 3539'!$A$127:$C$154,3,1)),0)
*13/3,
0),
IF($E$2="Monthly",
ROUND(
ROUND(((TRUNC($AN542*3/13,0)+0.99)*VLOOKUP((TRUNC($AN542*3/13,0)+0.99),'Tax scales - NAT 3539'!$A$127:$C$154,2,1)-VLOOKUP((TRUNC($AN542*3/13,0)+0.99),'Tax scales - NAT 3539'!$A$127:$C$154,3,1)),0)
*13/3,
0),
""))),
""),
"")</f>
        <v/>
      </c>
      <c r="AZ542" s="118">
        <f>IFERROR(
HLOOKUP(VLOOKUP($C542,'Employee information'!$B:$M,COLUMNS('Employee information'!$B:$M),0),'PAYG worksheet'!$AO$532:$AY$551,COUNTA($C$533:$C542)+1,0),
0)</f>
        <v>0</v>
      </c>
      <c r="BA542" s="118"/>
      <c r="BB542" s="118">
        <f t="shared" si="573"/>
        <v>0</v>
      </c>
      <c r="BC542" s="119">
        <f>IFERROR(
IF(OR($AE542=1,$AE542=""),SUM($P542,$AA542,$AC542,$AK542)*VLOOKUP($C542,'Employee information'!$B:$Q,COLUMNS('Employee information'!$B:$H),0),
IF($AE542=0,SUM($P542,$AA542,$AK542)*VLOOKUP($C542,'Employee information'!$B:$Q,COLUMNS('Employee information'!$B:$H),0),
0)),
0)</f>
        <v>0</v>
      </c>
      <c r="BE542" s="114">
        <f t="shared" si="558"/>
        <v>0</v>
      </c>
      <c r="BF542" s="114">
        <f t="shared" si="559"/>
        <v>0</v>
      </c>
      <c r="BG542" s="114">
        <f t="shared" si="560"/>
        <v>0</v>
      </c>
      <c r="BH542" s="114">
        <f t="shared" si="561"/>
        <v>0</v>
      </c>
      <c r="BI542" s="114">
        <f t="shared" si="562"/>
        <v>0</v>
      </c>
      <c r="BJ542" s="114">
        <f t="shared" si="563"/>
        <v>0</v>
      </c>
      <c r="BK542" s="114">
        <f t="shared" si="564"/>
        <v>0</v>
      </c>
      <c r="BL542" s="114">
        <f t="shared" si="574"/>
        <v>0</v>
      </c>
      <c r="BM542" s="114">
        <f t="shared" si="565"/>
        <v>0</v>
      </c>
    </row>
    <row r="543" spans="1:65" x14ac:dyDescent="0.25">
      <c r="A543" s="228">
        <f t="shared" si="553"/>
        <v>19</v>
      </c>
      <c r="C543" s="278"/>
      <c r="E543" s="103">
        <f>IF($C543="",0,
IF(AND($E$2="Monthly",$A543&gt;12),0,
IF($E$2="Monthly",VLOOKUP($C543,'Employee information'!$B:$AM,COLUMNS('Employee information'!$B:S),0),
IF($E$2="Fortnightly",VLOOKUP($C543,'Employee information'!$B:$AM,COLUMNS('Employee information'!$B:R),0),
0))))</f>
        <v>0</v>
      </c>
      <c r="F543" s="106"/>
      <c r="G543" s="106"/>
      <c r="H543" s="106"/>
      <c r="I543" s="106"/>
      <c r="J543" s="103">
        <f t="shared" si="566"/>
        <v>0</v>
      </c>
      <c r="L543" s="113">
        <f>IF(AND($E$2="Monthly",$A543&gt;12),"",
IFERROR($J543*VLOOKUP($C543,'Employee information'!$B:$AI,COLUMNS('Employee information'!$B:$P),0),0))</f>
        <v>0</v>
      </c>
      <c r="M543" s="114">
        <f t="shared" si="567"/>
        <v>0</v>
      </c>
      <c r="O543" s="103">
        <f t="shared" si="568"/>
        <v>0</v>
      </c>
      <c r="P543" s="113">
        <f>IFERROR(
IF(AND($E$2="Monthly",$A543&gt;12),0,
$O543*VLOOKUP($C543,'Employee information'!$B:$AI,COLUMNS('Employee information'!$B:$P),0)),
0)</f>
        <v>0</v>
      </c>
      <c r="R543" s="114">
        <f t="shared" si="554"/>
        <v>0</v>
      </c>
      <c r="T543" s="103"/>
      <c r="U543" s="103"/>
      <c r="V543" s="282" t="str">
        <f>IF($C543="","",
IF(AND($E$2="Monthly",$A543&gt;12),"",
$T543*VLOOKUP($C543,'Employee information'!$B:$P,COLUMNS('Employee information'!$B:$P),0)))</f>
        <v/>
      </c>
      <c r="W543" s="282" t="str">
        <f>IF($C543="","",
IF(AND($E$2="Monthly",$A543&gt;12),"",
$U543*VLOOKUP($C543,'Employee information'!$B:$P,COLUMNS('Employee information'!$B:$P),0)))</f>
        <v/>
      </c>
      <c r="X543" s="114">
        <f t="shared" si="555"/>
        <v>0</v>
      </c>
      <c r="Y543" s="114">
        <f t="shared" si="556"/>
        <v>0</v>
      </c>
      <c r="AA543" s="118">
        <f>IFERROR(
IF(OR('Basic payroll data'!$D$12="",'Basic payroll data'!$D$12="No"),0,
$T543*VLOOKUP($C543,'Employee information'!$B:$P,COLUMNS('Employee information'!$B:$P),0)*AL_loading_perc),
0)</f>
        <v>0</v>
      </c>
      <c r="AC543" s="118"/>
      <c r="AD543" s="118"/>
      <c r="AE543" s="283" t="str">
        <f t="shared" si="569"/>
        <v/>
      </c>
      <c r="AF543" s="283" t="str">
        <f t="shared" si="570"/>
        <v/>
      </c>
      <c r="AG543" s="118"/>
      <c r="AH543" s="118"/>
      <c r="AI543" s="283" t="str">
        <f t="shared" si="571"/>
        <v/>
      </c>
      <c r="AJ543" s="118"/>
      <c r="AK543" s="118"/>
      <c r="AM543" s="118">
        <f t="shared" si="572"/>
        <v>0</v>
      </c>
      <c r="AN543" s="118">
        <f t="shared" si="557"/>
        <v>0</v>
      </c>
      <c r="AO543" s="118" t="str">
        <f>IFERROR(
IF(VLOOKUP($C543,'Employee information'!$B:$M,COLUMNS('Employee information'!$B:$M),0)=1,
IF($E$2="Fortnightly",
ROUND(
ROUND((((TRUNC($AN543/2,0)+0.99))*VLOOKUP((TRUNC($AN543/2,0)+0.99),'Tax scales - NAT 1004'!$A$12:$C$18,2,1)-VLOOKUP((TRUNC($AN543/2,0)+0.99),'Tax scales - NAT 1004'!$A$12:$C$18,3,1)),0)
*2,
0),
IF(AND($E$2="Monthly",ROUND($AN543-TRUNC($AN543),2)=0.33),
ROUND(
ROUND(((TRUNC(($AN543+0.01)*3/13,0)+0.99)*VLOOKUP((TRUNC(($AN543+0.01)*3/13,0)+0.99),'Tax scales - NAT 1004'!$A$12:$C$18,2,1)-VLOOKUP((TRUNC(($AN543+0.01)*3/13,0)+0.99),'Tax scales - NAT 1004'!$A$12:$C$18,3,1)),0)
*13/3,
0),
IF($E$2="Monthly",
ROUND(
ROUND(((TRUNC($AN543*3/13,0)+0.99)*VLOOKUP((TRUNC($AN543*3/13,0)+0.99),'Tax scales - NAT 1004'!$A$12:$C$18,2,1)-VLOOKUP((TRUNC($AN543*3/13,0)+0.99),'Tax scales - NAT 1004'!$A$12:$C$18,3,1)),0)
*13/3,
0),
""))),
""),
"")</f>
        <v/>
      </c>
      <c r="AP543" s="118" t="str">
        <f>IFERROR(
IF(VLOOKUP($C543,'Employee information'!$B:$M,COLUMNS('Employee information'!$B:$M),0)=2,
IF($E$2="Fortnightly",
ROUND(
ROUND((((TRUNC($AN543/2,0)+0.99))*VLOOKUP((TRUNC($AN543/2,0)+0.99),'Tax scales - NAT 1004'!$A$25:$C$33,2,1)-VLOOKUP((TRUNC($AN543/2,0)+0.99),'Tax scales - NAT 1004'!$A$25:$C$33,3,1)),0)
*2,
0),
IF(AND($E$2="Monthly",ROUND($AN543-TRUNC($AN543),2)=0.33),
ROUND(
ROUND(((TRUNC(($AN543+0.01)*3/13,0)+0.99)*VLOOKUP((TRUNC(($AN543+0.01)*3/13,0)+0.99),'Tax scales - NAT 1004'!$A$25:$C$33,2,1)-VLOOKUP((TRUNC(($AN543+0.01)*3/13,0)+0.99),'Tax scales - NAT 1004'!$A$25:$C$33,3,1)),0)
*13/3,
0),
IF($E$2="Monthly",
ROUND(
ROUND(((TRUNC($AN543*3/13,0)+0.99)*VLOOKUP((TRUNC($AN543*3/13,0)+0.99),'Tax scales - NAT 1004'!$A$25:$C$33,2,1)-VLOOKUP((TRUNC($AN543*3/13,0)+0.99),'Tax scales - NAT 1004'!$A$25:$C$33,3,1)),0)
*13/3,
0),
""))),
""),
"")</f>
        <v/>
      </c>
      <c r="AQ543" s="118" t="str">
        <f>IFERROR(
IF(VLOOKUP($C543,'Employee information'!$B:$M,COLUMNS('Employee information'!$B:$M),0)=3,
IF($E$2="Fortnightly",
ROUND(
ROUND((((TRUNC($AN543/2,0)+0.99))*VLOOKUP((TRUNC($AN543/2,0)+0.99),'Tax scales - NAT 1004'!$A$39:$C$41,2,1)-VLOOKUP((TRUNC($AN543/2,0)+0.99),'Tax scales - NAT 1004'!$A$39:$C$41,3,1)),0)
*2,
0),
IF(AND($E$2="Monthly",ROUND($AN543-TRUNC($AN543),2)=0.33),
ROUND(
ROUND(((TRUNC(($AN543+0.01)*3/13,0)+0.99)*VLOOKUP((TRUNC(($AN543+0.01)*3/13,0)+0.99),'Tax scales - NAT 1004'!$A$39:$C$41,2,1)-VLOOKUP((TRUNC(($AN543+0.01)*3/13,0)+0.99),'Tax scales - NAT 1004'!$A$39:$C$41,3,1)),0)
*13/3,
0),
IF($E$2="Monthly",
ROUND(
ROUND(((TRUNC($AN543*3/13,0)+0.99)*VLOOKUP((TRUNC($AN543*3/13,0)+0.99),'Tax scales - NAT 1004'!$A$39:$C$41,2,1)-VLOOKUP((TRUNC($AN543*3/13,0)+0.99),'Tax scales - NAT 1004'!$A$39:$C$41,3,1)),0)
*13/3,
0),
""))),
""),
"")</f>
        <v/>
      </c>
      <c r="AR543" s="118" t="str">
        <f>IFERROR(
IF(AND(VLOOKUP($C543,'Employee information'!$B:$M,COLUMNS('Employee information'!$B:$M),0)=4,
VLOOKUP($C543,'Employee information'!$B:$J,COLUMNS('Employee information'!$B:$J),0)="Resident"),
TRUNC(TRUNC($AN543)*'Tax scales - NAT 1004'!$B$47),
IF(AND(VLOOKUP($C543,'Employee information'!$B:$M,COLUMNS('Employee information'!$B:$M),0)=4,
VLOOKUP($C543,'Employee information'!$B:$J,COLUMNS('Employee information'!$B:$J),0)="Foreign resident"),
TRUNC(TRUNC($AN543)*'Tax scales - NAT 1004'!$B$48),
"")),
"")</f>
        <v/>
      </c>
      <c r="AS543" s="118" t="str">
        <f>IFERROR(
IF(VLOOKUP($C543,'Employee information'!$B:$M,COLUMNS('Employee information'!$B:$M),0)=5,
IF($E$2="Fortnightly",
ROUND(
ROUND((((TRUNC($AN543/2,0)+0.99))*VLOOKUP((TRUNC($AN543/2,0)+0.99),'Tax scales - NAT 1004'!$A$53:$C$59,2,1)-VLOOKUP((TRUNC($AN543/2,0)+0.99),'Tax scales - NAT 1004'!$A$53:$C$59,3,1)),0)
*2,
0),
IF(AND($E$2="Monthly",ROUND($AN543-TRUNC($AN543),2)=0.33),
ROUND(
ROUND(((TRUNC(($AN543+0.01)*3/13,0)+0.99)*VLOOKUP((TRUNC(($AN543+0.01)*3/13,0)+0.99),'Tax scales - NAT 1004'!$A$53:$C$59,2,1)-VLOOKUP((TRUNC(($AN543+0.01)*3/13,0)+0.99),'Tax scales - NAT 1004'!$A$53:$C$59,3,1)),0)
*13/3,
0),
IF($E$2="Monthly",
ROUND(
ROUND(((TRUNC($AN543*3/13,0)+0.99)*VLOOKUP((TRUNC($AN543*3/13,0)+0.99),'Tax scales - NAT 1004'!$A$53:$C$59,2,1)-VLOOKUP((TRUNC($AN543*3/13,0)+0.99),'Tax scales - NAT 1004'!$A$53:$C$59,3,1)),0)
*13/3,
0),
""))),
""),
"")</f>
        <v/>
      </c>
      <c r="AT543" s="118" t="str">
        <f>IFERROR(
IF(VLOOKUP($C543,'Employee information'!$B:$M,COLUMNS('Employee information'!$B:$M),0)=6,
IF($E$2="Fortnightly",
ROUND(
ROUND((((TRUNC($AN543/2,0)+0.99))*VLOOKUP((TRUNC($AN543/2,0)+0.99),'Tax scales - NAT 1004'!$A$65:$C$73,2,1)-VLOOKUP((TRUNC($AN543/2,0)+0.99),'Tax scales - NAT 1004'!$A$65:$C$73,3,1)),0)
*2,
0),
IF(AND($E$2="Monthly",ROUND($AN543-TRUNC($AN543),2)=0.33),
ROUND(
ROUND(((TRUNC(($AN543+0.01)*3/13,0)+0.99)*VLOOKUP((TRUNC(($AN543+0.01)*3/13,0)+0.99),'Tax scales - NAT 1004'!$A$65:$C$73,2,1)-VLOOKUP((TRUNC(($AN543+0.01)*3/13,0)+0.99),'Tax scales - NAT 1004'!$A$65:$C$73,3,1)),0)
*13/3,
0),
IF($E$2="Monthly",
ROUND(
ROUND(((TRUNC($AN543*3/13,0)+0.99)*VLOOKUP((TRUNC($AN543*3/13,0)+0.99),'Tax scales - NAT 1004'!$A$65:$C$73,2,1)-VLOOKUP((TRUNC($AN543*3/13,0)+0.99),'Tax scales - NAT 1004'!$A$65:$C$73,3,1)),0)
*13/3,
0),
""))),
""),
"")</f>
        <v/>
      </c>
      <c r="AU543" s="118" t="str">
        <f>IFERROR(
IF(VLOOKUP($C543,'Employee information'!$B:$M,COLUMNS('Employee information'!$B:$M),0)=11,
IF($E$2="Fortnightly",
ROUND(
ROUND((((TRUNC($AN543/2,0)+0.99))*VLOOKUP((TRUNC($AN543/2,0)+0.99),'Tax scales - NAT 3539'!$A$14:$C$38,2,1)-VLOOKUP((TRUNC($AN543/2,0)+0.99),'Tax scales - NAT 3539'!$A$14:$C$38,3,1)),0)
*2,
0),
IF(AND($E$2="Monthly",ROUND($AN543-TRUNC($AN543),2)=0.33),
ROUND(
ROUND(((TRUNC(($AN543+0.01)*3/13,0)+0.99)*VLOOKUP((TRUNC(($AN543+0.01)*3/13,0)+0.99),'Tax scales - NAT 3539'!$A$14:$C$38,2,1)-VLOOKUP((TRUNC(($AN543+0.01)*3/13,0)+0.99),'Tax scales - NAT 3539'!$A$14:$C$38,3,1)),0)
*13/3,
0),
IF($E$2="Monthly",
ROUND(
ROUND(((TRUNC($AN543*3/13,0)+0.99)*VLOOKUP((TRUNC($AN543*3/13,0)+0.99),'Tax scales - NAT 3539'!$A$14:$C$38,2,1)-VLOOKUP((TRUNC($AN543*3/13,0)+0.99),'Tax scales - NAT 3539'!$A$14:$C$38,3,1)),0)
*13/3,
0),
""))),
""),
"")</f>
        <v/>
      </c>
      <c r="AV543" s="118" t="str">
        <f>IFERROR(
IF(VLOOKUP($C543,'Employee information'!$B:$M,COLUMNS('Employee information'!$B:$M),0)=22,
IF($E$2="Fortnightly",
ROUND(
ROUND((((TRUNC($AN543/2,0)+0.99))*VLOOKUP((TRUNC($AN543/2,0)+0.99),'Tax scales - NAT 3539'!$A$43:$C$69,2,1)-VLOOKUP((TRUNC($AN543/2,0)+0.99),'Tax scales - NAT 3539'!$A$43:$C$69,3,1)),0)
*2,
0),
IF(AND($E$2="Monthly",ROUND($AN543-TRUNC($AN543),2)=0.33),
ROUND(
ROUND(((TRUNC(($AN543+0.01)*3/13,0)+0.99)*VLOOKUP((TRUNC(($AN543+0.01)*3/13,0)+0.99),'Tax scales - NAT 3539'!$A$43:$C$69,2,1)-VLOOKUP((TRUNC(($AN543+0.01)*3/13,0)+0.99),'Tax scales - NAT 3539'!$A$43:$C$69,3,1)),0)
*13/3,
0),
IF($E$2="Monthly",
ROUND(
ROUND(((TRUNC($AN543*3/13,0)+0.99)*VLOOKUP((TRUNC($AN543*3/13,0)+0.99),'Tax scales - NAT 3539'!$A$43:$C$69,2,1)-VLOOKUP((TRUNC($AN543*3/13,0)+0.99),'Tax scales - NAT 3539'!$A$43:$C$69,3,1)),0)
*13/3,
0),
""))),
""),
"")</f>
        <v/>
      </c>
      <c r="AW543" s="118" t="str">
        <f>IFERROR(
IF(VLOOKUP($C543,'Employee information'!$B:$M,COLUMNS('Employee information'!$B:$M),0)=33,
IF($E$2="Fortnightly",
ROUND(
ROUND((((TRUNC($AN543/2,0)+0.99))*VLOOKUP((TRUNC($AN543/2,0)+0.99),'Tax scales - NAT 3539'!$A$74:$C$94,2,1)-VLOOKUP((TRUNC($AN543/2,0)+0.99),'Tax scales - NAT 3539'!$A$74:$C$94,3,1)),0)
*2,
0),
IF(AND($E$2="Monthly",ROUND($AN543-TRUNC($AN543),2)=0.33),
ROUND(
ROUND(((TRUNC(($AN543+0.01)*3/13,0)+0.99)*VLOOKUP((TRUNC(($AN543+0.01)*3/13,0)+0.99),'Tax scales - NAT 3539'!$A$74:$C$94,2,1)-VLOOKUP((TRUNC(($AN543+0.01)*3/13,0)+0.99),'Tax scales - NAT 3539'!$A$74:$C$94,3,1)),0)
*13/3,
0),
IF($E$2="Monthly",
ROUND(
ROUND(((TRUNC($AN543*3/13,0)+0.99)*VLOOKUP((TRUNC($AN543*3/13,0)+0.99),'Tax scales - NAT 3539'!$A$74:$C$94,2,1)-VLOOKUP((TRUNC($AN543*3/13,0)+0.99),'Tax scales - NAT 3539'!$A$74:$C$94,3,1)),0)
*13/3,
0),
""))),
""),
"")</f>
        <v/>
      </c>
      <c r="AX543" s="118" t="str">
        <f>IFERROR(
IF(VLOOKUP($C543,'Employee information'!$B:$M,COLUMNS('Employee information'!$B:$M),0)=55,
IF($E$2="Fortnightly",
ROUND(
ROUND((((TRUNC($AN543/2,0)+0.99))*VLOOKUP((TRUNC($AN543/2,0)+0.99),'Tax scales - NAT 3539'!$A$99:$C$123,2,1)-VLOOKUP((TRUNC($AN543/2,0)+0.99),'Tax scales - NAT 3539'!$A$99:$C$123,3,1)),0)
*2,
0),
IF(AND($E$2="Monthly",ROUND($AN543-TRUNC($AN543),2)=0.33),
ROUND(
ROUND(((TRUNC(($AN543+0.01)*3/13,0)+0.99)*VLOOKUP((TRUNC(($AN543+0.01)*3/13,0)+0.99),'Tax scales - NAT 3539'!$A$99:$C$123,2,1)-VLOOKUP((TRUNC(($AN543+0.01)*3/13,0)+0.99),'Tax scales - NAT 3539'!$A$99:$C$123,3,1)),0)
*13/3,
0),
IF($E$2="Monthly",
ROUND(
ROUND(((TRUNC($AN543*3/13,0)+0.99)*VLOOKUP((TRUNC($AN543*3/13,0)+0.99),'Tax scales - NAT 3539'!$A$99:$C$123,2,1)-VLOOKUP((TRUNC($AN543*3/13,0)+0.99),'Tax scales - NAT 3539'!$A$99:$C$123,3,1)),0)
*13/3,
0),
""))),
""),
"")</f>
        <v/>
      </c>
      <c r="AY543" s="118" t="str">
        <f>IFERROR(
IF(VLOOKUP($C543,'Employee information'!$B:$M,COLUMNS('Employee information'!$B:$M),0)=66,
IF($E$2="Fortnightly",
ROUND(
ROUND((((TRUNC($AN543/2,0)+0.99))*VLOOKUP((TRUNC($AN543/2,0)+0.99),'Tax scales - NAT 3539'!$A$127:$C$154,2,1)-VLOOKUP((TRUNC($AN543/2,0)+0.99),'Tax scales - NAT 3539'!$A$127:$C$154,3,1)),0)
*2,
0),
IF(AND($E$2="Monthly",ROUND($AN543-TRUNC($AN543),2)=0.33),
ROUND(
ROUND(((TRUNC(($AN543+0.01)*3/13,0)+0.99)*VLOOKUP((TRUNC(($AN543+0.01)*3/13,0)+0.99),'Tax scales - NAT 3539'!$A$127:$C$154,2,1)-VLOOKUP((TRUNC(($AN543+0.01)*3/13,0)+0.99),'Tax scales - NAT 3539'!$A$127:$C$154,3,1)),0)
*13/3,
0),
IF($E$2="Monthly",
ROUND(
ROUND(((TRUNC($AN543*3/13,0)+0.99)*VLOOKUP((TRUNC($AN543*3/13,0)+0.99),'Tax scales - NAT 3539'!$A$127:$C$154,2,1)-VLOOKUP((TRUNC($AN543*3/13,0)+0.99),'Tax scales - NAT 3539'!$A$127:$C$154,3,1)),0)
*13/3,
0),
""))),
""),
"")</f>
        <v/>
      </c>
      <c r="AZ543" s="118">
        <f>IFERROR(
HLOOKUP(VLOOKUP($C543,'Employee information'!$B:$M,COLUMNS('Employee information'!$B:$M),0),'PAYG worksheet'!$AO$532:$AY$551,COUNTA($C$533:$C543)+1,0),
0)</f>
        <v>0</v>
      </c>
      <c r="BA543" s="118"/>
      <c r="BB543" s="118">
        <f t="shared" si="573"/>
        <v>0</v>
      </c>
      <c r="BC543" s="119">
        <f>IFERROR(
IF(OR($AE543=1,$AE543=""),SUM($P543,$AA543,$AC543,$AK543)*VLOOKUP($C543,'Employee information'!$B:$Q,COLUMNS('Employee information'!$B:$H),0),
IF($AE543=0,SUM($P543,$AA543,$AK543)*VLOOKUP($C543,'Employee information'!$B:$Q,COLUMNS('Employee information'!$B:$H),0),
0)),
0)</f>
        <v>0</v>
      </c>
      <c r="BE543" s="114">
        <f t="shared" si="558"/>
        <v>0</v>
      </c>
      <c r="BF543" s="114">
        <f t="shared" si="559"/>
        <v>0</v>
      </c>
      <c r="BG543" s="114">
        <f t="shared" si="560"/>
        <v>0</v>
      </c>
      <c r="BH543" s="114">
        <f t="shared" si="561"/>
        <v>0</v>
      </c>
      <c r="BI543" s="114">
        <f t="shared" si="562"/>
        <v>0</v>
      </c>
      <c r="BJ543" s="114">
        <f t="shared" si="563"/>
        <v>0</v>
      </c>
      <c r="BK543" s="114">
        <f t="shared" si="564"/>
        <v>0</v>
      </c>
      <c r="BL543" s="114">
        <f t="shared" si="574"/>
        <v>0</v>
      </c>
      <c r="BM543" s="114">
        <f t="shared" si="565"/>
        <v>0</v>
      </c>
    </row>
    <row r="544" spans="1:65" x14ac:dyDescent="0.25">
      <c r="A544" s="228">
        <f t="shared" si="553"/>
        <v>19</v>
      </c>
      <c r="C544" s="278"/>
      <c r="E544" s="103">
        <f>IF($C544="",0,
IF(AND($E$2="Monthly",$A544&gt;12),0,
IF($E$2="Monthly",VLOOKUP($C544,'Employee information'!$B:$AM,COLUMNS('Employee information'!$B:S),0),
IF($E$2="Fortnightly",VLOOKUP($C544,'Employee information'!$B:$AM,COLUMNS('Employee information'!$B:R),0),
0))))</f>
        <v>0</v>
      </c>
      <c r="F544" s="106"/>
      <c r="G544" s="106"/>
      <c r="H544" s="106"/>
      <c r="I544" s="106"/>
      <c r="J544" s="103">
        <f t="shared" si="566"/>
        <v>0</v>
      </c>
      <c r="L544" s="113">
        <f>IF(AND($E$2="Monthly",$A544&gt;12),"",
IFERROR($J544*VLOOKUP($C544,'Employee information'!$B:$AI,COLUMNS('Employee information'!$B:$P),0),0))</f>
        <v>0</v>
      </c>
      <c r="M544" s="114">
        <f t="shared" si="567"/>
        <v>0</v>
      </c>
      <c r="O544" s="103">
        <f t="shared" si="568"/>
        <v>0</v>
      </c>
      <c r="P544" s="113">
        <f>IFERROR(
IF(AND($E$2="Monthly",$A544&gt;12),0,
$O544*VLOOKUP($C544,'Employee information'!$B:$AI,COLUMNS('Employee information'!$B:$P),0)),
0)</f>
        <v>0</v>
      </c>
      <c r="R544" s="114">
        <f t="shared" si="554"/>
        <v>0</v>
      </c>
      <c r="T544" s="103"/>
      <c r="U544" s="103"/>
      <c r="V544" s="282" t="str">
        <f>IF($C544="","",
IF(AND($E$2="Monthly",$A544&gt;12),"",
$T544*VLOOKUP($C544,'Employee information'!$B:$P,COLUMNS('Employee information'!$B:$P),0)))</f>
        <v/>
      </c>
      <c r="W544" s="282" t="str">
        <f>IF($C544="","",
IF(AND($E$2="Monthly",$A544&gt;12),"",
$U544*VLOOKUP($C544,'Employee information'!$B:$P,COLUMNS('Employee information'!$B:$P),0)))</f>
        <v/>
      </c>
      <c r="X544" s="114">
        <f t="shared" si="555"/>
        <v>0</v>
      </c>
      <c r="Y544" s="114">
        <f t="shared" si="556"/>
        <v>0</v>
      </c>
      <c r="AA544" s="118">
        <f>IFERROR(
IF(OR('Basic payroll data'!$D$12="",'Basic payroll data'!$D$12="No"),0,
$T544*VLOOKUP($C544,'Employee information'!$B:$P,COLUMNS('Employee information'!$B:$P),0)*AL_loading_perc),
0)</f>
        <v>0</v>
      </c>
      <c r="AC544" s="118"/>
      <c r="AD544" s="118"/>
      <c r="AE544" s="283" t="str">
        <f t="shared" si="569"/>
        <v/>
      </c>
      <c r="AF544" s="283" t="str">
        <f t="shared" si="570"/>
        <v/>
      </c>
      <c r="AG544" s="118"/>
      <c r="AH544" s="118"/>
      <c r="AI544" s="283" t="str">
        <f t="shared" si="571"/>
        <v/>
      </c>
      <c r="AJ544" s="118"/>
      <c r="AK544" s="118"/>
      <c r="AM544" s="118">
        <f t="shared" si="572"/>
        <v>0</v>
      </c>
      <c r="AN544" s="118">
        <f t="shared" si="557"/>
        <v>0</v>
      </c>
      <c r="AO544" s="118" t="str">
        <f>IFERROR(
IF(VLOOKUP($C544,'Employee information'!$B:$M,COLUMNS('Employee information'!$B:$M),0)=1,
IF($E$2="Fortnightly",
ROUND(
ROUND((((TRUNC($AN544/2,0)+0.99))*VLOOKUP((TRUNC($AN544/2,0)+0.99),'Tax scales - NAT 1004'!$A$12:$C$18,2,1)-VLOOKUP((TRUNC($AN544/2,0)+0.99),'Tax scales - NAT 1004'!$A$12:$C$18,3,1)),0)
*2,
0),
IF(AND($E$2="Monthly",ROUND($AN544-TRUNC($AN544),2)=0.33),
ROUND(
ROUND(((TRUNC(($AN544+0.01)*3/13,0)+0.99)*VLOOKUP((TRUNC(($AN544+0.01)*3/13,0)+0.99),'Tax scales - NAT 1004'!$A$12:$C$18,2,1)-VLOOKUP((TRUNC(($AN544+0.01)*3/13,0)+0.99),'Tax scales - NAT 1004'!$A$12:$C$18,3,1)),0)
*13/3,
0),
IF($E$2="Monthly",
ROUND(
ROUND(((TRUNC($AN544*3/13,0)+0.99)*VLOOKUP((TRUNC($AN544*3/13,0)+0.99),'Tax scales - NAT 1004'!$A$12:$C$18,2,1)-VLOOKUP((TRUNC($AN544*3/13,0)+0.99),'Tax scales - NAT 1004'!$A$12:$C$18,3,1)),0)
*13/3,
0),
""))),
""),
"")</f>
        <v/>
      </c>
      <c r="AP544" s="118" t="str">
        <f>IFERROR(
IF(VLOOKUP($C544,'Employee information'!$B:$M,COLUMNS('Employee information'!$B:$M),0)=2,
IF($E$2="Fortnightly",
ROUND(
ROUND((((TRUNC($AN544/2,0)+0.99))*VLOOKUP((TRUNC($AN544/2,0)+0.99),'Tax scales - NAT 1004'!$A$25:$C$33,2,1)-VLOOKUP((TRUNC($AN544/2,0)+0.99),'Tax scales - NAT 1004'!$A$25:$C$33,3,1)),0)
*2,
0),
IF(AND($E$2="Monthly",ROUND($AN544-TRUNC($AN544),2)=0.33),
ROUND(
ROUND(((TRUNC(($AN544+0.01)*3/13,0)+0.99)*VLOOKUP((TRUNC(($AN544+0.01)*3/13,0)+0.99),'Tax scales - NAT 1004'!$A$25:$C$33,2,1)-VLOOKUP((TRUNC(($AN544+0.01)*3/13,0)+0.99),'Tax scales - NAT 1004'!$A$25:$C$33,3,1)),0)
*13/3,
0),
IF($E$2="Monthly",
ROUND(
ROUND(((TRUNC($AN544*3/13,0)+0.99)*VLOOKUP((TRUNC($AN544*3/13,0)+0.99),'Tax scales - NAT 1004'!$A$25:$C$33,2,1)-VLOOKUP((TRUNC($AN544*3/13,0)+0.99),'Tax scales - NAT 1004'!$A$25:$C$33,3,1)),0)
*13/3,
0),
""))),
""),
"")</f>
        <v/>
      </c>
      <c r="AQ544" s="118" t="str">
        <f>IFERROR(
IF(VLOOKUP($C544,'Employee information'!$B:$M,COLUMNS('Employee information'!$B:$M),0)=3,
IF($E$2="Fortnightly",
ROUND(
ROUND((((TRUNC($AN544/2,0)+0.99))*VLOOKUP((TRUNC($AN544/2,0)+0.99),'Tax scales - NAT 1004'!$A$39:$C$41,2,1)-VLOOKUP((TRUNC($AN544/2,0)+0.99),'Tax scales - NAT 1004'!$A$39:$C$41,3,1)),0)
*2,
0),
IF(AND($E$2="Monthly",ROUND($AN544-TRUNC($AN544),2)=0.33),
ROUND(
ROUND(((TRUNC(($AN544+0.01)*3/13,0)+0.99)*VLOOKUP((TRUNC(($AN544+0.01)*3/13,0)+0.99),'Tax scales - NAT 1004'!$A$39:$C$41,2,1)-VLOOKUP((TRUNC(($AN544+0.01)*3/13,0)+0.99),'Tax scales - NAT 1004'!$A$39:$C$41,3,1)),0)
*13/3,
0),
IF($E$2="Monthly",
ROUND(
ROUND(((TRUNC($AN544*3/13,0)+0.99)*VLOOKUP((TRUNC($AN544*3/13,0)+0.99),'Tax scales - NAT 1004'!$A$39:$C$41,2,1)-VLOOKUP((TRUNC($AN544*3/13,0)+0.99),'Tax scales - NAT 1004'!$A$39:$C$41,3,1)),0)
*13/3,
0),
""))),
""),
"")</f>
        <v/>
      </c>
      <c r="AR544" s="118" t="str">
        <f>IFERROR(
IF(AND(VLOOKUP($C544,'Employee information'!$B:$M,COLUMNS('Employee information'!$B:$M),0)=4,
VLOOKUP($C544,'Employee information'!$B:$J,COLUMNS('Employee information'!$B:$J),0)="Resident"),
TRUNC(TRUNC($AN544)*'Tax scales - NAT 1004'!$B$47),
IF(AND(VLOOKUP($C544,'Employee information'!$B:$M,COLUMNS('Employee information'!$B:$M),0)=4,
VLOOKUP($C544,'Employee information'!$B:$J,COLUMNS('Employee information'!$B:$J),0)="Foreign resident"),
TRUNC(TRUNC($AN544)*'Tax scales - NAT 1004'!$B$48),
"")),
"")</f>
        <v/>
      </c>
      <c r="AS544" s="118" t="str">
        <f>IFERROR(
IF(VLOOKUP($C544,'Employee information'!$B:$M,COLUMNS('Employee information'!$B:$M),0)=5,
IF($E$2="Fortnightly",
ROUND(
ROUND((((TRUNC($AN544/2,0)+0.99))*VLOOKUP((TRUNC($AN544/2,0)+0.99),'Tax scales - NAT 1004'!$A$53:$C$59,2,1)-VLOOKUP((TRUNC($AN544/2,0)+0.99),'Tax scales - NAT 1004'!$A$53:$C$59,3,1)),0)
*2,
0),
IF(AND($E$2="Monthly",ROUND($AN544-TRUNC($AN544),2)=0.33),
ROUND(
ROUND(((TRUNC(($AN544+0.01)*3/13,0)+0.99)*VLOOKUP((TRUNC(($AN544+0.01)*3/13,0)+0.99),'Tax scales - NAT 1004'!$A$53:$C$59,2,1)-VLOOKUP((TRUNC(($AN544+0.01)*3/13,0)+0.99),'Tax scales - NAT 1004'!$A$53:$C$59,3,1)),0)
*13/3,
0),
IF($E$2="Monthly",
ROUND(
ROUND(((TRUNC($AN544*3/13,0)+0.99)*VLOOKUP((TRUNC($AN544*3/13,0)+0.99),'Tax scales - NAT 1004'!$A$53:$C$59,2,1)-VLOOKUP((TRUNC($AN544*3/13,0)+0.99),'Tax scales - NAT 1004'!$A$53:$C$59,3,1)),0)
*13/3,
0),
""))),
""),
"")</f>
        <v/>
      </c>
      <c r="AT544" s="118" t="str">
        <f>IFERROR(
IF(VLOOKUP($C544,'Employee information'!$B:$M,COLUMNS('Employee information'!$B:$M),0)=6,
IF($E$2="Fortnightly",
ROUND(
ROUND((((TRUNC($AN544/2,0)+0.99))*VLOOKUP((TRUNC($AN544/2,0)+0.99),'Tax scales - NAT 1004'!$A$65:$C$73,2,1)-VLOOKUP((TRUNC($AN544/2,0)+0.99),'Tax scales - NAT 1004'!$A$65:$C$73,3,1)),0)
*2,
0),
IF(AND($E$2="Monthly",ROUND($AN544-TRUNC($AN544),2)=0.33),
ROUND(
ROUND(((TRUNC(($AN544+0.01)*3/13,0)+0.99)*VLOOKUP((TRUNC(($AN544+0.01)*3/13,0)+0.99),'Tax scales - NAT 1004'!$A$65:$C$73,2,1)-VLOOKUP((TRUNC(($AN544+0.01)*3/13,0)+0.99),'Tax scales - NAT 1004'!$A$65:$C$73,3,1)),0)
*13/3,
0),
IF($E$2="Monthly",
ROUND(
ROUND(((TRUNC($AN544*3/13,0)+0.99)*VLOOKUP((TRUNC($AN544*3/13,0)+0.99),'Tax scales - NAT 1004'!$A$65:$C$73,2,1)-VLOOKUP((TRUNC($AN544*3/13,0)+0.99),'Tax scales - NAT 1004'!$A$65:$C$73,3,1)),0)
*13/3,
0),
""))),
""),
"")</f>
        <v/>
      </c>
      <c r="AU544" s="118" t="str">
        <f>IFERROR(
IF(VLOOKUP($C544,'Employee information'!$B:$M,COLUMNS('Employee information'!$B:$M),0)=11,
IF($E$2="Fortnightly",
ROUND(
ROUND((((TRUNC($AN544/2,0)+0.99))*VLOOKUP((TRUNC($AN544/2,0)+0.99),'Tax scales - NAT 3539'!$A$14:$C$38,2,1)-VLOOKUP((TRUNC($AN544/2,0)+0.99),'Tax scales - NAT 3539'!$A$14:$C$38,3,1)),0)
*2,
0),
IF(AND($E$2="Monthly",ROUND($AN544-TRUNC($AN544),2)=0.33),
ROUND(
ROUND(((TRUNC(($AN544+0.01)*3/13,0)+0.99)*VLOOKUP((TRUNC(($AN544+0.01)*3/13,0)+0.99),'Tax scales - NAT 3539'!$A$14:$C$38,2,1)-VLOOKUP((TRUNC(($AN544+0.01)*3/13,0)+0.99),'Tax scales - NAT 3539'!$A$14:$C$38,3,1)),0)
*13/3,
0),
IF($E$2="Monthly",
ROUND(
ROUND(((TRUNC($AN544*3/13,0)+0.99)*VLOOKUP((TRUNC($AN544*3/13,0)+0.99),'Tax scales - NAT 3539'!$A$14:$C$38,2,1)-VLOOKUP((TRUNC($AN544*3/13,0)+0.99),'Tax scales - NAT 3539'!$A$14:$C$38,3,1)),0)
*13/3,
0),
""))),
""),
"")</f>
        <v/>
      </c>
      <c r="AV544" s="118" t="str">
        <f>IFERROR(
IF(VLOOKUP($C544,'Employee information'!$B:$M,COLUMNS('Employee information'!$B:$M),0)=22,
IF($E$2="Fortnightly",
ROUND(
ROUND((((TRUNC($AN544/2,0)+0.99))*VLOOKUP((TRUNC($AN544/2,0)+0.99),'Tax scales - NAT 3539'!$A$43:$C$69,2,1)-VLOOKUP((TRUNC($AN544/2,0)+0.99),'Tax scales - NAT 3539'!$A$43:$C$69,3,1)),0)
*2,
0),
IF(AND($E$2="Monthly",ROUND($AN544-TRUNC($AN544),2)=0.33),
ROUND(
ROUND(((TRUNC(($AN544+0.01)*3/13,0)+0.99)*VLOOKUP((TRUNC(($AN544+0.01)*3/13,0)+0.99),'Tax scales - NAT 3539'!$A$43:$C$69,2,1)-VLOOKUP((TRUNC(($AN544+0.01)*3/13,0)+0.99),'Tax scales - NAT 3539'!$A$43:$C$69,3,1)),0)
*13/3,
0),
IF($E$2="Monthly",
ROUND(
ROUND(((TRUNC($AN544*3/13,0)+0.99)*VLOOKUP((TRUNC($AN544*3/13,0)+0.99),'Tax scales - NAT 3539'!$A$43:$C$69,2,1)-VLOOKUP((TRUNC($AN544*3/13,0)+0.99),'Tax scales - NAT 3539'!$A$43:$C$69,3,1)),0)
*13/3,
0),
""))),
""),
"")</f>
        <v/>
      </c>
      <c r="AW544" s="118" t="str">
        <f>IFERROR(
IF(VLOOKUP($C544,'Employee information'!$B:$M,COLUMNS('Employee information'!$B:$M),0)=33,
IF($E$2="Fortnightly",
ROUND(
ROUND((((TRUNC($AN544/2,0)+0.99))*VLOOKUP((TRUNC($AN544/2,0)+0.99),'Tax scales - NAT 3539'!$A$74:$C$94,2,1)-VLOOKUP((TRUNC($AN544/2,0)+0.99),'Tax scales - NAT 3539'!$A$74:$C$94,3,1)),0)
*2,
0),
IF(AND($E$2="Monthly",ROUND($AN544-TRUNC($AN544),2)=0.33),
ROUND(
ROUND(((TRUNC(($AN544+0.01)*3/13,0)+0.99)*VLOOKUP((TRUNC(($AN544+0.01)*3/13,0)+0.99),'Tax scales - NAT 3539'!$A$74:$C$94,2,1)-VLOOKUP((TRUNC(($AN544+0.01)*3/13,0)+0.99),'Tax scales - NAT 3539'!$A$74:$C$94,3,1)),0)
*13/3,
0),
IF($E$2="Monthly",
ROUND(
ROUND(((TRUNC($AN544*3/13,0)+0.99)*VLOOKUP((TRUNC($AN544*3/13,0)+0.99),'Tax scales - NAT 3539'!$A$74:$C$94,2,1)-VLOOKUP((TRUNC($AN544*3/13,0)+0.99),'Tax scales - NAT 3539'!$A$74:$C$94,3,1)),0)
*13/3,
0),
""))),
""),
"")</f>
        <v/>
      </c>
      <c r="AX544" s="118" t="str">
        <f>IFERROR(
IF(VLOOKUP($C544,'Employee information'!$B:$M,COLUMNS('Employee information'!$B:$M),0)=55,
IF($E$2="Fortnightly",
ROUND(
ROUND((((TRUNC($AN544/2,0)+0.99))*VLOOKUP((TRUNC($AN544/2,0)+0.99),'Tax scales - NAT 3539'!$A$99:$C$123,2,1)-VLOOKUP((TRUNC($AN544/2,0)+0.99),'Tax scales - NAT 3539'!$A$99:$C$123,3,1)),0)
*2,
0),
IF(AND($E$2="Monthly",ROUND($AN544-TRUNC($AN544),2)=0.33),
ROUND(
ROUND(((TRUNC(($AN544+0.01)*3/13,0)+0.99)*VLOOKUP((TRUNC(($AN544+0.01)*3/13,0)+0.99),'Tax scales - NAT 3539'!$A$99:$C$123,2,1)-VLOOKUP((TRUNC(($AN544+0.01)*3/13,0)+0.99),'Tax scales - NAT 3539'!$A$99:$C$123,3,1)),0)
*13/3,
0),
IF($E$2="Monthly",
ROUND(
ROUND(((TRUNC($AN544*3/13,0)+0.99)*VLOOKUP((TRUNC($AN544*3/13,0)+0.99),'Tax scales - NAT 3539'!$A$99:$C$123,2,1)-VLOOKUP((TRUNC($AN544*3/13,0)+0.99),'Tax scales - NAT 3539'!$A$99:$C$123,3,1)),0)
*13/3,
0),
""))),
""),
"")</f>
        <v/>
      </c>
      <c r="AY544" s="118" t="str">
        <f>IFERROR(
IF(VLOOKUP($C544,'Employee information'!$B:$M,COLUMNS('Employee information'!$B:$M),0)=66,
IF($E$2="Fortnightly",
ROUND(
ROUND((((TRUNC($AN544/2,0)+0.99))*VLOOKUP((TRUNC($AN544/2,0)+0.99),'Tax scales - NAT 3539'!$A$127:$C$154,2,1)-VLOOKUP((TRUNC($AN544/2,0)+0.99),'Tax scales - NAT 3539'!$A$127:$C$154,3,1)),0)
*2,
0),
IF(AND($E$2="Monthly",ROUND($AN544-TRUNC($AN544),2)=0.33),
ROUND(
ROUND(((TRUNC(($AN544+0.01)*3/13,0)+0.99)*VLOOKUP((TRUNC(($AN544+0.01)*3/13,0)+0.99),'Tax scales - NAT 3539'!$A$127:$C$154,2,1)-VLOOKUP((TRUNC(($AN544+0.01)*3/13,0)+0.99),'Tax scales - NAT 3539'!$A$127:$C$154,3,1)),0)
*13/3,
0),
IF($E$2="Monthly",
ROUND(
ROUND(((TRUNC($AN544*3/13,0)+0.99)*VLOOKUP((TRUNC($AN544*3/13,0)+0.99),'Tax scales - NAT 3539'!$A$127:$C$154,2,1)-VLOOKUP((TRUNC($AN544*3/13,0)+0.99),'Tax scales - NAT 3539'!$A$127:$C$154,3,1)),0)
*13/3,
0),
""))),
""),
"")</f>
        <v/>
      </c>
      <c r="AZ544" s="118">
        <f>IFERROR(
HLOOKUP(VLOOKUP($C544,'Employee information'!$B:$M,COLUMNS('Employee information'!$B:$M),0),'PAYG worksheet'!$AO$532:$AY$551,COUNTA($C$533:$C544)+1,0),
0)</f>
        <v>0</v>
      </c>
      <c r="BA544" s="118"/>
      <c r="BB544" s="118">
        <f t="shared" si="573"/>
        <v>0</v>
      </c>
      <c r="BC544" s="119">
        <f>IFERROR(
IF(OR($AE544=1,$AE544=""),SUM($P544,$AA544,$AC544,$AK544)*VLOOKUP($C544,'Employee information'!$B:$Q,COLUMNS('Employee information'!$B:$H),0),
IF($AE544=0,SUM($P544,$AA544,$AK544)*VLOOKUP($C544,'Employee information'!$B:$Q,COLUMNS('Employee information'!$B:$H),0),
0)),
0)</f>
        <v>0</v>
      </c>
      <c r="BE544" s="114">
        <f t="shared" si="558"/>
        <v>0</v>
      </c>
      <c r="BF544" s="114">
        <f t="shared" si="559"/>
        <v>0</v>
      </c>
      <c r="BG544" s="114">
        <f t="shared" si="560"/>
        <v>0</v>
      </c>
      <c r="BH544" s="114">
        <f t="shared" si="561"/>
        <v>0</v>
      </c>
      <c r="BI544" s="114">
        <f t="shared" si="562"/>
        <v>0</v>
      </c>
      <c r="BJ544" s="114">
        <f t="shared" si="563"/>
        <v>0</v>
      </c>
      <c r="BK544" s="114">
        <f t="shared" si="564"/>
        <v>0</v>
      </c>
      <c r="BL544" s="114">
        <f t="shared" si="574"/>
        <v>0</v>
      </c>
      <c r="BM544" s="114">
        <f t="shared" si="565"/>
        <v>0</v>
      </c>
    </row>
    <row r="545" spans="1:65" x14ac:dyDescent="0.25">
      <c r="A545" s="228">
        <f t="shared" si="553"/>
        <v>19</v>
      </c>
      <c r="C545" s="278"/>
      <c r="E545" s="103">
        <f>IF($C545="",0,
IF(AND($E$2="Monthly",$A545&gt;12),0,
IF($E$2="Monthly",VLOOKUP($C545,'Employee information'!$B:$AM,COLUMNS('Employee information'!$B:S),0),
IF($E$2="Fortnightly",VLOOKUP($C545,'Employee information'!$B:$AM,COLUMNS('Employee information'!$B:R),0),
0))))</f>
        <v>0</v>
      </c>
      <c r="F545" s="106"/>
      <c r="G545" s="106"/>
      <c r="H545" s="106"/>
      <c r="I545" s="106"/>
      <c r="J545" s="103">
        <f t="shared" si="566"/>
        <v>0</v>
      </c>
      <c r="L545" s="113">
        <f>IF(AND($E$2="Monthly",$A545&gt;12),"",
IFERROR($J545*VLOOKUP($C545,'Employee information'!$B:$AI,COLUMNS('Employee information'!$B:$P),0),0))</f>
        <v>0</v>
      </c>
      <c r="M545" s="114">
        <f t="shared" si="567"/>
        <v>0</v>
      </c>
      <c r="O545" s="103">
        <f t="shared" si="568"/>
        <v>0</v>
      </c>
      <c r="P545" s="113">
        <f>IFERROR(
IF(AND($E$2="Monthly",$A545&gt;12),0,
$O545*VLOOKUP($C545,'Employee information'!$B:$AI,COLUMNS('Employee information'!$B:$P),0)),
0)</f>
        <v>0</v>
      </c>
      <c r="R545" s="114">
        <f t="shared" si="554"/>
        <v>0</v>
      </c>
      <c r="T545" s="103"/>
      <c r="U545" s="103"/>
      <c r="V545" s="282" t="str">
        <f>IF($C545="","",
IF(AND($E$2="Monthly",$A545&gt;12),"",
$T545*VLOOKUP($C545,'Employee information'!$B:$P,COLUMNS('Employee information'!$B:$P),0)))</f>
        <v/>
      </c>
      <c r="W545" s="282" t="str">
        <f>IF($C545="","",
IF(AND($E$2="Monthly",$A545&gt;12),"",
$U545*VLOOKUP($C545,'Employee information'!$B:$P,COLUMNS('Employee information'!$B:$P),0)))</f>
        <v/>
      </c>
      <c r="X545" s="114">
        <f t="shared" si="555"/>
        <v>0</v>
      </c>
      <c r="Y545" s="114">
        <f t="shared" si="556"/>
        <v>0</v>
      </c>
      <c r="AA545" s="118">
        <f>IFERROR(
IF(OR('Basic payroll data'!$D$12="",'Basic payroll data'!$D$12="No"),0,
$T545*VLOOKUP($C545,'Employee information'!$B:$P,COLUMNS('Employee information'!$B:$P),0)*AL_loading_perc),
0)</f>
        <v>0</v>
      </c>
      <c r="AC545" s="118"/>
      <c r="AD545" s="118"/>
      <c r="AE545" s="283" t="str">
        <f t="shared" si="569"/>
        <v/>
      </c>
      <c r="AF545" s="283" t="str">
        <f t="shared" si="570"/>
        <v/>
      </c>
      <c r="AG545" s="118"/>
      <c r="AH545" s="118"/>
      <c r="AI545" s="283" t="str">
        <f t="shared" si="571"/>
        <v/>
      </c>
      <c r="AJ545" s="118"/>
      <c r="AK545" s="118"/>
      <c r="AM545" s="118">
        <f t="shared" si="572"/>
        <v>0</v>
      </c>
      <c r="AN545" s="118">
        <f t="shared" si="557"/>
        <v>0</v>
      </c>
      <c r="AO545" s="118" t="str">
        <f>IFERROR(
IF(VLOOKUP($C545,'Employee information'!$B:$M,COLUMNS('Employee information'!$B:$M),0)=1,
IF($E$2="Fortnightly",
ROUND(
ROUND((((TRUNC($AN545/2,0)+0.99))*VLOOKUP((TRUNC($AN545/2,0)+0.99),'Tax scales - NAT 1004'!$A$12:$C$18,2,1)-VLOOKUP((TRUNC($AN545/2,0)+0.99),'Tax scales - NAT 1004'!$A$12:$C$18,3,1)),0)
*2,
0),
IF(AND($E$2="Monthly",ROUND($AN545-TRUNC($AN545),2)=0.33),
ROUND(
ROUND(((TRUNC(($AN545+0.01)*3/13,0)+0.99)*VLOOKUP((TRUNC(($AN545+0.01)*3/13,0)+0.99),'Tax scales - NAT 1004'!$A$12:$C$18,2,1)-VLOOKUP((TRUNC(($AN545+0.01)*3/13,0)+0.99),'Tax scales - NAT 1004'!$A$12:$C$18,3,1)),0)
*13/3,
0),
IF($E$2="Monthly",
ROUND(
ROUND(((TRUNC($AN545*3/13,0)+0.99)*VLOOKUP((TRUNC($AN545*3/13,0)+0.99),'Tax scales - NAT 1004'!$A$12:$C$18,2,1)-VLOOKUP((TRUNC($AN545*3/13,0)+0.99),'Tax scales - NAT 1004'!$A$12:$C$18,3,1)),0)
*13/3,
0),
""))),
""),
"")</f>
        <v/>
      </c>
      <c r="AP545" s="118" t="str">
        <f>IFERROR(
IF(VLOOKUP($C545,'Employee information'!$B:$M,COLUMNS('Employee information'!$B:$M),0)=2,
IF($E$2="Fortnightly",
ROUND(
ROUND((((TRUNC($AN545/2,0)+0.99))*VLOOKUP((TRUNC($AN545/2,0)+0.99),'Tax scales - NAT 1004'!$A$25:$C$33,2,1)-VLOOKUP((TRUNC($AN545/2,0)+0.99),'Tax scales - NAT 1004'!$A$25:$C$33,3,1)),0)
*2,
0),
IF(AND($E$2="Monthly",ROUND($AN545-TRUNC($AN545),2)=0.33),
ROUND(
ROUND(((TRUNC(($AN545+0.01)*3/13,0)+0.99)*VLOOKUP((TRUNC(($AN545+0.01)*3/13,0)+0.99),'Tax scales - NAT 1004'!$A$25:$C$33,2,1)-VLOOKUP((TRUNC(($AN545+0.01)*3/13,0)+0.99),'Tax scales - NAT 1004'!$A$25:$C$33,3,1)),0)
*13/3,
0),
IF($E$2="Monthly",
ROUND(
ROUND(((TRUNC($AN545*3/13,0)+0.99)*VLOOKUP((TRUNC($AN545*3/13,0)+0.99),'Tax scales - NAT 1004'!$A$25:$C$33,2,1)-VLOOKUP((TRUNC($AN545*3/13,0)+0.99),'Tax scales - NAT 1004'!$A$25:$C$33,3,1)),0)
*13/3,
0),
""))),
""),
"")</f>
        <v/>
      </c>
      <c r="AQ545" s="118" t="str">
        <f>IFERROR(
IF(VLOOKUP($C545,'Employee information'!$B:$M,COLUMNS('Employee information'!$B:$M),0)=3,
IF($E$2="Fortnightly",
ROUND(
ROUND((((TRUNC($AN545/2,0)+0.99))*VLOOKUP((TRUNC($AN545/2,0)+0.99),'Tax scales - NAT 1004'!$A$39:$C$41,2,1)-VLOOKUP((TRUNC($AN545/2,0)+0.99),'Tax scales - NAT 1004'!$A$39:$C$41,3,1)),0)
*2,
0),
IF(AND($E$2="Monthly",ROUND($AN545-TRUNC($AN545),2)=0.33),
ROUND(
ROUND(((TRUNC(($AN545+0.01)*3/13,0)+0.99)*VLOOKUP((TRUNC(($AN545+0.01)*3/13,0)+0.99),'Tax scales - NAT 1004'!$A$39:$C$41,2,1)-VLOOKUP((TRUNC(($AN545+0.01)*3/13,0)+0.99),'Tax scales - NAT 1004'!$A$39:$C$41,3,1)),0)
*13/3,
0),
IF($E$2="Monthly",
ROUND(
ROUND(((TRUNC($AN545*3/13,0)+0.99)*VLOOKUP((TRUNC($AN545*3/13,0)+0.99),'Tax scales - NAT 1004'!$A$39:$C$41,2,1)-VLOOKUP((TRUNC($AN545*3/13,0)+0.99),'Tax scales - NAT 1004'!$A$39:$C$41,3,1)),0)
*13/3,
0),
""))),
""),
"")</f>
        <v/>
      </c>
      <c r="AR545" s="118" t="str">
        <f>IFERROR(
IF(AND(VLOOKUP($C545,'Employee information'!$B:$M,COLUMNS('Employee information'!$B:$M),0)=4,
VLOOKUP($C545,'Employee information'!$B:$J,COLUMNS('Employee information'!$B:$J),0)="Resident"),
TRUNC(TRUNC($AN545)*'Tax scales - NAT 1004'!$B$47),
IF(AND(VLOOKUP($C545,'Employee information'!$B:$M,COLUMNS('Employee information'!$B:$M),0)=4,
VLOOKUP($C545,'Employee information'!$B:$J,COLUMNS('Employee information'!$B:$J),0)="Foreign resident"),
TRUNC(TRUNC($AN545)*'Tax scales - NAT 1004'!$B$48),
"")),
"")</f>
        <v/>
      </c>
      <c r="AS545" s="118" t="str">
        <f>IFERROR(
IF(VLOOKUP($C545,'Employee information'!$B:$M,COLUMNS('Employee information'!$B:$M),0)=5,
IF($E$2="Fortnightly",
ROUND(
ROUND((((TRUNC($AN545/2,0)+0.99))*VLOOKUP((TRUNC($AN545/2,0)+0.99),'Tax scales - NAT 1004'!$A$53:$C$59,2,1)-VLOOKUP((TRUNC($AN545/2,0)+0.99),'Tax scales - NAT 1004'!$A$53:$C$59,3,1)),0)
*2,
0),
IF(AND($E$2="Monthly",ROUND($AN545-TRUNC($AN545),2)=0.33),
ROUND(
ROUND(((TRUNC(($AN545+0.01)*3/13,0)+0.99)*VLOOKUP((TRUNC(($AN545+0.01)*3/13,0)+0.99),'Tax scales - NAT 1004'!$A$53:$C$59,2,1)-VLOOKUP((TRUNC(($AN545+0.01)*3/13,0)+0.99),'Tax scales - NAT 1004'!$A$53:$C$59,3,1)),0)
*13/3,
0),
IF($E$2="Monthly",
ROUND(
ROUND(((TRUNC($AN545*3/13,0)+0.99)*VLOOKUP((TRUNC($AN545*3/13,0)+0.99),'Tax scales - NAT 1004'!$A$53:$C$59,2,1)-VLOOKUP((TRUNC($AN545*3/13,0)+0.99),'Tax scales - NAT 1004'!$A$53:$C$59,3,1)),0)
*13/3,
0),
""))),
""),
"")</f>
        <v/>
      </c>
      <c r="AT545" s="118" t="str">
        <f>IFERROR(
IF(VLOOKUP($C545,'Employee information'!$B:$M,COLUMNS('Employee information'!$B:$M),0)=6,
IF($E$2="Fortnightly",
ROUND(
ROUND((((TRUNC($AN545/2,0)+0.99))*VLOOKUP((TRUNC($AN545/2,0)+0.99),'Tax scales - NAT 1004'!$A$65:$C$73,2,1)-VLOOKUP((TRUNC($AN545/2,0)+0.99),'Tax scales - NAT 1004'!$A$65:$C$73,3,1)),0)
*2,
0),
IF(AND($E$2="Monthly",ROUND($AN545-TRUNC($AN545),2)=0.33),
ROUND(
ROUND(((TRUNC(($AN545+0.01)*3/13,0)+0.99)*VLOOKUP((TRUNC(($AN545+0.01)*3/13,0)+0.99),'Tax scales - NAT 1004'!$A$65:$C$73,2,1)-VLOOKUP((TRUNC(($AN545+0.01)*3/13,0)+0.99),'Tax scales - NAT 1004'!$A$65:$C$73,3,1)),0)
*13/3,
0),
IF($E$2="Monthly",
ROUND(
ROUND(((TRUNC($AN545*3/13,0)+0.99)*VLOOKUP((TRUNC($AN545*3/13,0)+0.99),'Tax scales - NAT 1004'!$A$65:$C$73,2,1)-VLOOKUP((TRUNC($AN545*3/13,0)+0.99),'Tax scales - NAT 1004'!$A$65:$C$73,3,1)),0)
*13/3,
0),
""))),
""),
"")</f>
        <v/>
      </c>
      <c r="AU545" s="118" t="str">
        <f>IFERROR(
IF(VLOOKUP($C545,'Employee information'!$B:$M,COLUMNS('Employee information'!$B:$M),0)=11,
IF($E$2="Fortnightly",
ROUND(
ROUND((((TRUNC($AN545/2,0)+0.99))*VLOOKUP((TRUNC($AN545/2,0)+0.99),'Tax scales - NAT 3539'!$A$14:$C$38,2,1)-VLOOKUP((TRUNC($AN545/2,0)+0.99),'Tax scales - NAT 3539'!$A$14:$C$38,3,1)),0)
*2,
0),
IF(AND($E$2="Monthly",ROUND($AN545-TRUNC($AN545),2)=0.33),
ROUND(
ROUND(((TRUNC(($AN545+0.01)*3/13,0)+0.99)*VLOOKUP((TRUNC(($AN545+0.01)*3/13,0)+0.99),'Tax scales - NAT 3539'!$A$14:$C$38,2,1)-VLOOKUP((TRUNC(($AN545+0.01)*3/13,0)+0.99),'Tax scales - NAT 3539'!$A$14:$C$38,3,1)),0)
*13/3,
0),
IF($E$2="Monthly",
ROUND(
ROUND(((TRUNC($AN545*3/13,0)+0.99)*VLOOKUP((TRUNC($AN545*3/13,0)+0.99),'Tax scales - NAT 3539'!$A$14:$C$38,2,1)-VLOOKUP((TRUNC($AN545*3/13,0)+0.99),'Tax scales - NAT 3539'!$A$14:$C$38,3,1)),0)
*13/3,
0),
""))),
""),
"")</f>
        <v/>
      </c>
      <c r="AV545" s="118" t="str">
        <f>IFERROR(
IF(VLOOKUP($C545,'Employee information'!$B:$M,COLUMNS('Employee information'!$B:$M),0)=22,
IF($E$2="Fortnightly",
ROUND(
ROUND((((TRUNC($AN545/2,0)+0.99))*VLOOKUP((TRUNC($AN545/2,0)+0.99),'Tax scales - NAT 3539'!$A$43:$C$69,2,1)-VLOOKUP((TRUNC($AN545/2,0)+0.99),'Tax scales - NAT 3539'!$A$43:$C$69,3,1)),0)
*2,
0),
IF(AND($E$2="Monthly",ROUND($AN545-TRUNC($AN545),2)=0.33),
ROUND(
ROUND(((TRUNC(($AN545+0.01)*3/13,0)+0.99)*VLOOKUP((TRUNC(($AN545+0.01)*3/13,0)+0.99),'Tax scales - NAT 3539'!$A$43:$C$69,2,1)-VLOOKUP((TRUNC(($AN545+0.01)*3/13,0)+0.99),'Tax scales - NAT 3539'!$A$43:$C$69,3,1)),0)
*13/3,
0),
IF($E$2="Monthly",
ROUND(
ROUND(((TRUNC($AN545*3/13,0)+0.99)*VLOOKUP((TRUNC($AN545*3/13,0)+0.99),'Tax scales - NAT 3539'!$A$43:$C$69,2,1)-VLOOKUP((TRUNC($AN545*3/13,0)+0.99),'Tax scales - NAT 3539'!$A$43:$C$69,3,1)),0)
*13/3,
0),
""))),
""),
"")</f>
        <v/>
      </c>
      <c r="AW545" s="118" t="str">
        <f>IFERROR(
IF(VLOOKUP($C545,'Employee information'!$B:$M,COLUMNS('Employee information'!$B:$M),0)=33,
IF($E$2="Fortnightly",
ROUND(
ROUND((((TRUNC($AN545/2,0)+0.99))*VLOOKUP((TRUNC($AN545/2,0)+0.99),'Tax scales - NAT 3539'!$A$74:$C$94,2,1)-VLOOKUP((TRUNC($AN545/2,0)+0.99),'Tax scales - NAT 3539'!$A$74:$C$94,3,1)),0)
*2,
0),
IF(AND($E$2="Monthly",ROUND($AN545-TRUNC($AN545),2)=0.33),
ROUND(
ROUND(((TRUNC(($AN545+0.01)*3/13,0)+0.99)*VLOOKUP((TRUNC(($AN545+0.01)*3/13,0)+0.99),'Tax scales - NAT 3539'!$A$74:$C$94,2,1)-VLOOKUP((TRUNC(($AN545+0.01)*3/13,0)+0.99),'Tax scales - NAT 3539'!$A$74:$C$94,3,1)),0)
*13/3,
0),
IF($E$2="Monthly",
ROUND(
ROUND(((TRUNC($AN545*3/13,0)+0.99)*VLOOKUP((TRUNC($AN545*3/13,0)+0.99),'Tax scales - NAT 3539'!$A$74:$C$94,2,1)-VLOOKUP((TRUNC($AN545*3/13,0)+0.99),'Tax scales - NAT 3539'!$A$74:$C$94,3,1)),0)
*13/3,
0),
""))),
""),
"")</f>
        <v/>
      </c>
      <c r="AX545" s="118" t="str">
        <f>IFERROR(
IF(VLOOKUP($C545,'Employee information'!$B:$M,COLUMNS('Employee information'!$B:$M),0)=55,
IF($E$2="Fortnightly",
ROUND(
ROUND((((TRUNC($AN545/2,0)+0.99))*VLOOKUP((TRUNC($AN545/2,0)+0.99),'Tax scales - NAT 3539'!$A$99:$C$123,2,1)-VLOOKUP((TRUNC($AN545/2,0)+0.99),'Tax scales - NAT 3539'!$A$99:$C$123,3,1)),0)
*2,
0),
IF(AND($E$2="Monthly",ROUND($AN545-TRUNC($AN545),2)=0.33),
ROUND(
ROUND(((TRUNC(($AN545+0.01)*3/13,0)+0.99)*VLOOKUP((TRUNC(($AN545+0.01)*3/13,0)+0.99),'Tax scales - NAT 3539'!$A$99:$C$123,2,1)-VLOOKUP((TRUNC(($AN545+0.01)*3/13,0)+0.99),'Tax scales - NAT 3539'!$A$99:$C$123,3,1)),0)
*13/3,
0),
IF($E$2="Monthly",
ROUND(
ROUND(((TRUNC($AN545*3/13,0)+0.99)*VLOOKUP((TRUNC($AN545*3/13,0)+0.99),'Tax scales - NAT 3539'!$A$99:$C$123,2,1)-VLOOKUP((TRUNC($AN545*3/13,0)+0.99),'Tax scales - NAT 3539'!$A$99:$C$123,3,1)),0)
*13/3,
0),
""))),
""),
"")</f>
        <v/>
      </c>
      <c r="AY545" s="118" t="str">
        <f>IFERROR(
IF(VLOOKUP($C545,'Employee information'!$B:$M,COLUMNS('Employee information'!$B:$M),0)=66,
IF($E$2="Fortnightly",
ROUND(
ROUND((((TRUNC($AN545/2,0)+0.99))*VLOOKUP((TRUNC($AN545/2,0)+0.99),'Tax scales - NAT 3539'!$A$127:$C$154,2,1)-VLOOKUP((TRUNC($AN545/2,0)+0.99),'Tax scales - NAT 3539'!$A$127:$C$154,3,1)),0)
*2,
0),
IF(AND($E$2="Monthly",ROUND($AN545-TRUNC($AN545),2)=0.33),
ROUND(
ROUND(((TRUNC(($AN545+0.01)*3/13,0)+0.99)*VLOOKUP((TRUNC(($AN545+0.01)*3/13,0)+0.99),'Tax scales - NAT 3539'!$A$127:$C$154,2,1)-VLOOKUP((TRUNC(($AN545+0.01)*3/13,0)+0.99),'Tax scales - NAT 3539'!$A$127:$C$154,3,1)),0)
*13/3,
0),
IF($E$2="Monthly",
ROUND(
ROUND(((TRUNC($AN545*3/13,0)+0.99)*VLOOKUP((TRUNC($AN545*3/13,0)+0.99),'Tax scales - NAT 3539'!$A$127:$C$154,2,1)-VLOOKUP((TRUNC($AN545*3/13,0)+0.99),'Tax scales - NAT 3539'!$A$127:$C$154,3,1)),0)
*13/3,
0),
""))),
""),
"")</f>
        <v/>
      </c>
      <c r="AZ545" s="118">
        <f>IFERROR(
HLOOKUP(VLOOKUP($C545,'Employee information'!$B:$M,COLUMNS('Employee information'!$B:$M),0),'PAYG worksheet'!$AO$532:$AY$551,COUNTA($C$533:$C545)+1,0),
0)</f>
        <v>0</v>
      </c>
      <c r="BA545" s="118"/>
      <c r="BB545" s="118">
        <f t="shared" si="573"/>
        <v>0</v>
      </c>
      <c r="BC545" s="119">
        <f>IFERROR(
IF(OR($AE545=1,$AE545=""),SUM($P545,$AA545,$AC545,$AK545)*VLOOKUP($C545,'Employee information'!$B:$Q,COLUMNS('Employee information'!$B:$H),0),
IF($AE545=0,SUM($P545,$AA545,$AK545)*VLOOKUP($C545,'Employee information'!$B:$Q,COLUMNS('Employee information'!$B:$H),0),
0)),
0)</f>
        <v>0</v>
      </c>
      <c r="BE545" s="114">
        <f t="shared" si="558"/>
        <v>0</v>
      </c>
      <c r="BF545" s="114">
        <f t="shared" si="559"/>
        <v>0</v>
      </c>
      <c r="BG545" s="114">
        <f t="shared" si="560"/>
        <v>0</v>
      </c>
      <c r="BH545" s="114">
        <f t="shared" si="561"/>
        <v>0</v>
      </c>
      <c r="BI545" s="114">
        <f t="shared" si="562"/>
        <v>0</v>
      </c>
      <c r="BJ545" s="114">
        <f t="shared" si="563"/>
        <v>0</v>
      </c>
      <c r="BK545" s="114">
        <f t="shared" si="564"/>
        <v>0</v>
      </c>
      <c r="BL545" s="114">
        <f t="shared" si="574"/>
        <v>0</v>
      </c>
      <c r="BM545" s="114">
        <f t="shared" si="565"/>
        <v>0</v>
      </c>
    </row>
    <row r="546" spans="1:65" x14ac:dyDescent="0.25">
      <c r="A546" s="228">
        <f t="shared" si="553"/>
        <v>19</v>
      </c>
      <c r="C546" s="278"/>
      <c r="E546" s="103">
        <f>IF($C546="",0,
IF(AND($E$2="Monthly",$A546&gt;12),0,
IF($E$2="Monthly",VLOOKUP($C546,'Employee information'!$B:$AM,COLUMNS('Employee information'!$B:S),0),
IF($E$2="Fortnightly",VLOOKUP($C546,'Employee information'!$B:$AM,COLUMNS('Employee information'!$B:R),0),
0))))</f>
        <v>0</v>
      </c>
      <c r="F546" s="106"/>
      <c r="G546" s="106"/>
      <c r="H546" s="106"/>
      <c r="I546" s="106"/>
      <c r="J546" s="103">
        <f t="shared" si="566"/>
        <v>0</v>
      </c>
      <c r="L546" s="113">
        <f>IF(AND($E$2="Monthly",$A546&gt;12),"",
IFERROR($J546*VLOOKUP($C546,'Employee information'!$B:$AI,COLUMNS('Employee information'!$B:$P),0),0))</f>
        <v>0</v>
      </c>
      <c r="M546" s="114">
        <f t="shared" si="567"/>
        <v>0</v>
      </c>
      <c r="O546" s="103">
        <f t="shared" si="568"/>
        <v>0</v>
      </c>
      <c r="P546" s="113">
        <f>IFERROR(
IF(AND($E$2="Monthly",$A546&gt;12),0,
$O546*VLOOKUP($C546,'Employee information'!$B:$AI,COLUMNS('Employee information'!$B:$P),0)),
0)</f>
        <v>0</v>
      </c>
      <c r="R546" s="114">
        <f t="shared" si="554"/>
        <v>0</v>
      </c>
      <c r="T546" s="103"/>
      <c r="U546" s="103"/>
      <c r="V546" s="282" t="str">
        <f>IF($C546="","",
IF(AND($E$2="Monthly",$A546&gt;12),"",
$T546*VLOOKUP($C546,'Employee information'!$B:$P,COLUMNS('Employee information'!$B:$P),0)))</f>
        <v/>
      </c>
      <c r="W546" s="282" t="str">
        <f>IF($C546="","",
IF(AND($E$2="Monthly",$A546&gt;12),"",
$U546*VLOOKUP($C546,'Employee information'!$B:$P,COLUMNS('Employee information'!$B:$P),0)))</f>
        <v/>
      </c>
      <c r="X546" s="114">
        <f t="shared" si="555"/>
        <v>0</v>
      </c>
      <c r="Y546" s="114">
        <f t="shared" si="556"/>
        <v>0</v>
      </c>
      <c r="AA546" s="118">
        <f>IFERROR(
IF(OR('Basic payroll data'!$D$12="",'Basic payroll data'!$D$12="No"),0,
$T546*VLOOKUP($C546,'Employee information'!$B:$P,COLUMNS('Employee information'!$B:$P),0)*AL_loading_perc),
0)</f>
        <v>0</v>
      </c>
      <c r="AC546" s="118"/>
      <c r="AD546" s="118"/>
      <c r="AE546" s="283" t="str">
        <f t="shared" si="569"/>
        <v/>
      </c>
      <c r="AF546" s="283" t="str">
        <f t="shared" si="570"/>
        <v/>
      </c>
      <c r="AG546" s="118"/>
      <c r="AH546" s="118"/>
      <c r="AI546" s="283" t="str">
        <f t="shared" si="571"/>
        <v/>
      </c>
      <c r="AJ546" s="118"/>
      <c r="AK546" s="118"/>
      <c r="AM546" s="118">
        <f t="shared" si="572"/>
        <v>0</v>
      </c>
      <c r="AN546" s="118">
        <f t="shared" si="557"/>
        <v>0</v>
      </c>
      <c r="AO546" s="118" t="str">
        <f>IFERROR(
IF(VLOOKUP($C546,'Employee information'!$B:$M,COLUMNS('Employee information'!$B:$M),0)=1,
IF($E$2="Fortnightly",
ROUND(
ROUND((((TRUNC($AN546/2,0)+0.99))*VLOOKUP((TRUNC($AN546/2,0)+0.99),'Tax scales - NAT 1004'!$A$12:$C$18,2,1)-VLOOKUP((TRUNC($AN546/2,0)+0.99),'Tax scales - NAT 1004'!$A$12:$C$18,3,1)),0)
*2,
0),
IF(AND($E$2="Monthly",ROUND($AN546-TRUNC($AN546),2)=0.33),
ROUND(
ROUND(((TRUNC(($AN546+0.01)*3/13,0)+0.99)*VLOOKUP((TRUNC(($AN546+0.01)*3/13,0)+0.99),'Tax scales - NAT 1004'!$A$12:$C$18,2,1)-VLOOKUP((TRUNC(($AN546+0.01)*3/13,0)+0.99),'Tax scales - NAT 1004'!$A$12:$C$18,3,1)),0)
*13/3,
0),
IF($E$2="Monthly",
ROUND(
ROUND(((TRUNC($AN546*3/13,0)+0.99)*VLOOKUP((TRUNC($AN546*3/13,0)+0.99),'Tax scales - NAT 1004'!$A$12:$C$18,2,1)-VLOOKUP((TRUNC($AN546*3/13,0)+0.99),'Tax scales - NAT 1004'!$A$12:$C$18,3,1)),0)
*13/3,
0),
""))),
""),
"")</f>
        <v/>
      </c>
      <c r="AP546" s="118" t="str">
        <f>IFERROR(
IF(VLOOKUP($C546,'Employee information'!$B:$M,COLUMNS('Employee information'!$B:$M),0)=2,
IF($E$2="Fortnightly",
ROUND(
ROUND((((TRUNC($AN546/2,0)+0.99))*VLOOKUP((TRUNC($AN546/2,0)+0.99),'Tax scales - NAT 1004'!$A$25:$C$33,2,1)-VLOOKUP((TRUNC($AN546/2,0)+0.99),'Tax scales - NAT 1004'!$A$25:$C$33,3,1)),0)
*2,
0),
IF(AND($E$2="Monthly",ROUND($AN546-TRUNC($AN546),2)=0.33),
ROUND(
ROUND(((TRUNC(($AN546+0.01)*3/13,0)+0.99)*VLOOKUP((TRUNC(($AN546+0.01)*3/13,0)+0.99),'Tax scales - NAT 1004'!$A$25:$C$33,2,1)-VLOOKUP((TRUNC(($AN546+0.01)*3/13,0)+0.99),'Tax scales - NAT 1004'!$A$25:$C$33,3,1)),0)
*13/3,
0),
IF($E$2="Monthly",
ROUND(
ROUND(((TRUNC($AN546*3/13,0)+0.99)*VLOOKUP((TRUNC($AN546*3/13,0)+0.99),'Tax scales - NAT 1004'!$A$25:$C$33,2,1)-VLOOKUP((TRUNC($AN546*3/13,0)+0.99),'Tax scales - NAT 1004'!$A$25:$C$33,3,1)),0)
*13/3,
0),
""))),
""),
"")</f>
        <v/>
      </c>
      <c r="AQ546" s="118" t="str">
        <f>IFERROR(
IF(VLOOKUP($C546,'Employee information'!$B:$M,COLUMNS('Employee information'!$B:$M),0)=3,
IF($E$2="Fortnightly",
ROUND(
ROUND((((TRUNC($AN546/2,0)+0.99))*VLOOKUP((TRUNC($AN546/2,0)+0.99),'Tax scales - NAT 1004'!$A$39:$C$41,2,1)-VLOOKUP((TRUNC($AN546/2,0)+0.99),'Tax scales - NAT 1004'!$A$39:$C$41,3,1)),0)
*2,
0),
IF(AND($E$2="Monthly",ROUND($AN546-TRUNC($AN546),2)=0.33),
ROUND(
ROUND(((TRUNC(($AN546+0.01)*3/13,0)+0.99)*VLOOKUP((TRUNC(($AN546+0.01)*3/13,0)+0.99),'Tax scales - NAT 1004'!$A$39:$C$41,2,1)-VLOOKUP((TRUNC(($AN546+0.01)*3/13,0)+0.99),'Tax scales - NAT 1004'!$A$39:$C$41,3,1)),0)
*13/3,
0),
IF($E$2="Monthly",
ROUND(
ROUND(((TRUNC($AN546*3/13,0)+0.99)*VLOOKUP((TRUNC($AN546*3/13,0)+0.99),'Tax scales - NAT 1004'!$A$39:$C$41,2,1)-VLOOKUP((TRUNC($AN546*3/13,0)+0.99),'Tax scales - NAT 1004'!$A$39:$C$41,3,1)),0)
*13/3,
0),
""))),
""),
"")</f>
        <v/>
      </c>
      <c r="AR546" s="118" t="str">
        <f>IFERROR(
IF(AND(VLOOKUP($C546,'Employee information'!$B:$M,COLUMNS('Employee information'!$B:$M),0)=4,
VLOOKUP($C546,'Employee information'!$B:$J,COLUMNS('Employee information'!$B:$J),0)="Resident"),
TRUNC(TRUNC($AN546)*'Tax scales - NAT 1004'!$B$47),
IF(AND(VLOOKUP($C546,'Employee information'!$B:$M,COLUMNS('Employee information'!$B:$M),0)=4,
VLOOKUP($C546,'Employee information'!$B:$J,COLUMNS('Employee information'!$B:$J),0)="Foreign resident"),
TRUNC(TRUNC($AN546)*'Tax scales - NAT 1004'!$B$48),
"")),
"")</f>
        <v/>
      </c>
      <c r="AS546" s="118" t="str">
        <f>IFERROR(
IF(VLOOKUP($C546,'Employee information'!$B:$M,COLUMNS('Employee information'!$B:$M),0)=5,
IF($E$2="Fortnightly",
ROUND(
ROUND((((TRUNC($AN546/2,0)+0.99))*VLOOKUP((TRUNC($AN546/2,0)+0.99),'Tax scales - NAT 1004'!$A$53:$C$59,2,1)-VLOOKUP((TRUNC($AN546/2,0)+0.99),'Tax scales - NAT 1004'!$A$53:$C$59,3,1)),0)
*2,
0),
IF(AND($E$2="Monthly",ROUND($AN546-TRUNC($AN546),2)=0.33),
ROUND(
ROUND(((TRUNC(($AN546+0.01)*3/13,0)+0.99)*VLOOKUP((TRUNC(($AN546+0.01)*3/13,0)+0.99),'Tax scales - NAT 1004'!$A$53:$C$59,2,1)-VLOOKUP((TRUNC(($AN546+0.01)*3/13,0)+0.99),'Tax scales - NAT 1004'!$A$53:$C$59,3,1)),0)
*13/3,
0),
IF($E$2="Monthly",
ROUND(
ROUND(((TRUNC($AN546*3/13,0)+0.99)*VLOOKUP((TRUNC($AN546*3/13,0)+0.99),'Tax scales - NAT 1004'!$A$53:$C$59,2,1)-VLOOKUP((TRUNC($AN546*3/13,0)+0.99),'Tax scales - NAT 1004'!$A$53:$C$59,3,1)),0)
*13/3,
0),
""))),
""),
"")</f>
        <v/>
      </c>
      <c r="AT546" s="118" t="str">
        <f>IFERROR(
IF(VLOOKUP($C546,'Employee information'!$B:$M,COLUMNS('Employee information'!$B:$M),0)=6,
IF($E$2="Fortnightly",
ROUND(
ROUND((((TRUNC($AN546/2,0)+0.99))*VLOOKUP((TRUNC($AN546/2,0)+0.99),'Tax scales - NAT 1004'!$A$65:$C$73,2,1)-VLOOKUP((TRUNC($AN546/2,0)+0.99),'Tax scales - NAT 1004'!$A$65:$C$73,3,1)),0)
*2,
0),
IF(AND($E$2="Monthly",ROUND($AN546-TRUNC($AN546),2)=0.33),
ROUND(
ROUND(((TRUNC(($AN546+0.01)*3/13,0)+0.99)*VLOOKUP((TRUNC(($AN546+0.01)*3/13,0)+0.99),'Tax scales - NAT 1004'!$A$65:$C$73,2,1)-VLOOKUP((TRUNC(($AN546+0.01)*3/13,0)+0.99),'Tax scales - NAT 1004'!$A$65:$C$73,3,1)),0)
*13/3,
0),
IF($E$2="Monthly",
ROUND(
ROUND(((TRUNC($AN546*3/13,0)+0.99)*VLOOKUP((TRUNC($AN546*3/13,0)+0.99),'Tax scales - NAT 1004'!$A$65:$C$73,2,1)-VLOOKUP((TRUNC($AN546*3/13,0)+0.99),'Tax scales - NAT 1004'!$A$65:$C$73,3,1)),0)
*13/3,
0),
""))),
""),
"")</f>
        <v/>
      </c>
      <c r="AU546" s="118" t="str">
        <f>IFERROR(
IF(VLOOKUP($C546,'Employee information'!$B:$M,COLUMNS('Employee information'!$B:$M),0)=11,
IF($E$2="Fortnightly",
ROUND(
ROUND((((TRUNC($AN546/2,0)+0.99))*VLOOKUP((TRUNC($AN546/2,0)+0.99),'Tax scales - NAT 3539'!$A$14:$C$38,2,1)-VLOOKUP((TRUNC($AN546/2,0)+0.99),'Tax scales - NAT 3539'!$A$14:$C$38,3,1)),0)
*2,
0),
IF(AND($E$2="Monthly",ROUND($AN546-TRUNC($AN546),2)=0.33),
ROUND(
ROUND(((TRUNC(($AN546+0.01)*3/13,0)+0.99)*VLOOKUP((TRUNC(($AN546+0.01)*3/13,0)+0.99),'Tax scales - NAT 3539'!$A$14:$C$38,2,1)-VLOOKUP((TRUNC(($AN546+0.01)*3/13,0)+0.99),'Tax scales - NAT 3539'!$A$14:$C$38,3,1)),0)
*13/3,
0),
IF($E$2="Monthly",
ROUND(
ROUND(((TRUNC($AN546*3/13,0)+0.99)*VLOOKUP((TRUNC($AN546*3/13,0)+0.99),'Tax scales - NAT 3539'!$A$14:$C$38,2,1)-VLOOKUP((TRUNC($AN546*3/13,0)+0.99),'Tax scales - NAT 3539'!$A$14:$C$38,3,1)),0)
*13/3,
0),
""))),
""),
"")</f>
        <v/>
      </c>
      <c r="AV546" s="118" t="str">
        <f>IFERROR(
IF(VLOOKUP($C546,'Employee information'!$B:$M,COLUMNS('Employee information'!$B:$M),0)=22,
IF($E$2="Fortnightly",
ROUND(
ROUND((((TRUNC($AN546/2,0)+0.99))*VLOOKUP((TRUNC($AN546/2,0)+0.99),'Tax scales - NAT 3539'!$A$43:$C$69,2,1)-VLOOKUP((TRUNC($AN546/2,0)+0.99),'Tax scales - NAT 3539'!$A$43:$C$69,3,1)),0)
*2,
0),
IF(AND($E$2="Monthly",ROUND($AN546-TRUNC($AN546),2)=0.33),
ROUND(
ROUND(((TRUNC(($AN546+0.01)*3/13,0)+0.99)*VLOOKUP((TRUNC(($AN546+0.01)*3/13,0)+0.99),'Tax scales - NAT 3539'!$A$43:$C$69,2,1)-VLOOKUP((TRUNC(($AN546+0.01)*3/13,0)+0.99),'Tax scales - NAT 3539'!$A$43:$C$69,3,1)),0)
*13/3,
0),
IF($E$2="Monthly",
ROUND(
ROUND(((TRUNC($AN546*3/13,0)+0.99)*VLOOKUP((TRUNC($AN546*3/13,0)+0.99),'Tax scales - NAT 3539'!$A$43:$C$69,2,1)-VLOOKUP((TRUNC($AN546*3/13,0)+0.99),'Tax scales - NAT 3539'!$A$43:$C$69,3,1)),0)
*13/3,
0),
""))),
""),
"")</f>
        <v/>
      </c>
      <c r="AW546" s="118" t="str">
        <f>IFERROR(
IF(VLOOKUP($C546,'Employee information'!$B:$M,COLUMNS('Employee information'!$B:$M),0)=33,
IF($E$2="Fortnightly",
ROUND(
ROUND((((TRUNC($AN546/2,0)+0.99))*VLOOKUP((TRUNC($AN546/2,0)+0.99),'Tax scales - NAT 3539'!$A$74:$C$94,2,1)-VLOOKUP((TRUNC($AN546/2,0)+0.99),'Tax scales - NAT 3539'!$A$74:$C$94,3,1)),0)
*2,
0),
IF(AND($E$2="Monthly",ROUND($AN546-TRUNC($AN546),2)=0.33),
ROUND(
ROUND(((TRUNC(($AN546+0.01)*3/13,0)+0.99)*VLOOKUP((TRUNC(($AN546+0.01)*3/13,0)+0.99),'Tax scales - NAT 3539'!$A$74:$C$94,2,1)-VLOOKUP((TRUNC(($AN546+0.01)*3/13,0)+0.99),'Tax scales - NAT 3539'!$A$74:$C$94,3,1)),0)
*13/3,
0),
IF($E$2="Monthly",
ROUND(
ROUND(((TRUNC($AN546*3/13,0)+0.99)*VLOOKUP((TRUNC($AN546*3/13,0)+0.99),'Tax scales - NAT 3539'!$A$74:$C$94,2,1)-VLOOKUP((TRUNC($AN546*3/13,0)+0.99),'Tax scales - NAT 3539'!$A$74:$C$94,3,1)),0)
*13/3,
0),
""))),
""),
"")</f>
        <v/>
      </c>
      <c r="AX546" s="118" t="str">
        <f>IFERROR(
IF(VLOOKUP($C546,'Employee information'!$B:$M,COLUMNS('Employee information'!$B:$M),0)=55,
IF($E$2="Fortnightly",
ROUND(
ROUND((((TRUNC($AN546/2,0)+0.99))*VLOOKUP((TRUNC($AN546/2,0)+0.99),'Tax scales - NAT 3539'!$A$99:$C$123,2,1)-VLOOKUP((TRUNC($AN546/2,0)+0.99),'Tax scales - NAT 3539'!$A$99:$C$123,3,1)),0)
*2,
0),
IF(AND($E$2="Monthly",ROUND($AN546-TRUNC($AN546),2)=0.33),
ROUND(
ROUND(((TRUNC(($AN546+0.01)*3/13,0)+0.99)*VLOOKUP((TRUNC(($AN546+0.01)*3/13,0)+0.99),'Tax scales - NAT 3539'!$A$99:$C$123,2,1)-VLOOKUP((TRUNC(($AN546+0.01)*3/13,0)+0.99),'Tax scales - NAT 3539'!$A$99:$C$123,3,1)),0)
*13/3,
0),
IF($E$2="Monthly",
ROUND(
ROUND(((TRUNC($AN546*3/13,0)+0.99)*VLOOKUP((TRUNC($AN546*3/13,0)+0.99),'Tax scales - NAT 3539'!$A$99:$C$123,2,1)-VLOOKUP((TRUNC($AN546*3/13,0)+0.99),'Tax scales - NAT 3539'!$A$99:$C$123,3,1)),0)
*13/3,
0),
""))),
""),
"")</f>
        <v/>
      </c>
      <c r="AY546" s="118" t="str">
        <f>IFERROR(
IF(VLOOKUP($C546,'Employee information'!$B:$M,COLUMNS('Employee information'!$B:$M),0)=66,
IF($E$2="Fortnightly",
ROUND(
ROUND((((TRUNC($AN546/2,0)+0.99))*VLOOKUP((TRUNC($AN546/2,0)+0.99),'Tax scales - NAT 3539'!$A$127:$C$154,2,1)-VLOOKUP((TRUNC($AN546/2,0)+0.99),'Tax scales - NAT 3539'!$A$127:$C$154,3,1)),0)
*2,
0),
IF(AND($E$2="Monthly",ROUND($AN546-TRUNC($AN546),2)=0.33),
ROUND(
ROUND(((TRUNC(($AN546+0.01)*3/13,0)+0.99)*VLOOKUP((TRUNC(($AN546+0.01)*3/13,0)+0.99),'Tax scales - NAT 3539'!$A$127:$C$154,2,1)-VLOOKUP((TRUNC(($AN546+0.01)*3/13,0)+0.99),'Tax scales - NAT 3539'!$A$127:$C$154,3,1)),0)
*13/3,
0),
IF($E$2="Monthly",
ROUND(
ROUND(((TRUNC($AN546*3/13,0)+0.99)*VLOOKUP((TRUNC($AN546*3/13,0)+0.99),'Tax scales - NAT 3539'!$A$127:$C$154,2,1)-VLOOKUP((TRUNC($AN546*3/13,0)+0.99),'Tax scales - NAT 3539'!$A$127:$C$154,3,1)),0)
*13/3,
0),
""))),
""),
"")</f>
        <v/>
      </c>
      <c r="AZ546" s="118">
        <f>IFERROR(
HLOOKUP(VLOOKUP($C546,'Employee information'!$B:$M,COLUMNS('Employee information'!$B:$M),0),'PAYG worksheet'!$AO$532:$AY$551,COUNTA($C$533:$C546)+1,0),
0)</f>
        <v>0</v>
      </c>
      <c r="BA546" s="118"/>
      <c r="BB546" s="118">
        <f t="shared" si="573"/>
        <v>0</v>
      </c>
      <c r="BC546" s="119">
        <f>IFERROR(
IF(OR($AE546=1,$AE546=""),SUM($P546,$AA546,$AC546,$AK546)*VLOOKUP($C546,'Employee information'!$B:$Q,COLUMNS('Employee information'!$B:$H),0),
IF($AE546=0,SUM($P546,$AA546,$AK546)*VLOOKUP($C546,'Employee information'!$B:$Q,COLUMNS('Employee information'!$B:$H),0),
0)),
0)</f>
        <v>0</v>
      </c>
      <c r="BE546" s="114">
        <f t="shared" si="558"/>
        <v>0</v>
      </c>
      <c r="BF546" s="114">
        <f t="shared" si="559"/>
        <v>0</v>
      </c>
      <c r="BG546" s="114">
        <f t="shared" si="560"/>
        <v>0</v>
      </c>
      <c r="BH546" s="114">
        <f t="shared" si="561"/>
        <v>0</v>
      </c>
      <c r="BI546" s="114">
        <f t="shared" si="562"/>
        <v>0</v>
      </c>
      <c r="BJ546" s="114">
        <f t="shared" si="563"/>
        <v>0</v>
      </c>
      <c r="BK546" s="114">
        <f t="shared" si="564"/>
        <v>0</v>
      </c>
      <c r="BL546" s="114">
        <f t="shared" si="574"/>
        <v>0</v>
      </c>
      <c r="BM546" s="114">
        <f t="shared" si="565"/>
        <v>0</v>
      </c>
    </row>
    <row r="547" spans="1:65" x14ac:dyDescent="0.25">
      <c r="A547" s="228">
        <f t="shared" si="553"/>
        <v>19</v>
      </c>
      <c r="C547" s="278"/>
      <c r="E547" s="103">
        <f>IF($C547="",0,
IF(AND($E$2="Monthly",$A547&gt;12),0,
IF($E$2="Monthly",VLOOKUP($C547,'Employee information'!$B:$AM,COLUMNS('Employee information'!$B:S),0),
IF($E$2="Fortnightly",VLOOKUP($C547,'Employee information'!$B:$AM,COLUMNS('Employee information'!$B:R),0),
0))))</f>
        <v>0</v>
      </c>
      <c r="F547" s="106"/>
      <c r="G547" s="106"/>
      <c r="H547" s="106"/>
      <c r="I547" s="106"/>
      <c r="J547" s="103">
        <f t="shared" si="566"/>
        <v>0</v>
      </c>
      <c r="L547" s="113">
        <f>IF(AND($E$2="Monthly",$A547&gt;12),"",
IFERROR($J547*VLOOKUP($C547,'Employee information'!$B:$AI,COLUMNS('Employee information'!$B:$P),0),0))</f>
        <v>0</v>
      </c>
      <c r="M547" s="114">
        <f t="shared" si="567"/>
        <v>0</v>
      </c>
      <c r="O547" s="103">
        <f t="shared" si="568"/>
        <v>0</v>
      </c>
      <c r="P547" s="113">
        <f>IFERROR(
IF(AND($E$2="Monthly",$A547&gt;12),0,
$O547*VLOOKUP($C547,'Employee information'!$B:$AI,COLUMNS('Employee information'!$B:$P),0)),
0)</f>
        <v>0</v>
      </c>
      <c r="R547" s="114">
        <f t="shared" si="554"/>
        <v>0</v>
      </c>
      <c r="T547" s="103"/>
      <c r="U547" s="103"/>
      <c r="V547" s="282" t="str">
        <f>IF($C547="","",
IF(AND($E$2="Monthly",$A547&gt;12),"",
$T547*VLOOKUP($C547,'Employee information'!$B:$P,COLUMNS('Employee information'!$B:$P),0)))</f>
        <v/>
      </c>
      <c r="W547" s="282" t="str">
        <f>IF($C547="","",
IF(AND($E$2="Monthly",$A547&gt;12),"",
$U547*VLOOKUP($C547,'Employee information'!$B:$P,COLUMNS('Employee information'!$B:$P),0)))</f>
        <v/>
      </c>
      <c r="X547" s="114">
        <f t="shared" si="555"/>
        <v>0</v>
      </c>
      <c r="Y547" s="114">
        <f t="shared" si="556"/>
        <v>0</v>
      </c>
      <c r="AA547" s="118">
        <f>IFERROR(
IF(OR('Basic payroll data'!$D$12="",'Basic payroll data'!$D$12="No"),0,
$T547*VLOOKUP($C547,'Employee information'!$B:$P,COLUMNS('Employee information'!$B:$P),0)*AL_loading_perc),
0)</f>
        <v>0</v>
      </c>
      <c r="AC547" s="118"/>
      <c r="AD547" s="118"/>
      <c r="AE547" s="283" t="str">
        <f t="shared" si="569"/>
        <v/>
      </c>
      <c r="AF547" s="283" t="str">
        <f t="shared" si="570"/>
        <v/>
      </c>
      <c r="AG547" s="118"/>
      <c r="AH547" s="118"/>
      <c r="AI547" s="283" t="str">
        <f t="shared" si="571"/>
        <v/>
      </c>
      <c r="AJ547" s="118"/>
      <c r="AK547" s="118"/>
      <c r="AM547" s="118">
        <f t="shared" si="572"/>
        <v>0</v>
      </c>
      <c r="AN547" s="118">
        <f t="shared" si="557"/>
        <v>0</v>
      </c>
      <c r="AO547" s="118" t="str">
        <f>IFERROR(
IF(VLOOKUP($C547,'Employee information'!$B:$M,COLUMNS('Employee information'!$B:$M),0)=1,
IF($E$2="Fortnightly",
ROUND(
ROUND((((TRUNC($AN547/2,0)+0.99))*VLOOKUP((TRUNC($AN547/2,0)+0.99),'Tax scales - NAT 1004'!$A$12:$C$18,2,1)-VLOOKUP((TRUNC($AN547/2,0)+0.99),'Tax scales - NAT 1004'!$A$12:$C$18,3,1)),0)
*2,
0),
IF(AND($E$2="Monthly",ROUND($AN547-TRUNC($AN547),2)=0.33),
ROUND(
ROUND(((TRUNC(($AN547+0.01)*3/13,0)+0.99)*VLOOKUP((TRUNC(($AN547+0.01)*3/13,0)+0.99),'Tax scales - NAT 1004'!$A$12:$C$18,2,1)-VLOOKUP((TRUNC(($AN547+0.01)*3/13,0)+0.99),'Tax scales - NAT 1004'!$A$12:$C$18,3,1)),0)
*13/3,
0),
IF($E$2="Monthly",
ROUND(
ROUND(((TRUNC($AN547*3/13,0)+0.99)*VLOOKUP((TRUNC($AN547*3/13,0)+0.99),'Tax scales - NAT 1004'!$A$12:$C$18,2,1)-VLOOKUP((TRUNC($AN547*3/13,0)+0.99),'Tax scales - NAT 1004'!$A$12:$C$18,3,1)),0)
*13/3,
0),
""))),
""),
"")</f>
        <v/>
      </c>
      <c r="AP547" s="118" t="str">
        <f>IFERROR(
IF(VLOOKUP($C547,'Employee information'!$B:$M,COLUMNS('Employee information'!$B:$M),0)=2,
IF($E$2="Fortnightly",
ROUND(
ROUND((((TRUNC($AN547/2,0)+0.99))*VLOOKUP((TRUNC($AN547/2,0)+0.99),'Tax scales - NAT 1004'!$A$25:$C$33,2,1)-VLOOKUP((TRUNC($AN547/2,0)+0.99),'Tax scales - NAT 1004'!$A$25:$C$33,3,1)),0)
*2,
0),
IF(AND($E$2="Monthly",ROUND($AN547-TRUNC($AN547),2)=0.33),
ROUND(
ROUND(((TRUNC(($AN547+0.01)*3/13,0)+0.99)*VLOOKUP((TRUNC(($AN547+0.01)*3/13,0)+0.99),'Tax scales - NAT 1004'!$A$25:$C$33,2,1)-VLOOKUP((TRUNC(($AN547+0.01)*3/13,0)+0.99),'Tax scales - NAT 1004'!$A$25:$C$33,3,1)),0)
*13/3,
0),
IF($E$2="Monthly",
ROUND(
ROUND(((TRUNC($AN547*3/13,0)+0.99)*VLOOKUP((TRUNC($AN547*3/13,0)+0.99),'Tax scales - NAT 1004'!$A$25:$C$33,2,1)-VLOOKUP((TRUNC($AN547*3/13,0)+0.99),'Tax scales - NAT 1004'!$A$25:$C$33,3,1)),0)
*13/3,
0),
""))),
""),
"")</f>
        <v/>
      </c>
      <c r="AQ547" s="118" t="str">
        <f>IFERROR(
IF(VLOOKUP($C547,'Employee information'!$B:$M,COLUMNS('Employee information'!$B:$M),0)=3,
IF($E$2="Fortnightly",
ROUND(
ROUND((((TRUNC($AN547/2,0)+0.99))*VLOOKUP((TRUNC($AN547/2,0)+0.99),'Tax scales - NAT 1004'!$A$39:$C$41,2,1)-VLOOKUP((TRUNC($AN547/2,0)+0.99),'Tax scales - NAT 1004'!$A$39:$C$41,3,1)),0)
*2,
0),
IF(AND($E$2="Monthly",ROUND($AN547-TRUNC($AN547),2)=0.33),
ROUND(
ROUND(((TRUNC(($AN547+0.01)*3/13,0)+0.99)*VLOOKUP((TRUNC(($AN547+0.01)*3/13,0)+0.99),'Tax scales - NAT 1004'!$A$39:$C$41,2,1)-VLOOKUP((TRUNC(($AN547+0.01)*3/13,0)+0.99),'Tax scales - NAT 1004'!$A$39:$C$41,3,1)),0)
*13/3,
0),
IF($E$2="Monthly",
ROUND(
ROUND(((TRUNC($AN547*3/13,0)+0.99)*VLOOKUP((TRUNC($AN547*3/13,0)+0.99),'Tax scales - NAT 1004'!$A$39:$C$41,2,1)-VLOOKUP((TRUNC($AN547*3/13,0)+0.99),'Tax scales - NAT 1004'!$A$39:$C$41,3,1)),0)
*13/3,
0),
""))),
""),
"")</f>
        <v/>
      </c>
      <c r="AR547" s="118" t="str">
        <f>IFERROR(
IF(AND(VLOOKUP($C547,'Employee information'!$B:$M,COLUMNS('Employee information'!$B:$M),0)=4,
VLOOKUP($C547,'Employee information'!$B:$J,COLUMNS('Employee information'!$B:$J),0)="Resident"),
TRUNC(TRUNC($AN547)*'Tax scales - NAT 1004'!$B$47),
IF(AND(VLOOKUP($C547,'Employee information'!$B:$M,COLUMNS('Employee information'!$B:$M),0)=4,
VLOOKUP($C547,'Employee information'!$B:$J,COLUMNS('Employee information'!$B:$J),0)="Foreign resident"),
TRUNC(TRUNC($AN547)*'Tax scales - NAT 1004'!$B$48),
"")),
"")</f>
        <v/>
      </c>
      <c r="AS547" s="118" t="str">
        <f>IFERROR(
IF(VLOOKUP($C547,'Employee information'!$B:$M,COLUMNS('Employee information'!$B:$M),0)=5,
IF($E$2="Fortnightly",
ROUND(
ROUND((((TRUNC($AN547/2,0)+0.99))*VLOOKUP((TRUNC($AN547/2,0)+0.99),'Tax scales - NAT 1004'!$A$53:$C$59,2,1)-VLOOKUP((TRUNC($AN547/2,0)+0.99),'Tax scales - NAT 1004'!$A$53:$C$59,3,1)),0)
*2,
0),
IF(AND($E$2="Monthly",ROUND($AN547-TRUNC($AN547),2)=0.33),
ROUND(
ROUND(((TRUNC(($AN547+0.01)*3/13,0)+0.99)*VLOOKUP((TRUNC(($AN547+0.01)*3/13,0)+0.99),'Tax scales - NAT 1004'!$A$53:$C$59,2,1)-VLOOKUP((TRUNC(($AN547+0.01)*3/13,0)+0.99),'Tax scales - NAT 1004'!$A$53:$C$59,3,1)),0)
*13/3,
0),
IF($E$2="Monthly",
ROUND(
ROUND(((TRUNC($AN547*3/13,0)+0.99)*VLOOKUP((TRUNC($AN547*3/13,0)+0.99),'Tax scales - NAT 1004'!$A$53:$C$59,2,1)-VLOOKUP((TRUNC($AN547*3/13,0)+0.99),'Tax scales - NAT 1004'!$A$53:$C$59,3,1)),0)
*13/3,
0),
""))),
""),
"")</f>
        <v/>
      </c>
      <c r="AT547" s="118" t="str">
        <f>IFERROR(
IF(VLOOKUP($C547,'Employee information'!$B:$M,COLUMNS('Employee information'!$B:$M),0)=6,
IF($E$2="Fortnightly",
ROUND(
ROUND((((TRUNC($AN547/2,0)+0.99))*VLOOKUP((TRUNC($AN547/2,0)+0.99),'Tax scales - NAT 1004'!$A$65:$C$73,2,1)-VLOOKUP((TRUNC($AN547/2,0)+0.99),'Tax scales - NAT 1004'!$A$65:$C$73,3,1)),0)
*2,
0),
IF(AND($E$2="Monthly",ROUND($AN547-TRUNC($AN547),2)=0.33),
ROUND(
ROUND(((TRUNC(($AN547+0.01)*3/13,0)+0.99)*VLOOKUP((TRUNC(($AN547+0.01)*3/13,0)+0.99),'Tax scales - NAT 1004'!$A$65:$C$73,2,1)-VLOOKUP((TRUNC(($AN547+0.01)*3/13,0)+0.99),'Tax scales - NAT 1004'!$A$65:$C$73,3,1)),0)
*13/3,
0),
IF($E$2="Monthly",
ROUND(
ROUND(((TRUNC($AN547*3/13,0)+0.99)*VLOOKUP((TRUNC($AN547*3/13,0)+0.99),'Tax scales - NAT 1004'!$A$65:$C$73,2,1)-VLOOKUP((TRUNC($AN547*3/13,0)+0.99),'Tax scales - NAT 1004'!$A$65:$C$73,3,1)),0)
*13/3,
0),
""))),
""),
"")</f>
        <v/>
      </c>
      <c r="AU547" s="118" t="str">
        <f>IFERROR(
IF(VLOOKUP($C547,'Employee information'!$B:$M,COLUMNS('Employee information'!$B:$M),0)=11,
IF($E$2="Fortnightly",
ROUND(
ROUND((((TRUNC($AN547/2,0)+0.99))*VLOOKUP((TRUNC($AN547/2,0)+0.99),'Tax scales - NAT 3539'!$A$14:$C$38,2,1)-VLOOKUP((TRUNC($AN547/2,0)+0.99),'Tax scales - NAT 3539'!$A$14:$C$38,3,1)),0)
*2,
0),
IF(AND($E$2="Monthly",ROUND($AN547-TRUNC($AN547),2)=0.33),
ROUND(
ROUND(((TRUNC(($AN547+0.01)*3/13,0)+0.99)*VLOOKUP((TRUNC(($AN547+0.01)*3/13,0)+0.99),'Tax scales - NAT 3539'!$A$14:$C$38,2,1)-VLOOKUP((TRUNC(($AN547+0.01)*3/13,0)+0.99),'Tax scales - NAT 3539'!$A$14:$C$38,3,1)),0)
*13/3,
0),
IF($E$2="Monthly",
ROUND(
ROUND(((TRUNC($AN547*3/13,0)+0.99)*VLOOKUP((TRUNC($AN547*3/13,0)+0.99),'Tax scales - NAT 3539'!$A$14:$C$38,2,1)-VLOOKUP((TRUNC($AN547*3/13,0)+0.99),'Tax scales - NAT 3539'!$A$14:$C$38,3,1)),0)
*13/3,
0),
""))),
""),
"")</f>
        <v/>
      </c>
      <c r="AV547" s="118" t="str">
        <f>IFERROR(
IF(VLOOKUP($C547,'Employee information'!$B:$M,COLUMNS('Employee information'!$B:$M),0)=22,
IF($E$2="Fortnightly",
ROUND(
ROUND((((TRUNC($AN547/2,0)+0.99))*VLOOKUP((TRUNC($AN547/2,0)+0.99),'Tax scales - NAT 3539'!$A$43:$C$69,2,1)-VLOOKUP((TRUNC($AN547/2,0)+0.99),'Tax scales - NAT 3539'!$A$43:$C$69,3,1)),0)
*2,
0),
IF(AND($E$2="Monthly",ROUND($AN547-TRUNC($AN547),2)=0.33),
ROUND(
ROUND(((TRUNC(($AN547+0.01)*3/13,0)+0.99)*VLOOKUP((TRUNC(($AN547+0.01)*3/13,0)+0.99),'Tax scales - NAT 3539'!$A$43:$C$69,2,1)-VLOOKUP((TRUNC(($AN547+0.01)*3/13,0)+0.99),'Tax scales - NAT 3539'!$A$43:$C$69,3,1)),0)
*13/3,
0),
IF($E$2="Monthly",
ROUND(
ROUND(((TRUNC($AN547*3/13,0)+0.99)*VLOOKUP((TRUNC($AN547*3/13,0)+0.99),'Tax scales - NAT 3539'!$A$43:$C$69,2,1)-VLOOKUP((TRUNC($AN547*3/13,0)+0.99),'Tax scales - NAT 3539'!$A$43:$C$69,3,1)),0)
*13/3,
0),
""))),
""),
"")</f>
        <v/>
      </c>
      <c r="AW547" s="118" t="str">
        <f>IFERROR(
IF(VLOOKUP($C547,'Employee information'!$B:$M,COLUMNS('Employee information'!$B:$M),0)=33,
IF($E$2="Fortnightly",
ROUND(
ROUND((((TRUNC($AN547/2,0)+0.99))*VLOOKUP((TRUNC($AN547/2,0)+0.99),'Tax scales - NAT 3539'!$A$74:$C$94,2,1)-VLOOKUP((TRUNC($AN547/2,0)+0.99),'Tax scales - NAT 3539'!$A$74:$C$94,3,1)),0)
*2,
0),
IF(AND($E$2="Monthly",ROUND($AN547-TRUNC($AN547),2)=0.33),
ROUND(
ROUND(((TRUNC(($AN547+0.01)*3/13,0)+0.99)*VLOOKUP((TRUNC(($AN547+0.01)*3/13,0)+0.99),'Tax scales - NAT 3539'!$A$74:$C$94,2,1)-VLOOKUP((TRUNC(($AN547+0.01)*3/13,0)+0.99),'Tax scales - NAT 3539'!$A$74:$C$94,3,1)),0)
*13/3,
0),
IF($E$2="Monthly",
ROUND(
ROUND(((TRUNC($AN547*3/13,0)+0.99)*VLOOKUP((TRUNC($AN547*3/13,0)+0.99),'Tax scales - NAT 3539'!$A$74:$C$94,2,1)-VLOOKUP((TRUNC($AN547*3/13,0)+0.99),'Tax scales - NAT 3539'!$A$74:$C$94,3,1)),0)
*13/3,
0),
""))),
""),
"")</f>
        <v/>
      </c>
      <c r="AX547" s="118" t="str">
        <f>IFERROR(
IF(VLOOKUP($C547,'Employee information'!$B:$M,COLUMNS('Employee information'!$B:$M),0)=55,
IF($E$2="Fortnightly",
ROUND(
ROUND((((TRUNC($AN547/2,0)+0.99))*VLOOKUP((TRUNC($AN547/2,0)+0.99),'Tax scales - NAT 3539'!$A$99:$C$123,2,1)-VLOOKUP((TRUNC($AN547/2,0)+0.99),'Tax scales - NAT 3539'!$A$99:$C$123,3,1)),0)
*2,
0),
IF(AND($E$2="Monthly",ROUND($AN547-TRUNC($AN547),2)=0.33),
ROUND(
ROUND(((TRUNC(($AN547+0.01)*3/13,0)+0.99)*VLOOKUP((TRUNC(($AN547+0.01)*3/13,0)+0.99),'Tax scales - NAT 3539'!$A$99:$C$123,2,1)-VLOOKUP((TRUNC(($AN547+0.01)*3/13,0)+0.99),'Tax scales - NAT 3539'!$A$99:$C$123,3,1)),0)
*13/3,
0),
IF($E$2="Monthly",
ROUND(
ROUND(((TRUNC($AN547*3/13,0)+0.99)*VLOOKUP((TRUNC($AN547*3/13,0)+0.99),'Tax scales - NAT 3539'!$A$99:$C$123,2,1)-VLOOKUP((TRUNC($AN547*3/13,0)+0.99),'Tax scales - NAT 3539'!$A$99:$C$123,3,1)),0)
*13/3,
0),
""))),
""),
"")</f>
        <v/>
      </c>
      <c r="AY547" s="118" t="str">
        <f>IFERROR(
IF(VLOOKUP($C547,'Employee information'!$B:$M,COLUMNS('Employee information'!$B:$M),0)=66,
IF($E$2="Fortnightly",
ROUND(
ROUND((((TRUNC($AN547/2,0)+0.99))*VLOOKUP((TRUNC($AN547/2,0)+0.99),'Tax scales - NAT 3539'!$A$127:$C$154,2,1)-VLOOKUP((TRUNC($AN547/2,0)+0.99),'Tax scales - NAT 3539'!$A$127:$C$154,3,1)),0)
*2,
0),
IF(AND($E$2="Monthly",ROUND($AN547-TRUNC($AN547),2)=0.33),
ROUND(
ROUND(((TRUNC(($AN547+0.01)*3/13,0)+0.99)*VLOOKUP((TRUNC(($AN547+0.01)*3/13,0)+0.99),'Tax scales - NAT 3539'!$A$127:$C$154,2,1)-VLOOKUP((TRUNC(($AN547+0.01)*3/13,0)+0.99),'Tax scales - NAT 3539'!$A$127:$C$154,3,1)),0)
*13/3,
0),
IF($E$2="Monthly",
ROUND(
ROUND(((TRUNC($AN547*3/13,0)+0.99)*VLOOKUP((TRUNC($AN547*3/13,0)+0.99),'Tax scales - NAT 3539'!$A$127:$C$154,2,1)-VLOOKUP((TRUNC($AN547*3/13,0)+0.99),'Tax scales - NAT 3539'!$A$127:$C$154,3,1)),0)
*13/3,
0),
""))),
""),
"")</f>
        <v/>
      </c>
      <c r="AZ547" s="118">
        <f>IFERROR(
HLOOKUP(VLOOKUP($C547,'Employee information'!$B:$M,COLUMNS('Employee information'!$B:$M),0),'PAYG worksheet'!$AO$532:$AY$551,COUNTA($C$533:$C547)+1,0),
0)</f>
        <v>0</v>
      </c>
      <c r="BA547" s="118"/>
      <c r="BB547" s="118">
        <f t="shared" si="573"/>
        <v>0</v>
      </c>
      <c r="BC547" s="119">
        <f>IFERROR(
IF(OR($AE547=1,$AE547=""),SUM($P547,$AA547,$AC547,$AK547)*VLOOKUP($C547,'Employee information'!$B:$Q,COLUMNS('Employee information'!$B:$H),0),
IF($AE547=0,SUM($P547,$AA547,$AK547)*VLOOKUP($C547,'Employee information'!$B:$Q,COLUMNS('Employee information'!$B:$H),0),
0)),
0)</f>
        <v>0</v>
      </c>
      <c r="BE547" s="114">
        <f t="shared" si="558"/>
        <v>0</v>
      </c>
      <c r="BF547" s="114">
        <f t="shared" si="559"/>
        <v>0</v>
      </c>
      <c r="BG547" s="114">
        <f t="shared" si="560"/>
        <v>0</v>
      </c>
      <c r="BH547" s="114">
        <f t="shared" si="561"/>
        <v>0</v>
      </c>
      <c r="BI547" s="114">
        <f t="shared" si="562"/>
        <v>0</v>
      </c>
      <c r="BJ547" s="114">
        <f t="shared" si="563"/>
        <v>0</v>
      </c>
      <c r="BK547" s="114">
        <f t="shared" si="564"/>
        <v>0</v>
      </c>
      <c r="BL547" s="114">
        <f t="shared" si="574"/>
        <v>0</v>
      </c>
      <c r="BM547" s="114">
        <f t="shared" si="565"/>
        <v>0</v>
      </c>
    </row>
    <row r="548" spans="1:65" x14ac:dyDescent="0.25">
      <c r="A548" s="228">
        <f t="shared" si="553"/>
        <v>19</v>
      </c>
      <c r="C548" s="278"/>
      <c r="E548" s="103">
        <f>IF($C548="",0,
IF(AND($E$2="Monthly",$A548&gt;12),0,
IF($E$2="Monthly",VLOOKUP($C548,'Employee information'!$B:$AM,COLUMNS('Employee information'!$B:S),0),
IF($E$2="Fortnightly",VLOOKUP($C548,'Employee information'!$B:$AM,COLUMNS('Employee information'!$B:R),0),
0))))</f>
        <v>0</v>
      </c>
      <c r="F548" s="106"/>
      <c r="G548" s="106"/>
      <c r="H548" s="106"/>
      <c r="I548" s="106"/>
      <c r="J548" s="103">
        <f t="shared" si="566"/>
        <v>0</v>
      </c>
      <c r="L548" s="113">
        <f>IF(AND($E$2="Monthly",$A548&gt;12),"",
IFERROR($J548*VLOOKUP($C548,'Employee information'!$B:$AI,COLUMNS('Employee information'!$B:$P),0),0))</f>
        <v>0</v>
      </c>
      <c r="M548" s="114">
        <f t="shared" si="567"/>
        <v>0</v>
      </c>
      <c r="O548" s="103">
        <f t="shared" si="568"/>
        <v>0</v>
      </c>
      <c r="P548" s="113">
        <f>IFERROR(
IF(AND($E$2="Monthly",$A548&gt;12),0,
$O548*VLOOKUP($C548,'Employee information'!$B:$AI,COLUMNS('Employee information'!$B:$P),0)),
0)</f>
        <v>0</v>
      </c>
      <c r="R548" s="114">
        <f t="shared" si="554"/>
        <v>0</v>
      </c>
      <c r="T548" s="103"/>
      <c r="U548" s="103"/>
      <c r="V548" s="282" t="str">
        <f>IF($C548="","",
IF(AND($E$2="Monthly",$A548&gt;12),"",
$T548*VLOOKUP($C548,'Employee information'!$B:$P,COLUMNS('Employee information'!$B:$P),0)))</f>
        <v/>
      </c>
      <c r="W548" s="282" t="str">
        <f>IF($C548="","",
IF(AND($E$2="Monthly",$A548&gt;12),"",
$U548*VLOOKUP($C548,'Employee information'!$B:$P,COLUMNS('Employee information'!$B:$P),0)))</f>
        <v/>
      </c>
      <c r="X548" s="114">
        <f t="shared" si="555"/>
        <v>0</v>
      </c>
      <c r="Y548" s="114">
        <f t="shared" si="556"/>
        <v>0</v>
      </c>
      <c r="AA548" s="118">
        <f>IFERROR(
IF(OR('Basic payroll data'!$D$12="",'Basic payroll data'!$D$12="No"),0,
$T548*VLOOKUP($C548,'Employee information'!$B:$P,COLUMNS('Employee information'!$B:$P),0)*AL_loading_perc),
0)</f>
        <v>0</v>
      </c>
      <c r="AC548" s="118"/>
      <c r="AD548" s="118"/>
      <c r="AE548" s="283" t="str">
        <f t="shared" si="569"/>
        <v/>
      </c>
      <c r="AF548" s="283" t="str">
        <f t="shared" si="570"/>
        <v/>
      </c>
      <c r="AG548" s="118"/>
      <c r="AH548" s="118"/>
      <c r="AI548" s="283" t="str">
        <f t="shared" si="571"/>
        <v/>
      </c>
      <c r="AJ548" s="118"/>
      <c r="AK548" s="118"/>
      <c r="AM548" s="118">
        <f t="shared" si="572"/>
        <v>0</v>
      </c>
      <c r="AN548" s="118">
        <f t="shared" si="557"/>
        <v>0</v>
      </c>
      <c r="AO548" s="118" t="str">
        <f>IFERROR(
IF(VLOOKUP($C548,'Employee information'!$B:$M,COLUMNS('Employee information'!$B:$M),0)=1,
IF($E$2="Fortnightly",
ROUND(
ROUND((((TRUNC($AN548/2,0)+0.99))*VLOOKUP((TRUNC($AN548/2,0)+0.99),'Tax scales - NAT 1004'!$A$12:$C$18,2,1)-VLOOKUP((TRUNC($AN548/2,0)+0.99),'Tax scales - NAT 1004'!$A$12:$C$18,3,1)),0)
*2,
0),
IF(AND($E$2="Monthly",ROUND($AN548-TRUNC($AN548),2)=0.33),
ROUND(
ROUND(((TRUNC(($AN548+0.01)*3/13,0)+0.99)*VLOOKUP((TRUNC(($AN548+0.01)*3/13,0)+0.99),'Tax scales - NAT 1004'!$A$12:$C$18,2,1)-VLOOKUP((TRUNC(($AN548+0.01)*3/13,0)+0.99),'Tax scales - NAT 1004'!$A$12:$C$18,3,1)),0)
*13/3,
0),
IF($E$2="Monthly",
ROUND(
ROUND(((TRUNC($AN548*3/13,0)+0.99)*VLOOKUP((TRUNC($AN548*3/13,0)+0.99),'Tax scales - NAT 1004'!$A$12:$C$18,2,1)-VLOOKUP((TRUNC($AN548*3/13,0)+0.99),'Tax scales - NAT 1004'!$A$12:$C$18,3,1)),0)
*13/3,
0),
""))),
""),
"")</f>
        <v/>
      </c>
      <c r="AP548" s="118" t="str">
        <f>IFERROR(
IF(VLOOKUP($C548,'Employee information'!$B:$M,COLUMNS('Employee information'!$B:$M),0)=2,
IF($E$2="Fortnightly",
ROUND(
ROUND((((TRUNC($AN548/2,0)+0.99))*VLOOKUP((TRUNC($AN548/2,0)+0.99),'Tax scales - NAT 1004'!$A$25:$C$33,2,1)-VLOOKUP((TRUNC($AN548/2,0)+0.99),'Tax scales - NAT 1004'!$A$25:$C$33,3,1)),0)
*2,
0),
IF(AND($E$2="Monthly",ROUND($AN548-TRUNC($AN548),2)=0.33),
ROUND(
ROUND(((TRUNC(($AN548+0.01)*3/13,0)+0.99)*VLOOKUP((TRUNC(($AN548+0.01)*3/13,0)+0.99),'Tax scales - NAT 1004'!$A$25:$C$33,2,1)-VLOOKUP((TRUNC(($AN548+0.01)*3/13,0)+0.99),'Tax scales - NAT 1004'!$A$25:$C$33,3,1)),0)
*13/3,
0),
IF($E$2="Monthly",
ROUND(
ROUND(((TRUNC($AN548*3/13,0)+0.99)*VLOOKUP((TRUNC($AN548*3/13,0)+0.99),'Tax scales - NAT 1004'!$A$25:$C$33,2,1)-VLOOKUP((TRUNC($AN548*3/13,0)+0.99),'Tax scales - NAT 1004'!$A$25:$C$33,3,1)),0)
*13/3,
0),
""))),
""),
"")</f>
        <v/>
      </c>
      <c r="AQ548" s="118" t="str">
        <f>IFERROR(
IF(VLOOKUP($C548,'Employee information'!$B:$M,COLUMNS('Employee information'!$B:$M),0)=3,
IF($E$2="Fortnightly",
ROUND(
ROUND((((TRUNC($AN548/2,0)+0.99))*VLOOKUP((TRUNC($AN548/2,0)+0.99),'Tax scales - NAT 1004'!$A$39:$C$41,2,1)-VLOOKUP((TRUNC($AN548/2,0)+0.99),'Tax scales - NAT 1004'!$A$39:$C$41,3,1)),0)
*2,
0),
IF(AND($E$2="Monthly",ROUND($AN548-TRUNC($AN548),2)=0.33),
ROUND(
ROUND(((TRUNC(($AN548+0.01)*3/13,0)+0.99)*VLOOKUP((TRUNC(($AN548+0.01)*3/13,0)+0.99),'Tax scales - NAT 1004'!$A$39:$C$41,2,1)-VLOOKUP((TRUNC(($AN548+0.01)*3/13,0)+0.99),'Tax scales - NAT 1004'!$A$39:$C$41,3,1)),0)
*13/3,
0),
IF($E$2="Monthly",
ROUND(
ROUND(((TRUNC($AN548*3/13,0)+0.99)*VLOOKUP((TRUNC($AN548*3/13,0)+0.99),'Tax scales - NAT 1004'!$A$39:$C$41,2,1)-VLOOKUP((TRUNC($AN548*3/13,0)+0.99),'Tax scales - NAT 1004'!$A$39:$C$41,3,1)),0)
*13/3,
0),
""))),
""),
"")</f>
        <v/>
      </c>
      <c r="AR548" s="118" t="str">
        <f>IFERROR(
IF(AND(VLOOKUP($C548,'Employee information'!$B:$M,COLUMNS('Employee information'!$B:$M),0)=4,
VLOOKUP($C548,'Employee information'!$B:$J,COLUMNS('Employee information'!$B:$J),0)="Resident"),
TRUNC(TRUNC($AN548)*'Tax scales - NAT 1004'!$B$47),
IF(AND(VLOOKUP($C548,'Employee information'!$B:$M,COLUMNS('Employee information'!$B:$M),0)=4,
VLOOKUP($C548,'Employee information'!$B:$J,COLUMNS('Employee information'!$B:$J),0)="Foreign resident"),
TRUNC(TRUNC($AN548)*'Tax scales - NAT 1004'!$B$48),
"")),
"")</f>
        <v/>
      </c>
      <c r="AS548" s="118" t="str">
        <f>IFERROR(
IF(VLOOKUP($C548,'Employee information'!$B:$M,COLUMNS('Employee information'!$B:$M),0)=5,
IF($E$2="Fortnightly",
ROUND(
ROUND((((TRUNC($AN548/2,0)+0.99))*VLOOKUP((TRUNC($AN548/2,0)+0.99),'Tax scales - NAT 1004'!$A$53:$C$59,2,1)-VLOOKUP((TRUNC($AN548/2,0)+0.99),'Tax scales - NAT 1004'!$A$53:$C$59,3,1)),0)
*2,
0),
IF(AND($E$2="Monthly",ROUND($AN548-TRUNC($AN548),2)=0.33),
ROUND(
ROUND(((TRUNC(($AN548+0.01)*3/13,0)+0.99)*VLOOKUP((TRUNC(($AN548+0.01)*3/13,0)+0.99),'Tax scales - NAT 1004'!$A$53:$C$59,2,1)-VLOOKUP((TRUNC(($AN548+0.01)*3/13,0)+0.99),'Tax scales - NAT 1004'!$A$53:$C$59,3,1)),0)
*13/3,
0),
IF($E$2="Monthly",
ROUND(
ROUND(((TRUNC($AN548*3/13,0)+0.99)*VLOOKUP((TRUNC($AN548*3/13,0)+0.99),'Tax scales - NAT 1004'!$A$53:$C$59,2,1)-VLOOKUP((TRUNC($AN548*3/13,0)+0.99),'Tax scales - NAT 1004'!$A$53:$C$59,3,1)),0)
*13/3,
0),
""))),
""),
"")</f>
        <v/>
      </c>
      <c r="AT548" s="118" t="str">
        <f>IFERROR(
IF(VLOOKUP($C548,'Employee information'!$B:$M,COLUMNS('Employee information'!$B:$M),0)=6,
IF($E$2="Fortnightly",
ROUND(
ROUND((((TRUNC($AN548/2,0)+0.99))*VLOOKUP((TRUNC($AN548/2,0)+0.99),'Tax scales - NAT 1004'!$A$65:$C$73,2,1)-VLOOKUP((TRUNC($AN548/2,0)+0.99),'Tax scales - NAT 1004'!$A$65:$C$73,3,1)),0)
*2,
0),
IF(AND($E$2="Monthly",ROUND($AN548-TRUNC($AN548),2)=0.33),
ROUND(
ROUND(((TRUNC(($AN548+0.01)*3/13,0)+0.99)*VLOOKUP((TRUNC(($AN548+0.01)*3/13,0)+0.99),'Tax scales - NAT 1004'!$A$65:$C$73,2,1)-VLOOKUP((TRUNC(($AN548+0.01)*3/13,0)+0.99),'Tax scales - NAT 1004'!$A$65:$C$73,3,1)),0)
*13/3,
0),
IF($E$2="Monthly",
ROUND(
ROUND(((TRUNC($AN548*3/13,0)+0.99)*VLOOKUP((TRUNC($AN548*3/13,0)+0.99),'Tax scales - NAT 1004'!$A$65:$C$73,2,1)-VLOOKUP((TRUNC($AN548*3/13,0)+0.99),'Tax scales - NAT 1004'!$A$65:$C$73,3,1)),0)
*13/3,
0),
""))),
""),
"")</f>
        <v/>
      </c>
      <c r="AU548" s="118" t="str">
        <f>IFERROR(
IF(VLOOKUP($C548,'Employee information'!$B:$M,COLUMNS('Employee information'!$B:$M),0)=11,
IF($E$2="Fortnightly",
ROUND(
ROUND((((TRUNC($AN548/2,0)+0.99))*VLOOKUP((TRUNC($AN548/2,0)+0.99),'Tax scales - NAT 3539'!$A$14:$C$38,2,1)-VLOOKUP((TRUNC($AN548/2,0)+0.99),'Tax scales - NAT 3539'!$A$14:$C$38,3,1)),0)
*2,
0),
IF(AND($E$2="Monthly",ROUND($AN548-TRUNC($AN548),2)=0.33),
ROUND(
ROUND(((TRUNC(($AN548+0.01)*3/13,0)+0.99)*VLOOKUP((TRUNC(($AN548+0.01)*3/13,0)+0.99),'Tax scales - NAT 3539'!$A$14:$C$38,2,1)-VLOOKUP((TRUNC(($AN548+0.01)*3/13,0)+0.99),'Tax scales - NAT 3539'!$A$14:$C$38,3,1)),0)
*13/3,
0),
IF($E$2="Monthly",
ROUND(
ROUND(((TRUNC($AN548*3/13,0)+0.99)*VLOOKUP((TRUNC($AN548*3/13,0)+0.99),'Tax scales - NAT 3539'!$A$14:$C$38,2,1)-VLOOKUP((TRUNC($AN548*3/13,0)+0.99),'Tax scales - NAT 3539'!$A$14:$C$38,3,1)),0)
*13/3,
0),
""))),
""),
"")</f>
        <v/>
      </c>
      <c r="AV548" s="118" t="str">
        <f>IFERROR(
IF(VLOOKUP($C548,'Employee information'!$B:$M,COLUMNS('Employee information'!$B:$M),0)=22,
IF($E$2="Fortnightly",
ROUND(
ROUND((((TRUNC($AN548/2,0)+0.99))*VLOOKUP((TRUNC($AN548/2,0)+0.99),'Tax scales - NAT 3539'!$A$43:$C$69,2,1)-VLOOKUP((TRUNC($AN548/2,0)+0.99),'Tax scales - NAT 3539'!$A$43:$C$69,3,1)),0)
*2,
0),
IF(AND($E$2="Monthly",ROUND($AN548-TRUNC($AN548),2)=0.33),
ROUND(
ROUND(((TRUNC(($AN548+0.01)*3/13,0)+0.99)*VLOOKUP((TRUNC(($AN548+0.01)*3/13,0)+0.99),'Tax scales - NAT 3539'!$A$43:$C$69,2,1)-VLOOKUP((TRUNC(($AN548+0.01)*3/13,0)+0.99),'Tax scales - NAT 3539'!$A$43:$C$69,3,1)),0)
*13/3,
0),
IF($E$2="Monthly",
ROUND(
ROUND(((TRUNC($AN548*3/13,0)+0.99)*VLOOKUP((TRUNC($AN548*3/13,0)+0.99),'Tax scales - NAT 3539'!$A$43:$C$69,2,1)-VLOOKUP((TRUNC($AN548*3/13,0)+0.99),'Tax scales - NAT 3539'!$A$43:$C$69,3,1)),0)
*13/3,
0),
""))),
""),
"")</f>
        <v/>
      </c>
      <c r="AW548" s="118" t="str">
        <f>IFERROR(
IF(VLOOKUP($C548,'Employee information'!$B:$M,COLUMNS('Employee information'!$B:$M),0)=33,
IF($E$2="Fortnightly",
ROUND(
ROUND((((TRUNC($AN548/2,0)+0.99))*VLOOKUP((TRUNC($AN548/2,0)+0.99),'Tax scales - NAT 3539'!$A$74:$C$94,2,1)-VLOOKUP((TRUNC($AN548/2,0)+0.99),'Tax scales - NAT 3539'!$A$74:$C$94,3,1)),0)
*2,
0),
IF(AND($E$2="Monthly",ROUND($AN548-TRUNC($AN548),2)=0.33),
ROUND(
ROUND(((TRUNC(($AN548+0.01)*3/13,0)+0.99)*VLOOKUP((TRUNC(($AN548+0.01)*3/13,0)+0.99),'Tax scales - NAT 3539'!$A$74:$C$94,2,1)-VLOOKUP((TRUNC(($AN548+0.01)*3/13,0)+0.99),'Tax scales - NAT 3539'!$A$74:$C$94,3,1)),0)
*13/3,
0),
IF($E$2="Monthly",
ROUND(
ROUND(((TRUNC($AN548*3/13,0)+0.99)*VLOOKUP((TRUNC($AN548*3/13,0)+0.99),'Tax scales - NAT 3539'!$A$74:$C$94,2,1)-VLOOKUP((TRUNC($AN548*3/13,0)+0.99),'Tax scales - NAT 3539'!$A$74:$C$94,3,1)),0)
*13/3,
0),
""))),
""),
"")</f>
        <v/>
      </c>
      <c r="AX548" s="118" t="str">
        <f>IFERROR(
IF(VLOOKUP($C548,'Employee information'!$B:$M,COLUMNS('Employee information'!$B:$M),0)=55,
IF($E$2="Fortnightly",
ROUND(
ROUND((((TRUNC($AN548/2,0)+0.99))*VLOOKUP((TRUNC($AN548/2,0)+0.99),'Tax scales - NAT 3539'!$A$99:$C$123,2,1)-VLOOKUP((TRUNC($AN548/2,0)+0.99),'Tax scales - NAT 3539'!$A$99:$C$123,3,1)),0)
*2,
0),
IF(AND($E$2="Monthly",ROUND($AN548-TRUNC($AN548),2)=0.33),
ROUND(
ROUND(((TRUNC(($AN548+0.01)*3/13,0)+0.99)*VLOOKUP((TRUNC(($AN548+0.01)*3/13,0)+0.99),'Tax scales - NAT 3539'!$A$99:$C$123,2,1)-VLOOKUP((TRUNC(($AN548+0.01)*3/13,0)+0.99),'Tax scales - NAT 3539'!$A$99:$C$123,3,1)),0)
*13/3,
0),
IF($E$2="Monthly",
ROUND(
ROUND(((TRUNC($AN548*3/13,0)+0.99)*VLOOKUP((TRUNC($AN548*3/13,0)+0.99),'Tax scales - NAT 3539'!$A$99:$C$123,2,1)-VLOOKUP((TRUNC($AN548*3/13,0)+0.99),'Tax scales - NAT 3539'!$A$99:$C$123,3,1)),0)
*13/3,
0),
""))),
""),
"")</f>
        <v/>
      </c>
      <c r="AY548" s="118" t="str">
        <f>IFERROR(
IF(VLOOKUP($C548,'Employee information'!$B:$M,COLUMNS('Employee information'!$B:$M),0)=66,
IF($E$2="Fortnightly",
ROUND(
ROUND((((TRUNC($AN548/2,0)+0.99))*VLOOKUP((TRUNC($AN548/2,0)+0.99),'Tax scales - NAT 3539'!$A$127:$C$154,2,1)-VLOOKUP((TRUNC($AN548/2,0)+0.99),'Tax scales - NAT 3539'!$A$127:$C$154,3,1)),0)
*2,
0),
IF(AND($E$2="Monthly",ROUND($AN548-TRUNC($AN548),2)=0.33),
ROUND(
ROUND(((TRUNC(($AN548+0.01)*3/13,0)+0.99)*VLOOKUP((TRUNC(($AN548+0.01)*3/13,0)+0.99),'Tax scales - NAT 3539'!$A$127:$C$154,2,1)-VLOOKUP((TRUNC(($AN548+0.01)*3/13,0)+0.99),'Tax scales - NAT 3539'!$A$127:$C$154,3,1)),0)
*13/3,
0),
IF($E$2="Monthly",
ROUND(
ROUND(((TRUNC($AN548*3/13,0)+0.99)*VLOOKUP((TRUNC($AN548*3/13,0)+0.99),'Tax scales - NAT 3539'!$A$127:$C$154,2,1)-VLOOKUP((TRUNC($AN548*3/13,0)+0.99),'Tax scales - NAT 3539'!$A$127:$C$154,3,1)),0)
*13/3,
0),
""))),
""),
"")</f>
        <v/>
      </c>
      <c r="AZ548" s="118">
        <f>IFERROR(
HLOOKUP(VLOOKUP($C548,'Employee information'!$B:$M,COLUMNS('Employee information'!$B:$M),0),'PAYG worksheet'!$AO$532:$AY$551,COUNTA($C$533:$C548)+1,0),
0)</f>
        <v>0</v>
      </c>
      <c r="BA548" s="118"/>
      <c r="BB548" s="118">
        <f t="shared" si="573"/>
        <v>0</v>
      </c>
      <c r="BC548" s="119">
        <f>IFERROR(
IF(OR($AE548=1,$AE548=""),SUM($P548,$AA548,$AC548,$AK548)*VLOOKUP($C548,'Employee information'!$B:$Q,COLUMNS('Employee information'!$B:$H),0),
IF($AE548=0,SUM($P548,$AA548,$AK548)*VLOOKUP($C548,'Employee information'!$B:$Q,COLUMNS('Employee information'!$B:$H),0),
0)),
0)</f>
        <v>0</v>
      </c>
      <c r="BE548" s="114">
        <f t="shared" si="558"/>
        <v>0</v>
      </c>
      <c r="BF548" s="114">
        <f t="shared" si="559"/>
        <v>0</v>
      </c>
      <c r="BG548" s="114">
        <f t="shared" si="560"/>
        <v>0</v>
      </c>
      <c r="BH548" s="114">
        <f t="shared" si="561"/>
        <v>0</v>
      </c>
      <c r="BI548" s="114">
        <f t="shared" si="562"/>
        <v>0</v>
      </c>
      <c r="BJ548" s="114">
        <f t="shared" si="563"/>
        <v>0</v>
      </c>
      <c r="BK548" s="114">
        <f t="shared" si="564"/>
        <v>0</v>
      </c>
      <c r="BL548" s="114">
        <f t="shared" si="574"/>
        <v>0</v>
      </c>
      <c r="BM548" s="114">
        <f t="shared" si="565"/>
        <v>0</v>
      </c>
    </row>
    <row r="549" spans="1:65" x14ac:dyDescent="0.25">
      <c r="A549" s="228">
        <f t="shared" si="553"/>
        <v>19</v>
      </c>
      <c r="C549" s="278"/>
      <c r="E549" s="103">
        <f>IF($C549="",0,
IF(AND($E$2="Monthly",$A549&gt;12),0,
IF($E$2="Monthly",VLOOKUP($C549,'Employee information'!$B:$AM,COLUMNS('Employee information'!$B:S),0),
IF($E$2="Fortnightly",VLOOKUP($C549,'Employee information'!$B:$AM,COLUMNS('Employee information'!$B:R),0),
0))))</f>
        <v>0</v>
      </c>
      <c r="F549" s="106"/>
      <c r="G549" s="106"/>
      <c r="H549" s="106"/>
      <c r="I549" s="106"/>
      <c r="J549" s="103">
        <f t="shared" si="566"/>
        <v>0</v>
      </c>
      <c r="L549" s="113">
        <f>IF(AND($E$2="Monthly",$A549&gt;12),"",
IFERROR($J549*VLOOKUP($C549,'Employee information'!$B:$AI,COLUMNS('Employee information'!$B:$P),0),0))</f>
        <v>0</v>
      </c>
      <c r="M549" s="114">
        <f t="shared" si="567"/>
        <v>0</v>
      </c>
      <c r="O549" s="103">
        <f t="shared" si="568"/>
        <v>0</v>
      </c>
      <c r="P549" s="113">
        <f>IFERROR(
IF(AND($E$2="Monthly",$A549&gt;12),0,
$O549*VLOOKUP($C549,'Employee information'!$B:$AI,COLUMNS('Employee information'!$B:$P),0)),
0)</f>
        <v>0</v>
      </c>
      <c r="R549" s="114">
        <f t="shared" si="554"/>
        <v>0</v>
      </c>
      <c r="T549" s="103"/>
      <c r="U549" s="103"/>
      <c r="V549" s="282" t="str">
        <f>IF($C549="","",
IF(AND($E$2="Monthly",$A549&gt;12),"",
$T549*VLOOKUP($C549,'Employee information'!$B:$P,COLUMNS('Employee information'!$B:$P),0)))</f>
        <v/>
      </c>
      <c r="W549" s="282" t="str">
        <f>IF($C549="","",
IF(AND($E$2="Monthly",$A549&gt;12),"",
$U549*VLOOKUP($C549,'Employee information'!$B:$P,COLUMNS('Employee information'!$B:$P),0)))</f>
        <v/>
      </c>
      <c r="X549" s="114">
        <f t="shared" si="555"/>
        <v>0</v>
      </c>
      <c r="Y549" s="114">
        <f t="shared" si="556"/>
        <v>0</v>
      </c>
      <c r="AA549" s="118">
        <f>IFERROR(
IF(OR('Basic payroll data'!$D$12="",'Basic payroll data'!$D$12="No"),0,
$T549*VLOOKUP($C549,'Employee information'!$B:$P,COLUMNS('Employee information'!$B:$P),0)*AL_loading_perc),
0)</f>
        <v>0</v>
      </c>
      <c r="AC549" s="118"/>
      <c r="AD549" s="118"/>
      <c r="AE549" s="283" t="str">
        <f t="shared" si="569"/>
        <v/>
      </c>
      <c r="AF549" s="283" t="str">
        <f t="shared" si="570"/>
        <v/>
      </c>
      <c r="AG549" s="118"/>
      <c r="AH549" s="118"/>
      <c r="AI549" s="283" t="str">
        <f t="shared" si="571"/>
        <v/>
      </c>
      <c r="AJ549" s="118"/>
      <c r="AK549" s="118"/>
      <c r="AM549" s="118">
        <f t="shared" si="572"/>
        <v>0</v>
      </c>
      <c r="AN549" s="118">
        <f t="shared" si="557"/>
        <v>0</v>
      </c>
      <c r="AO549" s="118" t="str">
        <f>IFERROR(
IF(VLOOKUP($C549,'Employee information'!$B:$M,COLUMNS('Employee information'!$B:$M),0)=1,
IF($E$2="Fortnightly",
ROUND(
ROUND((((TRUNC($AN549/2,0)+0.99))*VLOOKUP((TRUNC($AN549/2,0)+0.99),'Tax scales - NAT 1004'!$A$12:$C$18,2,1)-VLOOKUP((TRUNC($AN549/2,0)+0.99),'Tax scales - NAT 1004'!$A$12:$C$18,3,1)),0)
*2,
0),
IF(AND($E$2="Monthly",ROUND($AN549-TRUNC($AN549),2)=0.33),
ROUND(
ROUND(((TRUNC(($AN549+0.01)*3/13,0)+0.99)*VLOOKUP((TRUNC(($AN549+0.01)*3/13,0)+0.99),'Tax scales - NAT 1004'!$A$12:$C$18,2,1)-VLOOKUP((TRUNC(($AN549+0.01)*3/13,0)+0.99),'Tax scales - NAT 1004'!$A$12:$C$18,3,1)),0)
*13/3,
0),
IF($E$2="Monthly",
ROUND(
ROUND(((TRUNC($AN549*3/13,0)+0.99)*VLOOKUP((TRUNC($AN549*3/13,0)+0.99),'Tax scales - NAT 1004'!$A$12:$C$18,2,1)-VLOOKUP((TRUNC($AN549*3/13,0)+0.99),'Tax scales - NAT 1004'!$A$12:$C$18,3,1)),0)
*13/3,
0),
""))),
""),
"")</f>
        <v/>
      </c>
      <c r="AP549" s="118" t="str">
        <f>IFERROR(
IF(VLOOKUP($C549,'Employee information'!$B:$M,COLUMNS('Employee information'!$B:$M),0)=2,
IF($E$2="Fortnightly",
ROUND(
ROUND((((TRUNC($AN549/2,0)+0.99))*VLOOKUP((TRUNC($AN549/2,0)+0.99),'Tax scales - NAT 1004'!$A$25:$C$33,2,1)-VLOOKUP((TRUNC($AN549/2,0)+0.99),'Tax scales - NAT 1004'!$A$25:$C$33,3,1)),0)
*2,
0),
IF(AND($E$2="Monthly",ROUND($AN549-TRUNC($AN549),2)=0.33),
ROUND(
ROUND(((TRUNC(($AN549+0.01)*3/13,0)+0.99)*VLOOKUP((TRUNC(($AN549+0.01)*3/13,0)+0.99),'Tax scales - NAT 1004'!$A$25:$C$33,2,1)-VLOOKUP((TRUNC(($AN549+0.01)*3/13,0)+0.99),'Tax scales - NAT 1004'!$A$25:$C$33,3,1)),0)
*13/3,
0),
IF($E$2="Monthly",
ROUND(
ROUND(((TRUNC($AN549*3/13,0)+0.99)*VLOOKUP((TRUNC($AN549*3/13,0)+0.99),'Tax scales - NAT 1004'!$A$25:$C$33,2,1)-VLOOKUP((TRUNC($AN549*3/13,0)+0.99),'Tax scales - NAT 1004'!$A$25:$C$33,3,1)),0)
*13/3,
0),
""))),
""),
"")</f>
        <v/>
      </c>
      <c r="AQ549" s="118" t="str">
        <f>IFERROR(
IF(VLOOKUP($C549,'Employee information'!$B:$M,COLUMNS('Employee information'!$B:$M),0)=3,
IF($E$2="Fortnightly",
ROUND(
ROUND((((TRUNC($AN549/2,0)+0.99))*VLOOKUP((TRUNC($AN549/2,0)+0.99),'Tax scales - NAT 1004'!$A$39:$C$41,2,1)-VLOOKUP((TRUNC($AN549/2,0)+0.99),'Tax scales - NAT 1004'!$A$39:$C$41,3,1)),0)
*2,
0),
IF(AND($E$2="Monthly",ROUND($AN549-TRUNC($AN549),2)=0.33),
ROUND(
ROUND(((TRUNC(($AN549+0.01)*3/13,0)+0.99)*VLOOKUP((TRUNC(($AN549+0.01)*3/13,0)+0.99),'Tax scales - NAT 1004'!$A$39:$C$41,2,1)-VLOOKUP((TRUNC(($AN549+0.01)*3/13,0)+0.99),'Tax scales - NAT 1004'!$A$39:$C$41,3,1)),0)
*13/3,
0),
IF($E$2="Monthly",
ROUND(
ROUND(((TRUNC($AN549*3/13,0)+0.99)*VLOOKUP((TRUNC($AN549*3/13,0)+0.99),'Tax scales - NAT 1004'!$A$39:$C$41,2,1)-VLOOKUP((TRUNC($AN549*3/13,0)+0.99),'Tax scales - NAT 1004'!$A$39:$C$41,3,1)),0)
*13/3,
0),
""))),
""),
"")</f>
        <v/>
      </c>
      <c r="AR549" s="118" t="str">
        <f>IFERROR(
IF(AND(VLOOKUP($C549,'Employee information'!$B:$M,COLUMNS('Employee information'!$B:$M),0)=4,
VLOOKUP($C549,'Employee information'!$B:$J,COLUMNS('Employee information'!$B:$J),0)="Resident"),
TRUNC(TRUNC($AN549)*'Tax scales - NAT 1004'!$B$47),
IF(AND(VLOOKUP($C549,'Employee information'!$B:$M,COLUMNS('Employee information'!$B:$M),0)=4,
VLOOKUP($C549,'Employee information'!$B:$J,COLUMNS('Employee information'!$B:$J),0)="Foreign resident"),
TRUNC(TRUNC($AN549)*'Tax scales - NAT 1004'!$B$48),
"")),
"")</f>
        <v/>
      </c>
      <c r="AS549" s="118" t="str">
        <f>IFERROR(
IF(VLOOKUP($C549,'Employee information'!$B:$M,COLUMNS('Employee information'!$B:$M),0)=5,
IF($E$2="Fortnightly",
ROUND(
ROUND((((TRUNC($AN549/2,0)+0.99))*VLOOKUP((TRUNC($AN549/2,0)+0.99),'Tax scales - NAT 1004'!$A$53:$C$59,2,1)-VLOOKUP((TRUNC($AN549/2,0)+0.99),'Tax scales - NAT 1004'!$A$53:$C$59,3,1)),0)
*2,
0),
IF(AND($E$2="Monthly",ROUND($AN549-TRUNC($AN549),2)=0.33),
ROUND(
ROUND(((TRUNC(($AN549+0.01)*3/13,0)+0.99)*VLOOKUP((TRUNC(($AN549+0.01)*3/13,0)+0.99),'Tax scales - NAT 1004'!$A$53:$C$59,2,1)-VLOOKUP((TRUNC(($AN549+0.01)*3/13,0)+0.99),'Tax scales - NAT 1004'!$A$53:$C$59,3,1)),0)
*13/3,
0),
IF($E$2="Monthly",
ROUND(
ROUND(((TRUNC($AN549*3/13,0)+0.99)*VLOOKUP((TRUNC($AN549*3/13,0)+0.99),'Tax scales - NAT 1004'!$A$53:$C$59,2,1)-VLOOKUP((TRUNC($AN549*3/13,0)+0.99),'Tax scales - NAT 1004'!$A$53:$C$59,3,1)),0)
*13/3,
0),
""))),
""),
"")</f>
        <v/>
      </c>
      <c r="AT549" s="118" t="str">
        <f>IFERROR(
IF(VLOOKUP($C549,'Employee information'!$B:$M,COLUMNS('Employee information'!$B:$M),0)=6,
IF($E$2="Fortnightly",
ROUND(
ROUND((((TRUNC($AN549/2,0)+0.99))*VLOOKUP((TRUNC($AN549/2,0)+0.99),'Tax scales - NAT 1004'!$A$65:$C$73,2,1)-VLOOKUP((TRUNC($AN549/2,0)+0.99),'Tax scales - NAT 1004'!$A$65:$C$73,3,1)),0)
*2,
0),
IF(AND($E$2="Monthly",ROUND($AN549-TRUNC($AN549),2)=0.33),
ROUND(
ROUND(((TRUNC(($AN549+0.01)*3/13,0)+0.99)*VLOOKUP((TRUNC(($AN549+0.01)*3/13,0)+0.99),'Tax scales - NAT 1004'!$A$65:$C$73,2,1)-VLOOKUP((TRUNC(($AN549+0.01)*3/13,0)+0.99),'Tax scales - NAT 1004'!$A$65:$C$73,3,1)),0)
*13/3,
0),
IF($E$2="Monthly",
ROUND(
ROUND(((TRUNC($AN549*3/13,0)+0.99)*VLOOKUP((TRUNC($AN549*3/13,0)+0.99),'Tax scales - NAT 1004'!$A$65:$C$73,2,1)-VLOOKUP((TRUNC($AN549*3/13,0)+0.99),'Tax scales - NAT 1004'!$A$65:$C$73,3,1)),0)
*13/3,
0),
""))),
""),
"")</f>
        <v/>
      </c>
      <c r="AU549" s="118" t="str">
        <f>IFERROR(
IF(VLOOKUP($C549,'Employee information'!$B:$M,COLUMNS('Employee information'!$B:$M),0)=11,
IF($E$2="Fortnightly",
ROUND(
ROUND((((TRUNC($AN549/2,0)+0.99))*VLOOKUP((TRUNC($AN549/2,0)+0.99),'Tax scales - NAT 3539'!$A$14:$C$38,2,1)-VLOOKUP((TRUNC($AN549/2,0)+0.99),'Tax scales - NAT 3539'!$A$14:$C$38,3,1)),0)
*2,
0),
IF(AND($E$2="Monthly",ROUND($AN549-TRUNC($AN549),2)=0.33),
ROUND(
ROUND(((TRUNC(($AN549+0.01)*3/13,0)+0.99)*VLOOKUP((TRUNC(($AN549+0.01)*3/13,0)+0.99),'Tax scales - NAT 3539'!$A$14:$C$38,2,1)-VLOOKUP((TRUNC(($AN549+0.01)*3/13,0)+0.99),'Tax scales - NAT 3539'!$A$14:$C$38,3,1)),0)
*13/3,
0),
IF($E$2="Monthly",
ROUND(
ROUND(((TRUNC($AN549*3/13,0)+0.99)*VLOOKUP((TRUNC($AN549*3/13,0)+0.99),'Tax scales - NAT 3539'!$A$14:$C$38,2,1)-VLOOKUP((TRUNC($AN549*3/13,0)+0.99),'Tax scales - NAT 3539'!$A$14:$C$38,3,1)),0)
*13/3,
0),
""))),
""),
"")</f>
        <v/>
      </c>
      <c r="AV549" s="118" t="str">
        <f>IFERROR(
IF(VLOOKUP($C549,'Employee information'!$B:$M,COLUMNS('Employee information'!$B:$M),0)=22,
IF($E$2="Fortnightly",
ROUND(
ROUND((((TRUNC($AN549/2,0)+0.99))*VLOOKUP((TRUNC($AN549/2,0)+0.99),'Tax scales - NAT 3539'!$A$43:$C$69,2,1)-VLOOKUP((TRUNC($AN549/2,0)+0.99),'Tax scales - NAT 3539'!$A$43:$C$69,3,1)),0)
*2,
0),
IF(AND($E$2="Monthly",ROUND($AN549-TRUNC($AN549),2)=0.33),
ROUND(
ROUND(((TRUNC(($AN549+0.01)*3/13,0)+0.99)*VLOOKUP((TRUNC(($AN549+0.01)*3/13,0)+0.99),'Tax scales - NAT 3539'!$A$43:$C$69,2,1)-VLOOKUP((TRUNC(($AN549+0.01)*3/13,0)+0.99),'Tax scales - NAT 3539'!$A$43:$C$69,3,1)),0)
*13/3,
0),
IF($E$2="Monthly",
ROUND(
ROUND(((TRUNC($AN549*3/13,0)+0.99)*VLOOKUP((TRUNC($AN549*3/13,0)+0.99),'Tax scales - NAT 3539'!$A$43:$C$69,2,1)-VLOOKUP((TRUNC($AN549*3/13,0)+0.99),'Tax scales - NAT 3539'!$A$43:$C$69,3,1)),0)
*13/3,
0),
""))),
""),
"")</f>
        <v/>
      </c>
      <c r="AW549" s="118" t="str">
        <f>IFERROR(
IF(VLOOKUP($C549,'Employee information'!$B:$M,COLUMNS('Employee information'!$B:$M),0)=33,
IF($E$2="Fortnightly",
ROUND(
ROUND((((TRUNC($AN549/2,0)+0.99))*VLOOKUP((TRUNC($AN549/2,0)+0.99),'Tax scales - NAT 3539'!$A$74:$C$94,2,1)-VLOOKUP((TRUNC($AN549/2,0)+0.99),'Tax scales - NAT 3539'!$A$74:$C$94,3,1)),0)
*2,
0),
IF(AND($E$2="Monthly",ROUND($AN549-TRUNC($AN549),2)=0.33),
ROUND(
ROUND(((TRUNC(($AN549+0.01)*3/13,0)+0.99)*VLOOKUP((TRUNC(($AN549+0.01)*3/13,0)+0.99),'Tax scales - NAT 3539'!$A$74:$C$94,2,1)-VLOOKUP((TRUNC(($AN549+0.01)*3/13,0)+0.99),'Tax scales - NAT 3539'!$A$74:$C$94,3,1)),0)
*13/3,
0),
IF($E$2="Monthly",
ROUND(
ROUND(((TRUNC($AN549*3/13,0)+0.99)*VLOOKUP((TRUNC($AN549*3/13,0)+0.99),'Tax scales - NAT 3539'!$A$74:$C$94,2,1)-VLOOKUP((TRUNC($AN549*3/13,0)+0.99),'Tax scales - NAT 3539'!$A$74:$C$94,3,1)),0)
*13/3,
0),
""))),
""),
"")</f>
        <v/>
      </c>
      <c r="AX549" s="118" t="str">
        <f>IFERROR(
IF(VLOOKUP($C549,'Employee information'!$B:$M,COLUMNS('Employee information'!$B:$M),0)=55,
IF($E$2="Fortnightly",
ROUND(
ROUND((((TRUNC($AN549/2,0)+0.99))*VLOOKUP((TRUNC($AN549/2,0)+0.99),'Tax scales - NAT 3539'!$A$99:$C$123,2,1)-VLOOKUP((TRUNC($AN549/2,0)+0.99),'Tax scales - NAT 3539'!$A$99:$C$123,3,1)),0)
*2,
0),
IF(AND($E$2="Monthly",ROUND($AN549-TRUNC($AN549),2)=0.33),
ROUND(
ROUND(((TRUNC(($AN549+0.01)*3/13,0)+0.99)*VLOOKUP((TRUNC(($AN549+0.01)*3/13,0)+0.99),'Tax scales - NAT 3539'!$A$99:$C$123,2,1)-VLOOKUP((TRUNC(($AN549+0.01)*3/13,0)+0.99),'Tax scales - NAT 3539'!$A$99:$C$123,3,1)),0)
*13/3,
0),
IF($E$2="Monthly",
ROUND(
ROUND(((TRUNC($AN549*3/13,0)+0.99)*VLOOKUP((TRUNC($AN549*3/13,0)+0.99),'Tax scales - NAT 3539'!$A$99:$C$123,2,1)-VLOOKUP((TRUNC($AN549*3/13,0)+0.99),'Tax scales - NAT 3539'!$A$99:$C$123,3,1)),0)
*13/3,
0),
""))),
""),
"")</f>
        <v/>
      </c>
      <c r="AY549" s="118" t="str">
        <f>IFERROR(
IF(VLOOKUP($C549,'Employee information'!$B:$M,COLUMNS('Employee information'!$B:$M),0)=66,
IF($E$2="Fortnightly",
ROUND(
ROUND((((TRUNC($AN549/2,0)+0.99))*VLOOKUP((TRUNC($AN549/2,0)+0.99),'Tax scales - NAT 3539'!$A$127:$C$154,2,1)-VLOOKUP((TRUNC($AN549/2,0)+0.99),'Tax scales - NAT 3539'!$A$127:$C$154,3,1)),0)
*2,
0),
IF(AND($E$2="Monthly",ROUND($AN549-TRUNC($AN549),2)=0.33),
ROUND(
ROUND(((TRUNC(($AN549+0.01)*3/13,0)+0.99)*VLOOKUP((TRUNC(($AN549+0.01)*3/13,0)+0.99),'Tax scales - NAT 3539'!$A$127:$C$154,2,1)-VLOOKUP((TRUNC(($AN549+0.01)*3/13,0)+0.99),'Tax scales - NAT 3539'!$A$127:$C$154,3,1)),0)
*13/3,
0),
IF($E$2="Monthly",
ROUND(
ROUND(((TRUNC($AN549*3/13,0)+0.99)*VLOOKUP((TRUNC($AN549*3/13,0)+0.99),'Tax scales - NAT 3539'!$A$127:$C$154,2,1)-VLOOKUP((TRUNC($AN549*3/13,0)+0.99),'Tax scales - NAT 3539'!$A$127:$C$154,3,1)),0)
*13/3,
0),
""))),
""),
"")</f>
        <v/>
      </c>
      <c r="AZ549" s="118">
        <f>IFERROR(
HLOOKUP(VLOOKUP($C549,'Employee information'!$B:$M,COLUMNS('Employee information'!$B:$M),0),'PAYG worksheet'!$AO$532:$AY$551,COUNTA($C$533:$C549)+1,0),
0)</f>
        <v>0</v>
      </c>
      <c r="BA549" s="118"/>
      <c r="BB549" s="118">
        <f t="shared" si="573"/>
        <v>0</v>
      </c>
      <c r="BC549" s="119">
        <f>IFERROR(
IF(OR($AE549=1,$AE549=""),SUM($P549,$AA549,$AC549,$AK549)*VLOOKUP($C549,'Employee information'!$B:$Q,COLUMNS('Employee information'!$B:$H),0),
IF($AE549=0,SUM($P549,$AA549,$AK549)*VLOOKUP($C549,'Employee information'!$B:$Q,COLUMNS('Employee information'!$B:$H),0),
0)),
0)</f>
        <v>0</v>
      </c>
      <c r="BE549" s="114">
        <f t="shared" si="558"/>
        <v>0</v>
      </c>
      <c r="BF549" s="114">
        <f t="shared" si="559"/>
        <v>0</v>
      </c>
      <c r="BG549" s="114">
        <f t="shared" si="560"/>
        <v>0</v>
      </c>
      <c r="BH549" s="114">
        <f t="shared" si="561"/>
        <v>0</v>
      </c>
      <c r="BI549" s="114">
        <f t="shared" si="562"/>
        <v>0</v>
      </c>
      <c r="BJ549" s="114">
        <f t="shared" si="563"/>
        <v>0</v>
      </c>
      <c r="BK549" s="114">
        <f t="shared" si="564"/>
        <v>0</v>
      </c>
      <c r="BL549" s="114">
        <f t="shared" si="574"/>
        <v>0</v>
      </c>
      <c r="BM549" s="114">
        <f t="shared" si="565"/>
        <v>0</v>
      </c>
    </row>
    <row r="550" spans="1:65" x14ac:dyDescent="0.25">
      <c r="A550" s="228">
        <f t="shared" si="553"/>
        <v>19</v>
      </c>
      <c r="C550" s="278"/>
      <c r="E550" s="103">
        <f>IF($C550="",0,
IF(AND($E$2="Monthly",$A550&gt;12),0,
IF($E$2="Monthly",VLOOKUP($C550,'Employee information'!$B:$AM,COLUMNS('Employee information'!$B:S),0),
IF($E$2="Fortnightly",VLOOKUP($C550,'Employee information'!$B:$AM,COLUMNS('Employee information'!$B:R),0),
0))))</f>
        <v>0</v>
      </c>
      <c r="F550" s="106"/>
      <c r="G550" s="106"/>
      <c r="H550" s="106"/>
      <c r="I550" s="106"/>
      <c r="J550" s="103">
        <f t="shared" si="566"/>
        <v>0</v>
      </c>
      <c r="L550" s="113">
        <f>IF(AND($E$2="Monthly",$A550&gt;12),"",
IFERROR($J550*VLOOKUP($C550,'Employee information'!$B:$AI,COLUMNS('Employee information'!$B:$P),0),0))</f>
        <v>0</v>
      </c>
      <c r="M550" s="114">
        <f t="shared" si="567"/>
        <v>0</v>
      </c>
      <c r="O550" s="103">
        <f t="shared" si="568"/>
        <v>0</v>
      </c>
      <c r="P550" s="113">
        <f>IFERROR(
IF(AND($E$2="Monthly",$A550&gt;12),0,
$O550*VLOOKUP($C550,'Employee information'!$B:$AI,COLUMNS('Employee information'!$B:$P),0)),
0)</f>
        <v>0</v>
      </c>
      <c r="R550" s="114">
        <f t="shared" si="554"/>
        <v>0</v>
      </c>
      <c r="T550" s="103"/>
      <c r="U550" s="103"/>
      <c r="V550" s="282" t="str">
        <f>IF($C550="","",
IF(AND($E$2="Monthly",$A550&gt;12),"",
$T550*VLOOKUP($C550,'Employee information'!$B:$P,COLUMNS('Employee information'!$B:$P),0)))</f>
        <v/>
      </c>
      <c r="W550" s="282" t="str">
        <f>IF($C550="","",
IF(AND($E$2="Monthly",$A550&gt;12),"",
$U550*VLOOKUP($C550,'Employee information'!$B:$P,COLUMNS('Employee information'!$B:$P),0)))</f>
        <v/>
      </c>
      <c r="X550" s="114">
        <f t="shared" si="555"/>
        <v>0</v>
      </c>
      <c r="Y550" s="114">
        <f t="shared" si="556"/>
        <v>0</v>
      </c>
      <c r="AA550" s="118">
        <f>IFERROR(
IF(OR('Basic payroll data'!$D$12="",'Basic payroll data'!$D$12="No"),0,
$T550*VLOOKUP($C550,'Employee information'!$B:$P,COLUMNS('Employee information'!$B:$P),0)*AL_loading_perc),
0)</f>
        <v>0</v>
      </c>
      <c r="AC550" s="118"/>
      <c r="AD550" s="118"/>
      <c r="AE550" s="283" t="str">
        <f t="shared" si="569"/>
        <v/>
      </c>
      <c r="AF550" s="283" t="str">
        <f t="shared" si="570"/>
        <v/>
      </c>
      <c r="AG550" s="118"/>
      <c r="AH550" s="118"/>
      <c r="AI550" s="283" t="str">
        <f t="shared" si="571"/>
        <v/>
      </c>
      <c r="AJ550" s="118"/>
      <c r="AK550" s="118"/>
      <c r="AM550" s="118">
        <f t="shared" si="572"/>
        <v>0</v>
      </c>
      <c r="AN550" s="118">
        <f t="shared" si="557"/>
        <v>0</v>
      </c>
      <c r="AO550" s="118" t="str">
        <f>IFERROR(
IF(VLOOKUP($C550,'Employee information'!$B:$M,COLUMNS('Employee information'!$B:$M),0)=1,
IF($E$2="Fortnightly",
ROUND(
ROUND((((TRUNC($AN550/2,0)+0.99))*VLOOKUP((TRUNC($AN550/2,0)+0.99),'Tax scales - NAT 1004'!$A$12:$C$18,2,1)-VLOOKUP((TRUNC($AN550/2,0)+0.99),'Tax scales - NAT 1004'!$A$12:$C$18,3,1)),0)
*2,
0),
IF(AND($E$2="Monthly",ROUND($AN550-TRUNC($AN550),2)=0.33),
ROUND(
ROUND(((TRUNC(($AN550+0.01)*3/13,0)+0.99)*VLOOKUP((TRUNC(($AN550+0.01)*3/13,0)+0.99),'Tax scales - NAT 1004'!$A$12:$C$18,2,1)-VLOOKUP((TRUNC(($AN550+0.01)*3/13,0)+0.99),'Tax scales - NAT 1004'!$A$12:$C$18,3,1)),0)
*13/3,
0),
IF($E$2="Monthly",
ROUND(
ROUND(((TRUNC($AN550*3/13,0)+0.99)*VLOOKUP((TRUNC($AN550*3/13,0)+0.99),'Tax scales - NAT 1004'!$A$12:$C$18,2,1)-VLOOKUP((TRUNC($AN550*3/13,0)+0.99),'Tax scales - NAT 1004'!$A$12:$C$18,3,1)),0)
*13/3,
0),
""))),
""),
"")</f>
        <v/>
      </c>
      <c r="AP550" s="118" t="str">
        <f>IFERROR(
IF(VLOOKUP($C550,'Employee information'!$B:$M,COLUMNS('Employee information'!$B:$M),0)=2,
IF($E$2="Fortnightly",
ROUND(
ROUND((((TRUNC($AN550/2,0)+0.99))*VLOOKUP((TRUNC($AN550/2,0)+0.99),'Tax scales - NAT 1004'!$A$25:$C$33,2,1)-VLOOKUP((TRUNC($AN550/2,0)+0.99),'Tax scales - NAT 1004'!$A$25:$C$33,3,1)),0)
*2,
0),
IF(AND($E$2="Monthly",ROUND($AN550-TRUNC($AN550),2)=0.33),
ROUND(
ROUND(((TRUNC(($AN550+0.01)*3/13,0)+0.99)*VLOOKUP((TRUNC(($AN550+0.01)*3/13,0)+0.99),'Tax scales - NAT 1004'!$A$25:$C$33,2,1)-VLOOKUP((TRUNC(($AN550+0.01)*3/13,0)+0.99),'Tax scales - NAT 1004'!$A$25:$C$33,3,1)),0)
*13/3,
0),
IF($E$2="Monthly",
ROUND(
ROUND(((TRUNC($AN550*3/13,0)+0.99)*VLOOKUP((TRUNC($AN550*3/13,0)+0.99),'Tax scales - NAT 1004'!$A$25:$C$33,2,1)-VLOOKUP((TRUNC($AN550*3/13,0)+0.99),'Tax scales - NAT 1004'!$A$25:$C$33,3,1)),0)
*13/3,
0),
""))),
""),
"")</f>
        <v/>
      </c>
      <c r="AQ550" s="118" t="str">
        <f>IFERROR(
IF(VLOOKUP($C550,'Employee information'!$B:$M,COLUMNS('Employee information'!$B:$M),0)=3,
IF($E$2="Fortnightly",
ROUND(
ROUND((((TRUNC($AN550/2,0)+0.99))*VLOOKUP((TRUNC($AN550/2,0)+0.99),'Tax scales - NAT 1004'!$A$39:$C$41,2,1)-VLOOKUP((TRUNC($AN550/2,0)+0.99),'Tax scales - NAT 1004'!$A$39:$C$41,3,1)),0)
*2,
0),
IF(AND($E$2="Monthly",ROUND($AN550-TRUNC($AN550),2)=0.33),
ROUND(
ROUND(((TRUNC(($AN550+0.01)*3/13,0)+0.99)*VLOOKUP((TRUNC(($AN550+0.01)*3/13,0)+0.99),'Tax scales - NAT 1004'!$A$39:$C$41,2,1)-VLOOKUP((TRUNC(($AN550+0.01)*3/13,0)+0.99),'Tax scales - NAT 1004'!$A$39:$C$41,3,1)),0)
*13/3,
0),
IF($E$2="Monthly",
ROUND(
ROUND(((TRUNC($AN550*3/13,0)+0.99)*VLOOKUP((TRUNC($AN550*3/13,0)+0.99),'Tax scales - NAT 1004'!$A$39:$C$41,2,1)-VLOOKUP((TRUNC($AN550*3/13,0)+0.99),'Tax scales - NAT 1004'!$A$39:$C$41,3,1)),0)
*13/3,
0),
""))),
""),
"")</f>
        <v/>
      </c>
      <c r="AR550" s="118" t="str">
        <f>IFERROR(
IF(AND(VLOOKUP($C550,'Employee information'!$B:$M,COLUMNS('Employee information'!$B:$M),0)=4,
VLOOKUP($C550,'Employee information'!$B:$J,COLUMNS('Employee information'!$B:$J),0)="Resident"),
TRUNC(TRUNC($AN550)*'Tax scales - NAT 1004'!$B$47),
IF(AND(VLOOKUP($C550,'Employee information'!$B:$M,COLUMNS('Employee information'!$B:$M),0)=4,
VLOOKUP($C550,'Employee information'!$B:$J,COLUMNS('Employee information'!$B:$J),0)="Foreign resident"),
TRUNC(TRUNC($AN550)*'Tax scales - NAT 1004'!$B$48),
"")),
"")</f>
        <v/>
      </c>
      <c r="AS550" s="118" t="str">
        <f>IFERROR(
IF(VLOOKUP($C550,'Employee information'!$B:$M,COLUMNS('Employee information'!$B:$M),0)=5,
IF($E$2="Fortnightly",
ROUND(
ROUND((((TRUNC($AN550/2,0)+0.99))*VLOOKUP((TRUNC($AN550/2,0)+0.99),'Tax scales - NAT 1004'!$A$53:$C$59,2,1)-VLOOKUP((TRUNC($AN550/2,0)+0.99),'Tax scales - NAT 1004'!$A$53:$C$59,3,1)),0)
*2,
0),
IF(AND($E$2="Monthly",ROUND($AN550-TRUNC($AN550),2)=0.33),
ROUND(
ROUND(((TRUNC(($AN550+0.01)*3/13,0)+0.99)*VLOOKUP((TRUNC(($AN550+0.01)*3/13,0)+0.99),'Tax scales - NAT 1004'!$A$53:$C$59,2,1)-VLOOKUP((TRUNC(($AN550+0.01)*3/13,0)+0.99),'Tax scales - NAT 1004'!$A$53:$C$59,3,1)),0)
*13/3,
0),
IF($E$2="Monthly",
ROUND(
ROUND(((TRUNC($AN550*3/13,0)+0.99)*VLOOKUP((TRUNC($AN550*3/13,0)+0.99),'Tax scales - NAT 1004'!$A$53:$C$59,2,1)-VLOOKUP((TRUNC($AN550*3/13,0)+0.99),'Tax scales - NAT 1004'!$A$53:$C$59,3,1)),0)
*13/3,
0),
""))),
""),
"")</f>
        <v/>
      </c>
      <c r="AT550" s="118" t="str">
        <f>IFERROR(
IF(VLOOKUP($C550,'Employee information'!$B:$M,COLUMNS('Employee information'!$B:$M),0)=6,
IF($E$2="Fortnightly",
ROUND(
ROUND((((TRUNC($AN550/2,0)+0.99))*VLOOKUP((TRUNC($AN550/2,0)+0.99),'Tax scales - NAT 1004'!$A$65:$C$73,2,1)-VLOOKUP((TRUNC($AN550/2,0)+0.99),'Tax scales - NAT 1004'!$A$65:$C$73,3,1)),0)
*2,
0),
IF(AND($E$2="Monthly",ROUND($AN550-TRUNC($AN550),2)=0.33),
ROUND(
ROUND(((TRUNC(($AN550+0.01)*3/13,0)+0.99)*VLOOKUP((TRUNC(($AN550+0.01)*3/13,0)+0.99),'Tax scales - NAT 1004'!$A$65:$C$73,2,1)-VLOOKUP((TRUNC(($AN550+0.01)*3/13,0)+0.99),'Tax scales - NAT 1004'!$A$65:$C$73,3,1)),0)
*13/3,
0),
IF($E$2="Monthly",
ROUND(
ROUND(((TRUNC($AN550*3/13,0)+0.99)*VLOOKUP((TRUNC($AN550*3/13,0)+0.99),'Tax scales - NAT 1004'!$A$65:$C$73,2,1)-VLOOKUP((TRUNC($AN550*3/13,0)+0.99),'Tax scales - NAT 1004'!$A$65:$C$73,3,1)),0)
*13/3,
0),
""))),
""),
"")</f>
        <v/>
      </c>
      <c r="AU550" s="118" t="str">
        <f>IFERROR(
IF(VLOOKUP($C550,'Employee information'!$B:$M,COLUMNS('Employee information'!$B:$M),0)=11,
IF($E$2="Fortnightly",
ROUND(
ROUND((((TRUNC($AN550/2,0)+0.99))*VLOOKUP((TRUNC($AN550/2,0)+0.99),'Tax scales - NAT 3539'!$A$14:$C$38,2,1)-VLOOKUP((TRUNC($AN550/2,0)+0.99),'Tax scales - NAT 3539'!$A$14:$C$38,3,1)),0)
*2,
0),
IF(AND($E$2="Monthly",ROUND($AN550-TRUNC($AN550),2)=0.33),
ROUND(
ROUND(((TRUNC(($AN550+0.01)*3/13,0)+0.99)*VLOOKUP((TRUNC(($AN550+0.01)*3/13,0)+0.99),'Tax scales - NAT 3539'!$A$14:$C$38,2,1)-VLOOKUP((TRUNC(($AN550+0.01)*3/13,0)+0.99),'Tax scales - NAT 3539'!$A$14:$C$38,3,1)),0)
*13/3,
0),
IF($E$2="Monthly",
ROUND(
ROUND(((TRUNC($AN550*3/13,0)+0.99)*VLOOKUP((TRUNC($AN550*3/13,0)+0.99),'Tax scales - NAT 3539'!$A$14:$C$38,2,1)-VLOOKUP((TRUNC($AN550*3/13,0)+0.99),'Tax scales - NAT 3539'!$A$14:$C$38,3,1)),0)
*13/3,
0),
""))),
""),
"")</f>
        <v/>
      </c>
      <c r="AV550" s="118" t="str">
        <f>IFERROR(
IF(VLOOKUP($C550,'Employee information'!$B:$M,COLUMNS('Employee information'!$B:$M),0)=22,
IF($E$2="Fortnightly",
ROUND(
ROUND((((TRUNC($AN550/2,0)+0.99))*VLOOKUP((TRUNC($AN550/2,0)+0.99),'Tax scales - NAT 3539'!$A$43:$C$69,2,1)-VLOOKUP((TRUNC($AN550/2,0)+0.99),'Tax scales - NAT 3539'!$A$43:$C$69,3,1)),0)
*2,
0),
IF(AND($E$2="Monthly",ROUND($AN550-TRUNC($AN550),2)=0.33),
ROUND(
ROUND(((TRUNC(($AN550+0.01)*3/13,0)+0.99)*VLOOKUP((TRUNC(($AN550+0.01)*3/13,0)+0.99),'Tax scales - NAT 3539'!$A$43:$C$69,2,1)-VLOOKUP((TRUNC(($AN550+0.01)*3/13,0)+0.99),'Tax scales - NAT 3539'!$A$43:$C$69,3,1)),0)
*13/3,
0),
IF($E$2="Monthly",
ROUND(
ROUND(((TRUNC($AN550*3/13,0)+0.99)*VLOOKUP((TRUNC($AN550*3/13,0)+0.99),'Tax scales - NAT 3539'!$A$43:$C$69,2,1)-VLOOKUP((TRUNC($AN550*3/13,0)+0.99),'Tax scales - NAT 3539'!$A$43:$C$69,3,1)),0)
*13/3,
0),
""))),
""),
"")</f>
        <v/>
      </c>
      <c r="AW550" s="118" t="str">
        <f>IFERROR(
IF(VLOOKUP($C550,'Employee information'!$B:$M,COLUMNS('Employee information'!$B:$M),0)=33,
IF($E$2="Fortnightly",
ROUND(
ROUND((((TRUNC($AN550/2,0)+0.99))*VLOOKUP((TRUNC($AN550/2,0)+0.99),'Tax scales - NAT 3539'!$A$74:$C$94,2,1)-VLOOKUP((TRUNC($AN550/2,0)+0.99),'Tax scales - NAT 3539'!$A$74:$C$94,3,1)),0)
*2,
0),
IF(AND($E$2="Monthly",ROUND($AN550-TRUNC($AN550),2)=0.33),
ROUND(
ROUND(((TRUNC(($AN550+0.01)*3/13,0)+0.99)*VLOOKUP((TRUNC(($AN550+0.01)*3/13,0)+0.99),'Tax scales - NAT 3539'!$A$74:$C$94,2,1)-VLOOKUP((TRUNC(($AN550+0.01)*3/13,0)+0.99),'Tax scales - NAT 3539'!$A$74:$C$94,3,1)),0)
*13/3,
0),
IF($E$2="Monthly",
ROUND(
ROUND(((TRUNC($AN550*3/13,0)+0.99)*VLOOKUP((TRUNC($AN550*3/13,0)+0.99),'Tax scales - NAT 3539'!$A$74:$C$94,2,1)-VLOOKUP((TRUNC($AN550*3/13,0)+0.99),'Tax scales - NAT 3539'!$A$74:$C$94,3,1)),0)
*13/3,
0),
""))),
""),
"")</f>
        <v/>
      </c>
      <c r="AX550" s="118" t="str">
        <f>IFERROR(
IF(VLOOKUP($C550,'Employee information'!$B:$M,COLUMNS('Employee information'!$B:$M),0)=55,
IF($E$2="Fortnightly",
ROUND(
ROUND((((TRUNC($AN550/2,0)+0.99))*VLOOKUP((TRUNC($AN550/2,0)+0.99),'Tax scales - NAT 3539'!$A$99:$C$123,2,1)-VLOOKUP((TRUNC($AN550/2,0)+0.99),'Tax scales - NAT 3539'!$A$99:$C$123,3,1)),0)
*2,
0),
IF(AND($E$2="Monthly",ROUND($AN550-TRUNC($AN550),2)=0.33),
ROUND(
ROUND(((TRUNC(($AN550+0.01)*3/13,0)+0.99)*VLOOKUP((TRUNC(($AN550+0.01)*3/13,0)+0.99),'Tax scales - NAT 3539'!$A$99:$C$123,2,1)-VLOOKUP((TRUNC(($AN550+0.01)*3/13,0)+0.99),'Tax scales - NAT 3539'!$A$99:$C$123,3,1)),0)
*13/3,
0),
IF($E$2="Monthly",
ROUND(
ROUND(((TRUNC($AN550*3/13,0)+0.99)*VLOOKUP((TRUNC($AN550*3/13,0)+0.99),'Tax scales - NAT 3539'!$A$99:$C$123,2,1)-VLOOKUP((TRUNC($AN550*3/13,0)+0.99),'Tax scales - NAT 3539'!$A$99:$C$123,3,1)),0)
*13/3,
0),
""))),
""),
"")</f>
        <v/>
      </c>
      <c r="AY550" s="118" t="str">
        <f>IFERROR(
IF(VLOOKUP($C550,'Employee information'!$B:$M,COLUMNS('Employee information'!$B:$M),0)=66,
IF($E$2="Fortnightly",
ROUND(
ROUND((((TRUNC($AN550/2,0)+0.99))*VLOOKUP((TRUNC($AN550/2,0)+0.99),'Tax scales - NAT 3539'!$A$127:$C$154,2,1)-VLOOKUP((TRUNC($AN550/2,0)+0.99),'Tax scales - NAT 3539'!$A$127:$C$154,3,1)),0)
*2,
0),
IF(AND($E$2="Monthly",ROUND($AN550-TRUNC($AN550),2)=0.33),
ROUND(
ROUND(((TRUNC(($AN550+0.01)*3/13,0)+0.99)*VLOOKUP((TRUNC(($AN550+0.01)*3/13,0)+0.99),'Tax scales - NAT 3539'!$A$127:$C$154,2,1)-VLOOKUP((TRUNC(($AN550+0.01)*3/13,0)+0.99),'Tax scales - NAT 3539'!$A$127:$C$154,3,1)),0)
*13/3,
0),
IF($E$2="Monthly",
ROUND(
ROUND(((TRUNC($AN550*3/13,0)+0.99)*VLOOKUP((TRUNC($AN550*3/13,0)+0.99),'Tax scales - NAT 3539'!$A$127:$C$154,2,1)-VLOOKUP((TRUNC($AN550*3/13,0)+0.99),'Tax scales - NAT 3539'!$A$127:$C$154,3,1)),0)
*13/3,
0),
""))),
""),
"")</f>
        <v/>
      </c>
      <c r="AZ550" s="118">
        <f>IFERROR(
HLOOKUP(VLOOKUP($C550,'Employee information'!$B:$M,COLUMNS('Employee information'!$B:$M),0),'PAYG worksheet'!$AO$532:$AY$551,COUNTA($C$533:$C550)+1,0),
0)</f>
        <v>0</v>
      </c>
      <c r="BA550" s="118"/>
      <c r="BB550" s="118">
        <f t="shared" si="573"/>
        <v>0</v>
      </c>
      <c r="BC550" s="119">
        <f>IFERROR(
IF(OR($AE550=1,$AE550=""),SUM($P550,$AA550,$AC550,$AK550)*VLOOKUP($C550,'Employee information'!$B:$Q,COLUMNS('Employee information'!$B:$H),0),
IF($AE550=0,SUM($P550,$AA550,$AK550)*VLOOKUP($C550,'Employee information'!$B:$Q,COLUMNS('Employee information'!$B:$H),0),
0)),
0)</f>
        <v>0</v>
      </c>
      <c r="BE550" s="114">
        <f t="shared" si="558"/>
        <v>0</v>
      </c>
      <c r="BF550" s="114">
        <f t="shared" si="559"/>
        <v>0</v>
      </c>
      <c r="BG550" s="114">
        <f t="shared" si="560"/>
        <v>0</v>
      </c>
      <c r="BH550" s="114">
        <f t="shared" si="561"/>
        <v>0</v>
      </c>
      <c r="BI550" s="114">
        <f t="shared" si="562"/>
        <v>0</v>
      </c>
      <c r="BJ550" s="114">
        <f t="shared" si="563"/>
        <v>0</v>
      </c>
      <c r="BK550" s="114">
        <f t="shared" si="564"/>
        <v>0</v>
      </c>
      <c r="BL550" s="114">
        <f t="shared" si="574"/>
        <v>0</v>
      </c>
      <c r="BM550" s="114">
        <f t="shared" si="565"/>
        <v>0</v>
      </c>
    </row>
    <row r="551" spans="1:65" x14ac:dyDescent="0.25">
      <c r="A551" s="228">
        <f t="shared" si="553"/>
        <v>19</v>
      </c>
      <c r="C551" s="278"/>
      <c r="E551" s="103">
        <f>IF($C551="",0,
IF(AND($E$2="Monthly",$A551&gt;12),0,
IF($E$2="Monthly",VLOOKUP($C551,'Employee information'!$B:$AM,COLUMNS('Employee information'!$B:S),0),
IF($E$2="Fortnightly",VLOOKUP($C551,'Employee information'!$B:$AM,COLUMNS('Employee information'!$B:R),0),
0))))</f>
        <v>0</v>
      </c>
      <c r="F551" s="106"/>
      <c r="G551" s="106"/>
      <c r="H551" s="106"/>
      <c r="I551" s="106"/>
      <c r="J551" s="103">
        <f t="shared" si="566"/>
        <v>0</v>
      </c>
      <c r="L551" s="113">
        <f>IF(AND($E$2="Monthly",$A551&gt;12),"",
IFERROR($J551*VLOOKUP($C551,'Employee information'!$B:$AI,COLUMNS('Employee information'!$B:$P),0),0))</f>
        <v>0</v>
      </c>
      <c r="M551" s="114">
        <f t="shared" si="567"/>
        <v>0</v>
      </c>
      <c r="O551" s="103">
        <f t="shared" si="568"/>
        <v>0</v>
      </c>
      <c r="P551" s="113">
        <f>IFERROR(
IF(AND($E$2="Monthly",$A551&gt;12),0,
$O551*VLOOKUP($C551,'Employee information'!$B:$AI,COLUMNS('Employee information'!$B:$P),0)),
0)</f>
        <v>0</v>
      </c>
      <c r="R551" s="114">
        <f t="shared" si="554"/>
        <v>0</v>
      </c>
      <c r="T551" s="103"/>
      <c r="U551" s="103"/>
      <c r="V551" s="282" t="str">
        <f>IF($C551="","",
IF(AND($E$2="Monthly",$A551&gt;12),"",
$T551*VLOOKUP($C551,'Employee information'!$B:$P,COLUMNS('Employee information'!$B:$P),0)))</f>
        <v/>
      </c>
      <c r="W551" s="282" t="str">
        <f>IF($C551="","",
IF(AND($E$2="Monthly",$A551&gt;12),"",
$U551*VLOOKUP($C551,'Employee information'!$B:$P,COLUMNS('Employee information'!$B:$P),0)))</f>
        <v/>
      </c>
      <c r="X551" s="114">
        <f t="shared" si="555"/>
        <v>0</v>
      </c>
      <c r="Y551" s="114">
        <f t="shared" si="556"/>
        <v>0</v>
      </c>
      <c r="AA551" s="118">
        <f>IFERROR(
IF(OR('Basic payroll data'!$D$12="",'Basic payroll data'!$D$12="No"),0,
$T551*VLOOKUP($C551,'Employee information'!$B:$P,COLUMNS('Employee information'!$B:$P),0)*AL_loading_perc),
0)</f>
        <v>0</v>
      </c>
      <c r="AC551" s="118"/>
      <c r="AD551" s="118"/>
      <c r="AE551" s="283" t="str">
        <f t="shared" si="569"/>
        <v/>
      </c>
      <c r="AF551" s="283" t="str">
        <f t="shared" si="570"/>
        <v/>
      </c>
      <c r="AG551" s="118"/>
      <c r="AH551" s="118"/>
      <c r="AI551" s="283" t="str">
        <f t="shared" si="571"/>
        <v/>
      </c>
      <c r="AJ551" s="118"/>
      <c r="AK551" s="118"/>
      <c r="AM551" s="118">
        <f t="shared" si="572"/>
        <v>0</v>
      </c>
      <c r="AN551" s="118">
        <f t="shared" si="557"/>
        <v>0</v>
      </c>
      <c r="AO551" s="118" t="str">
        <f>IFERROR(
IF(VLOOKUP($C551,'Employee information'!$B:$M,COLUMNS('Employee information'!$B:$M),0)=1,
IF($E$2="Fortnightly",
ROUND(
ROUND((((TRUNC($AN551/2,0)+0.99))*VLOOKUP((TRUNC($AN551/2,0)+0.99),'Tax scales - NAT 1004'!$A$12:$C$18,2,1)-VLOOKUP((TRUNC($AN551/2,0)+0.99),'Tax scales - NAT 1004'!$A$12:$C$18,3,1)),0)
*2,
0),
IF(AND($E$2="Monthly",ROUND($AN551-TRUNC($AN551),2)=0.33),
ROUND(
ROUND(((TRUNC(($AN551+0.01)*3/13,0)+0.99)*VLOOKUP((TRUNC(($AN551+0.01)*3/13,0)+0.99),'Tax scales - NAT 1004'!$A$12:$C$18,2,1)-VLOOKUP((TRUNC(($AN551+0.01)*3/13,0)+0.99),'Tax scales - NAT 1004'!$A$12:$C$18,3,1)),0)
*13/3,
0),
IF($E$2="Monthly",
ROUND(
ROUND(((TRUNC($AN551*3/13,0)+0.99)*VLOOKUP((TRUNC($AN551*3/13,0)+0.99),'Tax scales - NAT 1004'!$A$12:$C$18,2,1)-VLOOKUP((TRUNC($AN551*3/13,0)+0.99),'Tax scales - NAT 1004'!$A$12:$C$18,3,1)),0)
*13/3,
0),
""))),
""),
"")</f>
        <v/>
      </c>
      <c r="AP551" s="118" t="str">
        <f>IFERROR(
IF(VLOOKUP($C551,'Employee information'!$B:$M,COLUMNS('Employee information'!$B:$M),0)=2,
IF($E$2="Fortnightly",
ROUND(
ROUND((((TRUNC($AN551/2,0)+0.99))*VLOOKUP((TRUNC($AN551/2,0)+0.99),'Tax scales - NAT 1004'!$A$25:$C$33,2,1)-VLOOKUP((TRUNC($AN551/2,0)+0.99),'Tax scales - NAT 1004'!$A$25:$C$33,3,1)),0)
*2,
0),
IF(AND($E$2="Monthly",ROUND($AN551-TRUNC($AN551),2)=0.33),
ROUND(
ROUND(((TRUNC(($AN551+0.01)*3/13,0)+0.99)*VLOOKUP((TRUNC(($AN551+0.01)*3/13,0)+0.99),'Tax scales - NAT 1004'!$A$25:$C$33,2,1)-VLOOKUP((TRUNC(($AN551+0.01)*3/13,0)+0.99),'Tax scales - NAT 1004'!$A$25:$C$33,3,1)),0)
*13/3,
0),
IF($E$2="Monthly",
ROUND(
ROUND(((TRUNC($AN551*3/13,0)+0.99)*VLOOKUP((TRUNC($AN551*3/13,0)+0.99),'Tax scales - NAT 1004'!$A$25:$C$33,2,1)-VLOOKUP((TRUNC($AN551*3/13,0)+0.99),'Tax scales - NAT 1004'!$A$25:$C$33,3,1)),0)
*13/3,
0),
""))),
""),
"")</f>
        <v/>
      </c>
      <c r="AQ551" s="118" t="str">
        <f>IFERROR(
IF(VLOOKUP($C551,'Employee information'!$B:$M,COLUMNS('Employee information'!$B:$M),0)=3,
IF($E$2="Fortnightly",
ROUND(
ROUND((((TRUNC($AN551/2,0)+0.99))*VLOOKUP((TRUNC($AN551/2,0)+0.99),'Tax scales - NAT 1004'!$A$39:$C$41,2,1)-VLOOKUP((TRUNC($AN551/2,0)+0.99),'Tax scales - NAT 1004'!$A$39:$C$41,3,1)),0)
*2,
0),
IF(AND($E$2="Monthly",ROUND($AN551-TRUNC($AN551),2)=0.33),
ROUND(
ROUND(((TRUNC(($AN551+0.01)*3/13,0)+0.99)*VLOOKUP((TRUNC(($AN551+0.01)*3/13,0)+0.99),'Tax scales - NAT 1004'!$A$39:$C$41,2,1)-VLOOKUP((TRUNC(($AN551+0.01)*3/13,0)+0.99),'Tax scales - NAT 1004'!$A$39:$C$41,3,1)),0)
*13/3,
0),
IF($E$2="Monthly",
ROUND(
ROUND(((TRUNC($AN551*3/13,0)+0.99)*VLOOKUP((TRUNC($AN551*3/13,0)+0.99),'Tax scales - NAT 1004'!$A$39:$C$41,2,1)-VLOOKUP((TRUNC($AN551*3/13,0)+0.99),'Tax scales - NAT 1004'!$A$39:$C$41,3,1)),0)
*13/3,
0),
""))),
""),
"")</f>
        <v/>
      </c>
      <c r="AR551" s="118" t="str">
        <f>IFERROR(
IF(AND(VLOOKUP($C551,'Employee information'!$B:$M,COLUMNS('Employee information'!$B:$M),0)=4,
VLOOKUP($C551,'Employee information'!$B:$J,COLUMNS('Employee information'!$B:$J),0)="Resident"),
TRUNC(TRUNC($AN551)*'Tax scales - NAT 1004'!$B$47),
IF(AND(VLOOKUP($C551,'Employee information'!$B:$M,COLUMNS('Employee information'!$B:$M),0)=4,
VLOOKUP($C551,'Employee information'!$B:$J,COLUMNS('Employee information'!$B:$J),0)="Foreign resident"),
TRUNC(TRUNC($AN551)*'Tax scales - NAT 1004'!$B$48),
"")),
"")</f>
        <v/>
      </c>
      <c r="AS551" s="118" t="str">
        <f>IFERROR(
IF(VLOOKUP($C551,'Employee information'!$B:$M,COLUMNS('Employee information'!$B:$M),0)=5,
IF($E$2="Fortnightly",
ROUND(
ROUND((((TRUNC($AN551/2,0)+0.99))*VLOOKUP((TRUNC($AN551/2,0)+0.99),'Tax scales - NAT 1004'!$A$53:$C$59,2,1)-VLOOKUP((TRUNC($AN551/2,0)+0.99),'Tax scales - NAT 1004'!$A$53:$C$59,3,1)),0)
*2,
0),
IF(AND($E$2="Monthly",ROUND($AN551-TRUNC($AN551),2)=0.33),
ROUND(
ROUND(((TRUNC(($AN551+0.01)*3/13,0)+0.99)*VLOOKUP((TRUNC(($AN551+0.01)*3/13,0)+0.99),'Tax scales - NAT 1004'!$A$53:$C$59,2,1)-VLOOKUP((TRUNC(($AN551+0.01)*3/13,0)+0.99),'Tax scales - NAT 1004'!$A$53:$C$59,3,1)),0)
*13/3,
0),
IF($E$2="Monthly",
ROUND(
ROUND(((TRUNC($AN551*3/13,0)+0.99)*VLOOKUP((TRUNC($AN551*3/13,0)+0.99),'Tax scales - NAT 1004'!$A$53:$C$59,2,1)-VLOOKUP((TRUNC($AN551*3/13,0)+0.99),'Tax scales - NAT 1004'!$A$53:$C$59,3,1)),0)
*13/3,
0),
""))),
""),
"")</f>
        <v/>
      </c>
      <c r="AT551" s="118" t="str">
        <f>IFERROR(
IF(VLOOKUP($C551,'Employee information'!$B:$M,COLUMNS('Employee information'!$B:$M),0)=6,
IF($E$2="Fortnightly",
ROUND(
ROUND((((TRUNC($AN551/2,0)+0.99))*VLOOKUP((TRUNC($AN551/2,0)+0.99),'Tax scales - NAT 1004'!$A$65:$C$73,2,1)-VLOOKUP((TRUNC($AN551/2,0)+0.99),'Tax scales - NAT 1004'!$A$65:$C$73,3,1)),0)
*2,
0),
IF(AND($E$2="Monthly",ROUND($AN551-TRUNC($AN551),2)=0.33),
ROUND(
ROUND(((TRUNC(($AN551+0.01)*3/13,0)+0.99)*VLOOKUP((TRUNC(($AN551+0.01)*3/13,0)+0.99),'Tax scales - NAT 1004'!$A$65:$C$73,2,1)-VLOOKUP((TRUNC(($AN551+0.01)*3/13,0)+0.99),'Tax scales - NAT 1004'!$A$65:$C$73,3,1)),0)
*13/3,
0),
IF($E$2="Monthly",
ROUND(
ROUND(((TRUNC($AN551*3/13,0)+0.99)*VLOOKUP((TRUNC($AN551*3/13,0)+0.99),'Tax scales - NAT 1004'!$A$65:$C$73,2,1)-VLOOKUP((TRUNC($AN551*3/13,0)+0.99),'Tax scales - NAT 1004'!$A$65:$C$73,3,1)),0)
*13/3,
0),
""))),
""),
"")</f>
        <v/>
      </c>
      <c r="AU551" s="118" t="str">
        <f>IFERROR(
IF(VLOOKUP($C551,'Employee information'!$B:$M,COLUMNS('Employee information'!$B:$M),0)=11,
IF($E$2="Fortnightly",
ROUND(
ROUND((((TRUNC($AN551/2,0)+0.99))*VLOOKUP((TRUNC($AN551/2,0)+0.99),'Tax scales - NAT 3539'!$A$14:$C$38,2,1)-VLOOKUP((TRUNC($AN551/2,0)+0.99),'Tax scales - NAT 3539'!$A$14:$C$38,3,1)),0)
*2,
0),
IF(AND($E$2="Monthly",ROUND($AN551-TRUNC($AN551),2)=0.33),
ROUND(
ROUND(((TRUNC(($AN551+0.01)*3/13,0)+0.99)*VLOOKUP((TRUNC(($AN551+0.01)*3/13,0)+0.99),'Tax scales - NAT 3539'!$A$14:$C$38,2,1)-VLOOKUP((TRUNC(($AN551+0.01)*3/13,0)+0.99),'Tax scales - NAT 3539'!$A$14:$C$38,3,1)),0)
*13/3,
0),
IF($E$2="Monthly",
ROUND(
ROUND(((TRUNC($AN551*3/13,0)+0.99)*VLOOKUP((TRUNC($AN551*3/13,0)+0.99),'Tax scales - NAT 3539'!$A$14:$C$38,2,1)-VLOOKUP((TRUNC($AN551*3/13,0)+0.99),'Tax scales - NAT 3539'!$A$14:$C$38,3,1)),0)
*13/3,
0),
""))),
""),
"")</f>
        <v/>
      </c>
      <c r="AV551" s="118" t="str">
        <f>IFERROR(
IF(VLOOKUP($C551,'Employee information'!$B:$M,COLUMNS('Employee information'!$B:$M),0)=22,
IF($E$2="Fortnightly",
ROUND(
ROUND((((TRUNC($AN551/2,0)+0.99))*VLOOKUP((TRUNC($AN551/2,0)+0.99),'Tax scales - NAT 3539'!$A$43:$C$69,2,1)-VLOOKUP((TRUNC($AN551/2,0)+0.99),'Tax scales - NAT 3539'!$A$43:$C$69,3,1)),0)
*2,
0),
IF(AND($E$2="Monthly",ROUND($AN551-TRUNC($AN551),2)=0.33),
ROUND(
ROUND(((TRUNC(($AN551+0.01)*3/13,0)+0.99)*VLOOKUP((TRUNC(($AN551+0.01)*3/13,0)+0.99),'Tax scales - NAT 3539'!$A$43:$C$69,2,1)-VLOOKUP((TRUNC(($AN551+0.01)*3/13,0)+0.99),'Tax scales - NAT 3539'!$A$43:$C$69,3,1)),0)
*13/3,
0),
IF($E$2="Monthly",
ROUND(
ROUND(((TRUNC($AN551*3/13,0)+0.99)*VLOOKUP((TRUNC($AN551*3/13,0)+0.99),'Tax scales - NAT 3539'!$A$43:$C$69,2,1)-VLOOKUP((TRUNC($AN551*3/13,0)+0.99),'Tax scales - NAT 3539'!$A$43:$C$69,3,1)),0)
*13/3,
0),
""))),
""),
"")</f>
        <v/>
      </c>
      <c r="AW551" s="118" t="str">
        <f>IFERROR(
IF(VLOOKUP($C551,'Employee information'!$B:$M,COLUMNS('Employee information'!$B:$M),0)=33,
IF($E$2="Fortnightly",
ROUND(
ROUND((((TRUNC($AN551/2,0)+0.99))*VLOOKUP((TRUNC($AN551/2,0)+0.99),'Tax scales - NAT 3539'!$A$74:$C$94,2,1)-VLOOKUP((TRUNC($AN551/2,0)+0.99),'Tax scales - NAT 3539'!$A$74:$C$94,3,1)),0)
*2,
0),
IF(AND($E$2="Monthly",ROUND($AN551-TRUNC($AN551),2)=0.33),
ROUND(
ROUND(((TRUNC(($AN551+0.01)*3/13,0)+0.99)*VLOOKUP((TRUNC(($AN551+0.01)*3/13,0)+0.99),'Tax scales - NAT 3539'!$A$74:$C$94,2,1)-VLOOKUP((TRUNC(($AN551+0.01)*3/13,0)+0.99),'Tax scales - NAT 3539'!$A$74:$C$94,3,1)),0)
*13/3,
0),
IF($E$2="Monthly",
ROUND(
ROUND(((TRUNC($AN551*3/13,0)+0.99)*VLOOKUP((TRUNC($AN551*3/13,0)+0.99),'Tax scales - NAT 3539'!$A$74:$C$94,2,1)-VLOOKUP((TRUNC($AN551*3/13,0)+0.99),'Tax scales - NAT 3539'!$A$74:$C$94,3,1)),0)
*13/3,
0),
""))),
""),
"")</f>
        <v/>
      </c>
      <c r="AX551" s="118" t="str">
        <f>IFERROR(
IF(VLOOKUP($C551,'Employee information'!$B:$M,COLUMNS('Employee information'!$B:$M),0)=55,
IF($E$2="Fortnightly",
ROUND(
ROUND((((TRUNC($AN551/2,0)+0.99))*VLOOKUP((TRUNC($AN551/2,0)+0.99),'Tax scales - NAT 3539'!$A$99:$C$123,2,1)-VLOOKUP((TRUNC($AN551/2,0)+0.99),'Tax scales - NAT 3539'!$A$99:$C$123,3,1)),0)
*2,
0),
IF(AND($E$2="Monthly",ROUND($AN551-TRUNC($AN551),2)=0.33),
ROUND(
ROUND(((TRUNC(($AN551+0.01)*3/13,0)+0.99)*VLOOKUP((TRUNC(($AN551+0.01)*3/13,0)+0.99),'Tax scales - NAT 3539'!$A$99:$C$123,2,1)-VLOOKUP((TRUNC(($AN551+0.01)*3/13,0)+0.99),'Tax scales - NAT 3539'!$A$99:$C$123,3,1)),0)
*13/3,
0),
IF($E$2="Monthly",
ROUND(
ROUND(((TRUNC($AN551*3/13,0)+0.99)*VLOOKUP((TRUNC($AN551*3/13,0)+0.99),'Tax scales - NAT 3539'!$A$99:$C$123,2,1)-VLOOKUP((TRUNC($AN551*3/13,0)+0.99),'Tax scales - NAT 3539'!$A$99:$C$123,3,1)),0)
*13/3,
0),
""))),
""),
"")</f>
        <v/>
      </c>
      <c r="AY551" s="118" t="str">
        <f>IFERROR(
IF(VLOOKUP($C551,'Employee information'!$B:$M,COLUMNS('Employee information'!$B:$M),0)=66,
IF($E$2="Fortnightly",
ROUND(
ROUND((((TRUNC($AN551/2,0)+0.99))*VLOOKUP((TRUNC($AN551/2,0)+0.99),'Tax scales - NAT 3539'!$A$127:$C$154,2,1)-VLOOKUP((TRUNC($AN551/2,0)+0.99),'Tax scales - NAT 3539'!$A$127:$C$154,3,1)),0)
*2,
0),
IF(AND($E$2="Monthly",ROUND($AN551-TRUNC($AN551),2)=0.33),
ROUND(
ROUND(((TRUNC(($AN551+0.01)*3/13,0)+0.99)*VLOOKUP((TRUNC(($AN551+0.01)*3/13,0)+0.99),'Tax scales - NAT 3539'!$A$127:$C$154,2,1)-VLOOKUP((TRUNC(($AN551+0.01)*3/13,0)+0.99),'Tax scales - NAT 3539'!$A$127:$C$154,3,1)),0)
*13/3,
0),
IF($E$2="Monthly",
ROUND(
ROUND(((TRUNC($AN551*3/13,0)+0.99)*VLOOKUP((TRUNC($AN551*3/13,0)+0.99),'Tax scales - NAT 3539'!$A$127:$C$154,2,1)-VLOOKUP((TRUNC($AN551*3/13,0)+0.99),'Tax scales - NAT 3539'!$A$127:$C$154,3,1)),0)
*13/3,
0),
""))),
""),
"")</f>
        <v/>
      </c>
      <c r="AZ551" s="118">
        <f>IFERROR(
HLOOKUP(VLOOKUP($C551,'Employee information'!$B:$M,COLUMNS('Employee information'!$B:$M),0),'PAYG worksheet'!$AO$532:$AY$551,COUNTA($C$533:$C551)+1,0),
0)</f>
        <v>0</v>
      </c>
      <c r="BA551" s="118"/>
      <c r="BB551" s="118">
        <f t="shared" si="573"/>
        <v>0</v>
      </c>
      <c r="BC551" s="119">
        <f>IFERROR(
IF(OR($AE551=1,$AE551=""),SUM($P551,$AA551,$AC551,$AK551)*VLOOKUP($C551,'Employee information'!$B:$Q,COLUMNS('Employee information'!$B:$H),0),
IF($AE551=0,SUM($P551,$AA551,$AK551)*VLOOKUP($C551,'Employee information'!$B:$Q,COLUMNS('Employee information'!$B:$H),0),
0)),
0)</f>
        <v>0</v>
      </c>
      <c r="BE551" s="114">
        <f t="shared" si="558"/>
        <v>0</v>
      </c>
      <c r="BF551" s="114">
        <f t="shared" si="559"/>
        <v>0</v>
      </c>
      <c r="BG551" s="114">
        <f t="shared" si="560"/>
        <v>0</v>
      </c>
      <c r="BH551" s="114">
        <f t="shared" si="561"/>
        <v>0</v>
      </c>
      <c r="BI551" s="114">
        <f t="shared" si="562"/>
        <v>0</v>
      </c>
      <c r="BJ551" s="114">
        <f t="shared" si="563"/>
        <v>0</v>
      </c>
      <c r="BK551" s="114">
        <f t="shared" si="564"/>
        <v>0</v>
      </c>
      <c r="BL551" s="114">
        <f t="shared" si="574"/>
        <v>0</v>
      </c>
      <c r="BM551" s="114">
        <f t="shared" si="565"/>
        <v>0</v>
      </c>
    </row>
    <row r="552" spans="1:65" x14ac:dyDescent="0.25">
      <c r="C552" s="284" t="s">
        <v>39</v>
      </c>
      <c r="D552" s="223"/>
      <c r="E552" s="111">
        <f>SUM(E533:E551)</f>
        <v>345</v>
      </c>
      <c r="F552" s="112">
        <f t="shared" ref="F552:H552" si="575">SUM(F533:F551)</f>
        <v>0</v>
      </c>
      <c r="G552" s="112">
        <f t="shared" si="575"/>
        <v>0</v>
      </c>
      <c r="H552" s="112">
        <f t="shared" si="575"/>
        <v>0</v>
      </c>
      <c r="I552" s="112"/>
      <c r="J552" s="111">
        <f t="shared" ref="J552" si="576">SUM(J533:J551)</f>
        <v>345</v>
      </c>
      <c r="K552" s="223"/>
      <c r="L552" s="115">
        <f>SUM(L533:L551)</f>
        <v>19122.576396206536</v>
      </c>
      <c r="M552" s="115">
        <f>SUM(M533:M551)</f>
        <v>365844.33614330873</v>
      </c>
      <c r="N552" s="223"/>
      <c r="O552" s="116">
        <f>SUM(O533:O551)</f>
        <v>345</v>
      </c>
      <c r="P552" s="117">
        <f>SUM(P533:P551)</f>
        <v>19122.576396206536</v>
      </c>
      <c r="R552" s="117">
        <f>SUM(R533:R551)</f>
        <v>365844.33614330873</v>
      </c>
      <c r="S552" s="223"/>
      <c r="T552" s="116">
        <f>SUM(T533:T551)</f>
        <v>0</v>
      </c>
      <c r="U552" s="116">
        <f t="shared" ref="U552:Y552" si="577">SUM(U533:U551)</f>
        <v>0</v>
      </c>
      <c r="V552" s="285">
        <f t="shared" si="577"/>
        <v>0</v>
      </c>
      <c r="W552" s="285">
        <f t="shared" si="577"/>
        <v>0</v>
      </c>
      <c r="X552" s="285">
        <f t="shared" si="577"/>
        <v>1538.4615384615386</v>
      </c>
      <c r="Y552" s="285">
        <f t="shared" si="577"/>
        <v>801.28205128205127</v>
      </c>
      <c r="Z552" s="223"/>
      <c r="AA552" s="117">
        <f t="shared" ref="AA552" si="578">SUM(AA533:AA551)</f>
        <v>0</v>
      </c>
      <c r="AC552" s="117">
        <f t="shared" ref="AC552" si="579">SUM(AC533:AC551)</f>
        <v>0</v>
      </c>
      <c r="AD552" s="117"/>
      <c r="AE552" s="117"/>
      <c r="AF552" s="117"/>
      <c r="AG552" s="117">
        <f t="shared" ref="AG552" si="580">SUM(AG533:AG551)</f>
        <v>0</v>
      </c>
      <c r="AH552" s="117"/>
      <c r="AI552" s="117"/>
      <c r="AJ552" s="117">
        <f>SUM(AJ533:AJ551)</f>
        <v>0</v>
      </c>
      <c r="AK552" s="117">
        <f>SUM(AK533:AK551)</f>
        <v>0</v>
      </c>
      <c r="AM552" s="117">
        <f t="shared" ref="AM552:AN552" si="581">SUM(AM533:AM551)</f>
        <v>19122.576396206536</v>
      </c>
      <c r="AN552" s="117">
        <f t="shared" si="581"/>
        <v>19122.576396206536</v>
      </c>
      <c r="AO552" s="117"/>
      <c r="AP552" s="117"/>
      <c r="AQ552" s="117"/>
      <c r="AR552" s="117"/>
      <c r="AS552" s="117"/>
      <c r="AT552" s="117"/>
      <c r="AU552" s="117"/>
      <c r="AV552" s="117"/>
      <c r="AW552" s="117"/>
      <c r="AX552" s="117"/>
      <c r="AY552" s="117"/>
      <c r="AZ552" s="117">
        <f>SUM(AZ533:AZ551)</f>
        <v>7481</v>
      </c>
      <c r="BA552" s="117">
        <f>SUM(BA533:BA551)</f>
        <v>0</v>
      </c>
      <c r="BB552" s="117">
        <f>SUM(BB533:BB551)</f>
        <v>11641.576396206534</v>
      </c>
      <c r="BC552" s="117">
        <f t="shared" ref="BC552" si="582">SUM(BC533:BC551)</f>
        <v>1816.6447576396208</v>
      </c>
      <c r="BD552" s="136"/>
      <c r="BE552" s="117">
        <f t="shared" ref="BE552:BM552" si="583">SUM(BE533:BE551)</f>
        <v>366084.33614330873</v>
      </c>
      <c r="BF552" s="117">
        <f t="shared" si="583"/>
        <v>365944.33614330873</v>
      </c>
      <c r="BG552" s="117">
        <f t="shared" si="583"/>
        <v>0</v>
      </c>
      <c r="BH552" s="117">
        <f t="shared" si="583"/>
        <v>140</v>
      </c>
      <c r="BI552" s="117">
        <f t="shared" si="583"/>
        <v>142953</v>
      </c>
      <c r="BJ552" s="117">
        <f t="shared" si="583"/>
        <v>0</v>
      </c>
      <c r="BK552" s="117">
        <f t="shared" si="583"/>
        <v>0</v>
      </c>
      <c r="BL552" s="117">
        <f t="shared" si="583"/>
        <v>100</v>
      </c>
      <c r="BM552" s="117">
        <f t="shared" si="583"/>
        <v>34764.71193361433</v>
      </c>
    </row>
    <row r="554" spans="1:65" x14ac:dyDescent="0.25">
      <c r="B554" s="228">
        <v>20</v>
      </c>
      <c r="C554" s="230" t="s">
        <v>2</v>
      </c>
      <c r="E554" s="232">
        <v>44116</v>
      </c>
      <c r="F554" s="148" t="s">
        <v>91</v>
      </c>
      <c r="L554" s="286"/>
      <c r="T554" s="127"/>
      <c r="U554" s="127"/>
      <c r="V554" s="127"/>
      <c r="W554" s="127"/>
      <c r="X554" s="127"/>
      <c r="Y554" s="127"/>
    </row>
    <row r="555" spans="1:65" x14ac:dyDescent="0.25">
      <c r="C555" s="230" t="s">
        <v>3</v>
      </c>
      <c r="E555" s="232">
        <v>44127</v>
      </c>
      <c r="F555" s="148" t="s">
        <v>90</v>
      </c>
      <c r="G555" s="229"/>
      <c r="H555" s="229"/>
      <c r="I555" s="229"/>
      <c r="J555" s="229"/>
      <c r="L555" s="164"/>
      <c r="T555" s="127"/>
      <c r="U555" s="127"/>
      <c r="V555" s="127"/>
      <c r="W555" s="127"/>
      <c r="X555" s="127"/>
      <c r="Y555" s="127"/>
    </row>
    <row r="556" spans="1:65" x14ac:dyDescent="0.25">
      <c r="C556" s="233"/>
    </row>
    <row r="557" spans="1:65" ht="34.5" customHeight="1" x14ac:dyDescent="0.25">
      <c r="C557" s="234"/>
      <c r="D557" s="235"/>
      <c r="E557" s="441" t="s">
        <v>4</v>
      </c>
      <c r="F557" s="442"/>
      <c r="G557" s="442"/>
      <c r="H557" s="442"/>
      <c r="I557" s="442"/>
      <c r="J557" s="443"/>
      <c r="L557" s="444" t="s">
        <v>253</v>
      </c>
      <c r="M557" s="445"/>
      <c r="N557" s="235"/>
      <c r="O557" s="444" t="s">
        <v>148</v>
      </c>
      <c r="P557" s="445"/>
      <c r="R557" s="235"/>
      <c r="T557" s="446" t="s">
        <v>269</v>
      </c>
      <c r="U557" s="447"/>
      <c r="V557" s="447"/>
      <c r="W557" s="447"/>
      <c r="X557" s="447"/>
      <c r="Y557" s="447"/>
      <c r="Z557" s="447"/>
      <c r="AA557" s="447"/>
      <c r="AC557" s="438" t="s">
        <v>274</v>
      </c>
      <c r="AD557" s="438"/>
      <c r="AE557" s="438"/>
      <c r="AF557" s="438"/>
      <c r="AG557" s="438"/>
      <c r="AH557" s="438"/>
      <c r="AI557" s="438"/>
      <c r="AJ557" s="438"/>
      <c r="AK557" s="438"/>
      <c r="AM557" s="439" t="s">
        <v>270</v>
      </c>
      <c r="AN557" s="439"/>
      <c r="AO557" s="439"/>
      <c r="AP557" s="439"/>
      <c r="AQ557" s="439"/>
      <c r="AR557" s="439"/>
      <c r="AS557" s="439"/>
      <c r="AT557" s="439"/>
      <c r="AU557" s="439"/>
      <c r="AV557" s="439"/>
      <c r="AW557" s="439"/>
      <c r="AX557" s="439"/>
      <c r="AY557" s="439"/>
      <c r="AZ557" s="439"/>
      <c r="BA557" s="439"/>
      <c r="BB557" s="439"/>
      <c r="BC557" s="440"/>
      <c r="BE557" s="439" t="s">
        <v>246</v>
      </c>
      <c r="BF557" s="439"/>
      <c r="BG557" s="439"/>
      <c r="BH557" s="439"/>
      <c r="BI557" s="439"/>
      <c r="BJ557" s="439"/>
      <c r="BK557" s="439"/>
      <c r="BL557" s="439"/>
      <c r="BM557" s="439"/>
    </row>
    <row r="558" spans="1:65" x14ac:dyDescent="0.25">
      <c r="C558" s="236"/>
      <c r="E558" s="229"/>
      <c r="F558" s="229"/>
      <c r="G558" s="229"/>
      <c r="H558" s="229"/>
      <c r="I558" s="229"/>
      <c r="J558" s="229"/>
      <c r="L558" s="164"/>
      <c r="O558" s="229"/>
      <c r="P558" s="164"/>
      <c r="T558" s="127"/>
      <c r="U558" s="127"/>
      <c r="V558" s="127"/>
      <c r="W558" s="127"/>
      <c r="X558" s="127"/>
      <c r="Y558" s="127"/>
      <c r="AA558" s="229"/>
      <c r="AC558" s="229"/>
      <c r="AD558" s="229"/>
      <c r="AE558" s="229"/>
      <c r="AF558" s="229"/>
      <c r="AG558" s="229"/>
      <c r="AH558" s="229"/>
      <c r="AI558" s="229"/>
      <c r="AJ558" s="229"/>
      <c r="AK558" s="127"/>
      <c r="AM558" s="229"/>
      <c r="AN558" s="229"/>
      <c r="AO558" s="229"/>
      <c r="AP558" s="229"/>
      <c r="AQ558" s="229"/>
      <c r="AR558" s="229"/>
      <c r="AS558" s="229"/>
      <c r="AT558" s="229"/>
      <c r="AU558" s="229"/>
      <c r="AV558" s="229"/>
      <c r="AW558" s="229"/>
      <c r="AX558" s="229"/>
      <c r="AY558" s="229"/>
      <c r="AZ558" s="229"/>
      <c r="BA558" s="229"/>
      <c r="BB558" s="229"/>
      <c r="BC558" s="229"/>
    </row>
    <row r="559" spans="1:65" ht="60" x14ac:dyDescent="0.25">
      <c r="C559" s="238" t="s">
        <v>5</v>
      </c>
      <c r="D559" s="239"/>
      <c r="E559" s="240" t="s">
        <v>268</v>
      </c>
      <c r="F559" s="241" t="s">
        <v>271</v>
      </c>
      <c r="G559" s="242" t="s">
        <v>267</v>
      </c>
      <c r="H559" s="243" t="s">
        <v>266</v>
      </c>
      <c r="I559" s="242" t="s">
        <v>265</v>
      </c>
      <c r="J559" s="244" t="s">
        <v>6</v>
      </c>
      <c r="L559" s="245" t="s">
        <v>7</v>
      </c>
      <c r="M559" s="246" t="s">
        <v>254</v>
      </c>
      <c r="N559" s="247"/>
      <c r="O559" s="248" t="s">
        <v>272</v>
      </c>
      <c r="P559" s="249" t="s">
        <v>200</v>
      </c>
      <c r="R559" s="250" t="s">
        <v>151</v>
      </c>
      <c r="T559" s="251" t="s">
        <v>8</v>
      </c>
      <c r="U559" s="252" t="s">
        <v>9</v>
      </c>
      <c r="V559" s="252" t="s">
        <v>120</v>
      </c>
      <c r="W559" s="252" t="s">
        <v>121</v>
      </c>
      <c r="X559" s="253" t="s">
        <v>118</v>
      </c>
      <c r="Y559" s="254" t="s">
        <v>119</v>
      </c>
      <c r="AA559" s="255" t="s">
        <v>84</v>
      </c>
      <c r="AC559" s="256" t="s">
        <v>142</v>
      </c>
      <c r="AD559" s="256" t="s">
        <v>138</v>
      </c>
      <c r="AE559" s="257" t="s">
        <v>147</v>
      </c>
      <c r="AF559" s="257" t="s">
        <v>149</v>
      </c>
      <c r="AG559" s="256" t="s">
        <v>305</v>
      </c>
      <c r="AH559" s="256" t="s">
        <v>306</v>
      </c>
      <c r="AI559" s="257" t="s">
        <v>150</v>
      </c>
      <c r="AJ559" s="258" t="s">
        <v>250</v>
      </c>
      <c r="AK559" s="259" t="s">
        <v>373</v>
      </c>
      <c r="AM559" s="260" t="s">
        <v>256</v>
      </c>
      <c r="AN559" s="261" t="s">
        <v>372</v>
      </c>
      <c r="AO559" s="253" t="s">
        <v>170</v>
      </c>
      <c r="AP559" s="253" t="s">
        <v>171</v>
      </c>
      <c r="AQ559" s="253" t="s">
        <v>172</v>
      </c>
      <c r="AR559" s="253" t="s">
        <v>173</v>
      </c>
      <c r="AS559" s="253" t="s">
        <v>174</v>
      </c>
      <c r="AT559" s="253" t="s">
        <v>175</v>
      </c>
      <c r="AU559" s="262" t="s">
        <v>210</v>
      </c>
      <c r="AV559" s="262" t="s">
        <v>211</v>
      </c>
      <c r="AW559" s="262" t="s">
        <v>212</v>
      </c>
      <c r="AX559" s="262" t="s">
        <v>213</v>
      </c>
      <c r="AY559" s="263" t="s">
        <v>214</v>
      </c>
      <c r="AZ559" s="264" t="s">
        <v>111</v>
      </c>
      <c r="BA559" s="265" t="s">
        <v>199</v>
      </c>
      <c r="BB559" s="252" t="s">
        <v>223</v>
      </c>
      <c r="BC559" s="260" t="s">
        <v>112</v>
      </c>
      <c r="BE559" s="260" t="s">
        <v>257</v>
      </c>
      <c r="BF559" s="266" t="s">
        <v>255</v>
      </c>
      <c r="BG559" s="262" t="s">
        <v>247</v>
      </c>
      <c r="BH559" s="262" t="s">
        <v>248</v>
      </c>
      <c r="BI559" s="260" t="s">
        <v>249</v>
      </c>
      <c r="BJ559" s="253" t="s">
        <v>199</v>
      </c>
      <c r="BK559" s="262" t="s">
        <v>251</v>
      </c>
      <c r="BL559" s="259" t="s">
        <v>373</v>
      </c>
      <c r="BM559" s="260" t="s">
        <v>252</v>
      </c>
    </row>
    <row r="560" spans="1:65" x14ac:dyDescent="0.25">
      <c r="T560" s="120"/>
      <c r="U560" s="120"/>
      <c r="V560" s="120"/>
      <c r="W560" s="120"/>
      <c r="X560" s="120"/>
      <c r="Y560" s="120"/>
      <c r="AM560" s="267" t="s">
        <v>322</v>
      </c>
      <c r="AN560" s="237"/>
      <c r="AO560" s="237"/>
      <c r="AP560" s="237"/>
      <c r="AQ560" s="237"/>
      <c r="AR560" s="237"/>
      <c r="AS560" s="237"/>
      <c r="AT560" s="237"/>
      <c r="AU560" s="237"/>
      <c r="AV560" s="237"/>
      <c r="AW560" s="237"/>
      <c r="AX560" s="237"/>
      <c r="AY560" s="237"/>
      <c r="AZ560" s="436" t="s">
        <v>320</v>
      </c>
      <c r="BA560" s="437"/>
      <c r="BB560" s="237"/>
      <c r="BC560" s="267" t="s">
        <v>321</v>
      </c>
    </row>
    <row r="561" spans="1:65" x14ac:dyDescent="0.25">
      <c r="A561" s="228">
        <f t="shared" ref="A561:A580" si="584">IF($E$555="","",$B$554)</f>
        <v>20</v>
      </c>
      <c r="C561" s="268"/>
      <c r="D561" s="239"/>
      <c r="E561" s="269"/>
      <c r="F561" s="270"/>
      <c r="G561" s="271"/>
      <c r="H561" s="272"/>
      <c r="I561" s="271"/>
      <c r="J561" s="273"/>
      <c r="O561" s="274"/>
      <c r="P561" s="247"/>
      <c r="T561" s="271"/>
      <c r="U561" s="271"/>
      <c r="V561" s="275"/>
      <c r="W561" s="269"/>
      <c r="X561" s="269"/>
      <c r="Y561" s="269"/>
      <c r="AA561" s="271"/>
      <c r="AC561" s="271"/>
      <c r="AD561" s="271"/>
      <c r="AE561" s="271"/>
      <c r="AF561" s="271"/>
      <c r="AG561" s="271"/>
      <c r="AH561" s="271"/>
      <c r="AI561" s="271"/>
      <c r="AJ561" s="271"/>
      <c r="AK561" s="275"/>
      <c r="AM561" s="271"/>
      <c r="AN561" s="271"/>
      <c r="AO561" s="276">
        <v>1</v>
      </c>
      <c r="AP561" s="276">
        <v>2</v>
      </c>
      <c r="AQ561" s="276">
        <v>3</v>
      </c>
      <c r="AR561" s="277">
        <v>4</v>
      </c>
      <c r="AS561" s="276">
        <v>5</v>
      </c>
      <c r="AT561" s="276">
        <v>6</v>
      </c>
      <c r="AU561" s="276">
        <v>11</v>
      </c>
      <c r="AV561" s="276">
        <v>22</v>
      </c>
      <c r="AW561" s="276">
        <v>33</v>
      </c>
      <c r="AX561" s="276">
        <v>55</v>
      </c>
      <c r="AY561" s="276">
        <v>66</v>
      </c>
      <c r="AZ561" s="271"/>
      <c r="BA561" s="271"/>
      <c r="BB561" s="271"/>
      <c r="BC561" s="273"/>
    </row>
    <row r="562" spans="1:65" x14ac:dyDescent="0.25">
      <c r="A562" s="228">
        <f t="shared" si="584"/>
        <v>20</v>
      </c>
      <c r="C562" s="278" t="s">
        <v>12</v>
      </c>
      <c r="E562" s="103">
        <f>IF($C562="",0,
IF(AND($E$2="Monthly",$A562&gt;12),0,
IF($E$2="Monthly",VLOOKUP($C562,'Employee information'!$B:$AM,COLUMNS('Employee information'!$B:S),0),
IF($E$2="Fortnightly",VLOOKUP($C562,'Employee information'!$B:$AM,COLUMNS('Employee information'!$B:R),0),
0))))</f>
        <v>75</v>
      </c>
      <c r="F562" s="279"/>
      <c r="G562" s="106"/>
      <c r="H562" s="280"/>
      <c r="I562" s="106"/>
      <c r="J562" s="103">
        <f>IF($E$2="Monthly",
IF(AND($E$2="Monthly",$H562&lt;&gt;""),$H562,
IF(AND($E$2="Monthly",$E562=0),SUM($F562:$G562),
$E562)),
IF($E$2="Fortnightly",
IF(AND($E$2="Fortnightly",$H562&lt;&gt;""),$H562,
IF(AND($E$2="Fortnightly",$F562&lt;&gt;"",$E562&lt;&gt;0),$F562,
IF(AND($E$2="Fortnightly",$E562=0),SUM($F562:$G562),
$E562)))))</f>
        <v>75</v>
      </c>
      <c r="L562" s="113">
        <f>IF(AND($E$2="Monthly",$A562&gt;12),"",
IFERROR($J562*VLOOKUP($C562,'Employee information'!$B:$AI,COLUMNS('Employee information'!$B:$P),0),0))</f>
        <v>3697.576396206533</v>
      </c>
      <c r="M562" s="114">
        <f>IF(AND($E$2="Monthly",$A562&gt;12),"",
SUMIFS($L:$L,$C:$C,$C562,$A:$A,"&lt;="&amp;$A562)
)</f>
        <v>73951.527924130671</v>
      </c>
      <c r="O562" s="103">
        <f>IF($E$2="Monthly",
IF(AND($E$2="Monthly",$H562&lt;&gt;""),$H562,
IF(AND($E$2="Monthly",$E562=0),$F562,
$E562)),
IF($E$2="Fortnightly",
IF(AND($E$2="Fortnightly",$H562&lt;&gt;""),$H562,
IF(AND($E$2="Fortnightly",$F562&lt;&gt;"",$E562&lt;&gt;0),$F562,
IF(AND($E$2="Fortnightly",$E562=0),$F562,
$E562)))))</f>
        <v>75</v>
      </c>
      <c r="P562" s="113">
        <f>IFERROR(
IF(AND($E$2="Monthly",$A562&gt;12),0,
$O562*VLOOKUP($C562,'Employee information'!$B:$AI,COLUMNS('Employee information'!$B:$P),0)),
0)</f>
        <v>3697.576396206533</v>
      </c>
      <c r="R562" s="114">
        <f t="shared" ref="R562:R580" si="585">IF(AND($E$2="Monthly",$A562&gt;12),"",
SUMIFS($P:$P,$C:$C,$C562,$A:$A,"&lt;="&amp;$A562)
)</f>
        <v>73951.527924130671</v>
      </c>
      <c r="T562" s="281"/>
      <c r="U562" s="103"/>
      <c r="V562" s="282">
        <f>IF($C562="","",
IF(AND($E$2="Monthly",$A562&gt;12),"",
$T562*VLOOKUP($C562,'Employee information'!$B:$P,COLUMNS('Employee information'!$B:$P),0)))</f>
        <v>0</v>
      </c>
      <c r="W562" s="282">
        <f>IF($C562="","",
IF(AND($E$2="Monthly",$A562&gt;12),"",
$U562*VLOOKUP($C562,'Employee information'!$B:$P,COLUMNS('Employee information'!$B:$P),0)))</f>
        <v>0</v>
      </c>
      <c r="X562" s="114">
        <f t="shared" ref="X562:X580" si="586">IF(AND($E$2="Monthly",$A562&gt;12),"",
SUMIFS($V:$V,$C:$C,$C562,$A:$A,"&lt;="&amp;$A562)
)</f>
        <v>0</v>
      </c>
      <c r="Y562" s="114">
        <f t="shared" ref="Y562:Y580" si="587">IF(AND($E$2="Monthly",$A562&gt;12),"",
SUMIFS($W:$W,$C:$C,$C562,$A:$A,"&lt;="&amp;$A562)
)</f>
        <v>0</v>
      </c>
      <c r="AA562" s="118">
        <f>IFERROR(
IF(OR('Basic payroll data'!$D$12="",'Basic payroll data'!$D$12="No"),0,
$T562*VLOOKUP($C562,'Employee information'!$B:$P,COLUMNS('Employee information'!$B:$P),0)*AL_loading_perc),
0)</f>
        <v>0</v>
      </c>
      <c r="AC562" s="118"/>
      <c r="AD562" s="118"/>
      <c r="AE562" s="283" t="str">
        <f>IF(LEFT($AD562,6)="Is OTE",1,
IF(LEFT($AD562,10)="Is not OTE",0,
""))</f>
        <v/>
      </c>
      <c r="AF562" s="283" t="str">
        <f>IF(RIGHT($AD562,12)="tax withheld",1,
IF(RIGHT($AD562,16)="tax not withheld",0,
""))</f>
        <v/>
      </c>
      <c r="AG562" s="118"/>
      <c r="AH562" s="118"/>
      <c r="AI562" s="283" t="str">
        <f>IF($AH562="FBT",0,
IF($AH562="Not FBT",1,
""))</f>
        <v/>
      </c>
      <c r="AJ562" s="118"/>
      <c r="AK562" s="118"/>
      <c r="AM562" s="118">
        <f>SUM($L562,$AA562,$AC562,$AG562,$AK562)-$AJ562</f>
        <v>3697.576396206533</v>
      </c>
      <c r="AN562" s="118">
        <f t="shared" ref="AN562:AN580" si="588">IF(AND(OR($AF562=1,$AF562=""),OR($AI562=1,$AI562="")),SUM($L562,$AA562,$AC562,$AG562,$AK562)-$AJ562,
IF(AND(OR($AF562=1,$AF562=""),$AI562=0),SUM($L562,$AA562,$AC562,$AK562)-$AJ562,
IF(AND($AF562=0,OR($AI562=1,$AI562="")),SUM($L562,$AA562,$AG562,$AK562)-$AJ562,
IF(AND($AF562=0,$AI562=0),SUM($L562,$AA562,$AK562)-$AJ562,
""))))</f>
        <v>3697.576396206533</v>
      </c>
      <c r="AO562" s="118" t="str">
        <f>IFERROR(
IF(VLOOKUP($C562,'Employee information'!$B:$M,COLUMNS('Employee information'!$B:$M),0)=1,
IF($E$2="Fortnightly",
ROUND(
ROUND((((TRUNC($AN562/2,0)+0.99))*VLOOKUP((TRUNC($AN562/2,0)+0.99),'Tax scales - NAT 1004'!$A$12:$C$18,2,1)-VLOOKUP((TRUNC($AN562/2,0)+0.99),'Tax scales - NAT 1004'!$A$12:$C$18,3,1)),0)
*2,
0),
IF(AND($E$2="Monthly",ROUND($AN562-TRUNC($AN562),2)=0.33),
ROUND(
ROUND(((TRUNC(($AN562+0.01)*3/13,0)+0.99)*VLOOKUP((TRUNC(($AN562+0.01)*3/13,0)+0.99),'Tax scales - NAT 1004'!$A$12:$C$18,2,1)-VLOOKUP((TRUNC(($AN562+0.01)*3/13,0)+0.99),'Tax scales - NAT 1004'!$A$12:$C$18,3,1)),0)
*13/3,
0),
IF($E$2="Monthly",
ROUND(
ROUND(((TRUNC($AN562*3/13,0)+0.99)*VLOOKUP((TRUNC($AN562*3/13,0)+0.99),'Tax scales - NAT 1004'!$A$12:$C$18,2,1)-VLOOKUP((TRUNC($AN562*3/13,0)+0.99),'Tax scales - NAT 1004'!$A$12:$C$18,3,1)),0)
*13/3,
0),
""))),
""),
"")</f>
        <v/>
      </c>
      <c r="AP562" s="118" t="str">
        <f>IFERROR(
IF(VLOOKUP($C562,'Employee information'!$B:$M,COLUMNS('Employee information'!$B:$M),0)=2,
IF($E$2="Fortnightly",
ROUND(
ROUND((((TRUNC($AN562/2,0)+0.99))*VLOOKUP((TRUNC($AN562/2,0)+0.99),'Tax scales - NAT 1004'!$A$25:$C$33,2,1)-VLOOKUP((TRUNC($AN562/2,0)+0.99),'Tax scales - NAT 1004'!$A$25:$C$33,3,1)),0)
*2,
0),
IF(AND($E$2="Monthly",ROUND($AN562-TRUNC($AN562),2)=0.33),
ROUND(
ROUND(((TRUNC(($AN562+0.01)*3/13,0)+0.99)*VLOOKUP((TRUNC(($AN562+0.01)*3/13,0)+0.99),'Tax scales - NAT 1004'!$A$25:$C$33,2,1)-VLOOKUP((TRUNC(($AN562+0.01)*3/13,0)+0.99),'Tax scales - NAT 1004'!$A$25:$C$33,3,1)),0)
*13/3,
0),
IF($E$2="Monthly",
ROUND(
ROUND(((TRUNC($AN562*3/13,0)+0.99)*VLOOKUP((TRUNC($AN562*3/13,0)+0.99),'Tax scales - NAT 1004'!$A$25:$C$33,2,1)-VLOOKUP((TRUNC($AN562*3/13,0)+0.99),'Tax scales - NAT 1004'!$A$25:$C$33,3,1)),0)
*13/3,
0),
""))),
""),
"")</f>
        <v/>
      </c>
      <c r="AQ562" s="118" t="str">
        <f>IFERROR(
IF(VLOOKUP($C562,'Employee information'!$B:$M,COLUMNS('Employee information'!$B:$M),0)=3,
IF($E$2="Fortnightly",
ROUND(
ROUND((((TRUNC($AN562/2,0)+0.99))*VLOOKUP((TRUNC($AN562/2,0)+0.99),'Tax scales - NAT 1004'!$A$39:$C$41,2,1)-VLOOKUP((TRUNC($AN562/2,0)+0.99),'Tax scales - NAT 1004'!$A$39:$C$41,3,1)),0)
*2,
0),
IF(AND($E$2="Monthly",ROUND($AN562-TRUNC($AN562),2)=0.33),
ROUND(
ROUND(((TRUNC(($AN562+0.01)*3/13,0)+0.99)*VLOOKUP((TRUNC(($AN562+0.01)*3/13,0)+0.99),'Tax scales - NAT 1004'!$A$39:$C$41,2,1)-VLOOKUP((TRUNC(($AN562+0.01)*3/13,0)+0.99),'Tax scales - NAT 1004'!$A$39:$C$41,3,1)),0)
*13/3,
0),
IF($E$2="Monthly",
ROUND(
ROUND(((TRUNC($AN562*3/13,0)+0.99)*VLOOKUP((TRUNC($AN562*3/13,0)+0.99),'Tax scales - NAT 1004'!$A$39:$C$41,2,1)-VLOOKUP((TRUNC($AN562*3/13,0)+0.99),'Tax scales - NAT 1004'!$A$39:$C$41,3,1)),0)
*13/3,
0),
""))),
""),
"")</f>
        <v/>
      </c>
      <c r="AR562" s="118" t="str">
        <f>IFERROR(
IF(AND(VLOOKUP($C562,'Employee information'!$B:$M,COLUMNS('Employee information'!$B:$M),0)=4,
VLOOKUP($C562,'Employee information'!$B:$J,COLUMNS('Employee information'!$B:$J),0)="Resident"),
TRUNC(TRUNC($AN562)*'Tax scales - NAT 1004'!$B$47),
IF(AND(VLOOKUP($C562,'Employee information'!$B:$M,COLUMNS('Employee information'!$B:$M),0)=4,
VLOOKUP($C562,'Employee information'!$B:$J,COLUMNS('Employee information'!$B:$J),0)="Foreign resident"),
TRUNC(TRUNC($AN562)*'Tax scales - NAT 1004'!$B$48),
"")),
"")</f>
        <v/>
      </c>
      <c r="AS562" s="118" t="str">
        <f>IFERROR(
IF(VLOOKUP($C562,'Employee information'!$B:$M,COLUMNS('Employee information'!$B:$M),0)=5,
IF($E$2="Fortnightly",
ROUND(
ROUND((((TRUNC($AN562/2,0)+0.99))*VLOOKUP((TRUNC($AN562/2,0)+0.99),'Tax scales - NAT 1004'!$A$53:$C$59,2,1)-VLOOKUP((TRUNC($AN562/2,0)+0.99),'Tax scales - NAT 1004'!$A$53:$C$59,3,1)),0)
*2,
0),
IF(AND($E$2="Monthly",ROUND($AN562-TRUNC($AN562),2)=0.33),
ROUND(
ROUND(((TRUNC(($AN562+0.01)*3/13,0)+0.99)*VLOOKUP((TRUNC(($AN562+0.01)*3/13,0)+0.99),'Tax scales - NAT 1004'!$A$53:$C$59,2,1)-VLOOKUP((TRUNC(($AN562+0.01)*3/13,0)+0.99),'Tax scales - NAT 1004'!$A$53:$C$59,3,1)),0)
*13/3,
0),
IF($E$2="Monthly",
ROUND(
ROUND(((TRUNC($AN562*3/13,0)+0.99)*VLOOKUP((TRUNC($AN562*3/13,0)+0.99),'Tax scales - NAT 1004'!$A$53:$C$59,2,1)-VLOOKUP((TRUNC($AN562*3/13,0)+0.99),'Tax scales - NAT 1004'!$A$53:$C$59,3,1)),0)
*13/3,
0),
""))),
""),
"")</f>
        <v/>
      </c>
      <c r="AT562" s="118" t="str">
        <f>IFERROR(
IF(VLOOKUP($C562,'Employee information'!$B:$M,COLUMNS('Employee information'!$B:$M),0)=6,
IF($E$2="Fortnightly",
ROUND(
ROUND((((TRUNC($AN562/2,0)+0.99))*VLOOKUP((TRUNC($AN562/2,0)+0.99),'Tax scales - NAT 1004'!$A$65:$C$73,2,1)-VLOOKUP((TRUNC($AN562/2,0)+0.99),'Tax scales - NAT 1004'!$A$65:$C$73,3,1)),0)
*2,
0),
IF(AND($E$2="Monthly",ROUND($AN562-TRUNC($AN562),2)=0.33),
ROUND(
ROUND(((TRUNC(($AN562+0.01)*3/13,0)+0.99)*VLOOKUP((TRUNC(($AN562+0.01)*3/13,0)+0.99),'Tax scales - NAT 1004'!$A$65:$C$73,2,1)-VLOOKUP((TRUNC(($AN562+0.01)*3/13,0)+0.99),'Tax scales - NAT 1004'!$A$65:$C$73,3,1)),0)
*13/3,
0),
IF($E$2="Monthly",
ROUND(
ROUND(((TRUNC($AN562*3/13,0)+0.99)*VLOOKUP((TRUNC($AN562*3/13,0)+0.99),'Tax scales - NAT 1004'!$A$65:$C$73,2,1)-VLOOKUP((TRUNC($AN562*3/13,0)+0.99),'Tax scales - NAT 1004'!$A$65:$C$73,3,1)),0)
*13/3,
0),
""))),
""),
"")</f>
        <v/>
      </c>
      <c r="AU562" s="118">
        <f>IFERROR(
IF(VLOOKUP($C562,'Employee information'!$B:$M,COLUMNS('Employee information'!$B:$M),0)=11,
IF($E$2="Fortnightly",
ROUND(
ROUND((((TRUNC($AN562/2,0)+0.99))*VLOOKUP((TRUNC($AN562/2,0)+0.99),'Tax scales - NAT 3539'!$A$14:$C$38,2,1)-VLOOKUP((TRUNC($AN562/2,0)+0.99),'Tax scales - NAT 3539'!$A$14:$C$38,3,1)),0)
*2,
0),
IF(AND($E$2="Monthly",ROUND($AN562-TRUNC($AN562),2)=0.33),
ROUND(
ROUND(((TRUNC(($AN562+0.01)*3/13,0)+0.99)*VLOOKUP((TRUNC(($AN562+0.01)*3/13,0)+0.99),'Tax scales - NAT 3539'!$A$14:$C$38,2,1)-VLOOKUP((TRUNC(($AN562+0.01)*3/13,0)+0.99),'Tax scales - NAT 3539'!$A$14:$C$38,3,1)),0)
*13/3,
0),
IF($E$2="Monthly",
ROUND(
ROUND(((TRUNC($AN562*3/13,0)+0.99)*VLOOKUP((TRUNC($AN562*3/13,0)+0.99),'Tax scales - NAT 3539'!$A$14:$C$38,2,1)-VLOOKUP((TRUNC($AN562*3/13,0)+0.99),'Tax scales - NAT 3539'!$A$14:$C$38,3,1)),0)
*13/3,
0),
""))),
""),
"")</f>
        <v>1448</v>
      </c>
      <c r="AV562" s="118" t="str">
        <f>IFERROR(
IF(VLOOKUP($C562,'Employee information'!$B:$M,COLUMNS('Employee information'!$B:$M),0)=22,
IF($E$2="Fortnightly",
ROUND(
ROUND((((TRUNC($AN562/2,0)+0.99))*VLOOKUP((TRUNC($AN562/2,0)+0.99),'Tax scales - NAT 3539'!$A$43:$C$69,2,1)-VLOOKUP((TRUNC($AN562/2,0)+0.99),'Tax scales - NAT 3539'!$A$43:$C$69,3,1)),0)
*2,
0),
IF(AND($E$2="Monthly",ROUND($AN562-TRUNC($AN562),2)=0.33),
ROUND(
ROUND(((TRUNC(($AN562+0.01)*3/13,0)+0.99)*VLOOKUP((TRUNC(($AN562+0.01)*3/13,0)+0.99),'Tax scales - NAT 3539'!$A$43:$C$69,2,1)-VLOOKUP((TRUNC(($AN562+0.01)*3/13,0)+0.99),'Tax scales - NAT 3539'!$A$43:$C$69,3,1)),0)
*13/3,
0),
IF($E$2="Monthly",
ROUND(
ROUND(((TRUNC($AN562*3/13,0)+0.99)*VLOOKUP((TRUNC($AN562*3/13,0)+0.99),'Tax scales - NAT 3539'!$A$43:$C$69,2,1)-VLOOKUP((TRUNC($AN562*3/13,0)+0.99),'Tax scales - NAT 3539'!$A$43:$C$69,3,1)),0)
*13/3,
0),
""))),
""),
"")</f>
        <v/>
      </c>
      <c r="AW562" s="118" t="str">
        <f>IFERROR(
IF(VLOOKUP($C562,'Employee information'!$B:$M,COLUMNS('Employee information'!$B:$M),0)=33,
IF($E$2="Fortnightly",
ROUND(
ROUND((((TRUNC($AN562/2,0)+0.99))*VLOOKUP((TRUNC($AN562/2,0)+0.99),'Tax scales - NAT 3539'!$A$74:$C$94,2,1)-VLOOKUP((TRUNC($AN562/2,0)+0.99),'Tax scales - NAT 3539'!$A$74:$C$94,3,1)),0)
*2,
0),
IF(AND($E$2="Monthly",ROUND($AN562-TRUNC($AN562),2)=0.33),
ROUND(
ROUND(((TRUNC(($AN562+0.01)*3/13,0)+0.99)*VLOOKUP((TRUNC(($AN562+0.01)*3/13,0)+0.99),'Tax scales - NAT 3539'!$A$74:$C$94,2,1)-VLOOKUP((TRUNC(($AN562+0.01)*3/13,0)+0.99),'Tax scales - NAT 3539'!$A$74:$C$94,3,1)),0)
*13/3,
0),
IF($E$2="Monthly",
ROUND(
ROUND(((TRUNC($AN562*3/13,0)+0.99)*VLOOKUP((TRUNC($AN562*3/13,0)+0.99),'Tax scales - NAT 3539'!$A$74:$C$94,2,1)-VLOOKUP((TRUNC($AN562*3/13,0)+0.99),'Tax scales - NAT 3539'!$A$74:$C$94,3,1)),0)
*13/3,
0),
""))),
""),
"")</f>
        <v/>
      </c>
      <c r="AX562" s="118" t="str">
        <f>IFERROR(
IF(VLOOKUP($C562,'Employee information'!$B:$M,COLUMNS('Employee information'!$B:$M),0)=55,
IF($E$2="Fortnightly",
ROUND(
ROUND((((TRUNC($AN562/2,0)+0.99))*VLOOKUP((TRUNC($AN562/2,0)+0.99),'Tax scales - NAT 3539'!$A$99:$C$123,2,1)-VLOOKUP((TRUNC($AN562/2,0)+0.99),'Tax scales - NAT 3539'!$A$99:$C$123,3,1)),0)
*2,
0),
IF(AND($E$2="Monthly",ROUND($AN562-TRUNC($AN562),2)=0.33),
ROUND(
ROUND(((TRUNC(($AN562+0.01)*3/13,0)+0.99)*VLOOKUP((TRUNC(($AN562+0.01)*3/13,0)+0.99),'Tax scales - NAT 3539'!$A$99:$C$123,2,1)-VLOOKUP((TRUNC(($AN562+0.01)*3/13,0)+0.99),'Tax scales - NAT 3539'!$A$99:$C$123,3,1)),0)
*13/3,
0),
IF($E$2="Monthly",
ROUND(
ROUND(((TRUNC($AN562*3/13,0)+0.99)*VLOOKUP((TRUNC($AN562*3/13,0)+0.99),'Tax scales - NAT 3539'!$A$99:$C$123,2,1)-VLOOKUP((TRUNC($AN562*3/13,0)+0.99),'Tax scales - NAT 3539'!$A$99:$C$123,3,1)),0)
*13/3,
0),
""))),
""),
"")</f>
        <v/>
      </c>
      <c r="AY562" s="118" t="str">
        <f>IFERROR(
IF(VLOOKUP($C562,'Employee information'!$B:$M,COLUMNS('Employee information'!$B:$M),0)=66,
IF($E$2="Fortnightly",
ROUND(
ROUND((((TRUNC($AN562/2,0)+0.99))*VLOOKUP((TRUNC($AN562/2,0)+0.99),'Tax scales - NAT 3539'!$A$127:$C$154,2,1)-VLOOKUP((TRUNC($AN562/2,0)+0.99),'Tax scales - NAT 3539'!$A$127:$C$154,3,1)),0)
*2,
0),
IF(AND($E$2="Monthly",ROUND($AN562-TRUNC($AN562),2)=0.33),
ROUND(
ROUND(((TRUNC(($AN562+0.01)*3/13,0)+0.99)*VLOOKUP((TRUNC(($AN562+0.01)*3/13,0)+0.99),'Tax scales - NAT 3539'!$A$127:$C$154,2,1)-VLOOKUP((TRUNC(($AN562+0.01)*3/13,0)+0.99),'Tax scales - NAT 3539'!$A$127:$C$154,3,1)),0)
*13/3,
0),
IF($E$2="Monthly",
ROUND(
ROUND(((TRUNC($AN562*3/13,0)+0.99)*VLOOKUP((TRUNC($AN562*3/13,0)+0.99),'Tax scales - NAT 3539'!$A$127:$C$154,2,1)-VLOOKUP((TRUNC($AN562*3/13,0)+0.99),'Tax scales - NAT 3539'!$A$127:$C$154,3,1)),0)
*13/3,
0),
""))),
""),
"")</f>
        <v/>
      </c>
      <c r="AZ562" s="118">
        <f>IFERROR(
HLOOKUP(VLOOKUP($C562,'Employee information'!$B:$M,COLUMNS('Employee information'!$B:$M),0),'PAYG worksheet'!$AO$561:$AY$580,COUNTA($C$562:$C562)+1,0),
0)</f>
        <v>1448</v>
      </c>
      <c r="BA562" s="118"/>
      <c r="BB562" s="118">
        <f>IFERROR($AM562-$AZ562-$BA562,"")</f>
        <v>2249.576396206533</v>
      </c>
      <c r="BC562" s="119">
        <f>IFERROR(
IF(OR($AE562=1,$AE562=""),SUM($P562,$AA562,$AC562,$AK562)*VLOOKUP($C562,'Employee information'!$B:$Q,COLUMNS('Employee information'!$B:$H),0),
IF($AE562=0,SUM($P562,$AA562,$AK562)*VLOOKUP($C562,'Employee information'!$B:$Q,COLUMNS('Employee information'!$B:$H),0),
0)),
0)</f>
        <v>351.26975763962065</v>
      </c>
      <c r="BE562" s="114">
        <f t="shared" ref="BE562:BE580" si="589">IF(AND($E$2="Monthly",$A562&gt;12),"",
SUMIFS($AM:$AM,$C:$C,$C562,$A:$A,"&lt;="&amp;$A562)
)</f>
        <v>73951.527924130671</v>
      </c>
      <c r="BF562" s="114">
        <f t="shared" ref="BF562:BF580" si="590">IF(AND($E$2="Monthly",$A562&gt;12),"",
SUMIFS($AN:$AN,$C:$C,$C562,$A:$A,"&lt;="&amp;$A562)
)</f>
        <v>73951.527924130671</v>
      </c>
      <c r="BG562" s="114">
        <f t="shared" ref="BG562:BG580" si="591">IF(AND($E$2="Monthly",$A562&gt;12),"",
SUMIFS($AC:$AC,$C:$C,$C562,$A:$A,"&lt;="&amp;$A562)
)</f>
        <v>0</v>
      </c>
      <c r="BH562" s="114">
        <f t="shared" ref="BH562:BH580" si="592">IF(AND($E$2="Monthly",$A562&gt;12),"",
SUMIFS($AG:$AG,$C:$C,$C562,$A:$A,"&lt;="&amp;$A562)
)</f>
        <v>0</v>
      </c>
      <c r="BI562" s="114">
        <f t="shared" ref="BI562:BI580" si="593">IF(AND($E$2="Monthly",$A562&gt;12),"",
SUMIFS($AZ:$AZ,$C:$C,$C562,$A:$A,"&lt;="&amp;$A562)
)</f>
        <v>28960</v>
      </c>
      <c r="BJ562" s="114">
        <f t="shared" ref="BJ562:BJ580" si="594">IF(AND($E$2="Monthly",$A562&gt;12),"",
SUMIFS($BA:$BA,$C:$C,$C562,$A:$A,"&lt;="&amp;$A562)
)</f>
        <v>0</v>
      </c>
      <c r="BK562" s="114">
        <f t="shared" ref="BK562:BK580" si="595">IF(AND($E$2="Monthly",$A562&gt;12),"",
SUMIFS($AJ:$AJ,$C:$C,$C562,$A:$A,"&lt;="&amp;$A562)
)</f>
        <v>0</v>
      </c>
      <c r="BL562" s="114">
        <f>IF(AND($E$2="Monthly",$A562&gt;12),"",
SUMIFS($AK:$AK,$C:$C,$C562,$A:$A,"&lt;="&amp;$A562)
)</f>
        <v>0</v>
      </c>
      <c r="BM562" s="114">
        <f t="shared" ref="BM562:BM580" si="596">IF(AND($E$2="Monthly",$A562&gt;12),"",
SUMIFS($BC:$BC,$C:$C,$C562,$A:$A,"&lt;="&amp;$A562)
)</f>
        <v>7025.3951527924119</v>
      </c>
    </row>
    <row r="563" spans="1:65" x14ac:dyDescent="0.25">
      <c r="A563" s="228">
        <f t="shared" si="584"/>
        <v>20</v>
      </c>
      <c r="C563" s="278" t="s">
        <v>13</v>
      </c>
      <c r="E563" s="103">
        <f>IF($C563="",0,
IF(AND($E$2="Monthly",$A563&gt;12),0,
IF($E$2="Monthly",VLOOKUP($C563,'Employee information'!$B:$AM,COLUMNS('Employee information'!$B:S),0),
IF($E$2="Fortnightly",VLOOKUP($C563,'Employee information'!$B:$AM,COLUMNS('Employee information'!$B:R),0),
0))))</f>
        <v>0</v>
      </c>
      <c r="F563" s="106"/>
      <c r="G563" s="106"/>
      <c r="H563" s="106"/>
      <c r="I563" s="106"/>
      <c r="J563" s="103">
        <f t="shared" ref="J563:J580" si="597">IF($E$2="Monthly",
IF(AND($E$2="Monthly",$H563&lt;&gt;""),$H563,
IF(AND($E$2="Monthly",$E563=0),SUM($F563:$G563),
$E563)),
IF($E$2="Fortnightly",
IF(AND($E$2="Fortnightly",$H563&lt;&gt;""),$H563,
IF(AND($E$2="Fortnightly",$F563&lt;&gt;"",$E563&lt;&gt;0),$F563,
IF(AND($E$2="Fortnightly",$E563=0),SUM($F563:$G563),
$E563)))))</f>
        <v>0</v>
      </c>
      <c r="L563" s="113">
        <f>IF(AND($E$2="Monthly",$A563&gt;12),"",
IFERROR($J563*VLOOKUP($C563,'Employee information'!$B:$AI,COLUMNS('Employee information'!$B:$P),0),0))</f>
        <v>0</v>
      </c>
      <c r="M563" s="114">
        <f t="shared" ref="M563:M580" si="598">IF(AND($E$2="Monthly",$A563&gt;12),"",
SUMIFS($L:$L,$C:$C,$C563,$A:$A,"&lt;="&amp;$A563)
)</f>
        <v>1615.3846153846152</v>
      </c>
      <c r="O563" s="103">
        <f t="shared" ref="O563:O580" si="599">IF($E$2="Monthly",
IF(AND($E$2="Monthly",$H563&lt;&gt;""),$H563,
IF(AND($E$2="Monthly",$E563=0),$F563,
$E563)),
IF($E$2="Fortnightly",
IF(AND($E$2="Fortnightly",$H563&lt;&gt;""),$H563,
IF(AND($E$2="Fortnightly",$F563&lt;&gt;"",$E563&lt;&gt;0),$F563,
IF(AND($E$2="Fortnightly",$E563=0),$F563,
$E563)))))</f>
        <v>0</v>
      </c>
      <c r="P563" s="113">
        <f>IFERROR(
IF(AND($E$2="Monthly",$A563&gt;12),0,
$O563*VLOOKUP($C563,'Employee information'!$B:$AI,COLUMNS('Employee information'!$B:$P),0)),
0)</f>
        <v>0</v>
      </c>
      <c r="R563" s="114">
        <f t="shared" si="585"/>
        <v>1615.3846153846152</v>
      </c>
      <c r="T563" s="103"/>
      <c r="U563" s="103"/>
      <c r="V563" s="282">
        <f>IF($C563="","",
IF(AND($E$2="Monthly",$A563&gt;12),"",
$T563*VLOOKUP($C563,'Employee information'!$B:$P,COLUMNS('Employee information'!$B:$P),0)))</f>
        <v>0</v>
      </c>
      <c r="W563" s="282">
        <f>IF($C563="","",
IF(AND($E$2="Monthly",$A563&gt;12),"",
$U563*VLOOKUP($C563,'Employee information'!$B:$P,COLUMNS('Employee information'!$B:$P),0)))</f>
        <v>0</v>
      </c>
      <c r="X563" s="114">
        <f t="shared" si="586"/>
        <v>0</v>
      </c>
      <c r="Y563" s="114">
        <f t="shared" si="587"/>
        <v>288.46153846153845</v>
      </c>
      <c r="AA563" s="118">
        <f>IFERROR(
IF(OR('Basic payroll data'!$D$12="",'Basic payroll data'!$D$12="No"),0,
$T563*VLOOKUP($C563,'Employee information'!$B:$P,COLUMNS('Employee information'!$B:$P),0)*AL_loading_perc),
0)</f>
        <v>0</v>
      </c>
      <c r="AC563" s="118"/>
      <c r="AD563" s="118"/>
      <c r="AE563" s="283" t="str">
        <f t="shared" ref="AE563:AE580" si="600">IF(LEFT($AD563,6)="Is OTE",1,
IF(LEFT($AD563,10)="Is not OTE",0,
""))</f>
        <v/>
      </c>
      <c r="AF563" s="283" t="str">
        <f t="shared" ref="AF563:AF580" si="601">IF(RIGHT($AD563,12)="tax withheld",1,
IF(RIGHT($AD563,16)="tax not withheld",0,
""))</f>
        <v/>
      </c>
      <c r="AG563" s="118"/>
      <c r="AH563" s="118"/>
      <c r="AI563" s="283" t="str">
        <f t="shared" ref="AI563:AI580" si="602">IF($AH563="FBT",0,
IF($AH563="Not FBT",1,
""))</f>
        <v/>
      </c>
      <c r="AJ563" s="118"/>
      <c r="AK563" s="118"/>
      <c r="AM563" s="118">
        <f t="shared" ref="AM563:AM580" si="603">SUM($L563,$AA563,$AC563,$AG563,$AK563)-$AJ563</f>
        <v>0</v>
      </c>
      <c r="AN563" s="118">
        <f t="shared" si="588"/>
        <v>0</v>
      </c>
      <c r="AO563" s="118" t="str">
        <f>IFERROR(
IF(VLOOKUP($C563,'Employee information'!$B:$M,COLUMNS('Employee information'!$B:$M),0)=1,
IF($E$2="Fortnightly",
ROUND(
ROUND((((TRUNC($AN563/2,0)+0.99))*VLOOKUP((TRUNC($AN563/2,0)+0.99),'Tax scales - NAT 1004'!$A$12:$C$18,2,1)-VLOOKUP((TRUNC($AN563/2,0)+0.99),'Tax scales - NAT 1004'!$A$12:$C$18,3,1)),0)
*2,
0),
IF(AND($E$2="Monthly",ROUND($AN563-TRUNC($AN563),2)=0.33),
ROUND(
ROUND(((TRUNC(($AN563+0.01)*3/13,0)+0.99)*VLOOKUP((TRUNC(($AN563+0.01)*3/13,0)+0.99),'Tax scales - NAT 1004'!$A$12:$C$18,2,1)-VLOOKUP((TRUNC(($AN563+0.01)*3/13,0)+0.99),'Tax scales - NAT 1004'!$A$12:$C$18,3,1)),0)
*13/3,
0),
IF($E$2="Monthly",
ROUND(
ROUND(((TRUNC($AN563*3/13,0)+0.99)*VLOOKUP((TRUNC($AN563*3/13,0)+0.99),'Tax scales - NAT 1004'!$A$12:$C$18,2,1)-VLOOKUP((TRUNC($AN563*3/13,0)+0.99),'Tax scales - NAT 1004'!$A$12:$C$18,3,1)),0)
*13/3,
0),
""))),
""),
"")</f>
        <v/>
      </c>
      <c r="AP563" s="118" t="str">
        <f>IFERROR(
IF(VLOOKUP($C563,'Employee information'!$B:$M,COLUMNS('Employee information'!$B:$M),0)=2,
IF($E$2="Fortnightly",
ROUND(
ROUND((((TRUNC($AN563/2,0)+0.99))*VLOOKUP((TRUNC($AN563/2,0)+0.99),'Tax scales - NAT 1004'!$A$25:$C$33,2,1)-VLOOKUP((TRUNC($AN563/2,0)+0.99),'Tax scales - NAT 1004'!$A$25:$C$33,3,1)),0)
*2,
0),
IF(AND($E$2="Monthly",ROUND($AN563-TRUNC($AN563),2)=0.33),
ROUND(
ROUND(((TRUNC(($AN563+0.01)*3/13,0)+0.99)*VLOOKUP((TRUNC(($AN563+0.01)*3/13,0)+0.99),'Tax scales - NAT 1004'!$A$25:$C$33,2,1)-VLOOKUP((TRUNC(($AN563+0.01)*3/13,0)+0.99),'Tax scales - NAT 1004'!$A$25:$C$33,3,1)),0)
*13/3,
0),
IF($E$2="Monthly",
ROUND(
ROUND(((TRUNC($AN563*3/13,0)+0.99)*VLOOKUP((TRUNC($AN563*3/13,0)+0.99),'Tax scales - NAT 1004'!$A$25:$C$33,2,1)-VLOOKUP((TRUNC($AN563*3/13,0)+0.99),'Tax scales - NAT 1004'!$A$25:$C$33,3,1)),0)
*13/3,
0),
""))),
""),
"")</f>
        <v/>
      </c>
      <c r="AQ563" s="118" t="str">
        <f>IFERROR(
IF(VLOOKUP($C563,'Employee information'!$B:$M,COLUMNS('Employee information'!$B:$M),0)=3,
IF($E$2="Fortnightly",
ROUND(
ROUND((((TRUNC($AN563/2,0)+0.99))*VLOOKUP((TRUNC($AN563/2,0)+0.99),'Tax scales - NAT 1004'!$A$39:$C$41,2,1)-VLOOKUP((TRUNC($AN563/2,0)+0.99),'Tax scales - NAT 1004'!$A$39:$C$41,3,1)),0)
*2,
0),
IF(AND($E$2="Monthly",ROUND($AN563-TRUNC($AN563),2)=0.33),
ROUND(
ROUND(((TRUNC(($AN563+0.01)*3/13,0)+0.99)*VLOOKUP((TRUNC(($AN563+0.01)*3/13,0)+0.99),'Tax scales - NAT 1004'!$A$39:$C$41,2,1)-VLOOKUP((TRUNC(($AN563+0.01)*3/13,0)+0.99),'Tax scales - NAT 1004'!$A$39:$C$41,3,1)),0)
*13/3,
0),
IF($E$2="Monthly",
ROUND(
ROUND(((TRUNC($AN563*3/13,0)+0.99)*VLOOKUP((TRUNC($AN563*3/13,0)+0.99),'Tax scales - NAT 1004'!$A$39:$C$41,2,1)-VLOOKUP((TRUNC($AN563*3/13,0)+0.99),'Tax scales - NAT 1004'!$A$39:$C$41,3,1)),0)
*13/3,
0),
""))),
""),
"")</f>
        <v/>
      </c>
      <c r="AR563" s="118" t="str">
        <f>IFERROR(
IF(AND(VLOOKUP($C563,'Employee information'!$B:$M,COLUMNS('Employee information'!$B:$M),0)=4,
VLOOKUP($C563,'Employee information'!$B:$J,COLUMNS('Employee information'!$B:$J),0)="Resident"),
TRUNC(TRUNC($AN563)*'Tax scales - NAT 1004'!$B$47),
IF(AND(VLOOKUP($C563,'Employee information'!$B:$M,COLUMNS('Employee information'!$B:$M),0)=4,
VLOOKUP($C563,'Employee information'!$B:$J,COLUMNS('Employee information'!$B:$J),0)="Foreign resident"),
TRUNC(TRUNC($AN563)*'Tax scales - NAT 1004'!$B$48),
"")),
"")</f>
        <v/>
      </c>
      <c r="AS563" s="118" t="str">
        <f>IFERROR(
IF(VLOOKUP($C563,'Employee information'!$B:$M,COLUMNS('Employee information'!$B:$M),0)=5,
IF($E$2="Fortnightly",
ROUND(
ROUND((((TRUNC($AN563/2,0)+0.99))*VLOOKUP((TRUNC($AN563/2,0)+0.99),'Tax scales - NAT 1004'!$A$53:$C$59,2,1)-VLOOKUP((TRUNC($AN563/2,0)+0.99),'Tax scales - NAT 1004'!$A$53:$C$59,3,1)),0)
*2,
0),
IF(AND($E$2="Monthly",ROUND($AN563-TRUNC($AN563),2)=0.33),
ROUND(
ROUND(((TRUNC(($AN563+0.01)*3/13,0)+0.99)*VLOOKUP((TRUNC(($AN563+0.01)*3/13,0)+0.99),'Tax scales - NAT 1004'!$A$53:$C$59,2,1)-VLOOKUP((TRUNC(($AN563+0.01)*3/13,0)+0.99),'Tax scales - NAT 1004'!$A$53:$C$59,3,1)),0)
*13/3,
0),
IF($E$2="Monthly",
ROUND(
ROUND(((TRUNC($AN563*3/13,0)+0.99)*VLOOKUP((TRUNC($AN563*3/13,0)+0.99),'Tax scales - NAT 1004'!$A$53:$C$59,2,1)-VLOOKUP((TRUNC($AN563*3/13,0)+0.99),'Tax scales - NAT 1004'!$A$53:$C$59,3,1)),0)
*13/3,
0),
""))),
""),
"")</f>
        <v/>
      </c>
      <c r="AT563" s="118" t="str">
        <f>IFERROR(
IF(VLOOKUP($C563,'Employee information'!$B:$M,COLUMNS('Employee information'!$B:$M),0)=6,
IF($E$2="Fortnightly",
ROUND(
ROUND((((TRUNC($AN563/2,0)+0.99))*VLOOKUP((TRUNC($AN563/2,0)+0.99),'Tax scales - NAT 1004'!$A$65:$C$73,2,1)-VLOOKUP((TRUNC($AN563/2,0)+0.99),'Tax scales - NAT 1004'!$A$65:$C$73,3,1)),0)
*2,
0),
IF(AND($E$2="Monthly",ROUND($AN563-TRUNC($AN563),2)=0.33),
ROUND(
ROUND(((TRUNC(($AN563+0.01)*3/13,0)+0.99)*VLOOKUP((TRUNC(($AN563+0.01)*3/13,0)+0.99),'Tax scales - NAT 1004'!$A$65:$C$73,2,1)-VLOOKUP((TRUNC(($AN563+0.01)*3/13,0)+0.99),'Tax scales - NAT 1004'!$A$65:$C$73,3,1)),0)
*13/3,
0),
IF($E$2="Monthly",
ROUND(
ROUND(((TRUNC($AN563*3/13,0)+0.99)*VLOOKUP((TRUNC($AN563*3/13,0)+0.99),'Tax scales - NAT 1004'!$A$65:$C$73,2,1)-VLOOKUP((TRUNC($AN563*3/13,0)+0.99),'Tax scales - NAT 1004'!$A$65:$C$73,3,1)),0)
*13/3,
0),
""))),
""),
"")</f>
        <v/>
      </c>
      <c r="AU563" s="118">
        <f>IFERROR(
IF(VLOOKUP($C563,'Employee information'!$B:$M,COLUMNS('Employee information'!$B:$M),0)=11,
IF($E$2="Fortnightly",
ROUND(
ROUND((((TRUNC($AN563/2,0)+0.99))*VLOOKUP((TRUNC($AN563/2,0)+0.99),'Tax scales - NAT 3539'!$A$14:$C$38,2,1)-VLOOKUP((TRUNC($AN563/2,0)+0.99),'Tax scales - NAT 3539'!$A$14:$C$38,3,1)),0)
*2,
0),
IF(AND($E$2="Monthly",ROUND($AN563-TRUNC($AN563),2)=0.33),
ROUND(
ROUND(((TRUNC(($AN563+0.01)*3/13,0)+0.99)*VLOOKUP((TRUNC(($AN563+0.01)*3/13,0)+0.99),'Tax scales - NAT 3539'!$A$14:$C$38,2,1)-VLOOKUP((TRUNC(($AN563+0.01)*3/13,0)+0.99),'Tax scales - NAT 3539'!$A$14:$C$38,3,1)),0)
*13/3,
0),
IF($E$2="Monthly",
ROUND(
ROUND(((TRUNC($AN563*3/13,0)+0.99)*VLOOKUP((TRUNC($AN563*3/13,0)+0.99),'Tax scales - NAT 3539'!$A$14:$C$38,2,1)-VLOOKUP((TRUNC($AN563*3/13,0)+0.99),'Tax scales - NAT 3539'!$A$14:$C$38,3,1)),0)
*13/3,
0),
""))),
""),
"")</f>
        <v>0</v>
      </c>
      <c r="AV563" s="118" t="str">
        <f>IFERROR(
IF(VLOOKUP($C563,'Employee information'!$B:$M,COLUMNS('Employee information'!$B:$M),0)=22,
IF($E$2="Fortnightly",
ROUND(
ROUND((((TRUNC($AN563/2,0)+0.99))*VLOOKUP((TRUNC($AN563/2,0)+0.99),'Tax scales - NAT 3539'!$A$43:$C$69,2,1)-VLOOKUP((TRUNC($AN563/2,0)+0.99),'Tax scales - NAT 3539'!$A$43:$C$69,3,1)),0)
*2,
0),
IF(AND($E$2="Monthly",ROUND($AN563-TRUNC($AN563),2)=0.33),
ROUND(
ROUND(((TRUNC(($AN563+0.01)*3/13,0)+0.99)*VLOOKUP((TRUNC(($AN563+0.01)*3/13,0)+0.99),'Tax scales - NAT 3539'!$A$43:$C$69,2,1)-VLOOKUP((TRUNC(($AN563+0.01)*3/13,0)+0.99),'Tax scales - NAT 3539'!$A$43:$C$69,3,1)),0)
*13/3,
0),
IF($E$2="Monthly",
ROUND(
ROUND(((TRUNC($AN563*3/13,0)+0.99)*VLOOKUP((TRUNC($AN563*3/13,0)+0.99),'Tax scales - NAT 3539'!$A$43:$C$69,2,1)-VLOOKUP((TRUNC($AN563*3/13,0)+0.99),'Tax scales - NAT 3539'!$A$43:$C$69,3,1)),0)
*13/3,
0),
""))),
""),
"")</f>
        <v/>
      </c>
      <c r="AW563" s="118" t="str">
        <f>IFERROR(
IF(VLOOKUP($C563,'Employee information'!$B:$M,COLUMNS('Employee information'!$B:$M),0)=33,
IF($E$2="Fortnightly",
ROUND(
ROUND((((TRUNC($AN563/2,0)+0.99))*VLOOKUP((TRUNC($AN563/2,0)+0.99),'Tax scales - NAT 3539'!$A$74:$C$94,2,1)-VLOOKUP((TRUNC($AN563/2,0)+0.99),'Tax scales - NAT 3539'!$A$74:$C$94,3,1)),0)
*2,
0),
IF(AND($E$2="Monthly",ROUND($AN563-TRUNC($AN563),2)=0.33),
ROUND(
ROUND(((TRUNC(($AN563+0.01)*3/13,0)+0.99)*VLOOKUP((TRUNC(($AN563+0.01)*3/13,0)+0.99),'Tax scales - NAT 3539'!$A$74:$C$94,2,1)-VLOOKUP((TRUNC(($AN563+0.01)*3/13,0)+0.99),'Tax scales - NAT 3539'!$A$74:$C$94,3,1)),0)
*13/3,
0),
IF($E$2="Monthly",
ROUND(
ROUND(((TRUNC($AN563*3/13,0)+0.99)*VLOOKUP((TRUNC($AN563*3/13,0)+0.99),'Tax scales - NAT 3539'!$A$74:$C$94,2,1)-VLOOKUP((TRUNC($AN563*3/13,0)+0.99),'Tax scales - NAT 3539'!$A$74:$C$94,3,1)),0)
*13/3,
0),
""))),
""),
"")</f>
        <v/>
      </c>
      <c r="AX563" s="118" t="str">
        <f>IFERROR(
IF(VLOOKUP($C563,'Employee information'!$B:$M,COLUMNS('Employee information'!$B:$M),0)=55,
IF($E$2="Fortnightly",
ROUND(
ROUND((((TRUNC($AN563/2,0)+0.99))*VLOOKUP((TRUNC($AN563/2,0)+0.99),'Tax scales - NAT 3539'!$A$99:$C$123,2,1)-VLOOKUP((TRUNC($AN563/2,0)+0.99),'Tax scales - NAT 3539'!$A$99:$C$123,3,1)),0)
*2,
0),
IF(AND($E$2="Monthly",ROUND($AN563-TRUNC($AN563),2)=0.33),
ROUND(
ROUND(((TRUNC(($AN563+0.01)*3/13,0)+0.99)*VLOOKUP((TRUNC(($AN563+0.01)*3/13,0)+0.99),'Tax scales - NAT 3539'!$A$99:$C$123,2,1)-VLOOKUP((TRUNC(($AN563+0.01)*3/13,0)+0.99),'Tax scales - NAT 3539'!$A$99:$C$123,3,1)),0)
*13/3,
0),
IF($E$2="Monthly",
ROUND(
ROUND(((TRUNC($AN563*3/13,0)+0.99)*VLOOKUP((TRUNC($AN563*3/13,0)+0.99),'Tax scales - NAT 3539'!$A$99:$C$123,2,1)-VLOOKUP((TRUNC($AN563*3/13,0)+0.99),'Tax scales - NAT 3539'!$A$99:$C$123,3,1)),0)
*13/3,
0),
""))),
""),
"")</f>
        <v/>
      </c>
      <c r="AY563" s="118" t="str">
        <f>IFERROR(
IF(VLOOKUP($C563,'Employee information'!$B:$M,COLUMNS('Employee information'!$B:$M),0)=66,
IF($E$2="Fortnightly",
ROUND(
ROUND((((TRUNC($AN563/2,0)+0.99))*VLOOKUP((TRUNC($AN563/2,0)+0.99),'Tax scales - NAT 3539'!$A$127:$C$154,2,1)-VLOOKUP((TRUNC($AN563/2,0)+0.99),'Tax scales - NAT 3539'!$A$127:$C$154,3,1)),0)
*2,
0),
IF(AND($E$2="Monthly",ROUND($AN563-TRUNC($AN563),2)=0.33),
ROUND(
ROUND(((TRUNC(($AN563+0.01)*3/13,0)+0.99)*VLOOKUP((TRUNC(($AN563+0.01)*3/13,0)+0.99),'Tax scales - NAT 3539'!$A$127:$C$154,2,1)-VLOOKUP((TRUNC(($AN563+0.01)*3/13,0)+0.99),'Tax scales - NAT 3539'!$A$127:$C$154,3,1)),0)
*13/3,
0),
IF($E$2="Monthly",
ROUND(
ROUND(((TRUNC($AN563*3/13,0)+0.99)*VLOOKUP((TRUNC($AN563*3/13,0)+0.99),'Tax scales - NAT 3539'!$A$127:$C$154,2,1)-VLOOKUP((TRUNC($AN563*3/13,0)+0.99),'Tax scales - NAT 3539'!$A$127:$C$154,3,1)),0)
*13/3,
0),
""))),
""),
"")</f>
        <v/>
      </c>
      <c r="AZ563" s="118">
        <f>IFERROR(
HLOOKUP(VLOOKUP($C563,'Employee information'!$B:$M,COLUMNS('Employee information'!$B:$M),0),'PAYG worksheet'!$AO$561:$AY$580,COUNTA($C$562:$C563)+1,0),
0)</f>
        <v>0</v>
      </c>
      <c r="BA563" s="118"/>
      <c r="BB563" s="118">
        <f t="shared" ref="BB563:BB580" si="604">IFERROR($AM563-$AZ563-$BA563,"")</f>
        <v>0</v>
      </c>
      <c r="BC563" s="119">
        <f>IFERROR(
IF(OR($AE563=1,$AE563=""),SUM($P563,$AA563,$AC563,$AK563)*VLOOKUP($C563,'Employee information'!$B:$Q,COLUMNS('Employee information'!$B:$H),0),
IF($AE563=0,SUM($P563,$AA563,$AK563)*VLOOKUP($C563,'Employee information'!$B:$Q,COLUMNS('Employee information'!$B:$H),0),
0)),
0)</f>
        <v>0</v>
      </c>
      <c r="BE563" s="114">
        <f t="shared" si="589"/>
        <v>1615.3846153846152</v>
      </c>
      <c r="BF563" s="114">
        <f t="shared" si="590"/>
        <v>1615.3846153846152</v>
      </c>
      <c r="BG563" s="114">
        <f t="shared" si="591"/>
        <v>0</v>
      </c>
      <c r="BH563" s="114">
        <f t="shared" si="592"/>
        <v>0</v>
      </c>
      <c r="BI563" s="114">
        <f t="shared" si="593"/>
        <v>474</v>
      </c>
      <c r="BJ563" s="114">
        <f t="shared" si="594"/>
        <v>0</v>
      </c>
      <c r="BK563" s="114">
        <f t="shared" si="595"/>
        <v>0</v>
      </c>
      <c r="BL563" s="114">
        <f t="shared" ref="BL563:BL580" si="605">IF(AND($E$2="Monthly",$A563&gt;12),"",
SUMIFS($AK:$AK,$C:$C,$C563,$A:$A,"&lt;="&amp;$A563)
)</f>
        <v>0</v>
      </c>
      <c r="BM563" s="114">
        <f t="shared" si="596"/>
        <v>153.46153846153845</v>
      </c>
    </row>
    <row r="564" spans="1:65" x14ac:dyDescent="0.25">
      <c r="A564" s="228">
        <f t="shared" si="584"/>
        <v>20</v>
      </c>
      <c r="C564" s="278" t="s">
        <v>14</v>
      </c>
      <c r="E564" s="103">
        <f>IF($C564="",0,
IF(AND($E$2="Monthly",$A564&gt;12),0,
IF($E$2="Monthly",VLOOKUP($C564,'Employee information'!$B:$AM,COLUMNS('Employee information'!$B:S),0),
IF($E$2="Fortnightly",VLOOKUP($C564,'Employee information'!$B:$AM,COLUMNS('Employee information'!$B:R),0),
0))))</f>
        <v>0</v>
      </c>
      <c r="F564" s="106"/>
      <c r="G564" s="106"/>
      <c r="H564" s="106"/>
      <c r="I564" s="106"/>
      <c r="J564" s="103">
        <f t="shared" si="597"/>
        <v>0</v>
      </c>
      <c r="L564" s="113">
        <f>IF(AND($E$2="Monthly",$A564&gt;12),"",
IFERROR($J564*VLOOKUP($C564,'Employee information'!$B:$AI,COLUMNS('Employee information'!$B:$P),0),0))</f>
        <v>0</v>
      </c>
      <c r="M564" s="114">
        <f t="shared" si="598"/>
        <v>900</v>
      </c>
      <c r="O564" s="103">
        <f t="shared" si="599"/>
        <v>0</v>
      </c>
      <c r="P564" s="113">
        <f>IFERROR(
IF(AND($E$2="Monthly",$A564&gt;12),0,
$O564*VLOOKUP($C564,'Employee information'!$B:$AI,COLUMNS('Employee information'!$B:$P),0)),
0)</f>
        <v>0</v>
      </c>
      <c r="R564" s="114">
        <f t="shared" si="585"/>
        <v>900</v>
      </c>
      <c r="T564" s="103"/>
      <c r="U564" s="103"/>
      <c r="V564" s="282">
        <f>IF($C564="","",
IF(AND($E$2="Monthly",$A564&gt;12),"",
$T564*VLOOKUP($C564,'Employee information'!$B:$P,COLUMNS('Employee information'!$B:$P),0)))</f>
        <v>0</v>
      </c>
      <c r="W564" s="282">
        <f>IF($C564="","",
IF(AND($E$2="Monthly",$A564&gt;12),"",
$U564*VLOOKUP($C564,'Employee information'!$B:$P,COLUMNS('Employee information'!$B:$P),0)))</f>
        <v>0</v>
      </c>
      <c r="X564" s="114">
        <f t="shared" si="586"/>
        <v>0</v>
      </c>
      <c r="Y564" s="114">
        <f t="shared" si="587"/>
        <v>0</v>
      </c>
      <c r="AA564" s="118">
        <f>IFERROR(
IF(OR('Basic payroll data'!$D$12="",'Basic payroll data'!$D$12="No"),0,
$T564*VLOOKUP($C564,'Employee information'!$B:$P,COLUMNS('Employee information'!$B:$P),0)*AL_loading_perc),
0)</f>
        <v>0</v>
      </c>
      <c r="AC564" s="118"/>
      <c r="AD564" s="118"/>
      <c r="AE564" s="283" t="str">
        <f t="shared" si="600"/>
        <v/>
      </c>
      <c r="AF564" s="283" t="str">
        <f t="shared" si="601"/>
        <v/>
      </c>
      <c r="AG564" s="118"/>
      <c r="AH564" s="118"/>
      <c r="AI564" s="283" t="str">
        <f t="shared" si="602"/>
        <v/>
      </c>
      <c r="AJ564" s="118"/>
      <c r="AK564" s="118"/>
      <c r="AM564" s="118">
        <f t="shared" si="603"/>
        <v>0</v>
      </c>
      <c r="AN564" s="118">
        <f t="shared" si="588"/>
        <v>0</v>
      </c>
      <c r="AO564" s="118" t="str">
        <f>IFERROR(
IF(VLOOKUP($C564,'Employee information'!$B:$M,COLUMNS('Employee information'!$B:$M),0)=1,
IF($E$2="Fortnightly",
ROUND(
ROUND((((TRUNC($AN564/2,0)+0.99))*VLOOKUP((TRUNC($AN564/2,0)+0.99),'Tax scales - NAT 1004'!$A$12:$C$18,2,1)-VLOOKUP((TRUNC($AN564/2,0)+0.99),'Tax scales - NAT 1004'!$A$12:$C$18,3,1)),0)
*2,
0),
IF(AND($E$2="Monthly",ROUND($AN564-TRUNC($AN564),2)=0.33),
ROUND(
ROUND(((TRUNC(($AN564+0.01)*3/13,0)+0.99)*VLOOKUP((TRUNC(($AN564+0.01)*3/13,0)+0.99),'Tax scales - NAT 1004'!$A$12:$C$18,2,1)-VLOOKUP((TRUNC(($AN564+0.01)*3/13,0)+0.99),'Tax scales - NAT 1004'!$A$12:$C$18,3,1)),0)
*13/3,
0),
IF($E$2="Monthly",
ROUND(
ROUND(((TRUNC($AN564*3/13,0)+0.99)*VLOOKUP((TRUNC($AN564*3/13,0)+0.99),'Tax scales - NAT 1004'!$A$12:$C$18,2,1)-VLOOKUP((TRUNC($AN564*3/13,0)+0.99),'Tax scales - NAT 1004'!$A$12:$C$18,3,1)),0)
*13/3,
0),
""))),
""),
"")</f>
        <v/>
      </c>
      <c r="AP564" s="118" t="str">
        <f>IFERROR(
IF(VLOOKUP($C564,'Employee information'!$B:$M,COLUMNS('Employee information'!$B:$M),0)=2,
IF($E$2="Fortnightly",
ROUND(
ROUND((((TRUNC($AN564/2,0)+0.99))*VLOOKUP((TRUNC($AN564/2,0)+0.99),'Tax scales - NAT 1004'!$A$25:$C$33,2,1)-VLOOKUP((TRUNC($AN564/2,0)+0.99),'Tax scales - NAT 1004'!$A$25:$C$33,3,1)),0)
*2,
0),
IF(AND($E$2="Monthly",ROUND($AN564-TRUNC($AN564),2)=0.33),
ROUND(
ROUND(((TRUNC(($AN564+0.01)*3/13,0)+0.99)*VLOOKUP((TRUNC(($AN564+0.01)*3/13,0)+0.99),'Tax scales - NAT 1004'!$A$25:$C$33,2,1)-VLOOKUP((TRUNC(($AN564+0.01)*3/13,0)+0.99),'Tax scales - NAT 1004'!$A$25:$C$33,3,1)),0)
*13/3,
0),
IF($E$2="Monthly",
ROUND(
ROUND(((TRUNC($AN564*3/13,0)+0.99)*VLOOKUP((TRUNC($AN564*3/13,0)+0.99),'Tax scales - NAT 1004'!$A$25:$C$33,2,1)-VLOOKUP((TRUNC($AN564*3/13,0)+0.99),'Tax scales - NAT 1004'!$A$25:$C$33,3,1)),0)
*13/3,
0),
""))),
""),
"")</f>
        <v/>
      </c>
      <c r="AQ564" s="118" t="str">
        <f>IFERROR(
IF(VLOOKUP($C564,'Employee information'!$B:$M,COLUMNS('Employee information'!$B:$M),0)=3,
IF($E$2="Fortnightly",
ROUND(
ROUND((((TRUNC($AN564/2,0)+0.99))*VLOOKUP((TRUNC($AN564/2,0)+0.99),'Tax scales - NAT 1004'!$A$39:$C$41,2,1)-VLOOKUP((TRUNC($AN564/2,0)+0.99),'Tax scales - NAT 1004'!$A$39:$C$41,3,1)),0)
*2,
0),
IF(AND($E$2="Monthly",ROUND($AN564-TRUNC($AN564),2)=0.33),
ROUND(
ROUND(((TRUNC(($AN564+0.01)*3/13,0)+0.99)*VLOOKUP((TRUNC(($AN564+0.01)*3/13,0)+0.99),'Tax scales - NAT 1004'!$A$39:$C$41,2,1)-VLOOKUP((TRUNC(($AN564+0.01)*3/13,0)+0.99),'Tax scales - NAT 1004'!$A$39:$C$41,3,1)),0)
*13/3,
0),
IF($E$2="Monthly",
ROUND(
ROUND(((TRUNC($AN564*3/13,0)+0.99)*VLOOKUP((TRUNC($AN564*3/13,0)+0.99),'Tax scales - NAT 1004'!$A$39:$C$41,2,1)-VLOOKUP((TRUNC($AN564*3/13,0)+0.99),'Tax scales - NAT 1004'!$A$39:$C$41,3,1)),0)
*13/3,
0),
""))),
""),
"")</f>
        <v/>
      </c>
      <c r="AR564" s="118" t="str">
        <f>IFERROR(
IF(AND(VLOOKUP($C564,'Employee information'!$B:$M,COLUMNS('Employee information'!$B:$M),0)=4,
VLOOKUP($C564,'Employee information'!$B:$J,COLUMNS('Employee information'!$B:$J),0)="Resident"),
TRUNC(TRUNC($AN564)*'Tax scales - NAT 1004'!$B$47),
IF(AND(VLOOKUP($C564,'Employee information'!$B:$M,COLUMNS('Employee information'!$B:$M),0)=4,
VLOOKUP($C564,'Employee information'!$B:$J,COLUMNS('Employee information'!$B:$J),0)="Foreign resident"),
TRUNC(TRUNC($AN564)*'Tax scales - NAT 1004'!$B$48),
"")),
"")</f>
        <v/>
      </c>
      <c r="AS564" s="118" t="str">
        <f>IFERROR(
IF(VLOOKUP($C564,'Employee information'!$B:$M,COLUMNS('Employee information'!$B:$M),0)=5,
IF($E$2="Fortnightly",
ROUND(
ROUND((((TRUNC($AN564/2,0)+0.99))*VLOOKUP((TRUNC($AN564/2,0)+0.99),'Tax scales - NAT 1004'!$A$53:$C$59,2,1)-VLOOKUP((TRUNC($AN564/2,0)+0.99),'Tax scales - NAT 1004'!$A$53:$C$59,3,1)),0)
*2,
0),
IF(AND($E$2="Monthly",ROUND($AN564-TRUNC($AN564),2)=0.33),
ROUND(
ROUND(((TRUNC(($AN564+0.01)*3/13,0)+0.99)*VLOOKUP((TRUNC(($AN564+0.01)*3/13,0)+0.99),'Tax scales - NAT 1004'!$A$53:$C$59,2,1)-VLOOKUP((TRUNC(($AN564+0.01)*3/13,0)+0.99),'Tax scales - NAT 1004'!$A$53:$C$59,3,1)),0)
*13/3,
0),
IF($E$2="Monthly",
ROUND(
ROUND(((TRUNC($AN564*3/13,0)+0.99)*VLOOKUP((TRUNC($AN564*3/13,0)+0.99),'Tax scales - NAT 1004'!$A$53:$C$59,2,1)-VLOOKUP((TRUNC($AN564*3/13,0)+0.99),'Tax scales - NAT 1004'!$A$53:$C$59,3,1)),0)
*13/3,
0),
""))),
""),
"")</f>
        <v/>
      </c>
      <c r="AT564" s="118" t="str">
        <f>IFERROR(
IF(VLOOKUP($C564,'Employee information'!$B:$M,COLUMNS('Employee information'!$B:$M),0)=6,
IF($E$2="Fortnightly",
ROUND(
ROUND((((TRUNC($AN564/2,0)+0.99))*VLOOKUP((TRUNC($AN564/2,0)+0.99),'Tax scales - NAT 1004'!$A$65:$C$73,2,1)-VLOOKUP((TRUNC($AN564/2,0)+0.99),'Tax scales - NAT 1004'!$A$65:$C$73,3,1)),0)
*2,
0),
IF(AND($E$2="Monthly",ROUND($AN564-TRUNC($AN564),2)=0.33),
ROUND(
ROUND(((TRUNC(($AN564+0.01)*3/13,0)+0.99)*VLOOKUP((TRUNC(($AN564+0.01)*3/13,0)+0.99),'Tax scales - NAT 1004'!$A$65:$C$73,2,1)-VLOOKUP((TRUNC(($AN564+0.01)*3/13,0)+0.99),'Tax scales - NAT 1004'!$A$65:$C$73,3,1)),0)
*13/3,
0),
IF($E$2="Monthly",
ROUND(
ROUND(((TRUNC($AN564*3/13,0)+0.99)*VLOOKUP((TRUNC($AN564*3/13,0)+0.99),'Tax scales - NAT 1004'!$A$65:$C$73,2,1)-VLOOKUP((TRUNC($AN564*3/13,0)+0.99),'Tax scales - NAT 1004'!$A$65:$C$73,3,1)),0)
*13/3,
0),
""))),
""),
"")</f>
        <v/>
      </c>
      <c r="AU564" s="118" t="str">
        <f>IFERROR(
IF(VLOOKUP($C564,'Employee information'!$B:$M,COLUMNS('Employee information'!$B:$M),0)=11,
IF($E$2="Fortnightly",
ROUND(
ROUND((((TRUNC($AN564/2,0)+0.99))*VLOOKUP((TRUNC($AN564/2,0)+0.99),'Tax scales - NAT 3539'!$A$14:$C$38,2,1)-VLOOKUP((TRUNC($AN564/2,0)+0.99),'Tax scales - NAT 3539'!$A$14:$C$38,3,1)),0)
*2,
0),
IF(AND($E$2="Monthly",ROUND($AN564-TRUNC($AN564),2)=0.33),
ROUND(
ROUND(((TRUNC(($AN564+0.01)*3/13,0)+0.99)*VLOOKUP((TRUNC(($AN564+0.01)*3/13,0)+0.99),'Tax scales - NAT 3539'!$A$14:$C$38,2,1)-VLOOKUP((TRUNC(($AN564+0.01)*3/13,0)+0.99),'Tax scales - NAT 3539'!$A$14:$C$38,3,1)),0)
*13/3,
0),
IF($E$2="Monthly",
ROUND(
ROUND(((TRUNC($AN564*3/13,0)+0.99)*VLOOKUP((TRUNC($AN564*3/13,0)+0.99),'Tax scales - NAT 3539'!$A$14:$C$38,2,1)-VLOOKUP((TRUNC($AN564*3/13,0)+0.99),'Tax scales - NAT 3539'!$A$14:$C$38,3,1)),0)
*13/3,
0),
""))),
""),
"")</f>
        <v/>
      </c>
      <c r="AV564" s="118" t="str">
        <f>IFERROR(
IF(VLOOKUP($C564,'Employee information'!$B:$M,COLUMNS('Employee information'!$B:$M),0)=22,
IF($E$2="Fortnightly",
ROUND(
ROUND((((TRUNC($AN564/2,0)+0.99))*VLOOKUP((TRUNC($AN564/2,0)+0.99),'Tax scales - NAT 3539'!$A$43:$C$69,2,1)-VLOOKUP((TRUNC($AN564/2,0)+0.99),'Tax scales - NAT 3539'!$A$43:$C$69,3,1)),0)
*2,
0),
IF(AND($E$2="Monthly",ROUND($AN564-TRUNC($AN564),2)=0.33),
ROUND(
ROUND(((TRUNC(($AN564+0.01)*3/13,0)+0.99)*VLOOKUP((TRUNC(($AN564+0.01)*3/13,0)+0.99),'Tax scales - NAT 3539'!$A$43:$C$69,2,1)-VLOOKUP((TRUNC(($AN564+0.01)*3/13,0)+0.99),'Tax scales - NAT 3539'!$A$43:$C$69,3,1)),0)
*13/3,
0),
IF($E$2="Monthly",
ROUND(
ROUND(((TRUNC($AN564*3/13,0)+0.99)*VLOOKUP((TRUNC($AN564*3/13,0)+0.99),'Tax scales - NAT 3539'!$A$43:$C$69,2,1)-VLOOKUP((TRUNC($AN564*3/13,0)+0.99),'Tax scales - NAT 3539'!$A$43:$C$69,3,1)),0)
*13/3,
0),
""))),
""),
"")</f>
        <v/>
      </c>
      <c r="AW564" s="118">
        <f>IFERROR(
IF(VLOOKUP($C564,'Employee information'!$B:$M,COLUMNS('Employee information'!$B:$M),0)=33,
IF($E$2="Fortnightly",
ROUND(
ROUND((((TRUNC($AN564/2,0)+0.99))*VLOOKUP((TRUNC($AN564/2,0)+0.99),'Tax scales - NAT 3539'!$A$74:$C$94,2,1)-VLOOKUP((TRUNC($AN564/2,0)+0.99),'Tax scales - NAT 3539'!$A$74:$C$94,3,1)),0)
*2,
0),
IF(AND($E$2="Monthly",ROUND($AN564-TRUNC($AN564),2)=0.33),
ROUND(
ROUND(((TRUNC(($AN564+0.01)*3/13,0)+0.99)*VLOOKUP((TRUNC(($AN564+0.01)*3/13,0)+0.99),'Tax scales - NAT 3539'!$A$74:$C$94,2,1)-VLOOKUP((TRUNC(($AN564+0.01)*3/13,0)+0.99),'Tax scales - NAT 3539'!$A$74:$C$94,3,1)),0)
*13/3,
0),
IF($E$2="Monthly",
ROUND(
ROUND(((TRUNC($AN564*3/13,0)+0.99)*VLOOKUP((TRUNC($AN564*3/13,0)+0.99),'Tax scales - NAT 3539'!$A$74:$C$94,2,1)-VLOOKUP((TRUNC($AN564*3/13,0)+0.99),'Tax scales - NAT 3539'!$A$74:$C$94,3,1)),0)
*13/3,
0),
""))),
""),
"")</f>
        <v>0</v>
      </c>
      <c r="AX564" s="118" t="str">
        <f>IFERROR(
IF(VLOOKUP($C564,'Employee information'!$B:$M,COLUMNS('Employee information'!$B:$M),0)=55,
IF($E$2="Fortnightly",
ROUND(
ROUND((((TRUNC($AN564/2,0)+0.99))*VLOOKUP((TRUNC($AN564/2,0)+0.99),'Tax scales - NAT 3539'!$A$99:$C$123,2,1)-VLOOKUP((TRUNC($AN564/2,0)+0.99),'Tax scales - NAT 3539'!$A$99:$C$123,3,1)),0)
*2,
0),
IF(AND($E$2="Monthly",ROUND($AN564-TRUNC($AN564),2)=0.33),
ROUND(
ROUND(((TRUNC(($AN564+0.01)*3/13,0)+0.99)*VLOOKUP((TRUNC(($AN564+0.01)*3/13,0)+0.99),'Tax scales - NAT 3539'!$A$99:$C$123,2,1)-VLOOKUP((TRUNC(($AN564+0.01)*3/13,0)+0.99),'Tax scales - NAT 3539'!$A$99:$C$123,3,1)),0)
*13/3,
0),
IF($E$2="Monthly",
ROUND(
ROUND(((TRUNC($AN564*3/13,0)+0.99)*VLOOKUP((TRUNC($AN564*3/13,0)+0.99),'Tax scales - NAT 3539'!$A$99:$C$123,2,1)-VLOOKUP((TRUNC($AN564*3/13,0)+0.99),'Tax scales - NAT 3539'!$A$99:$C$123,3,1)),0)
*13/3,
0),
""))),
""),
"")</f>
        <v/>
      </c>
      <c r="AY564" s="118" t="str">
        <f>IFERROR(
IF(VLOOKUP($C564,'Employee information'!$B:$M,COLUMNS('Employee information'!$B:$M),0)=66,
IF($E$2="Fortnightly",
ROUND(
ROUND((((TRUNC($AN564/2,0)+0.99))*VLOOKUP((TRUNC($AN564/2,0)+0.99),'Tax scales - NAT 3539'!$A$127:$C$154,2,1)-VLOOKUP((TRUNC($AN564/2,0)+0.99),'Tax scales - NAT 3539'!$A$127:$C$154,3,1)),0)
*2,
0),
IF(AND($E$2="Monthly",ROUND($AN564-TRUNC($AN564),2)=0.33),
ROUND(
ROUND(((TRUNC(($AN564+0.01)*3/13,0)+0.99)*VLOOKUP((TRUNC(($AN564+0.01)*3/13,0)+0.99),'Tax scales - NAT 3539'!$A$127:$C$154,2,1)-VLOOKUP((TRUNC(($AN564+0.01)*3/13,0)+0.99),'Tax scales - NAT 3539'!$A$127:$C$154,3,1)),0)
*13/3,
0),
IF($E$2="Monthly",
ROUND(
ROUND(((TRUNC($AN564*3/13,0)+0.99)*VLOOKUP((TRUNC($AN564*3/13,0)+0.99),'Tax scales - NAT 3539'!$A$127:$C$154,2,1)-VLOOKUP((TRUNC($AN564*3/13,0)+0.99),'Tax scales - NAT 3539'!$A$127:$C$154,3,1)),0)
*13/3,
0),
""))),
""),
"")</f>
        <v/>
      </c>
      <c r="AZ564" s="118">
        <f>IFERROR(
HLOOKUP(VLOOKUP($C564,'Employee information'!$B:$M,COLUMNS('Employee information'!$B:$M),0),'PAYG worksheet'!$AO$561:$AY$580,COUNTA($C$562:$C564)+1,0),
0)</f>
        <v>0</v>
      </c>
      <c r="BA564" s="118"/>
      <c r="BB564" s="118">
        <f t="shared" si="604"/>
        <v>0</v>
      </c>
      <c r="BC564" s="119">
        <f>IFERROR(
IF(OR($AE564=1,$AE564=""),SUM($P564,$AA564,$AC564,$AK564)*VLOOKUP($C564,'Employee information'!$B:$Q,COLUMNS('Employee information'!$B:$H),0),
IF($AE564=0,SUM($P564,$AA564,$AK564)*VLOOKUP($C564,'Employee information'!$B:$Q,COLUMNS('Employee information'!$B:$H),0),
0)),
0)</f>
        <v>0</v>
      </c>
      <c r="BE564" s="114">
        <f t="shared" si="589"/>
        <v>900</v>
      </c>
      <c r="BF564" s="114">
        <f t="shared" si="590"/>
        <v>900</v>
      </c>
      <c r="BG564" s="114">
        <f t="shared" si="591"/>
        <v>0</v>
      </c>
      <c r="BH564" s="114">
        <f t="shared" si="592"/>
        <v>0</v>
      </c>
      <c r="BI564" s="114">
        <f t="shared" si="593"/>
        <v>292</v>
      </c>
      <c r="BJ564" s="114">
        <f t="shared" si="594"/>
        <v>0</v>
      </c>
      <c r="BK564" s="114">
        <f t="shared" si="595"/>
        <v>0</v>
      </c>
      <c r="BL564" s="114">
        <f t="shared" si="605"/>
        <v>0</v>
      </c>
      <c r="BM564" s="114">
        <f t="shared" si="596"/>
        <v>85.5</v>
      </c>
    </row>
    <row r="565" spans="1:65" x14ac:dyDescent="0.25">
      <c r="A565" s="228">
        <f t="shared" si="584"/>
        <v>20</v>
      </c>
      <c r="C565" s="278" t="s">
        <v>15</v>
      </c>
      <c r="E565" s="103">
        <f>IF($C565="",0,
IF(AND($E$2="Monthly",$A565&gt;12),0,
IF($E$2="Monthly",VLOOKUP($C565,'Employee information'!$B:$AM,COLUMNS('Employee information'!$B:S),0),
IF($E$2="Fortnightly",VLOOKUP($C565,'Employee information'!$B:$AM,COLUMNS('Employee information'!$B:R),0),
0))))</f>
        <v>75</v>
      </c>
      <c r="F565" s="106"/>
      <c r="G565" s="106"/>
      <c r="H565" s="106"/>
      <c r="I565" s="106"/>
      <c r="J565" s="103">
        <f t="shared" si="597"/>
        <v>75</v>
      </c>
      <c r="L565" s="113">
        <f>IF(AND($E$2="Monthly",$A565&gt;12),"",
IFERROR($J565*VLOOKUP($C565,'Employee information'!$B:$AI,COLUMNS('Employee information'!$B:$P),0),0))</f>
        <v>7692.3076923076924</v>
      </c>
      <c r="M565" s="114">
        <f t="shared" si="598"/>
        <v>153846.15384615381</v>
      </c>
      <c r="O565" s="103">
        <f t="shared" si="599"/>
        <v>75</v>
      </c>
      <c r="P565" s="113">
        <f>IFERROR(
IF(AND($E$2="Monthly",$A565&gt;12),0,
$O565*VLOOKUP($C565,'Employee information'!$B:$AI,COLUMNS('Employee information'!$B:$P),0)),
0)</f>
        <v>7692.3076923076924</v>
      </c>
      <c r="R565" s="114">
        <f t="shared" si="585"/>
        <v>153846.15384615381</v>
      </c>
      <c r="T565" s="103"/>
      <c r="U565" s="103"/>
      <c r="V565" s="282">
        <f>IF($C565="","",
IF(AND($E$2="Monthly",$A565&gt;12),"",
$T565*VLOOKUP($C565,'Employee information'!$B:$P,COLUMNS('Employee information'!$B:$P),0)))</f>
        <v>0</v>
      </c>
      <c r="W565" s="282">
        <f>IF($C565="","",
IF(AND($E$2="Monthly",$A565&gt;12),"",
$U565*VLOOKUP($C565,'Employee information'!$B:$P,COLUMNS('Employee information'!$B:$P),0)))</f>
        <v>0</v>
      </c>
      <c r="X565" s="114">
        <f t="shared" si="586"/>
        <v>1538.4615384615386</v>
      </c>
      <c r="Y565" s="114">
        <f t="shared" si="587"/>
        <v>512.82051282051282</v>
      </c>
      <c r="AA565" s="118">
        <f>IFERROR(
IF(OR('Basic payroll data'!$D$12="",'Basic payroll data'!$D$12="No"),0,
$T565*VLOOKUP($C565,'Employee information'!$B:$P,COLUMNS('Employee information'!$B:$P),0)*AL_loading_perc),
0)</f>
        <v>0</v>
      </c>
      <c r="AC565" s="118"/>
      <c r="AD565" s="118"/>
      <c r="AE565" s="283" t="str">
        <f t="shared" si="600"/>
        <v/>
      </c>
      <c r="AF565" s="283" t="str">
        <f t="shared" si="601"/>
        <v/>
      </c>
      <c r="AG565" s="118"/>
      <c r="AH565" s="118"/>
      <c r="AI565" s="283" t="str">
        <f t="shared" si="602"/>
        <v/>
      </c>
      <c r="AJ565" s="118"/>
      <c r="AK565" s="118"/>
      <c r="AM565" s="118">
        <f t="shared" si="603"/>
        <v>7692.3076923076924</v>
      </c>
      <c r="AN565" s="118">
        <f t="shared" si="588"/>
        <v>7692.3076923076924</v>
      </c>
      <c r="AO565" s="118" t="str">
        <f>IFERROR(
IF(VLOOKUP($C565,'Employee information'!$B:$M,COLUMNS('Employee information'!$B:$M),0)=1,
IF($E$2="Fortnightly",
ROUND(
ROUND((((TRUNC($AN565/2,0)+0.99))*VLOOKUP((TRUNC($AN565/2,0)+0.99),'Tax scales - NAT 1004'!$A$12:$C$18,2,1)-VLOOKUP((TRUNC($AN565/2,0)+0.99),'Tax scales - NAT 1004'!$A$12:$C$18,3,1)),0)
*2,
0),
IF(AND($E$2="Monthly",ROUND($AN565-TRUNC($AN565),2)=0.33),
ROUND(
ROUND(((TRUNC(($AN565+0.01)*3/13,0)+0.99)*VLOOKUP((TRUNC(($AN565+0.01)*3/13,0)+0.99),'Tax scales - NAT 1004'!$A$12:$C$18,2,1)-VLOOKUP((TRUNC(($AN565+0.01)*3/13,0)+0.99),'Tax scales - NAT 1004'!$A$12:$C$18,3,1)),0)
*13/3,
0),
IF($E$2="Monthly",
ROUND(
ROUND(((TRUNC($AN565*3/13,0)+0.99)*VLOOKUP((TRUNC($AN565*3/13,0)+0.99),'Tax scales - NAT 1004'!$A$12:$C$18,2,1)-VLOOKUP((TRUNC($AN565*3/13,0)+0.99),'Tax scales - NAT 1004'!$A$12:$C$18,3,1)),0)
*13/3,
0),
""))),
""),
"")</f>
        <v/>
      </c>
      <c r="AP565" s="118" t="str">
        <f>IFERROR(
IF(VLOOKUP($C565,'Employee information'!$B:$M,COLUMNS('Employee information'!$B:$M),0)=2,
IF($E$2="Fortnightly",
ROUND(
ROUND((((TRUNC($AN565/2,0)+0.99))*VLOOKUP((TRUNC($AN565/2,0)+0.99),'Tax scales - NAT 1004'!$A$25:$C$33,2,1)-VLOOKUP((TRUNC($AN565/2,0)+0.99),'Tax scales - NAT 1004'!$A$25:$C$33,3,1)),0)
*2,
0),
IF(AND($E$2="Monthly",ROUND($AN565-TRUNC($AN565),2)=0.33),
ROUND(
ROUND(((TRUNC(($AN565+0.01)*3/13,0)+0.99)*VLOOKUP((TRUNC(($AN565+0.01)*3/13,0)+0.99),'Tax scales - NAT 1004'!$A$25:$C$33,2,1)-VLOOKUP((TRUNC(($AN565+0.01)*3/13,0)+0.99),'Tax scales - NAT 1004'!$A$25:$C$33,3,1)),0)
*13/3,
0),
IF($E$2="Monthly",
ROUND(
ROUND(((TRUNC($AN565*3/13,0)+0.99)*VLOOKUP((TRUNC($AN565*3/13,0)+0.99),'Tax scales - NAT 1004'!$A$25:$C$33,2,1)-VLOOKUP((TRUNC($AN565*3/13,0)+0.99),'Tax scales - NAT 1004'!$A$25:$C$33,3,1)),0)
*13/3,
0),
""))),
""),
"")</f>
        <v/>
      </c>
      <c r="AQ565" s="118" t="str">
        <f>IFERROR(
IF(VLOOKUP($C565,'Employee information'!$B:$M,COLUMNS('Employee information'!$B:$M),0)=3,
IF($E$2="Fortnightly",
ROUND(
ROUND((((TRUNC($AN565/2,0)+0.99))*VLOOKUP((TRUNC($AN565/2,0)+0.99),'Tax scales - NAT 1004'!$A$39:$C$41,2,1)-VLOOKUP((TRUNC($AN565/2,0)+0.99),'Tax scales - NAT 1004'!$A$39:$C$41,3,1)),0)
*2,
0),
IF(AND($E$2="Monthly",ROUND($AN565-TRUNC($AN565),2)=0.33),
ROUND(
ROUND(((TRUNC(($AN565+0.01)*3/13,0)+0.99)*VLOOKUP((TRUNC(($AN565+0.01)*3/13,0)+0.99),'Tax scales - NAT 1004'!$A$39:$C$41,2,1)-VLOOKUP((TRUNC(($AN565+0.01)*3/13,0)+0.99),'Tax scales - NAT 1004'!$A$39:$C$41,3,1)),0)
*13/3,
0),
IF($E$2="Monthly",
ROUND(
ROUND(((TRUNC($AN565*3/13,0)+0.99)*VLOOKUP((TRUNC($AN565*3/13,0)+0.99),'Tax scales - NAT 1004'!$A$39:$C$41,2,1)-VLOOKUP((TRUNC($AN565*3/13,0)+0.99),'Tax scales - NAT 1004'!$A$39:$C$41,3,1)),0)
*13/3,
0),
""))),
""),
"")</f>
        <v/>
      </c>
      <c r="AR565" s="118" t="str">
        <f>IFERROR(
IF(AND(VLOOKUP($C565,'Employee information'!$B:$M,COLUMNS('Employee information'!$B:$M),0)=4,
VLOOKUP($C565,'Employee information'!$B:$J,COLUMNS('Employee information'!$B:$J),0)="Resident"),
TRUNC(TRUNC($AN565)*'Tax scales - NAT 1004'!$B$47),
IF(AND(VLOOKUP($C565,'Employee information'!$B:$M,COLUMNS('Employee information'!$B:$M),0)=4,
VLOOKUP($C565,'Employee information'!$B:$J,COLUMNS('Employee information'!$B:$J),0)="Foreign resident"),
TRUNC(TRUNC($AN565)*'Tax scales - NAT 1004'!$B$48),
"")),
"")</f>
        <v/>
      </c>
      <c r="AS565" s="118" t="str">
        <f>IFERROR(
IF(VLOOKUP($C565,'Employee information'!$B:$M,COLUMNS('Employee information'!$B:$M),0)=5,
IF($E$2="Fortnightly",
ROUND(
ROUND((((TRUNC($AN565/2,0)+0.99))*VLOOKUP((TRUNC($AN565/2,0)+0.99),'Tax scales - NAT 1004'!$A$53:$C$59,2,1)-VLOOKUP((TRUNC($AN565/2,0)+0.99),'Tax scales - NAT 1004'!$A$53:$C$59,3,1)),0)
*2,
0),
IF(AND($E$2="Monthly",ROUND($AN565-TRUNC($AN565),2)=0.33),
ROUND(
ROUND(((TRUNC(($AN565+0.01)*3/13,0)+0.99)*VLOOKUP((TRUNC(($AN565+0.01)*3/13,0)+0.99),'Tax scales - NAT 1004'!$A$53:$C$59,2,1)-VLOOKUP((TRUNC(($AN565+0.01)*3/13,0)+0.99),'Tax scales - NAT 1004'!$A$53:$C$59,3,1)),0)
*13/3,
0),
IF($E$2="Monthly",
ROUND(
ROUND(((TRUNC($AN565*3/13,0)+0.99)*VLOOKUP((TRUNC($AN565*3/13,0)+0.99),'Tax scales - NAT 1004'!$A$53:$C$59,2,1)-VLOOKUP((TRUNC($AN565*3/13,0)+0.99),'Tax scales - NAT 1004'!$A$53:$C$59,3,1)),0)
*13/3,
0),
""))),
""),
"")</f>
        <v/>
      </c>
      <c r="AT565" s="118" t="str">
        <f>IFERROR(
IF(VLOOKUP($C565,'Employee information'!$B:$M,COLUMNS('Employee information'!$B:$M),0)=6,
IF($E$2="Fortnightly",
ROUND(
ROUND((((TRUNC($AN565/2,0)+0.99))*VLOOKUP((TRUNC($AN565/2,0)+0.99),'Tax scales - NAT 1004'!$A$65:$C$73,2,1)-VLOOKUP((TRUNC($AN565/2,0)+0.99),'Tax scales - NAT 1004'!$A$65:$C$73,3,1)),0)
*2,
0),
IF(AND($E$2="Monthly",ROUND($AN565-TRUNC($AN565),2)=0.33),
ROUND(
ROUND(((TRUNC(($AN565+0.01)*3/13,0)+0.99)*VLOOKUP((TRUNC(($AN565+0.01)*3/13,0)+0.99),'Tax scales - NAT 1004'!$A$65:$C$73,2,1)-VLOOKUP((TRUNC(($AN565+0.01)*3/13,0)+0.99),'Tax scales - NAT 1004'!$A$65:$C$73,3,1)),0)
*13/3,
0),
IF($E$2="Monthly",
ROUND(
ROUND(((TRUNC($AN565*3/13,0)+0.99)*VLOOKUP((TRUNC($AN565*3/13,0)+0.99),'Tax scales - NAT 1004'!$A$65:$C$73,2,1)-VLOOKUP((TRUNC($AN565*3/13,0)+0.99),'Tax scales - NAT 1004'!$A$65:$C$73,3,1)),0)
*13/3,
0),
""))),
""),
"")</f>
        <v/>
      </c>
      <c r="AU565" s="118" t="str">
        <f>IFERROR(
IF(VLOOKUP($C565,'Employee information'!$B:$M,COLUMNS('Employee information'!$B:$M),0)=11,
IF($E$2="Fortnightly",
ROUND(
ROUND((((TRUNC($AN565/2,0)+0.99))*VLOOKUP((TRUNC($AN565/2,0)+0.99),'Tax scales - NAT 3539'!$A$14:$C$38,2,1)-VLOOKUP((TRUNC($AN565/2,0)+0.99),'Tax scales - NAT 3539'!$A$14:$C$38,3,1)),0)
*2,
0),
IF(AND($E$2="Monthly",ROUND($AN565-TRUNC($AN565),2)=0.33),
ROUND(
ROUND(((TRUNC(($AN565+0.01)*3/13,0)+0.99)*VLOOKUP((TRUNC(($AN565+0.01)*3/13,0)+0.99),'Tax scales - NAT 3539'!$A$14:$C$38,2,1)-VLOOKUP((TRUNC(($AN565+0.01)*3/13,0)+0.99),'Tax scales - NAT 3539'!$A$14:$C$38,3,1)),0)
*13/3,
0),
IF($E$2="Monthly",
ROUND(
ROUND(((TRUNC($AN565*3/13,0)+0.99)*VLOOKUP((TRUNC($AN565*3/13,0)+0.99),'Tax scales - NAT 3539'!$A$14:$C$38,2,1)-VLOOKUP((TRUNC($AN565*3/13,0)+0.99),'Tax scales - NAT 3539'!$A$14:$C$38,3,1)),0)
*13/3,
0),
""))),
""),
"")</f>
        <v/>
      </c>
      <c r="AV565" s="118" t="str">
        <f>IFERROR(
IF(VLOOKUP($C565,'Employee information'!$B:$M,COLUMNS('Employee information'!$B:$M),0)=22,
IF($E$2="Fortnightly",
ROUND(
ROUND((((TRUNC($AN565/2,0)+0.99))*VLOOKUP((TRUNC($AN565/2,0)+0.99),'Tax scales - NAT 3539'!$A$43:$C$69,2,1)-VLOOKUP((TRUNC($AN565/2,0)+0.99),'Tax scales - NAT 3539'!$A$43:$C$69,3,1)),0)
*2,
0),
IF(AND($E$2="Monthly",ROUND($AN565-TRUNC($AN565),2)=0.33),
ROUND(
ROUND(((TRUNC(($AN565+0.01)*3/13,0)+0.99)*VLOOKUP((TRUNC(($AN565+0.01)*3/13,0)+0.99),'Tax scales - NAT 3539'!$A$43:$C$69,2,1)-VLOOKUP((TRUNC(($AN565+0.01)*3/13,0)+0.99),'Tax scales - NAT 3539'!$A$43:$C$69,3,1)),0)
*13/3,
0),
IF($E$2="Monthly",
ROUND(
ROUND(((TRUNC($AN565*3/13,0)+0.99)*VLOOKUP((TRUNC($AN565*3/13,0)+0.99),'Tax scales - NAT 3539'!$A$43:$C$69,2,1)-VLOOKUP((TRUNC($AN565*3/13,0)+0.99),'Tax scales - NAT 3539'!$A$43:$C$69,3,1)),0)
*13/3,
0),
""))),
""),
"")</f>
        <v/>
      </c>
      <c r="AW565" s="118" t="str">
        <f>IFERROR(
IF(VLOOKUP($C565,'Employee information'!$B:$M,COLUMNS('Employee information'!$B:$M),0)=33,
IF($E$2="Fortnightly",
ROUND(
ROUND((((TRUNC($AN565/2,0)+0.99))*VLOOKUP((TRUNC($AN565/2,0)+0.99),'Tax scales - NAT 3539'!$A$74:$C$94,2,1)-VLOOKUP((TRUNC($AN565/2,0)+0.99),'Tax scales - NAT 3539'!$A$74:$C$94,3,1)),0)
*2,
0),
IF(AND($E$2="Monthly",ROUND($AN565-TRUNC($AN565),2)=0.33),
ROUND(
ROUND(((TRUNC(($AN565+0.01)*3/13,0)+0.99)*VLOOKUP((TRUNC(($AN565+0.01)*3/13,0)+0.99),'Tax scales - NAT 3539'!$A$74:$C$94,2,1)-VLOOKUP((TRUNC(($AN565+0.01)*3/13,0)+0.99),'Tax scales - NAT 3539'!$A$74:$C$94,3,1)),0)
*13/3,
0),
IF($E$2="Monthly",
ROUND(
ROUND(((TRUNC($AN565*3/13,0)+0.99)*VLOOKUP((TRUNC($AN565*3/13,0)+0.99),'Tax scales - NAT 3539'!$A$74:$C$94,2,1)-VLOOKUP((TRUNC($AN565*3/13,0)+0.99),'Tax scales - NAT 3539'!$A$74:$C$94,3,1)),0)
*13/3,
0),
""))),
""),
"")</f>
        <v/>
      </c>
      <c r="AX565" s="118">
        <f>IFERROR(
IF(VLOOKUP($C565,'Employee information'!$B:$M,COLUMNS('Employee information'!$B:$M),0)=55,
IF($E$2="Fortnightly",
ROUND(
ROUND((((TRUNC($AN565/2,0)+0.99))*VLOOKUP((TRUNC($AN565/2,0)+0.99),'Tax scales - NAT 3539'!$A$99:$C$123,2,1)-VLOOKUP((TRUNC($AN565/2,0)+0.99),'Tax scales - NAT 3539'!$A$99:$C$123,3,1)),0)
*2,
0),
IF(AND($E$2="Monthly",ROUND($AN565-TRUNC($AN565),2)=0.33),
ROUND(
ROUND(((TRUNC(($AN565+0.01)*3/13,0)+0.99)*VLOOKUP((TRUNC(($AN565+0.01)*3/13,0)+0.99),'Tax scales - NAT 3539'!$A$99:$C$123,2,1)-VLOOKUP((TRUNC(($AN565+0.01)*3/13,0)+0.99),'Tax scales - NAT 3539'!$A$99:$C$123,3,1)),0)
*13/3,
0),
IF($E$2="Monthly",
ROUND(
ROUND(((TRUNC($AN565*3/13,0)+0.99)*VLOOKUP((TRUNC($AN565*3/13,0)+0.99),'Tax scales - NAT 3539'!$A$99:$C$123,2,1)-VLOOKUP((TRUNC($AN565*3/13,0)+0.99),'Tax scales - NAT 3539'!$A$99:$C$123,3,1)),0)
*13/3,
0),
""))),
""),
"")</f>
        <v>3104</v>
      </c>
      <c r="AY565" s="118" t="str">
        <f>IFERROR(
IF(VLOOKUP($C565,'Employee information'!$B:$M,COLUMNS('Employee information'!$B:$M),0)=66,
IF($E$2="Fortnightly",
ROUND(
ROUND((((TRUNC($AN565/2,0)+0.99))*VLOOKUP((TRUNC($AN565/2,0)+0.99),'Tax scales - NAT 3539'!$A$127:$C$154,2,1)-VLOOKUP((TRUNC($AN565/2,0)+0.99),'Tax scales - NAT 3539'!$A$127:$C$154,3,1)),0)
*2,
0),
IF(AND($E$2="Monthly",ROUND($AN565-TRUNC($AN565),2)=0.33),
ROUND(
ROUND(((TRUNC(($AN565+0.01)*3/13,0)+0.99)*VLOOKUP((TRUNC(($AN565+0.01)*3/13,0)+0.99),'Tax scales - NAT 3539'!$A$127:$C$154,2,1)-VLOOKUP((TRUNC(($AN565+0.01)*3/13,0)+0.99),'Tax scales - NAT 3539'!$A$127:$C$154,3,1)),0)
*13/3,
0),
IF($E$2="Monthly",
ROUND(
ROUND(((TRUNC($AN565*3/13,0)+0.99)*VLOOKUP((TRUNC($AN565*3/13,0)+0.99),'Tax scales - NAT 3539'!$A$127:$C$154,2,1)-VLOOKUP((TRUNC($AN565*3/13,0)+0.99),'Tax scales - NAT 3539'!$A$127:$C$154,3,1)),0)
*13/3,
0),
""))),
""),
"")</f>
        <v/>
      </c>
      <c r="AZ565" s="118">
        <f>IFERROR(
HLOOKUP(VLOOKUP($C565,'Employee information'!$B:$M,COLUMNS('Employee information'!$B:$M),0),'PAYG worksheet'!$AO$561:$AY$580,COUNTA($C$562:$C565)+1,0),
0)</f>
        <v>3104</v>
      </c>
      <c r="BA565" s="118"/>
      <c r="BB565" s="118">
        <f t="shared" si="604"/>
        <v>4588.3076923076924</v>
      </c>
      <c r="BC565" s="119">
        <f>IFERROR(
IF(OR($AE565=1,$AE565=""),SUM($P565,$AA565,$AC565,$AK565)*VLOOKUP($C565,'Employee information'!$B:$Q,COLUMNS('Employee information'!$B:$H),0),
IF($AE565=0,SUM($P565,$AA565,$AK565)*VLOOKUP($C565,'Employee information'!$B:$Q,COLUMNS('Employee information'!$B:$H),0),
0)),
0)</f>
        <v>730.76923076923083</v>
      </c>
      <c r="BE565" s="114">
        <f t="shared" si="589"/>
        <v>153986.15384615381</v>
      </c>
      <c r="BF565" s="114">
        <f t="shared" si="590"/>
        <v>153846.15384615381</v>
      </c>
      <c r="BG565" s="114">
        <f t="shared" si="591"/>
        <v>0</v>
      </c>
      <c r="BH565" s="114">
        <f t="shared" si="592"/>
        <v>140</v>
      </c>
      <c r="BI565" s="114">
        <f t="shared" si="593"/>
        <v>62080</v>
      </c>
      <c r="BJ565" s="114">
        <f t="shared" si="594"/>
        <v>0</v>
      </c>
      <c r="BK565" s="114">
        <f t="shared" si="595"/>
        <v>0</v>
      </c>
      <c r="BL565" s="114">
        <f t="shared" si="605"/>
        <v>0</v>
      </c>
      <c r="BM565" s="114">
        <f t="shared" si="596"/>
        <v>14615.384615384612</v>
      </c>
    </row>
    <row r="566" spans="1:65" x14ac:dyDescent="0.25">
      <c r="A566" s="228">
        <f t="shared" si="584"/>
        <v>20</v>
      </c>
      <c r="C566" s="278" t="s">
        <v>16</v>
      </c>
      <c r="E566" s="103">
        <f>IF($C566="",0,
IF(AND($E$2="Monthly",$A566&gt;12),0,
IF($E$2="Monthly",VLOOKUP($C566,'Employee information'!$B:$AM,COLUMNS('Employee information'!$B:S),0),
IF($E$2="Fortnightly",VLOOKUP($C566,'Employee information'!$B:$AM,COLUMNS('Employee information'!$B:R),0),
0))))</f>
        <v>75</v>
      </c>
      <c r="F566" s="106"/>
      <c r="G566" s="106"/>
      <c r="H566" s="106"/>
      <c r="I566" s="106"/>
      <c r="J566" s="103">
        <f t="shared" si="597"/>
        <v>75</v>
      </c>
      <c r="L566" s="113">
        <f>IF(AND($E$2="Monthly",$A566&gt;12),"",
IFERROR($J566*VLOOKUP($C566,'Employee information'!$B:$AI,COLUMNS('Employee information'!$B:$P),0),0))</f>
        <v>4125</v>
      </c>
      <c r="M566" s="114">
        <f t="shared" si="598"/>
        <v>82500</v>
      </c>
      <c r="O566" s="103">
        <f t="shared" si="599"/>
        <v>75</v>
      </c>
      <c r="P566" s="113">
        <f>IFERROR(
IF(AND($E$2="Monthly",$A566&gt;12),0,
$O566*VLOOKUP($C566,'Employee information'!$B:$AI,COLUMNS('Employee information'!$B:$P),0)),
0)</f>
        <v>4125</v>
      </c>
      <c r="R566" s="114">
        <f t="shared" si="585"/>
        <v>82500</v>
      </c>
      <c r="T566" s="103"/>
      <c r="U566" s="103"/>
      <c r="V566" s="282">
        <f>IF($C566="","",
IF(AND($E$2="Monthly",$A566&gt;12),"",
$T566*VLOOKUP($C566,'Employee information'!$B:$P,COLUMNS('Employee information'!$B:$P),0)))</f>
        <v>0</v>
      </c>
      <c r="W566" s="282">
        <f>IF($C566="","",
IF(AND($E$2="Monthly",$A566&gt;12),"",
$U566*VLOOKUP($C566,'Employee information'!$B:$P,COLUMNS('Employee information'!$B:$P),0)))</f>
        <v>0</v>
      </c>
      <c r="X566" s="114">
        <f t="shared" si="586"/>
        <v>0</v>
      </c>
      <c r="Y566" s="114">
        <f t="shared" si="587"/>
        <v>0</v>
      </c>
      <c r="AA566" s="118">
        <f>IFERROR(
IF(OR('Basic payroll data'!$D$12="",'Basic payroll data'!$D$12="No"),0,
$T566*VLOOKUP($C566,'Employee information'!$B:$P,COLUMNS('Employee information'!$B:$P),0)*AL_loading_perc),
0)</f>
        <v>0</v>
      </c>
      <c r="AC566" s="118"/>
      <c r="AD566" s="118"/>
      <c r="AE566" s="283" t="str">
        <f t="shared" si="600"/>
        <v/>
      </c>
      <c r="AF566" s="283" t="str">
        <f t="shared" si="601"/>
        <v/>
      </c>
      <c r="AG566" s="118"/>
      <c r="AH566" s="118"/>
      <c r="AI566" s="283" t="str">
        <f t="shared" si="602"/>
        <v/>
      </c>
      <c r="AJ566" s="118"/>
      <c r="AK566" s="118"/>
      <c r="AM566" s="118">
        <f t="shared" si="603"/>
        <v>4125</v>
      </c>
      <c r="AN566" s="118">
        <f t="shared" si="588"/>
        <v>4125</v>
      </c>
      <c r="AO566" s="118" t="str">
        <f>IFERROR(
IF(VLOOKUP($C566,'Employee information'!$B:$M,COLUMNS('Employee information'!$B:$M),0)=1,
IF($E$2="Fortnightly",
ROUND(
ROUND((((TRUNC($AN566/2,0)+0.99))*VLOOKUP((TRUNC($AN566/2,0)+0.99),'Tax scales - NAT 1004'!$A$12:$C$18,2,1)-VLOOKUP((TRUNC($AN566/2,0)+0.99),'Tax scales - NAT 1004'!$A$12:$C$18,3,1)),0)
*2,
0),
IF(AND($E$2="Monthly",ROUND($AN566-TRUNC($AN566),2)=0.33),
ROUND(
ROUND(((TRUNC(($AN566+0.01)*3/13,0)+0.99)*VLOOKUP((TRUNC(($AN566+0.01)*3/13,0)+0.99),'Tax scales - NAT 1004'!$A$12:$C$18,2,1)-VLOOKUP((TRUNC(($AN566+0.01)*3/13,0)+0.99),'Tax scales - NAT 1004'!$A$12:$C$18,3,1)),0)
*13/3,
0),
IF($E$2="Monthly",
ROUND(
ROUND(((TRUNC($AN566*3/13,0)+0.99)*VLOOKUP((TRUNC($AN566*3/13,0)+0.99),'Tax scales - NAT 1004'!$A$12:$C$18,2,1)-VLOOKUP((TRUNC($AN566*3/13,0)+0.99),'Tax scales - NAT 1004'!$A$12:$C$18,3,1)),0)
*13/3,
0),
""))),
""),
"")</f>
        <v/>
      </c>
      <c r="AP566" s="118" t="str">
        <f>IFERROR(
IF(VLOOKUP($C566,'Employee information'!$B:$M,COLUMNS('Employee information'!$B:$M),0)=2,
IF($E$2="Fortnightly",
ROUND(
ROUND((((TRUNC($AN566/2,0)+0.99))*VLOOKUP((TRUNC($AN566/2,0)+0.99),'Tax scales - NAT 1004'!$A$25:$C$33,2,1)-VLOOKUP((TRUNC($AN566/2,0)+0.99),'Tax scales - NAT 1004'!$A$25:$C$33,3,1)),0)
*2,
0),
IF(AND($E$2="Monthly",ROUND($AN566-TRUNC($AN566),2)=0.33),
ROUND(
ROUND(((TRUNC(($AN566+0.01)*3/13,0)+0.99)*VLOOKUP((TRUNC(($AN566+0.01)*3/13,0)+0.99),'Tax scales - NAT 1004'!$A$25:$C$33,2,1)-VLOOKUP((TRUNC(($AN566+0.01)*3/13,0)+0.99),'Tax scales - NAT 1004'!$A$25:$C$33,3,1)),0)
*13/3,
0),
IF($E$2="Monthly",
ROUND(
ROUND(((TRUNC($AN566*3/13,0)+0.99)*VLOOKUP((TRUNC($AN566*3/13,0)+0.99),'Tax scales - NAT 1004'!$A$25:$C$33,2,1)-VLOOKUP((TRUNC($AN566*3/13,0)+0.99),'Tax scales - NAT 1004'!$A$25:$C$33,3,1)),0)
*13/3,
0),
""))),
""),
"")</f>
        <v/>
      </c>
      <c r="AQ566" s="118" t="str">
        <f>IFERROR(
IF(VLOOKUP($C566,'Employee information'!$B:$M,COLUMNS('Employee information'!$B:$M),0)=3,
IF($E$2="Fortnightly",
ROUND(
ROUND((((TRUNC($AN566/2,0)+0.99))*VLOOKUP((TRUNC($AN566/2,0)+0.99),'Tax scales - NAT 1004'!$A$39:$C$41,2,1)-VLOOKUP((TRUNC($AN566/2,0)+0.99),'Tax scales - NAT 1004'!$A$39:$C$41,3,1)),0)
*2,
0),
IF(AND($E$2="Monthly",ROUND($AN566-TRUNC($AN566),2)=0.33),
ROUND(
ROUND(((TRUNC(($AN566+0.01)*3/13,0)+0.99)*VLOOKUP((TRUNC(($AN566+0.01)*3/13,0)+0.99),'Tax scales - NAT 1004'!$A$39:$C$41,2,1)-VLOOKUP((TRUNC(($AN566+0.01)*3/13,0)+0.99),'Tax scales - NAT 1004'!$A$39:$C$41,3,1)),0)
*13/3,
0),
IF($E$2="Monthly",
ROUND(
ROUND(((TRUNC($AN566*3/13,0)+0.99)*VLOOKUP((TRUNC($AN566*3/13,0)+0.99),'Tax scales - NAT 1004'!$A$39:$C$41,2,1)-VLOOKUP((TRUNC($AN566*3/13,0)+0.99),'Tax scales - NAT 1004'!$A$39:$C$41,3,1)),0)
*13/3,
0),
""))),
""),
"")</f>
        <v/>
      </c>
      <c r="AR566" s="118" t="str">
        <f>IFERROR(
IF(AND(VLOOKUP($C566,'Employee information'!$B:$M,COLUMNS('Employee information'!$B:$M),0)=4,
VLOOKUP($C566,'Employee information'!$B:$J,COLUMNS('Employee information'!$B:$J),0)="Resident"),
TRUNC(TRUNC($AN566)*'Tax scales - NAT 1004'!$B$47),
IF(AND(VLOOKUP($C566,'Employee information'!$B:$M,COLUMNS('Employee information'!$B:$M),0)=4,
VLOOKUP($C566,'Employee information'!$B:$J,COLUMNS('Employee information'!$B:$J),0)="Foreign resident"),
TRUNC(TRUNC($AN566)*'Tax scales - NAT 1004'!$B$48),
"")),
"")</f>
        <v/>
      </c>
      <c r="AS566" s="118" t="str">
        <f>IFERROR(
IF(VLOOKUP($C566,'Employee information'!$B:$M,COLUMNS('Employee information'!$B:$M),0)=5,
IF($E$2="Fortnightly",
ROUND(
ROUND((((TRUNC($AN566/2,0)+0.99))*VLOOKUP((TRUNC($AN566/2,0)+0.99),'Tax scales - NAT 1004'!$A$53:$C$59,2,1)-VLOOKUP((TRUNC($AN566/2,0)+0.99),'Tax scales - NAT 1004'!$A$53:$C$59,3,1)),0)
*2,
0),
IF(AND($E$2="Monthly",ROUND($AN566-TRUNC($AN566),2)=0.33),
ROUND(
ROUND(((TRUNC(($AN566+0.01)*3/13,0)+0.99)*VLOOKUP((TRUNC(($AN566+0.01)*3/13,0)+0.99),'Tax scales - NAT 1004'!$A$53:$C$59,2,1)-VLOOKUP((TRUNC(($AN566+0.01)*3/13,0)+0.99),'Tax scales - NAT 1004'!$A$53:$C$59,3,1)),0)
*13/3,
0),
IF($E$2="Monthly",
ROUND(
ROUND(((TRUNC($AN566*3/13,0)+0.99)*VLOOKUP((TRUNC($AN566*3/13,0)+0.99),'Tax scales - NAT 1004'!$A$53:$C$59,2,1)-VLOOKUP((TRUNC($AN566*3/13,0)+0.99),'Tax scales - NAT 1004'!$A$53:$C$59,3,1)),0)
*13/3,
0),
""))),
""),
"")</f>
        <v/>
      </c>
      <c r="AT566" s="118" t="str">
        <f>IFERROR(
IF(VLOOKUP($C566,'Employee information'!$B:$M,COLUMNS('Employee information'!$B:$M),0)=6,
IF($E$2="Fortnightly",
ROUND(
ROUND((((TRUNC($AN566/2,0)+0.99))*VLOOKUP((TRUNC($AN566/2,0)+0.99),'Tax scales - NAT 1004'!$A$65:$C$73,2,1)-VLOOKUP((TRUNC($AN566/2,0)+0.99),'Tax scales - NAT 1004'!$A$65:$C$73,3,1)),0)
*2,
0),
IF(AND($E$2="Monthly",ROUND($AN566-TRUNC($AN566),2)=0.33),
ROUND(
ROUND(((TRUNC(($AN566+0.01)*3/13,0)+0.99)*VLOOKUP((TRUNC(($AN566+0.01)*3/13,0)+0.99),'Tax scales - NAT 1004'!$A$65:$C$73,2,1)-VLOOKUP((TRUNC(($AN566+0.01)*3/13,0)+0.99),'Tax scales - NAT 1004'!$A$65:$C$73,3,1)),0)
*13/3,
0),
IF($E$2="Monthly",
ROUND(
ROUND(((TRUNC($AN566*3/13,0)+0.99)*VLOOKUP((TRUNC($AN566*3/13,0)+0.99),'Tax scales - NAT 1004'!$A$65:$C$73,2,1)-VLOOKUP((TRUNC($AN566*3/13,0)+0.99),'Tax scales - NAT 1004'!$A$65:$C$73,3,1)),0)
*13/3,
0),
""))),
""),
"")</f>
        <v/>
      </c>
      <c r="AU566" s="118">
        <f>IFERROR(
IF(VLOOKUP($C566,'Employee information'!$B:$M,COLUMNS('Employee information'!$B:$M),0)=11,
IF($E$2="Fortnightly",
ROUND(
ROUND((((TRUNC($AN566/2,0)+0.99))*VLOOKUP((TRUNC($AN566/2,0)+0.99),'Tax scales - NAT 3539'!$A$14:$C$38,2,1)-VLOOKUP((TRUNC($AN566/2,0)+0.99),'Tax scales - NAT 3539'!$A$14:$C$38,3,1)),0)
*2,
0),
IF(AND($E$2="Monthly",ROUND($AN566-TRUNC($AN566),2)=0.33),
ROUND(
ROUND(((TRUNC(($AN566+0.01)*3/13,0)+0.99)*VLOOKUP((TRUNC(($AN566+0.01)*3/13,0)+0.99),'Tax scales - NAT 3539'!$A$14:$C$38,2,1)-VLOOKUP((TRUNC(($AN566+0.01)*3/13,0)+0.99),'Tax scales - NAT 3539'!$A$14:$C$38,3,1)),0)
*13/3,
0),
IF($E$2="Monthly",
ROUND(
ROUND(((TRUNC($AN566*3/13,0)+0.99)*VLOOKUP((TRUNC($AN566*3/13,0)+0.99),'Tax scales - NAT 3539'!$A$14:$C$38,2,1)-VLOOKUP((TRUNC($AN566*3/13,0)+0.99),'Tax scales - NAT 3539'!$A$14:$C$38,3,1)),0)
*13/3,
0),
""))),
""),
"")</f>
        <v>1680</v>
      </c>
      <c r="AV566" s="118" t="str">
        <f>IFERROR(
IF(VLOOKUP($C566,'Employee information'!$B:$M,COLUMNS('Employee information'!$B:$M),0)=22,
IF($E$2="Fortnightly",
ROUND(
ROUND((((TRUNC($AN566/2,0)+0.99))*VLOOKUP((TRUNC($AN566/2,0)+0.99),'Tax scales - NAT 3539'!$A$43:$C$69,2,1)-VLOOKUP((TRUNC($AN566/2,0)+0.99),'Tax scales - NAT 3539'!$A$43:$C$69,3,1)),0)
*2,
0),
IF(AND($E$2="Monthly",ROUND($AN566-TRUNC($AN566),2)=0.33),
ROUND(
ROUND(((TRUNC(($AN566+0.01)*3/13,0)+0.99)*VLOOKUP((TRUNC(($AN566+0.01)*3/13,0)+0.99),'Tax scales - NAT 3539'!$A$43:$C$69,2,1)-VLOOKUP((TRUNC(($AN566+0.01)*3/13,0)+0.99),'Tax scales - NAT 3539'!$A$43:$C$69,3,1)),0)
*13/3,
0),
IF($E$2="Monthly",
ROUND(
ROUND(((TRUNC($AN566*3/13,0)+0.99)*VLOOKUP((TRUNC($AN566*3/13,0)+0.99),'Tax scales - NAT 3539'!$A$43:$C$69,2,1)-VLOOKUP((TRUNC($AN566*3/13,0)+0.99),'Tax scales - NAT 3539'!$A$43:$C$69,3,1)),0)
*13/3,
0),
""))),
""),
"")</f>
        <v/>
      </c>
      <c r="AW566" s="118" t="str">
        <f>IFERROR(
IF(VLOOKUP($C566,'Employee information'!$B:$M,COLUMNS('Employee information'!$B:$M),0)=33,
IF($E$2="Fortnightly",
ROUND(
ROUND((((TRUNC($AN566/2,0)+0.99))*VLOOKUP((TRUNC($AN566/2,0)+0.99),'Tax scales - NAT 3539'!$A$74:$C$94,2,1)-VLOOKUP((TRUNC($AN566/2,0)+0.99),'Tax scales - NAT 3539'!$A$74:$C$94,3,1)),0)
*2,
0),
IF(AND($E$2="Monthly",ROUND($AN566-TRUNC($AN566),2)=0.33),
ROUND(
ROUND(((TRUNC(($AN566+0.01)*3/13,0)+0.99)*VLOOKUP((TRUNC(($AN566+0.01)*3/13,0)+0.99),'Tax scales - NAT 3539'!$A$74:$C$94,2,1)-VLOOKUP((TRUNC(($AN566+0.01)*3/13,0)+0.99),'Tax scales - NAT 3539'!$A$74:$C$94,3,1)),0)
*13/3,
0),
IF($E$2="Monthly",
ROUND(
ROUND(((TRUNC($AN566*3/13,0)+0.99)*VLOOKUP((TRUNC($AN566*3/13,0)+0.99),'Tax scales - NAT 3539'!$A$74:$C$94,2,1)-VLOOKUP((TRUNC($AN566*3/13,0)+0.99),'Tax scales - NAT 3539'!$A$74:$C$94,3,1)),0)
*13/3,
0),
""))),
""),
"")</f>
        <v/>
      </c>
      <c r="AX566" s="118" t="str">
        <f>IFERROR(
IF(VLOOKUP($C566,'Employee information'!$B:$M,COLUMNS('Employee information'!$B:$M),0)=55,
IF($E$2="Fortnightly",
ROUND(
ROUND((((TRUNC($AN566/2,0)+0.99))*VLOOKUP((TRUNC($AN566/2,0)+0.99),'Tax scales - NAT 3539'!$A$99:$C$123,2,1)-VLOOKUP((TRUNC($AN566/2,0)+0.99),'Tax scales - NAT 3539'!$A$99:$C$123,3,1)),0)
*2,
0),
IF(AND($E$2="Monthly",ROUND($AN566-TRUNC($AN566),2)=0.33),
ROUND(
ROUND(((TRUNC(($AN566+0.01)*3/13,0)+0.99)*VLOOKUP((TRUNC(($AN566+0.01)*3/13,0)+0.99),'Tax scales - NAT 3539'!$A$99:$C$123,2,1)-VLOOKUP((TRUNC(($AN566+0.01)*3/13,0)+0.99),'Tax scales - NAT 3539'!$A$99:$C$123,3,1)),0)
*13/3,
0),
IF($E$2="Monthly",
ROUND(
ROUND(((TRUNC($AN566*3/13,0)+0.99)*VLOOKUP((TRUNC($AN566*3/13,0)+0.99),'Tax scales - NAT 3539'!$A$99:$C$123,2,1)-VLOOKUP((TRUNC($AN566*3/13,0)+0.99),'Tax scales - NAT 3539'!$A$99:$C$123,3,1)),0)
*13/3,
0),
""))),
""),
"")</f>
        <v/>
      </c>
      <c r="AY566" s="118" t="str">
        <f>IFERROR(
IF(VLOOKUP($C566,'Employee information'!$B:$M,COLUMNS('Employee information'!$B:$M),0)=66,
IF($E$2="Fortnightly",
ROUND(
ROUND((((TRUNC($AN566/2,0)+0.99))*VLOOKUP((TRUNC($AN566/2,0)+0.99),'Tax scales - NAT 3539'!$A$127:$C$154,2,1)-VLOOKUP((TRUNC($AN566/2,0)+0.99),'Tax scales - NAT 3539'!$A$127:$C$154,3,1)),0)
*2,
0),
IF(AND($E$2="Monthly",ROUND($AN566-TRUNC($AN566),2)=0.33),
ROUND(
ROUND(((TRUNC(($AN566+0.01)*3/13,0)+0.99)*VLOOKUP((TRUNC(($AN566+0.01)*3/13,0)+0.99),'Tax scales - NAT 3539'!$A$127:$C$154,2,1)-VLOOKUP((TRUNC(($AN566+0.01)*3/13,0)+0.99),'Tax scales - NAT 3539'!$A$127:$C$154,3,1)),0)
*13/3,
0),
IF($E$2="Monthly",
ROUND(
ROUND(((TRUNC($AN566*3/13,0)+0.99)*VLOOKUP((TRUNC($AN566*3/13,0)+0.99),'Tax scales - NAT 3539'!$A$127:$C$154,2,1)-VLOOKUP((TRUNC($AN566*3/13,0)+0.99),'Tax scales - NAT 3539'!$A$127:$C$154,3,1)),0)
*13/3,
0),
""))),
""),
"")</f>
        <v/>
      </c>
      <c r="AZ566" s="118">
        <f>IFERROR(
HLOOKUP(VLOOKUP($C566,'Employee information'!$B:$M,COLUMNS('Employee information'!$B:$M),0),'PAYG worksheet'!$AO$561:$AY$580,COUNTA($C$562:$C566)+1,0),
0)</f>
        <v>1680</v>
      </c>
      <c r="BA566" s="118"/>
      <c r="BB566" s="118">
        <f t="shared" si="604"/>
        <v>2445</v>
      </c>
      <c r="BC566" s="119">
        <f>IFERROR(
IF(OR($AE566=1,$AE566=""),SUM($P566,$AA566,$AC566,$AK566)*VLOOKUP($C566,'Employee information'!$B:$Q,COLUMNS('Employee information'!$B:$H),0),
IF($AE566=0,SUM($P566,$AA566,$AK566)*VLOOKUP($C566,'Employee information'!$B:$Q,COLUMNS('Employee information'!$B:$H),0),
0)),
0)</f>
        <v>391.875</v>
      </c>
      <c r="BE566" s="114">
        <f t="shared" si="589"/>
        <v>82600</v>
      </c>
      <c r="BF566" s="114">
        <f t="shared" si="590"/>
        <v>82600</v>
      </c>
      <c r="BG566" s="114">
        <f t="shared" si="591"/>
        <v>0</v>
      </c>
      <c r="BH566" s="114">
        <f t="shared" si="592"/>
        <v>0</v>
      </c>
      <c r="BI566" s="114">
        <f t="shared" si="593"/>
        <v>33648</v>
      </c>
      <c r="BJ566" s="114">
        <f t="shared" si="594"/>
        <v>0</v>
      </c>
      <c r="BK566" s="114">
        <f t="shared" si="595"/>
        <v>0</v>
      </c>
      <c r="BL566" s="114">
        <f t="shared" si="605"/>
        <v>100</v>
      </c>
      <c r="BM566" s="114">
        <f t="shared" si="596"/>
        <v>7847</v>
      </c>
    </row>
    <row r="567" spans="1:65" x14ac:dyDescent="0.25">
      <c r="A567" s="228">
        <f t="shared" si="584"/>
        <v>20</v>
      </c>
      <c r="C567" s="278" t="s">
        <v>17</v>
      </c>
      <c r="E567" s="103">
        <f>IF($C567="",0,
IF(AND($E$2="Monthly",$A567&gt;12),0,
IF($E$2="Monthly",VLOOKUP($C567,'Employee information'!$B:$AM,COLUMNS('Employee information'!$B:S),0),
IF($E$2="Fortnightly",VLOOKUP($C567,'Employee information'!$B:$AM,COLUMNS('Employee information'!$B:R),0),
0))))</f>
        <v>75</v>
      </c>
      <c r="F567" s="106"/>
      <c r="G567" s="106"/>
      <c r="H567" s="106"/>
      <c r="I567" s="106"/>
      <c r="J567" s="103">
        <f t="shared" si="597"/>
        <v>75</v>
      </c>
      <c r="L567" s="113">
        <f>IF(AND($E$2="Monthly",$A567&gt;12),"",
IFERROR($J567*VLOOKUP($C567,'Employee information'!$B:$AI,COLUMNS('Employee information'!$B:$P),0),0))</f>
        <v>2500</v>
      </c>
      <c r="M567" s="114">
        <f t="shared" si="598"/>
        <v>50000</v>
      </c>
      <c r="O567" s="103">
        <f t="shared" si="599"/>
        <v>75</v>
      </c>
      <c r="P567" s="113">
        <f>IFERROR(
IF(AND($E$2="Monthly",$A567&gt;12),0,
$O567*VLOOKUP($C567,'Employee information'!$B:$AI,COLUMNS('Employee information'!$B:$P),0)),
0)</f>
        <v>2500</v>
      </c>
      <c r="R567" s="114">
        <f t="shared" si="585"/>
        <v>50000</v>
      </c>
      <c r="T567" s="103"/>
      <c r="U567" s="103"/>
      <c r="V567" s="282">
        <f>IF($C567="","",
IF(AND($E$2="Monthly",$A567&gt;12),"",
$T567*VLOOKUP($C567,'Employee information'!$B:$P,COLUMNS('Employee information'!$B:$P),0)))</f>
        <v>0</v>
      </c>
      <c r="W567" s="282">
        <f>IF($C567="","",
IF(AND($E$2="Monthly",$A567&gt;12),"",
$U567*VLOOKUP($C567,'Employee information'!$B:$P,COLUMNS('Employee information'!$B:$P),0)))</f>
        <v>0</v>
      </c>
      <c r="X567" s="114">
        <f t="shared" si="586"/>
        <v>0</v>
      </c>
      <c r="Y567" s="114">
        <f t="shared" si="587"/>
        <v>0</v>
      </c>
      <c r="AA567" s="118">
        <f>IFERROR(
IF(OR('Basic payroll data'!$D$12="",'Basic payroll data'!$D$12="No"),0,
$T567*VLOOKUP($C567,'Employee information'!$B:$P,COLUMNS('Employee information'!$B:$P),0)*AL_loading_perc),
0)</f>
        <v>0</v>
      </c>
      <c r="AC567" s="118"/>
      <c r="AD567" s="118"/>
      <c r="AE567" s="283" t="str">
        <f t="shared" si="600"/>
        <v/>
      </c>
      <c r="AF567" s="283" t="str">
        <f t="shared" si="601"/>
        <v/>
      </c>
      <c r="AG567" s="118"/>
      <c r="AH567" s="118"/>
      <c r="AI567" s="283" t="str">
        <f t="shared" si="602"/>
        <v/>
      </c>
      <c r="AJ567" s="118"/>
      <c r="AK567" s="118"/>
      <c r="AM567" s="118">
        <f t="shared" si="603"/>
        <v>2500</v>
      </c>
      <c r="AN567" s="118">
        <f t="shared" si="588"/>
        <v>2500</v>
      </c>
      <c r="AO567" s="118" t="str">
        <f>IFERROR(
IF(VLOOKUP($C567,'Employee information'!$B:$M,COLUMNS('Employee information'!$B:$M),0)=1,
IF($E$2="Fortnightly",
ROUND(
ROUND((((TRUNC($AN567/2,0)+0.99))*VLOOKUP((TRUNC($AN567/2,0)+0.99),'Tax scales - NAT 1004'!$A$12:$C$18,2,1)-VLOOKUP((TRUNC($AN567/2,0)+0.99),'Tax scales - NAT 1004'!$A$12:$C$18,3,1)),0)
*2,
0),
IF(AND($E$2="Monthly",ROUND($AN567-TRUNC($AN567),2)=0.33),
ROUND(
ROUND(((TRUNC(($AN567+0.01)*3/13,0)+0.99)*VLOOKUP((TRUNC(($AN567+0.01)*3/13,0)+0.99),'Tax scales - NAT 1004'!$A$12:$C$18,2,1)-VLOOKUP((TRUNC(($AN567+0.01)*3/13,0)+0.99),'Tax scales - NAT 1004'!$A$12:$C$18,3,1)),0)
*13/3,
0),
IF($E$2="Monthly",
ROUND(
ROUND(((TRUNC($AN567*3/13,0)+0.99)*VLOOKUP((TRUNC($AN567*3/13,0)+0.99),'Tax scales - NAT 1004'!$A$12:$C$18,2,1)-VLOOKUP((TRUNC($AN567*3/13,0)+0.99),'Tax scales - NAT 1004'!$A$12:$C$18,3,1)),0)
*13/3,
0),
""))),
""),
"")</f>
        <v/>
      </c>
      <c r="AP567" s="118" t="str">
        <f>IFERROR(
IF(VLOOKUP($C567,'Employee information'!$B:$M,COLUMNS('Employee information'!$B:$M),0)=2,
IF($E$2="Fortnightly",
ROUND(
ROUND((((TRUNC($AN567/2,0)+0.99))*VLOOKUP((TRUNC($AN567/2,0)+0.99),'Tax scales - NAT 1004'!$A$25:$C$33,2,1)-VLOOKUP((TRUNC($AN567/2,0)+0.99),'Tax scales - NAT 1004'!$A$25:$C$33,3,1)),0)
*2,
0),
IF(AND($E$2="Monthly",ROUND($AN567-TRUNC($AN567),2)=0.33),
ROUND(
ROUND(((TRUNC(($AN567+0.01)*3/13,0)+0.99)*VLOOKUP((TRUNC(($AN567+0.01)*3/13,0)+0.99),'Tax scales - NAT 1004'!$A$25:$C$33,2,1)-VLOOKUP((TRUNC(($AN567+0.01)*3/13,0)+0.99),'Tax scales - NAT 1004'!$A$25:$C$33,3,1)),0)
*13/3,
0),
IF($E$2="Monthly",
ROUND(
ROUND(((TRUNC($AN567*3/13,0)+0.99)*VLOOKUP((TRUNC($AN567*3/13,0)+0.99),'Tax scales - NAT 1004'!$A$25:$C$33,2,1)-VLOOKUP((TRUNC($AN567*3/13,0)+0.99),'Tax scales - NAT 1004'!$A$25:$C$33,3,1)),0)
*13/3,
0),
""))),
""),
"")</f>
        <v/>
      </c>
      <c r="AQ567" s="118" t="str">
        <f>IFERROR(
IF(VLOOKUP($C567,'Employee information'!$B:$M,COLUMNS('Employee information'!$B:$M),0)=3,
IF($E$2="Fortnightly",
ROUND(
ROUND((((TRUNC($AN567/2,0)+0.99))*VLOOKUP((TRUNC($AN567/2,0)+0.99),'Tax scales - NAT 1004'!$A$39:$C$41,2,1)-VLOOKUP((TRUNC($AN567/2,0)+0.99),'Tax scales - NAT 1004'!$A$39:$C$41,3,1)),0)
*2,
0),
IF(AND($E$2="Monthly",ROUND($AN567-TRUNC($AN567),2)=0.33),
ROUND(
ROUND(((TRUNC(($AN567+0.01)*3/13,0)+0.99)*VLOOKUP((TRUNC(($AN567+0.01)*3/13,0)+0.99),'Tax scales - NAT 1004'!$A$39:$C$41,2,1)-VLOOKUP((TRUNC(($AN567+0.01)*3/13,0)+0.99),'Tax scales - NAT 1004'!$A$39:$C$41,3,1)),0)
*13/3,
0),
IF($E$2="Monthly",
ROUND(
ROUND(((TRUNC($AN567*3/13,0)+0.99)*VLOOKUP((TRUNC($AN567*3/13,0)+0.99),'Tax scales - NAT 1004'!$A$39:$C$41,2,1)-VLOOKUP((TRUNC($AN567*3/13,0)+0.99),'Tax scales - NAT 1004'!$A$39:$C$41,3,1)),0)
*13/3,
0),
""))),
""),
"")</f>
        <v/>
      </c>
      <c r="AR567" s="118">
        <f>IFERROR(
IF(AND(VLOOKUP($C567,'Employee information'!$B:$M,COLUMNS('Employee information'!$B:$M),0)=4,
VLOOKUP($C567,'Employee information'!$B:$J,COLUMNS('Employee information'!$B:$J),0)="Resident"),
TRUNC(TRUNC($AN567)*'Tax scales - NAT 1004'!$B$47),
IF(AND(VLOOKUP($C567,'Employee information'!$B:$M,COLUMNS('Employee information'!$B:$M),0)=4,
VLOOKUP($C567,'Employee information'!$B:$J,COLUMNS('Employee information'!$B:$J),0)="Foreign resident"),
TRUNC(TRUNC($AN567)*'Tax scales - NAT 1004'!$B$48),
"")),
"")</f>
        <v>1175</v>
      </c>
      <c r="AS567" s="118" t="str">
        <f>IFERROR(
IF(VLOOKUP($C567,'Employee information'!$B:$M,COLUMNS('Employee information'!$B:$M),0)=5,
IF($E$2="Fortnightly",
ROUND(
ROUND((((TRUNC($AN567/2,0)+0.99))*VLOOKUP((TRUNC($AN567/2,0)+0.99),'Tax scales - NAT 1004'!$A$53:$C$59,2,1)-VLOOKUP((TRUNC($AN567/2,0)+0.99),'Tax scales - NAT 1004'!$A$53:$C$59,3,1)),0)
*2,
0),
IF(AND($E$2="Monthly",ROUND($AN567-TRUNC($AN567),2)=0.33),
ROUND(
ROUND(((TRUNC(($AN567+0.01)*3/13,0)+0.99)*VLOOKUP((TRUNC(($AN567+0.01)*3/13,0)+0.99),'Tax scales - NAT 1004'!$A$53:$C$59,2,1)-VLOOKUP((TRUNC(($AN567+0.01)*3/13,0)+0.99),'Tax scales - NAT 1004'!$A$53:$C$59,3,1)),0)
*13/3,
0),
IF($E$2="Monthly",
ROUND(
ROUND(((TRUNC($AN567*3/13,0)+0.99)*VLOOKUP((TRUNC($AN567*3/13,0)+0.99),'Tax scales - NAT 1004'!$A$53:$C$59,2,1)-VLOOKUP((TRUNC($AN567*3/13,0)+0.99),'Tax scales - NAT 1004'!$A$53:$C$59,3,1)),0)
*13/3,
0),
""))),
""),
"")</f>
        <v/>
      </c>
      <c r="AT567" s="118" t="str">
        <f>IFERROR(
IF(VLOOKUP($C567,'Employee information'!$B:$M,COLUMNS('Employee information'!$B:$M),0)=6,
IF($E$2="Fortnightly",
ROUND(
ROUND((((TRUNC($AN567/2,0)+0.99))*VLOOKUP((TRUNC($AN567/2,0)+0.99),'Tax scales - NAT 1004'!$A$65:$C$73,2,1)-VLOOKUP((TRUNC($AN567/2,0)+0.99),'Tax scales - NAT 1004'!$A$65:$C$73,3,1)),0)
*2,
0),
IF(AND($E$2="Monthly",ROUND($AN567-TRUNC($AN567),2)=0.33),
ROUND(
ROUND(((TRUNC(($AN567+0.01)*3/13,0)+0.99)*VLOOKUP((TRUNC(($AN567+0.01)*3/13,0)+0.99),'Tax scales - NAT 1004'!$A$65:$C$73,2,1)-VLOOKUP((TRUNC(($AN567+0.01)*3/13,0)+0.99),'Tax scales - NAT 1004'!$A$65:$C$73,3,1)),0)
*13/3,
0),
IF($E$2="Monthly",
ROUND(
ROUND(((TRUNC($AN567*3/13,0)+0.99)*VLOOKUP((TRUNC($AN567*3/13,0)+0.99),'Tax scales - NAT 1004'!$A$65:$C$73,2,1)-VLOOKUP((TRUNC($AN567*3/13,0)+0.99),'Tax scales - NAT 1004'!$A$65:$C$73,3,1)),0)
*13/3,
0),
""))),
""),
"")</f>
        <v/>
      </c>
      <c r="AU567" s="118" t="str">
        <f>IFERROR(
IF(VLOOKUP($C567,'Employee information'!$B:$M,COLUMNS('Employee information'!$B:$M),0)=11,
IF($E$2="Fortnightly",
ROUND(
ROUND((((TRUNC($AN567/2,0)+0.99))*VLOOKUP((TRUNC($AN567/2,0)+0.99),'Tax scales - NAT 3539'!$A$14:$C$38,2,1)-VLOOKUP((TRUNC($AN567/2,0)+0.99),'Tax scales - NAT 3539'!$A$14:$C$38,3,1)),0)
*2,
0),
IF(AND($E$2="Monthly",ROUND($AN567-TRUNC($AN567),2)=0.33),
ROUND(
ROUND(((TRUNC(($AN567+0.01)*3/13,0)+0.99)*VLOOKUP((TRUNC(($AN567+0.01)*3/13,0)+0.99),'Tax scales - NAT 3539'!$A$14:$C$38,2,1)-VLOOKUP((TRUNC(($AN567+0.01)*3/13,0)+0.99),'Tax scales - NAT 3539'!$A$14:$C$38,3,1)),0)
*13/3,
0),
IF($E$2="Monthly",
ROUND(
ROUND(((TRUNC($AN567*3/13,0)+0.99)*VLOOKUP((TRUNC($AN567*3/13,0)+0.99),'Tax scales - NAT 3539'!$A$14:$C$38,2,1)-VLOOKUP((TRUNC($AN567*3/13,0)+0.99),'Tax scales - NAT 3539'!$A$14:$C$38,3,1)),0)
*13/3,
0),
""))),
""),
"")</f>
        <v/>
      </c>
      <c r="AV567" s="118" t="str">
        <f>IFERROR(
IF(VLOOKUP($C567,'Employee information'!$B:$M,COLUMNS('Employee information'!$B:$M),0)=22,
IF($E$2="Fortnightly",
ROUND(
ROUND((((TRUNC($AN567/2,0)+0.99))*VLOOKUP((TRUNC($AN567/2,0)+0.99),'Tax scales - NAT 3539'!$A$43:$C$69,2,1)-VLOOKUP((TRUNC($AN567/2,0)+0.99),'Tax scales - NAT 3539'!$A$43:$C$69,3,1)),0)
*2,
0),
IF(AND($E$2="Monthly",ROUND($AN567-TRUNC($AN567),2)=0.33),
ROUND(
ROUND(((TRUNC(($AN567+0.01)*3/13,0)+0.99)*VLOOKUP((TRUNC(($AN567+0.01)*3/13,0)+0.99),'Tax scales - NAT 3539'!$A$43:$C$69,2,1)-VLOOKUP((TRUNC(($AN567+0.01)*3/13,0)+0.99),'Tax scales - NAT 3539'!$A$43:$C$69,3,1)),0)
*13/3,
0),
IF($E$2="Monthly",
ROUND(
ROUND(((TRUNC($AN567*3/13,0)+0.99)*VLOOKUP((TRUNC($AN567*3/13,0)+0.99),'Tax scales - NAT 3539'!$A$43:$C$69,2,1)-VLOOKUP((TRUNC($AN567*3/13,0)+0.99),'Tax scales - NAT 3539'!$A$43:$C$69,3,1)),0)
*13/3,
0),
""))),
""),
"")</f>
        <v/>
      </c>
      <c r="AW567" s="118" t="str">
        <f>IFERROR(
IF(VLOOKUP($C567,'Employee information'!$B:$M,COLUMNS('Employee information'!$B:$M),0)=33,
IF($E$2="Fortnightly",
ROUND(
ROUND((((TRUNC($AN567/2,0)+0.99))*VLOOKUP((TRUNC($AN567/2,0)+0.99),'Tax scales - NAT 3539'!$A$74:$C$94,2,1)-VLOOKUP((TRUNC($AN567/2,0)+0.99),'Tax scales - NAT 3539'!$A$74:$C$94,3,1)),0)
*2,
0),
IF(AND($E$2="Monthly",ROUND($AN567-TRUNC($AN567),2)=0.33),
ROUND(
ROUND(((TRUNC(($AN567+0.01)*3/13,0)+0.99)*VLOOKUP((TRUNC(($AN567+0.01)*3/13,0)+0.99),'Tax scales - NAT 3539'!$A$74:$C$94,2,1)-VLOOKUP((TRUNC(($AN567+0.01)*3/13,0)+0.99),'Tax scales - NAT 3539'!$A$74:$C$94,3,1)),0)
*13/3,
0),
IF($E$2="Monthly",
ROUND(
ROUND(((TRUNC($AN567*3/13,0)+0.99)*VLOOKUP((TRUNC($AN567*3/13,0)+0.99),'Tax scales - NAT 3539'!$A$74:$C$94,2,1)-VLOOKUP((TRUNC($AN567*3/13,0)+0.99),'Tax scales - NAT 3539'!$A$74:$C$94,3,1)),0)
*13/3,
0),
""))),
""),
"")</f>
        <v/>
      </c>
      <c r="AX567" s="118" t="str">
        <f>IFERROR(
IF(VLOOKUP($C567,'Employee information'!$B:$M,COLUMNS('Employee information'!$B:$M),0)=55,
IF($E$2="Fortnightly",
ROUND(
ROUND((((TRUNC($AN567/2,0)+0.99))*VLOOKUP((TRUNC($AN567/2,0)+0.99),'Tax scales - NAT 3539'!$A$99:$C$123,2,1)-VLOOKUP((TRUNC($AN567/2,0)+0.99),'Tax scales - NAT 3539'!$A$99:$C$123,3,1)),0)
*2,
0),
IF(AND($E$2="Monthly",ROUND($AN567-TRUNC($AN567),2)=0.33),
ROUND(
ROUND(((TRUNC(($AN567+0.01)*3/13,0)+0.99)*VLOOKUP((TRUNC(($AN567+0.01)*3/13,0)+0.99),'Tax scales - NAT 3539'!$A$99:$C$123,2,1)-VLOOKUP((TRUNC(($AN567+0.01)*3/13,0)+0.99),'Tax scales - NAT 3539'!$A$99:$C$123,3,1)),0)
*13/3,
0),
IF($E$2="Monthly",
ROUND(
ROUND(((TRUNC($AN567*3/13,0)+0.99)*VLOOKUP((TRUNC($AN567*3/13,0)+0.99),'Tax scales - NAT 3539'!$A$99:$C$123,2,1)-VLOOKUP((TRUNC($AN567*3/13,0)+0.99),'Tax scales - NAT 3539'!$A$99:$C$123,3,1)),0)
*13/3,
0),
""))),
""),
"")</f>
        <v/>
      </c>
      <c r="AY567" s="118" t="str">
        <f>IFERROR(
IF(VLOOKUP($C567,'Employee information'!$B:$M,COLUMNS('Employee information'!$B:$M),0)=66,
IF($E$2="Fortnightly",
ROUND(
ROUND((((TRUNC($AN567/2,0)+0.99))*VLOOKUP((TRUNC($AN567/2,0)+0.99),'Tax scales - NAT 3539'!$A$127:$C$154,2,1)-VLOOKUP((TRUNC($AN567/2,0)+0.99),'Tax scales - NAT 3539'!$A$127:$C$154,3,1)),0)
*2,
0),
IF(AND($E$2="Monthly",ROUND($AN567-TRUNC($AN567),2)=0.33),
ROUND(
ROUND(((TRUNC(($AN567+0.01)*3/13,0)+0.99)*VLOOKUP((TRUNC(($AN567+0.01)*3/13,0)+0.99),'Tax scales - NAT 3539'!$A$127:$C$154,2,1)-VLOOKUP((TRUNC(($AN567+0.01)*3/13,0)+0.99),'Tax scales - NAT 3539'!$A$127:$C$154,3,1)),0)
*13/3,
0),
IF($E$2="Monthly",
ROUND(
ROUND(((TRUNC($AN567*3/13,0)+0.99)*VLOOKUP((TRUNC($AN567*3/13,0)+0.99),'Tax scales - NAT 3539'!$A$127:$C$154,2,1)-VLOOKUP((TRUNC($AN567*3/13,0)+0.99),'Tax scales - NAT 3539'!$A$127:$C$154,3,1)),0)
*13/3,
0),
""))),
""),
"")</f>
        <v/>
      </c>
      <c r="AZ567" s="118">
        <f>IFERROR(
HLOOKUP(VLOOKUP($C567,'Employee information'!$B:$M,COLUMNS('Employee information'!$B:$M),0),'PAYG worksheet'!$AO$561:$AY$580,COUNTA($C$562:$C567)+1,0),
0)</f>
        <v>1175</v>
      </c>
      <c r="BA567" s="118"/>
      <c r="BB567" s="118">
        <f t="shared" si="604"/>
        <v>1325</v>
      </c>
      <c r="BC567" s="119">
        <f>IFERROR(
IF(OR($AE567=1,$AE567=""),SUM($P567,$AA567,$AC567,$AK567)*VLOOKUP($C567,'Employee information'!$B:$Q,COLUMNS('Employee information'!$B:$H),0),
IF($AE567=0,SUM($P567,$AA567,$AK567)*VLOOKUP($C567,'Employee information'!$B:$Q,COLUMNS('Employee information'!$B:$H),0),
0)),
0)</f>
        <v>237.5</v>
      </c>
      <c r="BE567" s="114">
        <f t="shared" si="589"/>
        <v>50000</v>
      </c>
      <c r="BF567" s="114">
        <f t="shared" si="590"/>
        <v>50000</v>
      </c>
      <c r="BG567" s="114">
        <f t="shared" si="591"/>
        <v>0</v>
      </c>
      <c r="BH567" s="114">
        <f t="shared" si="592"/>
        <v>0</v>
      </c>
      <c r="BI567" s="114">
        <f t="shared" si="593"/>
        <v>23500</v>
      </c>
      <c r="BJ567" s="114">
        <f t="shared" si="594"/>
        <v>0</v>
      </c>
      <c r="BK567" s="114">
        <f t="shared" si="595"/>
        <v>0</v>
      </c>
      <c r="BL567" s="114">
        <f t="shared" si="605"/>
        <v>0</v>
      </c>
      <c r="BM567" s="114">
        <f t="shared" si="596"/>
        <v>4750</v>
      </c>
    </row>
    <row r="568" spans="1:65" x14ac:dyDescent="0.25">
      <c r="A568" s="228">
        <f t="shared" si="584"/>
        <v>20</v>
      </c>
      <c r="C568" s="278" t="s">
        <v>95</v>
      </c>
      <c r="E568" s="103">
        <f>IF($C568="",0,
IF(AND($E$2="Monthly",$A568&gt;12),0,
IF($E$2="Monthly",VLOOKUP($C568,'Employee information'!$B:$AM,COLUMNS('Employee information'!$B:S),0),
IF($E$2="Fortnightly",VLOOKUP($C568,'Employee information'!$B:$AM,COLUMNS('Employee information'!$B:R),0),
0))))</f>
        <v>45</v>
      </c>
      <c r="F568" s="106"/>
      <c r="G568" s="106"/>
      <c r="H568" s="106"/>
      <c r="I568" s="106"/>
      <c r="J568" s="103">
        <f t="shared" si="597"/>
        <v>45</v>
      </c>
      <c r="L568" s="113">
        <f>IF(AND($E$2="Monthly",$A568&gt;12),"",
IFERROR($J568*VLOOKUP($C568,'Employee information'!$B:$AI,COLUMNS('Employee information'!$B:$P),0),0))</f>
        <v>1107.6923076923078</v>
      </c>
      <c r="M568" s="114">
        <f t="shared" si="598"/>
        <v>22153.846153846163</v>
      </c>
      <c r="O568" s="103">
        <f t="shared" si="599"/>
        <v>45</v>
      </c>
      <c r="P568" s="113">
        <f>IFERROR(
IF(AND($E$2="Monthly",$A568&gt;12),0,
$O568*VLOOKUP($C568,'Employee information'!$B:$AI,COLUMNS('Employee information'!$B:$P),0)),
0)</f>
        <v>1107.6923076923078</v>
      </c>
      <c r="R568" s="114">
        <f t="shared" si="585"/>
        <v>22153.846153846163</v>
      </c>
      <c r="T568" s="103"/>
      <c r="U568" s="103"/>
      <c r="V568" s="282">
        <f>IF($C568="","",
IF(AND($E$2="Monthly",$A568&gt;12),"",
$T568*VLOOKUP($C568,'Employee information'!$B:$P,COLUMNS('Employee information'!$B:$P),0)))</f>
        <v>0</v>
      </c>
      <c r="W568" s="282">
        <f>IF($C568="","",
IF(AND($E$2="Monthly",$A568&gt;12),"",
$U568*VLOOKUP($C568,'Employee information'!$B:$P,COLUMNS('Employee information'!$B:$P),0)))</f>
        <v>0</v>
      </c>
      <c r="X568" s="114">
        <f t="shared" si="586"/>
        <v>0</v>
      </c>
      <c r="Y568" s="114">
        <f t="shared" si="587"/>
        <v>0</v>
      </c>
      <c r="AA568" s="118">
        <f>IFERROR(
IF(OR('Basic payroll data'!$D$12="",'Basic payroll data'!$D$12="No"),0,
$T568*VLOOKUP($C568,'Employee information'!$B:$P,COLUMNS('Employee information'!$B:$P),0)*AL_loading_perc),
0)</f>
        <v>0</v>
      </c>
      <c r="AC568" s="118"/>
      <c r="AD568" s="118"/>
      <c r="AE568" s="283" t="str">
        <f t="shared" si="600"/>
        <v/>
      </c>
      <c r="AF568" s="283" t="str">
        <f t="shared" si="601"/>
        <v/>
      </c>
      <c r="AG568" s="118"/>
      <c r="AH568" s="118"/>
      <c r="AI568" s="283" t="str">
        <f t="shared" si="602"/>
        <v/>
      </c>
      <c r="AJ568" s="118"/>
      <c r="AK568" s="118"/>
      <c r="AM568" s="118">
        <f t="shared" si="603"/>
        <v>1107.6923076923078</v>
      </c>
      <c r="AN568" s="118">
        <f t="shared" si="588"/>
        <v>1107.6923076923078</v>
      </c>
      <c r="AO568" s="118" t="str">
        <f>IFERROR(
IF(VLOOKUP($C568,'Employee information'!$B:$M,COLUMNS('Employee information'!$B:$M),0)=1,
IF($E$2="Fortnightly",
ROUND(
ROUND((((TRUNC($AN568/2,0)+0.99))*VLOOKUP((TRUNC($AN568/2,0)+0.99),'Tax scales - NAT 1004'!$A$12:$C$18,2,1)-VLOOKUP((TRUNC($AN568/2,0)+0.99),'Tax scales - NAT 1004'!$A$12:$C$18,3,1)),0)
*2,
0),
IF(AND($E$2="Monthly",ROUND($AN568-TRUNC($AN568),2)=0.33),
ROUND(
ROUND(((TRUNC(($AN568+0.01)*3/13,0)+0.99)*VLOOKUP((TRUNC(($AN568+0.01)*3/13,0)+0.99),'Tax scales - NAT 1004'!$A$12:$C$18,2,1)-VLOOKUP((TRUNC(($AN568+0.01)*3/13,0)+0.99),'Tax scales - NAT 1004'!$A$12:$C$18,3,1)),0)
*13/3,
0),
IF($E$2="Monthly",
ROUND(
ROUND(((TRUNC($AN568*3/13,0)+0.99)*VLOOKUP((TRUNC($AN568*3/13,0)+0.99),'Tax scales - NAT 1004'!$A$12:$C$18,2,1)-VLOOKUP((TRUNC($AN568*3/13,0)+0.99),'Tax scales - NAT 1004'!$A$12:$C$18,3,1)),0)
*13/3,
0),
""))),
""),
"")</f>
        <v/>
      </c>
      <c r="AP568" s="118" t="str">
        <f>IFERROR(
IF(VLOOKUP($C568,'Employee information'!$B:$M,COLUMNS('Employee information'!$B:$M),0)=2,
IF($E$2="Fortnightly",
ROUND(
ROUND((((TRUNC($AN568/2,0)+0.99))*VLOOKUP((TRUNC($AN568/2,0)+0.99),'Tax scales - NAT 1004'!$A$25:$C$33,2,1)-VLOOKUP((TRUNC($AN568/2,0)+0.99),'Tax scales - NAT 1004'!$A$25:$C$33,3,1)),0)
*2,
0),
IF(AND($E$2="Monthly",ROUND($AN568-TRUNC($AN568),2)=0.33),
ROUND(
ROUND(((TRUNC(($AN568+0.01)*3/13,0)+0.99)*VLOOKUP((TRUNC(($AN568+0.01)*3/13,0)+0.99),'Tax scales - NAT 1004'!$A$25:$C$33,2,1)-VLOOKUP((TRUNC(($AN568+0.01)*3/13,0)+0.99),'Tax scales - NAT 1004'!$A$25:$C$33,3,1)),0)
*13/3,
0),
IF($E$2="Monthly",
ROUND(
ROUND(((TRUNC($AN568*3/13,0)+0.99)*VLOOKUP((TRUNC($AN568*3/13,0)+0.99),'Tax scales - NAT 1004'!$A$25:$C$33,2,1)-VLOOKUP((TRUNC($AN568*3/13,0)+0.99),'Tax scales - NAT 1004'!$A$25:$C$33,3,1)),0)
*13/3,
0),
""))),
""),
"")</f>
        <v/>
      </c>
      <c r="AQ568" s="118" t="str">
        <f>IFERROR(
IF(VLOOKUP($C568,'Employee information'!$B:$M,COLUMNS('Employee information'!$B:$M),0)=3,
IF($E$2="Fortnightly",
ROUND(
ROUND((((TRUNC($AN568/2,0)+0.99))*VLOOKUP((TRUNC($AN568/2,0)+0.99),'Tax scales - NAT 1004'!$A$39:$C$41,2,1)-VLOOKUP((TRUNC($AN568/2,0)+0.99),'Tax scales - NAT 1004'!$A$39:$C$41,3,1)),0)
*2,
0),
IF(AND($E$2="Monthly",ROUND($AN568-TRUNC($AN568),2)=0.33),
ROUND(
ROUND(((TRUNC(($AN568+0.01)*3/13,0)+0.99)*VLOOKUP((TRUNC(($AN568+0.01)*3/13,0)+0.99),'Tax scales - NAT 1004'!$A$39:$C$41,2,1)-VLOOKUP((TRUNC(($AN568+0.01)*3/13,0)+0.99),'Tax scales - NAT 1004'!$A$39:$C$41,3,1)),0)
*13/3,
0),
IF($E$2="Monthly",
ROUND(
ROUND(((TRUNC($AN568*3/13,0)+0.99)*VLOOKUP((TRUNC($AN568*3/13,0)+0.99),'Tax scales - NAT 1004'!$A$39:$C$41,2,1)-VLOOKUP((TRUNC($AN568*3/13,0)+0.99),'Tax scales - NAT 1004'!$A$39:$C$41,3,1)),0)
*13/3,
0),
""))),
""),
"")</f>
        <v/>
      </c>
      <c r="AR568" s="118" t="str">
        <f>IFERROR(
IF(AND(VLOOKUP($C568,'Employee information'!$B:$M,COLUMNS('Employee information'!$B:$M),0)=4,
VLOOKUP($C568,'Employee information'!$B:$J,COLUMNS('Employee information'!$B:$J),0)="Resident"),
TRUNC(TRUNC($AN568)*'Tax scales - NAT 1004'!$B$47),
IF(AND(VLOOKUP($C568,'Employee information'!$B:$M,COLUMNS('Employee information'!$B:$M),0)=4,
VLOOKUP($C568,'Employee information'!$B:$J,COLUMNS('Employee information'!$B:$J),0)="Foreign resident"),
TRUNC(TRUNC($AN568)*'Tax scales - NAT 1004'!$B$48),
"")),
"")</f>
        <v/>
      </c>
      <c r="AS568" s="118" t="str">
        <f>IFERROR(
IF(VLOOKUP($C568,'Employee information'!$B:$M,COLUMNS('Employee information'!$B:$M),0)=5,
IF($E$2="Fortnightly",
ROUND(
ROUND((((TRUNC($AN568/2,0)+0.99))*VLOOKUP((TRUNC($AN568/2,0)+0.99),'Tax scales - NAT 1004'!$A$53:$C$59,2,1)-VLOOKUP((TRUNC($AN568/2,0)+0.99),'Tax scales - NAT 1004'!$A$53:$C$59,3,1)),0)
*2,
0),
IF(AND($E$2="Monthly",ROUND($AN568-TRUNC($AN568),2)=0.33),
ROUND(
ROUND(((TRUNC(($AN568+0.01)*3/13,0)+0.99)*VLOOKUP((TRUNC(($AN568+0.01)*3/13,0)+0.99),'Tax scales - NAT 1004'!$A$53:$C$59,2,1)-VLOOKUP((TRUNC(($AN568+0.01)*3/13,0)+0.99),'Tax scales - NAT 1004'!$A$53:$C$59,3,1)),0)
*13/3,
0),
IF($E$2="Monthly",
ROUND(
ROUND(((TRUNC($AN568*3/13,0)+0.99)*VLOOKUP((TRUNC($AN568*3/13,0)+0.99),'Tax scales - NAT 1004'!$A$53:$C$59,2,1)-VLOOKUP((TRUNC($AN568*3/13,0)+0.99),'Tax scales - NAT 1004'!$A$53:$C$59,3,1)),0)
*13/3,
0),
""))),
""),
"")</f>
        <v/>
      </c>
      <c r="AT568" s="118" t="str">
        <f>IFERROR(
IF(VLOOKUP($C568,'Employee information'!$B:$M,COLUMNS('Employee information'!$B:$M),0)=6,
IF($E$2="Fortnightly",
ROUND(
ROUND((((TRUNC($AN568/2,0)+0.99))*VLOOKUP((TRUNC($AN568/2,0)+0.99),'Tax scales - NAT 1004'!$A$65:$C$73,2,1)-VLOOKUP((TRUNC($AN568/2,0)+0.99),'Tax scales - NAT 1004'!$A$65:$C$73,3,1)),0)
*2,
0),
IF(AND($E$2="Monthly",ROUND($AN568-TRUNC($AN568),2)=0.33),
ROUND(
ROUND(((TRUNC(($AN568+0.01)*3/13,0)+0.99)*VLOOKUP((TRUNC(($AN568+0.01)*3/13,0)+0.99),'Tax scales - NAT 1004'!$A$65:$C$73,2,1)-VLOOKUP((TRUNC(($AN568+0.01)*3/13,0)+0.99),'Tax scales - NAT 1004'!$A$65:$C$73,3,1)),0)
*13/3,
0),
IF($E$2="Monthly",
ROUND(
ROUND(((TRUNC($AN568*3/13,0)+0.99)*VLOOKUP((TRUNC($AN568*3/13,0)+0.99),'Tax scales - NAT 1004'!$A$65:$C$73,2,1)-VLOOKUP((TRUNC($AN568*3/13,0)+0.99),'Tax scales - NAT 1004'!$A$65:$C$73,3,1)),0)
*13/3,
0),
""))),
""),
"")</f>
        <v/>
      </c>
      <c r="AU568" s="118" t="str">
        <f>IFERROR(
IF(VLOOKUP($C568,'Employee information'!$B:$M,COLUMNS('Employee information'!$B:$M),0)=11,
IF($E$2="Fortnightly",
ROUND(
ROUND((((TRUNC($AN568/2,0)+0.99))*VLOOKUP((TRUNC($AN568/2,0)+0.99),'Tax scales - NAT 3539'!$A$14:$C$38,2,1)-VLOOKUP((TRUNC($AN568/2,0)+0.99),'Tax scales - NAT 3539'!$A$14:$C$38,3,1)),0)
*2,
0),
IF(AND($E$2="Monthly",ROUND($AN568-TRUNC($AN568),2)=0.33),
ROUND(
ROUND(((TRUNC(($AN568+0.01)*3/13,0)+0.99)*VLOOKUP((TRUNC(($AN568+0.01)*3/13,0)+0.99),'Tax scales - NAT 3539'!$A$14:$C$38,2,1)-VLOOKUP((TRUNC(($AN568+0.01)*3/13,0)+0.99),'Tax scales - NAT 3539'!$A$14:$C$38,3,1)),0)
*13/3,
0),
IF($E$2="Monthly",
ROUND(
ROUND(((TRUNC($AN568*3/13,0)+0.99)*VLOOKUP((TRUNC($AN568*3/13,0)+0.99),'Tax scales - NAT 3539'!$A$14:$C$38,2,1)-VLOOKUP((TRUNC($AN568*3/13,0)+0.99),'Tax scales - NAT 3539'!$A$14:$C$38,3,1)),0)
*13/3,
0),
""))),
""),
"")</f>
        <v/>
      </c>
      <c r="AV568" s="118" t="str">
        <f>IFERROR(
IF(VLOOKUP($C568,'Employee information'!$B:$M,COLUMNS('Employee information'!$B:$M),0)=22,
IF($E$2="Fortnightly",
ROUND(
ROUND((((TRUNC($AN568/2,0)+0.99))*VLOOKUP((TRUNC($AN568/2,0)+0.99),'Tax scales - NAT 3539'!$A$43:$C$69,2,1)-VLOOKUP((TRUNC($AN568/2,0)+0.99),'Tax scales - NAT 3539'!$A$43:$C$69,3,1)),0)
*2,
0),
IF(AND($E$2="Monthly",ROUND($AN568-TRUNC($AN568),2)=0.33),
ROUND(
ROUND(((TRUNC(($AN568+0.01)*3/13,0)+0.99)*VLOOKUP((TRUNC(($AN568+0.01)*3/13,0)+0.99),'Tax scales - NAT 3539'!$A$43:$C$69,2,1)-VLOOKUP((TRUNC(($AN568+0.01)*3/13,0)+0.99),'Tax scales - NAT 3539'!$A$43:$C$69,3,1)),0)
*13/3,
0),
IF($E$2="Monthly",
ROUND(
ROUND(((TRUNC($AN568*3/13,0)+0.99)*VLOOKUP((TRUNC($AN568*3/13,0)+0.99),'Tax scales - NAT 3539'!$A$43:$C$69,2,1)-VLOOKUP((TRUNC($AN568*3/13,0)+0.99),'Tax scales - NAT 3539'!$A$43:$C$69,3,1)),0)
*13/3,
0),
""))),
""),
"")</f>
        <v/>
      </c>
      <c r="AW568" s="118" t="str">
        <f>IFERROR(
IF(VLOOKUP($C568,'Employee information'!$B:$M,COLUMNS('Employee information'!$B:$M),0)=33,
IF($E$2="Fortnightly",
ROUND(
ROUND((((TRUNC($AN568/2,0)+0.99))*VLOOKUP((TRUNC($AN568/2,0)+0.99),'Tax scales - NAT 3539'!$A$74:$C$94,2,1)-VLOOKUP((TRUNC($AN568/2,0)+0.99),'Tax scales - NAT 3539'!$A$74:$C$94,3,1)),0)
*2,
0),
IF(AND($E$2="Monthly",ROUND($AN568-TRUNC($AN568),2)=0.33),
ROUND(
ROUND(((TRUNC(($AN568+0.01)*3/13,0)+0.99)*VLOOKUP((TRUNC(($AN568+0.01)*3/13,0)+0.99),'Tax scales - NAT 3539'!$A$74:$C$94,2,1)-VLOOKUP((TRUNC(($AN568+0.01)*3/13,0)+0.99),'Tax scales - NAT 3539'!$A$74:$C$94,3,1)),0)
*13/3,
0),
IF($E$2="Monthly",
ROUND(
ROUND(((TRUNC($AN568*3/13,0)+0.99)*VLOOKUP((TRUNC($AN568*3/13,0)+0.99),'Tax scales - NAT 3539'!$A$74:$C$94,2,1)-VLOOKUP((TRUNC($AN568*3/13,0)+0.99),'Tax scales - NAT 3539'!$A$74:$C$94,3,1)),0)
*13/3,
0),
""))),
""),
"")</f>
        <v/>
      </c>
      <c r="AX568" s="118" t="str">
        <f>IFERROR(
IF(VLOOKUP($C568,'Employee information'!$B:$M,COLUMNS('Employee information'!$B:$M),0)=55,
IF($E$2="Fortnightly",
ROUND(
ROUND((((TRUNC($AN568/2,0)+0.99))*VLOOKUP((TRUNC($AN568/2,0)+0.99),'Tax scales - NAT 3539'!$A$99:$C$123,2,1)-VLOOKUP((TRUNC($AN568/2,0)+0.99),'Tax scales - NAT 3539'!$A$99:$C$123,3,1)),0)
*2,
0),
IF(AND($E$2="Monthly",ROUND($AN568-TRUNC($AN568),2)=0.33),
ROUND(
ROUND(((TRUNC(($AN568+0.01)*3/13,0)+0.99)*VLOOKUP((TRUNC(($AN568+0.01)*3/13,0)+0.99),'Tax scales - NAT 3539'!$A$99:$C$123,2,1)-VLOOKUP((TRUNC(($AN568+0.01)*3/13,0)+0.99),'Tax scales - NAT 3539'!$A$99:$C$123,3,1)),0)
*13/3,
0),
IF($E$2="Monthly",
ROUND(
ROUND(((TRUNC($AN568*3/13,0)+0.99)*VLOOKUP((TRUNC($AN568*3/13,0)+0.99),'Tax scales - NAT 3539'!$A$99:$C$123,2,1)-VLOOKUP((TRUNC($AN568*3/13,0)+0.99),'Tax scales - NAT 3539'!$A$99:$C$123,3,1)),0)
*13/3,
0),
""))),
""),
"")</f>
        <v/>
      </c>
      <c r="AY568" s="118">
        <f>IFERROR(
IF(VLOOKUP($C568,'Employee information'!$B:$M,COLUMNS('Employee information'!$B:$M),0)=66,
IF($E$2="Fortnightly",
ROUND(
ROUND((((TRUNC($AN568/2,0)+0.99))*VLOOKUP((TRUNC($AN568/2,0)+0.99),'Tax scales - NAT 3539'!$A$127:$C$154,2,1)-VLOOKUP((TRUNC($AN568/2,0)+0.99),'Tax scales - NAT 3539'!$A$127:$C$154,3,1)),0)
*2,
0),
IF(AND($E$2="Monthly",ROUND($AN568-TRUNC($AN568),2)=0.33),
ROUND(
ROUND(((TRUNC(($AN568+0.01)*3/13,0)+0.99)*VLOOKUP((TRUNC(($AN568+0.01)*3/13,0)+0.99),'Tax scales - NAT 3539'!$A$127:$C$154,2,1)-VLOOKUP((TRUNC(($AN568+0.01)*3/13,0)+0.99),'Tax scales - NAT 3539'!$A$127:$C$154,3,1)),0)
*13/3,
0),
IF($E$2="Monthly",
ROUND(
ROUND(((TRUNC($AN568*3/13,0)+0.99)*VLOOKUP((TRUNC($AN568*3/13,0)+0.99),'Tax scales - NAT 3539'!$A$127:$C$154,2,1)-VLOOKUP((TRUNC($AN568*3/13,0)+0.99),'Tax scales - NAT 3539'!$A$127:$C$154,3,1)),0)
*13/3,
0),
""))),
""),
"")</f>
        <v>74</v>
      </c>
      <c r="AZ568" s="118">
        <f>IFERROR(
HLOOKUP(VLOOKUP($C568,'Employee information'!$B:$M,COLUMNS('Employee information'!$B:$M),0),'PAYG worksheet'!$AO$561:$AY$580,COUNTA($C$562:$C568)+1,0),
0)</f>
        <v>74</v>
      </c>
      <c r="BA568" s="118"/>
      <c r="BB568" s="118">
        <f t="shared" si="604"/>
        <v>1033.6923076923078</v>
      </c>
      <c r="BC568" s="119">
        <f>IFERROR(
IF(OR($AE568=1,$AE568=""),SUM($P568,$AA568,$AC568,$AK568)*VLOOKUP($C568,'Employee information'!$B:$Q,COLUMNS('Employee information'!$B:$H),0),
IF($AE568=0,SUM($P568,$AA568,$AK568)*VLOOKUP($C568,'Employee information'!$B:$Q,COLUMNS('Employee information'!$B:$H),0),
0)),
0)</f>
        <v>105.23076923076924</v>
      </c>
      <c r="BE568" s="114">
        <f t="shared" si="589"/>
        <v>22153.846153846163</v>
      </c>
      <c r="BF568" s="114">
        <f t="shared" si="590"/>
        <v>22153.846153846163</v>
      </c>
      <c r="BG568" s="114">
        <f t="shared" si="591"/>
        <v>0</v>
      </c>
      <c r="BH568" s="114">
        <f t="shared" si="592"/>
        <v>0</v>
      </c>
      <c r="BI568" s="114">
        <f t="shared" si="593"/>
        <v>1480</v>
      </c>
      <c r="BJ568" s="114">
        <f t="shared" si="594"/>
        <v>0</v>
      </c>
      <c r="BK568" s="114">
        <f t="shared" si="595"/>
        <v>0</v>
      </c>
      <c r="BL568" s="114">
        <f t="shared" si="605"/>
        <v>0</v>
      </c>
      <c r="BM568" s="114">
        <f t="shared" si="596"/>
        <v>2104.6153846153852</v>
      </c>
    </row>
    <row r="569" spans="1:65" x14ac:dyDescent="0.25">
      <c r="A569" s="228">
        <f t="shared" si="584"/>
        <v>20</v>
      </c>
      <c r="C569" s="278"/>
      <c r="E569" s="103">
        <f>IF($C569="",0,
IF(AND($E$2="Monthly",$A569&gt;12),0,
IF($E$2="Monthly",VLOOKUP($C569,'Employee information'!$B:$AM,COLUMNS('Employee information'!$B:S),0),
IF($E$2="Fortnightly",VLOOKUP($C569,'Employee information'!$B:$AM,COLUMNS('Employee information'!$B:R),0),
0))))</f>
        <v>0</v>
      </c>
      <c r="F569" s="106"/>
      <c r="G569" s="106"/>
      <c r="H569" s="106"/>
      <c r="I569" s="106"/>
      <c r="J569" s="103">
        <f>IF($E$2="Monthly",
IF(AND($E$2="Monthly",$H569&lt;&gt;""),$H569,
IF(AND($E$2="Monthly",$E569=0),SUM($F569:$G569),
$E569)),
IF($E$2="Fortnightly",
IF(AND($E$2="Fortnightly",$H569&lt;&gt;""),$H569,
IF(AND($E$2="Fortnightly",$F569&lt;&gt;"",$E569&lt;&gt;0),$F569,
IF(AND($E$2="Fortnightly",$E569=0),SUM($F569:$G569),
$E569)))))</f>
        <v>0</v>
      </c>
      <c r="L569" s="113">
        <f>IF(AND($E$2="Monthly",$A569&gt;12),"",
IFERROR($J569*VLOOKUP($C569,'Employee information'!$B:$AI,COLUMNS('Employee information'!$B:$P),0),0))</f>
        <v>0</v>
      </c>
      <c r="M569" s="114">
        <f t="shared" si="598"/>
        <v>0</v>
      </c>
      <c r="O569" s="103">
        <f t="shared" si="599"/>
        <v>0</v>
      </c>
      <c r="P569" s="113">
        <f>IFERROR(
IF(AND($E$2="Monthly",$A569&gt;12),0,
$O569*VLOOKUP($C569,'Employee information'!$B:$AI,COLUMNS('Employee information'!$B:$P),0)),
0)</f>
        <v>0</v>
      </c>
      <c r="R569" s="114">
        <f t="shared" si="585"/>
        <v>0</v>
      </c>
      <c r="T569" s="103"/>
      <c r="U569" s="103"/>
      <c r="V569" s="282" t="str">
        <f>IF($C569="","",
IF(AND($E$2="Monthly",$A569&gt;12),"",
$T569*VLOOKUP($C569,'Employee information'!$B:$P,COLUMNS('Employee information'!$B:$P),0)))</f>
        <v/>
      </c>
      <c r="W569" s="282" t="str">
        <f>IF($C569="","",
IF(AND($E$2="Monthly",$A569&gt;12),"",
$U569*VLOOKUP($C569,'Employee information'!$B:$P,COLUMNS('Employee information'!$B:$P),0)))</f>
        <v/>
      </c>
      <c r="X569" s="114">
        <f t="shared" si="586"/>
        <v>0</v>
      </c>
      <c r="Y569" s="114">
        <f t="shared" si="587"/>
        <v>0</v>
      </c>
      <c r="AA569" s="118">
        <f>IFERROR(
IF(OR('Basic payroll data'!$D$12="",'Basic payroll data'!$D$12="No"),0,
$T569*VLOOKUP($C569,'Employee information'!$B:$P,COLUMNS('Employee information'!$B:$P),0)*AL_loading_perc),
0)</f>
        <v>0</v>
      </c>
      <c r="AC569" s="118"/>
      <c r="AD569" s="118"/>
      <c r="AE569" s="283" t="str">
        <f t="shared" si="600"/>
        <v/>
      </c>
      <c r="AF569" s="283" t="str">
        <f t="shared" si="601"/>
        <v/>
      </c>
      <c r="AG569" s="118"/>
      <c r="AH569" s="118"/>
      <c r="AI569" s="283" t="str">
        <f t="shared" si="602"/>
        <v/>
      </c>
      <c r="AJ569" s="118"/>
      <c r="AK569" s="118"/>
      <c r="AM569" s="118">
        <f t="shared" si="603"/>
        <v>0</v>
      </c>
      <c r="AN569" s="118">
        <f t="shared" si="588"/>
        <v>0</v>
      </c>
      <c r="AO569" s="118" t="str">
        <f>IFERROR(
IF(VLOOKUP($C569,'Employee information'!$B:$M,COLUMNS('Employee information'!$B:$M),0)=1,
IF($E$2="Fortnightly",
ROUND(
ROUND((((TRUNC($AN569/2,0)+0.99))*VLOOKUP((TRUNC($AN569/2,0)+0.99),'Tax scales - NAT 1004'!$A$12:$C$18,2,1)-VLOOKUP((TRUNC($AN569/2,0)+0.99),'Tax scales - NAT 1004'!$A$12:$C$18,3,1)),0)
*2,
0),
IF(AND($E$2="Monthly",ROUND($AN569-TRUNC($AN569),2)=0.33),
ROUND(
ROUND(((TRUNC(($AN569+0.01)*3/13,0)+0.99)*VLOOKUP((TRUNC(($AN569+0.01)*3/13,0)+0.99),'Tax scales - NAT 1004'!$A$12:$C$18,2,1)-VLOOKUP((TRUNC(($AN569+0.01)*3/13,0)+0.99),'Tax scales - NAT 1004'!$A$12:$C$18,3,1)),0)
*13/3,
0),
IF($E$2="Monthly",
ROUND(
ROUND(((TRUNC($AN569*3/13,0)+0.99)*VLOOKUP((TRUNC($AN569*3/13,0)+0.99),'Tax scales - NAT 1004'!$A$12:$C$18,2,1)-VLOOKUP((TRUNC($AN569*3/13,0)+0.99),'Tax scales - NAT 1004'!$A$12:$C$18,3,1)),0)
*13/3,
0),
""))),
""),
"")</f>
        <v/>
      </c>
      <c r="AP569" s="118" t="str">
        <f>IFERROR(
IF(VLOOKUP($C569,'Employee information'!$B:$M,COLUMNS('Employee information'!$B:$M),0)=2,
IF($E$2="Fortnightly",
ROUND(
ROUND((((TRUNC($AN569/2,0)+0.99))*VLOOKUP((TRUNC($AN569/2,0)+0.99),'Tax scales - NAT 1004'!$A$25:$C$33,2,1)-VLOOKUP((TRUNC($AN569/2,0)+0.99),'Tax scales - NAT 1004'!$A$25:$C$33,3,1)),0)
*2,
0),
IF(AND($E$2="Monthly",ROUND($AN569-TRUNC($AN569),2)=0.33),
ROUND(
ROUND(((TRUNC(($AN569+0.01)*3/13,0)+0.99)*VLOOKUP((TRUNC(($AN569+0.01)*3/13,0)+0.99),'Tax scales - NAT 1004'!$A$25:$C$33,2,1)-VLOOKUP((TRUNC(($AN569+0.01)*3/13,0)+0.99),'Tax scales - NAT 1004'!$A$25:$C$33,3,1)),0)
*13/3,
0),
IF($E$2="Monthly",
ROUND(
ROUND(((TRUNC($AN569*3/13,0)+0.99)*VLOOKUP((TRUNC($AN569*3/13,0)+0.99),'Tax scales - NAT 1004'!$A$25:$C$33,2,1)-VLOOKUP((TRUNC($AN569*3/13,0)+0.99),'Tax scales - NAT 1004'!$A$25:$C$33,3,1)),0)
*13/3,
0),
""))),
""),
"")</f>
        <v/>
      </c>
      <c r="AQ569" s="118" t="str">
        <f>IFERROR(
IF(VLOOKUP($C569,'Employee information'!$B:$M,COLUMNS('Employee information'!$B:$M),0)=3,
IF($E$2="Fortnightly",
ROUND(
ROUND((((TRUNC($AN569/2,0)+0.99))*VLOOKUP((TRUNC($AN569/2,0)+0.99),'Tax scales - NAT 1004'!$A$39:$C$41,2,1)-VLOOKUP((TRUNC($AN569/2,0)+0.99),'Tax scales - NAT 1004'!$A$39:$C$41,3,1)),0)
*2,
0),
IF(AND($E$2="Monthly",ROUND($AN569-TRUNC($AN569),2)=0.33),
ROUND(
ROUND(((TRUNC(($AN569+0.01)*3/13,0)+0.99)*VLOOKUP((TRUNC(($AN569+0.01)*3/13,0)+0.99),'Tax scales - NAT 1004'!$A$39:$C$41,2,1)-VLOOKUP((TRUNC(($AN569+0.01)*3/13,0)+0.99),'Tax scales - NAT 1004'!$A$39:$C$41,3,1)),0)
*13/3,
0),
IF($E$2="Monthly",
ROUND(
ROUND(((TRUNC($AN569*3/13,0)+0.99)*VLOOKUP((TRUNC($AN569*3/13,0)+0.99),'Tax scales - NAT 1004'!$A$39:$C$41,2,1)-VLOOKUP((TRUNC($AN569*3/13,0)+0.99),'Tax scales - NAT 1004'!$A$39:$C$41,3,1)),0)
*13/3,
0),
""))),
""),
"")</f>
        <v/>
      </c>
      <c r="AR569" s="118" t="str">
        <f>IFERROR(
IF(AND(VLOOKUP($C569,'Employee information'!$B:$M,COLUMNS('Employee information'!$B:$M),0)=4,
VLOOKUP($C569,'Employee information'!$B:$J,COLUMNS('Employee information'!$B:$J),0)="Resident"),
TRUNC(TRUNC($AN569)*'Tax scales - NAT 1004'!$B$47),
IF(AND(VLOOKUP($C569,'Employee information'!$B:$M,COLUMNS('Employee information'!$B:$M),0)=4,
VLOOKUP($C569,'Employee information'!$B:$J,COLUMNS('Employee information'!$B:$J),0)="Foreign resident"),
TRUNC(TRUNC($AN569)*'Tax scales - NAT 1004'!$B$48),
"")),
"")</f>
        <v/>
      </c>
      <c r="AS569" s="118" t="str">
        <f>IFERROR(
IF(VLOOKUP($C569,'Employee information'!$B:$M,COLUMNS('Employee information'!$B:$M),0)=5,
IF($E$2="Fortnightly",
ROUND(
ROUND((((TRUNC($AN569/2,0)+0.99))*VLOOKUP((TRUNC($AN569/2,0)+0.99),'Tax scales - NAT 1004'!$A$53:$C$59,2,1)-VLOOKUP((TRUNC($AN569/2,0)+0.99),'Tax scales - NAT 1004'!$A$53:$C$59,3,1)),0)
*2,
0),
IF(AND($E$2="Monthly",ROUND($AN569-TRUNC($AN569),2)=0.33),
ROUND(
ROUND(((TRUNC(($AN569+0.01)*3/13,0)+0.99)*VLOOKUP((TRUNC(($AN569+0.01)*3/13,0)+0.99),'Tax scales - NAT 1004'!$A$53:$C$59,2,1)-VLOOKUP((TRUNC(($AN569+0.01)*3/13,0)+0.99),'Tax scales - NAT 1004'!$A$53:$C$59,3,1)),0)
*13/3,
0),
IF($E$2="Monthly",
ROUND(
ROUND(((TRUNC($AN569*3/13,0)+0.99)*VLOOKUP((TRUNC($AN569*3/13,0)+0.99),'Tax scales - NAT 1004'!$A$53:$C$59,2,1)-VLOOKUP((TRUNC($AN569*3/13,0)+0.99),'Tax scales - NAT 1004'!$A$53:$C$59,3,1)),0)
*13/3,
0),
""))),
""),
"")</f>
        <v/>
      </c>
      <c r="AT569" s="118" t="str">
        <f>IFERROR(
IF(VLOOKUP($C569,'Employee information'!$B:$M,COLUMNS('Employee information'!$B:$M),0)=6,
IF($E$2="Fortnightly",
ROUND(
ROUND((((TRUNC($AN569/2,0)+0.99))*VLOOKUP((TRUNC($AN569/2,0)+0.99),'Tax scales - NAT 1004'!$A$65:$C$73,2,1)-VLOOKUP((TRUNC($AN569/2,0)+0.99),'Tax scales - NAT 1004'!$A$65:$C$73,3,1)),0)
*2,
0),
IF(AND($E$2="Monthly",ROUND($AN569-TRUNC($AN569),2)=0.33),
ROUND(
ROUND(((TRUNC(($AN569+0.01)*3/13,0)+0.99)*VLOOKUP((TRUNC(($AN569+0.01)*3/13,0)+0.99),'Tax scales - NAT 1004'!$A$65:$C$73,2,1)-VLOOKUP((TRUNC(($AN569+0.01)*3/13,0)+0.99),'Tax scales - NAT 1004'!$A$65:$C$73,3,1)),0)
*13/3,
0),
IF($E$2="Monthly",
ROUND(
ROUND(((TRUNC($AN569*3/13,0)+0.99)*VLOOKUP((TRUNC($AN569*3/13,0)+0.99),'Tax scales - NAT 1004'!$A$65:$C$73,2,1)-VLOOKUP((TRUNC($AN569*3/13,0)+0.99),'Tax scales - NAT 1004'!$A$65:$C$73,3,1)),0)
*13/3,
0),
""))),
""),
"")</f>
        <v/>
      </c>
      <c r="AU569" s="118" t="str">
        <f>IFERROR(
IF(VLOOKUP($C569,'Employee information'!$B:$M,COLUMNS('Employee information'!$B:$M),0)=11,
IF($E$2="Fortnightly",
ROUND(
ROUND((((TRUNC($AN569/2,0)+0.99))*VLOOKUP((TRUNC($AN569/2,0)+0.99),'Tax scales - NAT 3539'!$A$14:$C$38,2,1)-VLOOKUP((TRUNC($AN569/2,0)+0.99),'Tax scales - NAT 3539'!$A$14:$C$38,3,1)),0)
*2,
0),
IF(AND($E$2="Monthly",ROUND($AN569-TRUNC($AN569),2)=0.33),
ROUND(
ROUND(((TRUNC(($AN569+0.01)*3/13,0)+0.99)*VLOOKUP((TRUNC(($AN569+0.01)*3/13,0)+0.99),'Tax scales - NAT 3539'!$A$14:$C$38,2,1)-VLOOKUP((TRUNC(($AN569+0.01)*3/13,0)+0.99),'Tax scales - NAT 3539'!$A$14:$C$38,3,1)),0)
*13/3,
0),
IF($E$2="Monthly",
ROUND(
ROUND(((TRUNC($AN569*3/13,0)+0.99)*VLOOKUP((TRUNC($AN569*3/13,0)+0.99),'Tax scales - NAT 3539'!$A$14:$C$38,2,1)-VLOOKUP((TRUNC($AN569*3/13,0)+0.99),'Tax scales - NAT 3539'!$A$14:$C$38,3,1)),0)
*13/3,
0),
""))),
""),
"")</f>
        <v/>
      </c>
      <c r="AV569" s="118" t="str">
        <f>IFERROR(
IF(VLOOKUP($C569,'Employee information'!$B:$M,COLUMNS('Employee information'!$B:$M),0)=22,
IF($E$2="Fortnightly",
ROUND(
ROUND((((TRUNC($AN569/2,0)+0.99))*VLOOKUP((TRUNC($AN569/2,0)+0.99),'Tax scales - NAT 3539'!$A$43:$C$69,2,1)-VLOOKUP((TRUNC($AN569/2,0)+0.99),'Tax scales - NAT 3539'!$A$43:$C$69,3,1)),0)
*2,
0),
IF(AND($E$2="Monthly",ROUND($AN569-TRUNC($AN569),2)=0.33),
ROUND(
ROUND(((TRUNC(($AN569+0.01)*3/13,0)+0.99)*VLOOKUP((TRUNC(($AN569+0.01)*3/13,0)+0.99),'Tax scales - NAT 3539'!$A$43:$C$69,2,1)-VLOOKUP((TRUNC(($AN569+0.01)*3/13,0)+0.99),'Tax scales - NAT 3539'!$A$43:$C$69,3,1)),0)
*13/3,
0),
IF($E$2="Monthly",
ROUND(
ROUND(((TRUNC($AN569*3/13,0)+0.99)*VLOOKUP((TRUNC($AN569*3/13,0)+0.99),'Tax scales - NAT 3539'!$A$43:$C$69,2,1)-VLOOKUP((TRUNC($AN569*3/13,0)+0.99),'Tax scales - NAT 3539'!$A$43:$C$69,3,1)),0)
*13/3,
0),
""))),
""),
"")</f>
        <v/>
      </c>
      <c r="AW569" s="118" t="str">
        <f>IFERROR(
IF(VLOOKUP($C569,'Employee information'!$B:$M,COLUMNS('Employee information'!$B:$M),0)=33,
IF($E$2="Fortnightly",
ROUND(
ROUND((((TRUNC($AN569/2,0)+0.99))*VLOOKUP((TRUNC($AN569/2,0)+0.99),'Tax scales - NAT 3539'!$A$74:$C$94,2,1)-VLOOKUP((TRUNC($AN569/2,0)+0.99),'Tax scales - NAT 3539'!$A$74:$C$94,3,1)),0)
*2,
0),
IF(AND($E$2="Monthly",ROUND($AN569-TRUNC($AN569),2)=0.33),
ROUND(
ROUND(((TRUNC(($AN569+0.01)*3/13,0)+0.99)*VLOOKUP((TRUNC(($AN569+0.01)*3/13,0)+0.99),'Tax scales - NAT 3539'!$A$74:$C$94,2,1)-VLOOKUP((TRUNC(($AN569+0.01)*3/13,0)+0.99),'Tax scales - NAT 3539'!$A$74:$C$94,3,1)),0)
*13/3,
0),
IF($E$2="Monthly",
ROUND(
ROUND(((TRUNC($AN569*3/13,0)+0.99)*VLOOKUP((TRUNC($AN569*3/13,0)+0.99),'Tax scales - NAT 3539'!$A$74:$C$94,2,1)-VLOOKUP((TRUNC($AN569*3/13,0)+0.99),'Tax scales - NAT 3539'!$A$74:$C$94,3,1)),0)
*13/3,
0),
""))),
""),
"")</f>
        <v/>
      </c>
      <c r="AX569" s="118" t="str">
        <f>IFERROR(
IF(VLOOKUP($C569,'Employee information'!$B:$M,COLUMNS('Employee information'!$B:$M),0)=55,
IF($E$2="Fortnightly",
ROUND(
ROUND((((TRUNC($AN569/2,0)+0.99))*VLOOKUP((TRUNC($AN569/2,0)+0.99),'Tax scales - NAT 3539'!$A$99:$C$123,2,1)-VLOOKUP((TRUNC($AN569/2,0)+0.99),'Tax scales - NAT 3539'!$A$99:$C$123,3,1)),0)
*2,
0),
IF(AND($E$2="Monthly",ROUND($AN569-TRUNC($AN569),2)=0.33),
ROUND(
ROUND(((TRUNC(($AN569+0.01)*3/13,0)+0.99)*VLOOKUP((TRUNC(($AN569+0.01)*3/13,0)+0.99),'Tax scales - NAT 3539'!$A$99:$C$123,2,1)-VLOOKUP((TRUNC(($AN569+0.01)*3/13,0)+0.99),'Tax scales - NAT 3539'!$A$99:$C$123,3,1)),0)
*13/3,
0),
IF($E$2="Monthly",
ROUND(
ROUND(((TRUNC($AN569*3/13,0)+0.99)*VLOOKUP((TRUNC($AN569*3/13,0)+0.99),'Tax scales - NAT 3539'!$A$99:$C$123,2,1)-VLOOKUP((TRUNC($AN569*3/13,0)+0.99),'Tax scales - NAT 3539'!$A$99:$C$123,3,1)),0)
*13/3,
0),
""))),
""),
"")</f>
        <v/>
      </c>
      <c r="AY569" s="118" t="str">
        <f>IFERROR(
IF(VLOOKUP($C569,'Employee information'!$B:$M,COLUMNS('Employee information'!$B:$M),0)=66,
IF($E$2="Fortnightly",
ROUND(
ROUND((((TRUNC($AN569/2,0)+0.99))*VLOOKUP((TRUNC($AN569/2,0)+0.99),'Tax scales - NAT 3539'!$A$127:$C$154,2,1)-VLOOKUP((TRUNC($AN569/2,0)+0.99),'Tax scales - NAT 3539'!$A$127:$C$154,3,1)),0)
*2,
0),
IF(AND($E$2="Monthly",ROUND($AN569-TRUNC($AN569),2)=0.33),
ROUND(
ROUND(((TRUNC(($AN569+0.01)*3/13,0)+0.99)*VLOOKUP((TRUNC(($AN569+0.01)*3/13,0)+0.99),'Tax scales - NAT 3539'!$A$127:$C$154,2,1)-VLOOKUP((TRUNC(($AN569+0.01)*3/13,0)+0.99),'Tax scales - NAT 3539'!$A$127:$C$154,3,1)),0)
*13/3,
0),
IF($E$2="Monthly",
ROUND(
ROUND(((TRUNC($AN569*3/13,0)+0.99)*VLOOKUP((TRUNC($AN569*3/13,0)+0.99),'Tax scales - NAT 3539'!$A$127:$C$154,2,1)-VLOOKUP((TRUNC($AN569*3/13,0)+0.99),'Tax scales - NAT 3539'!$A$127:$C$154,3,1)),0)
*13/3,
0),
""))),
""),
"")</f>
        <v/>
      </c>
      <c r="AZ569" s="118">
        <f>IFERROR(
HLOOKUP(VLOOKUP($C569,'Employee information'!$B:$M,COLUMNS('Employee information'!$B:$M),0),'PAYG worksheet'!$AO$561:$AY$580,COUNTA($C$562:$C569)+1,0),
0)</f>
        <v>0</v>
      </c>
      <c r="BA569" s="118"/>
      <c r="BB569" s="118">
        <f t="shared" si="604"/>
        <v>0</v>
      </c>
      <c r="BC569" s="119">
        <f>IFERROR(
IF(OR($AE569=1,$AE569=""),SUM($P569,$AA569,$AC569,$AK569)*VLOOKUP($C569,'Employee information'!$B:$Q,COLUMNS('Employee information'!$B:$H),0),
IF($AE569=0,SUM($P569,$AA569,$AK569)*VLOOKUP($C569,'Employee information'!$B:$Q,COLUMNS('Employee information'!$B:$H),0),
0)),
0)</f>
        <v>0</v>
      </c>
      <c r="BE569" s="114">
        <f t="shared" si="589"/>
        <v>0</v>
      </c>
      <c r="BF569" s="114">
        <f t="shared" si="590"/>
        <v>0</v>
      </c>
      <c r="BG569" s="114">
        <f t="shared" si="591"/>
        <v>0</v>
      </c>
      <c r="BH569" s="114">
        <f t="shared" si="592"/>
        <v>0</v>
      </c>
      <c r="BI569" s="114">
        <f t="shared" si="593"/>
        <v>0</v>
      </c>
      <c r="BJ569" s="114">
        <f t="shared" si="594"/>
        <v>0</v>
      </c>
      <c r="BK569" s="114">
        <f t="shared" si="595"/>
        <v>0</v>
      </c>
      <c r="BL569" s="114">
        <f t="shared" si="605"/>
        <v>0</v>
      </c>
      <c r="BM569" s="114">
        <f t="shared" si="596"/>
        <v>0</v>
      </c>
    </row>
    <row r="570" spans="1:65" x14ac:dyDescent="0.25">
      <c r="A570" s="228">
        <f t="shared" si="584"/>
        <v>20</v>
      </c>
      <c r="C570" s="278"/>
      <c r="E570" s="103">
        <f>IF($C570="",0,
IF(AND($E$2="Monthly",$A570&gt;12),0,
IF($E$2="Monthly",VLOOKUP($C570,'Employee information'!$B:$AM,COLUMNS('Employee information'!$B:S),0),
IF($E$2="Fortnightly",VLOOKUP($C570,'Employee information'!$B:$AM,COLUMNS('Employee information'!$B:R),0),
0))))</f>
        <v>0</v>
      </c>
      <c r="F570" s="106"/>
      <c r="G570" s="106"/>
      <c r="H570" s="106"/>
      <c r="I570" s="106"/>
      <c r="J570" s="103">
        <f t="shared" si="597"/>
        <v>0</v>
      </c>
      <c r="L570" s="113">
        <f>IF(AND($E$2="Monthly",$A570&gt;12),"",
IFERROR($J570*VLOOKUP($C570,'Employee information'!$B:$AI,COLUMNS('Employee information'!$B:$P),0),0))</f>
        <v>0</v>
      </c>
      <c r="M570" s="114">
        <f t="shared" si="598"/>
        <v>0</v>
      </c>
      <c r="O570" s="103">
        <f t="shared" si="599"/>
        <v>0</v>
      </c>
      <c r="P570" s="113">
        <f>IFERROR(
IF(AND($E$2="Monthly",$A570&gt;12),0,
$O570*VLOOKUP($C570,'Employee information'!$B:$AI,COLUMNS('Employee information'!$B:$P),0)),
0)</f>
        <v>0</v>
      </c>
      <c r="R570" s="114">
        <f t="shared" si="585"/>
        <v>0</v>
      </c>
      <c r="T570" s="103"/>
      <c r="U570" s="103"/>
      <c r="V570" s="282" t="str">
        <f>IF($C570="","",
IF(AND($E$2="Monthly",$A570&gt;12),"",
$T570*VLOOKUP($C570,'Employee information'!$B:$P,COLUMNS('Employee information'!$B:$P),0)))</f>
        <v/>
      </c>
      <c r="W570" s="282" t="str">
        <f>IF($C570="","",
IF(AND($E$2="Monthly",$A570&gt;12),"",
$U570*VLOOKUP($C570,'Employee information'!$B:$P,COLUMNS('Employee information'!$B:$P),0)))</f>
        <v/>
      </c>
      <c r="X570" s="114">
        <f t="shared" si="586"/>
        <v>0</v>
      </c>
      <c r="Y570" s="114">
        <f t="shared" si="587"/>
        <v>0</v>
      </c>
      <c r="AA570" s="118">
        <f>IFERROR(
IF(OR('Basic payroll data'!$D$12="",'Basic payroll data'!$D$12="No"),0,
$T570*VLOOKUP($C570,'Employee information'!$B:$P,COLUMNS('Employee information'!$B:$P),0)*AL_loading_perc),
0)</f>
        <v>0</v>
      </c>
      <c r="AC570" s="118"/>
      <c r="AD570" s="118"/>
      <c r="AE570" s="283" t="str">
        <f t="shared" si="600"/>
        <v/>
      </c>
      <c r="AF570" s="283" t="str">
        <f t="shared" si="601"/>
        <v/>
      </c>
      <c r="AG570" s="118"/>
      <c r="AH570" s="118"/>
      <c r="AI570" s="283" t="str">
        <f t="shared" si="602"/>
        <v/>
      </c>
      <c r="AJ570" s="118"/>
      <c r="AK570" s="118"/>
      <c r="AM570" s="118">
        <f t="shared" si="603"/>
        <v>0</v>
      </c>
      <c r="AN570" s="118">
        <f t="shared" si="588"/>
        <v>0</v>
      </c>
      <c r="AO570" s="118" t="str">
        <f>IFERROR(
IF(VLOOKUP($C570,'Employee information'!$B:$M,COLUMNS('Employee information'!$B:$M),0)=1,
IF($E$2="Fortnightly",
ROUND(
ROUND((((TRUNC($AN570/2,0)+0.99))*VLOOKUP((TRUNC($AN570/2,0)+0.99),'Tax scales - NAT 1004'!$A$12:$C$18,2,1)-VLOOKUP((TRUNC($AN570/2,0)+0.99),'Tax scales - NAT 1004'!$A$12:$C$18,3,1)),0)
*2,
0),
IF(AND($E$2="Monthly",ROUND($AN570-TRUNC($AN570),2)=0.33),
ROUND(
ROUND(((TRUNC(($AN570+0.01)*3/13,0)+0.99)*VLOOKUP((TRUNC(($AN570+0.01)*3/13,0)+0.99),'Tax scales - NAT 1004'!$A$12:$C$18,2,1)-VLOOKUP((TRUNC(($AN570+0.01)*3/13,0)+0.99),'Tax scales - NAT 1004'!$A$12:$C$18,3,1)),0)
*13/3,
0),
IF($E$2="Monthly",
ROUND(
ROUND(((TRUNC($AN570*3/13,0)+0.99)*VLOOKUP((TRUNC($AN570*3/13,0)+0.99),'Tax scales - NAT 1004'!$A$12:$C$18,2,1)-VLOOKUP((TRUNC($AN570*3/13,0)+0.99),'Tax scales - NAT 1004'!$A$12:$C$18,3,1)),0)
*13/3,
0),
""))),
""),
"")</f>
        <v/>
      </c>
      <c r="AP570" s="118" t="str">
        <f>IFERROR(
IF(VLOOKUP($C570,'Employee information'!$B:$M,COLUMNS('Employee information'!$B:$M),0)=2,
IF($E$2="Fortnightly",
ROUND(
ROUND((((TRUNC($AN570/2,0)+0.99))*VLOOKUP((TRUNC($AN570/2,0)+0.99),'Tax scales - NAT 1004'!$A$25:$C$33,2,1)-VLOOKUP((TRUNC($AN570/2,0)+0.99),'Tax scales - NAT 1004'!$A$25:$C$33,3,1)),0)
*2,
0),
IF(AND($E$2="Monthly",ROUND($AN570-TRUNC($AN570),2)=0.33),
ROUND(
ROUND(((TRUNC(($AN570+0.01)*3/13,0)+0.99)*VLOOKUP((TRUNC(($AN570+0.01)*3/13,0)+0.99),'Tax scales - NAT 1004'!$A$25:$C$33,2,1)-VLOOKUP((TRUNC(($AN570+0.01)*3/13,0)+0.99),'Tax scales - NAT 1004'!$A$25:$C$33,3,1)),0)
*13/3,
0),
IF($E$2="Monthly",
ROUND(
ROUND(((TRUNC($AN570*3/13,0)+0.99)*VLOOKUP((TRUNC($AN570*3/13,0)+0.99),'Tax scales - NAT 1004'!$A$25:$C$33,2,1)-VLOOKUP((TRUNC($AN570*3/13,0)+0.99),'Tax scales - NAT 1004'!$A$25:$C$33,3,1)),0)
*13/3,
0),
""))),
""),
"")</f>
        <v/>
      </c>
      <c r="AQ570" s="118" t="str">
        <f>IFERROR(
IF(VLOOKUP($C570,'Employee information'!$B:$M,COLUMNS('Employee information'!$B:$M),0)=3,
IF($E$2="Fortnightly",
ROUND(
ROUND((((TRUNC($AN570/2,0)+0.99))*VLOOKUP((TRUNC($AN570/2,0)+0.99),'Tax scales - NAT 1004'!$A$39:$C$41,2,1)-VLOOKUP((TRUNC($AN570/2,0)+0.99),'Tax scales - NAT 1004'!$A$39:$C$41,3,1)),0)
*2,
0),
IF(AND($E$2="Monthly",ROUND($AN570-TRUNC($AN570),2)=0.33),
ROUND(
ROUND(((TRUNC(($AN570+0.01)*3/13,0)+0.99)*VLOOKUP((TRUNC(($AN570+0.01)*3/13,0)+0.99),'Tax scales - NAT 1004'!$A$39:$C$41,2,1)-VLOOKUP((TRUNC(($AN570+0.01)*3/13,0)+0.99),'Tax scales - NAT 1004'!$A$39:$C$41,3,1)),0)
*13/3,
0),
IF($E$2="Monthly",
ROUND(
ROUND(((TRUNC($AN570*3/13,0)+0.99)*VLOOKUP((TRUNC($AN570*3/13,0)+0.99),'Tax scales - NAT 1004'!$A$39:$C$41,2,1)-VLOOKUP((TRUNC($AN570*3/13,0)+0.99),'Tax scales - NAT 1004'!$A$39:$C$41,3,1)),0)
*13/3,
0),
""))),
""),
"")</f>
        <v/>
      </c>
      <c r="AR570" s="118" t="str">
        <f>IFERROR(
IF(AND(VLOOKUP($C570,'Employee information'!$B:$M,COLUMNS('Employee information'!$B:$M),0)=4,
VLOOKUP($C570,'Employee information'!$B:$J,COLUMNS('Employee information'!$B:$J),0)="Resident"),
TRUNC(TRUNC($AN570)*'Tax scales - NAT 1004'!$B$47),
IF(AND(VLOOKUP($C570,'Employee information'!$B:$M,COLUMNS('Employee information'!$B:$M),0)=4,
VLOOKUP($C570,'Employee information'!$B:$J,COLUMNS('Employee information'!$B:$J),0)="Foreign resident"),
TRUNC(TRUNC($AN570)*'Tax scales - NAT 1004'!$B$48),
"")),
"")</f>
        <v/>
      </c>
      <c r="AS570" s="118" t="str">
        <f>IFERROR(
IF(VLOOKUP($C570,'Employee information'!$B:$M,COLUMNS('Employee information'!$B:$M),0)=5,
IF($E$2="Fortnightly",
ROUND(
ROUND((((TRUNC($AN570/2,0)+0.99))*VLOOKUP((TRUNC($AN570/2,0)+0.99),'Tax scales - NAT 1004'!$A$53:$C$59,2,1)-VLOOKUP((TRUNC($AN570/2,0)+0.99),'Tax scales - NAT 1004'!$A$53:$C$59,3,1)),0)
*2,
0),
IF(AND($E$2="Monthly",ROUND($AN570-TRUNC($AN570),2)=0.33),
ROUND(
ROUND(((TRUNC(($AN570+0.01)*3/13,0)+0.99)*VLOOKUP((TRUNC(($AN570+0.01)*3/13,0)+0.99),'Tax scales - NAT 1004'!$A$53:$C$59,2,1)-VLOOKUP((TRUNC(($AN570+0.01)*3/13,0)+0.99),'Tax scales - NAT 1004'!$A$53:$C$59,3,1)),0)
*13/3,
0),
IF($E$2="Monthly",
ROUND(
ROUND(((TRUNC($AN570*3/13,0)+0.99)*VLOOKUP((TRUNC($AN570*3/13,0)+0.99),'Tax scales - NAT 1004'!$A$53:$C$59,2,1)-VLOOKUP((TRUNC($AN570*3/13,0)+0.99),'Tax scales - NAT 1004'!$A$53:$C$59,3,1)),0)
*13/3,
0),
""))),
""),
"")</f>
        <v/>
      </c>
      <c r="AT570" s="118" t="str">
        <f>IFERROR(
IF(VLOOKUP($C570,'Employee information'!$B:$M,COLUMNS('Employee information'!$B:$M),0)=6,
IF($E$2="Fortnightly",
ROUND(
ROUND((((TRUNC($AN570/2,0)+0.99))*VLOOKUP((TRUNC($AN570/2,0)+0.99),'Tax scales - NAT 1004'!$A$65:$C$73,2,1)-VLOOKUP((TRUNC($AN570/2,0)+0.99),'Tax scales - NAT 1004'!$A$65:$C$73,3,1)),0)
*2,
0),
IF(AND($E$2="Monthly",ROUND($AN570-TRUNC($AN570),2)=0.33),
ROUND(
ROUND(((TRUNC(($AN570+0.01)*3/13,0)+0.99)*VLOOKUP((TRUNC(($AN570+0.01)*3/13,0)+0.99),'Tax scales - NAT 1004'!$A$65:$C$73,2,1)-VLOOKUP((TRUNC(($AN570+0.01)*3/13,0)+0.99),'Tax scales - NAT 1004'!$A$65:$C$73,3,1)),0)
*13/3,
0),
IF($E$2="Monthly",
ROUND(
ROUND(((TRUNC($AN570*3/13,0)+0.99)*VLOOKUP((TRUNC($AN570*3/13,0)+0.99),'Tax scales - NAT 1004'!$A$65:$C$73,2,1)-VLOOKUP((TRUNC($AN570*3/13,0)+0.99),'Tax scales - NAT 1004'!$A$65:$C$73,3,1)),0)
*13/3,
0),
""))),
""),
"")</f>
        <v/>
      </c>
      <c r="AU570" s="118" t="str">
        <f>IFERROR(
IF(VLOOKUP($C570,'Employee information'!$B:$M,COLUMNS('Employee information'!$B:$M),0)=11,
IF($E$2="Fortnightly",
ROUND(
ROUND((((TRUNC($AN570/2,0)+0.99))*VLOOKUP((TRUNC($AN570/2,0)+0.99),'Tax scales - NAT 3539'!$A$14:$C$38,2,1)-VLOOKUP((TRUNC($AN570/2,0)+0.99),'Tax scales - NAT 3539'!$A$14:$C$38,3,1)),0)
*2,
0),
IF(AND($E$2="Monthly",ROUND($AN570-TRUNC($AN570),2)=0.33),
ROUND(
ROUND(((TRUNC(($AN570+0.01)*3/13,0)+0.99)*VLOOKUP((TRUNC(($AN570+0.01)*3/13,0)+0.99),'Tax scales - NAT 3539'!$A$14:$C$38,2,1)-VLOOKUP((TRUNC(($AN570+0.01)*3/13,0)+0.99),'Tax scales - NAT 3539'!$A$14:$C$38,3,1)),0)
*13/3,
0),
IF($E$2="Monthly",
ROUND(
ROUND(((TRUNC($AN570*3/13,0)+0.99)*VLOOKUP((TRUNC($AN570*3/13,0)+0.99),'Tax scales - NAT 3539'!$A$14:$C$38,2,1)-VLOOKUP((TRUNC($AN570*3/13,0)+0.99),'Tax scales - NAT 3539'!$A$14:$C$38,3,1)),0)
*13/3,
0),
""))),
""),
"")</f>
        <v/>
      </c>
      <c r="AV570" s="118" t="str">
        <f>IFERROR(
IF(VLOOKUP($C570,'Employee information'!$B:$M,COLUMNS('Employee information'!$B:$M),0)=22,
IF($E$2="Fortnightly",
ROUND(
ROUND((((TRUNC($AN570/2,0)+0.99))*VLOOKUP((TRUNC($AN570/2,0)+0.99),'Tax scales - NAT 3539'!$A$43:$C$69,2,1)-VLOOKUP((TRUNC($AN570/2,0)+0.99),'Tax scales - NAT 3539'!$A$43:$C$69,3,1)),0)
*2,
0),
IF(AND($E$2="Monthly",ROUND($AN570-TRUNC($AN570),2)=0.33),
ROUND(
ROUND(((TRUNC(($AN570+0.01)*3/13,0)+0.99)*VLOOKUP((TRUNC(($AN570+0.01)*3/13,0)+0.99),'Tax scales - NAT 3539'!$A$43:$C$69,2,1)-VLOOKUP((TRUNC(($AN570+0.01)*3/13,0)+0.99),'Tax scales - NAT 3539'!$A$43:$C$69,3,1)),0)
*13/3,
0),
IF($E$2="Monthly",
ROUND(
ROUND(((TRUNC($AN570*3/13,0)+0.99)*VLOOKUP((TRUNC($AN570*3/13,0)+0.99),'Tax scales - NAT 3539'!$A$43:$C$69,2,1)-VLOOKUP((TRUNC($AN570*3/13,0)+0.99),'Tax scales - NAT 3539'!$A$43:$C$69,3,1)),0)
*13/3,
0),
""))),
""),
"")</f>
        <v/>
      </c>
      <c r="AW570" s="118" t="str">
        <f>IFERROR(
IF(VLOOKUP($C570,'Employee information'!$B:$M,COLUMNS('Employee information'!$B:$M),0)=33,
IF($E$2="Fortnightly",
ROUND(
ROUND((((TRUNC($AN570/2,0)+0.99))*VLOOKUP((TRUNC($AN570/2,0)+0.99),'Tax scales - NAT 3539'!$A$74:$C$94,2,1)-VLOOKUP((TRUNC($AN570/2,0)+0.99),'Tax scales - NAT 3539'!$A$74:$C$94,3,1)),0)
*2,
0),
IF(AND($E$2="Monthly",ROUND($AN570-TRUNC($AN570),2)=0.33),
ROUND(
ROUND(((TRUNC(($AN570+0.01)*3/13,0)+0.99)*VLOOKUP((TRUNC(($AN570+0.01)*3/13,0)+0.99),'Tax scales - NAT 3539'!$A$74:$C$94,2,1)-VLOOKUP((TRUNC(($AN570+0.01)*3/13,0)+0.99),'Tax scales - NAT 3539'!$A$74:$C$94,3,1)),0)
*13/3,
0),
IF($E$2="Monthly",
ROUND(
ROUND(((TRUNC($AN570*3/13,0)+0.99)*VLOOKUP((TRUNC($AN570*3/13,0)+0.99),'Tax scales - NAT 3539'!$A$74:$C$94,2,1)-VLOOKUP((TRUNC($AN570*3/13,0)+0.99),'Tax scales - NAT 3539'!$A$74:$C$94,3,1)),0)
*13/3,
0),
""))),
""),
"")</f>
        <v/>
      </c>
      <c r="AX570" s="118" t="str">
        <f>IFERROR(
IF(VLOOKUP($C570,'Employee information'!$B:$M,COLUMNS('Employee information'!$B:$M),0)=55,
IF($E$2="Fortnightly",
ROUND(
ROUND((((TRUNC($AN570/2,0)+0.99))*VLOOKUP((TRUNC($AN570/2,0)+0.99),'Tax scales - NAT 3539'!$A$99:$C$123,2,1)-VLOOKUP((TRUNC($AN570/2,0)+0.99),'Tax scales - NAT 3539'!$A$99:$C$123,3,1)),0)
*2,
0),
IF(AND($E$2="Monthly",ROUND($AN570-TRUNC($AN570),2)=0.33),
ROUND(
ROUND(((TRUNC(($AN570+0.01)*3/13,0)+0.99)*VLOOKUP((TRUNC(($AN570+0.01)*3/13,0)+0.99),'Tax scales - NAT 3539'!$A$99:$C$123,2,1)-VLOOKUP((TRUNC(($AN570+0.01)*3/13,0)+0.99),'Tax scales - NAT 3539'!$A$99:$C$123,3,1)),0)
*13/3,
0),
IF($E$2="Monthly",
ROUND(
ROUND(((TRUNC($AN570*3/13,0)+0.99)*VLOOKUP((TRUNC($AN570*3/13,0)+0.99),'Tax scales - NAT 3539'!$A$99:$C$123,2,1)-VLOOKUP((TRUNC($AN570*3/13,0)+0.99),'Tax scales - NAT 3539'!$A$99:$C$123,3,1)),0)
*13/3,
0),
""))),
""),
"")</f>
        <v/>
      </c>
      <c r="AY570" s="118" t="str">
        <f>IFERROR(
IF(VLOOKUP($C570,'Employee information'!$B:$M,COLUMNS('Employee information'!$B:$M),0)=66,
IF($E$2="Fortnightly",
ROUND(
ROUND((((TRUNC($AN570/2,0)+0.99))*VLOOKUP((TRUNC($AN570/2,0)+0.99),'Tax scales - NAT 3539'!$A$127:$C$154,2,1)-VLOOKUP((TRUNC($AN570/2,0)+0.99),'Tax scales - NAT 3539'!$A$127:$C$154,3,1)),0)
*2,
0),
IF(AND($E$2="Monthly",ROUND($AN570-TRUNC($AN570),2)=0.33),
ROUND(
ROUND(((TRUNC(($AN570+0.01)*3/13,0)+0.99)*VLOOKUP((TRUNC(($AN570+0.01)*3/13,0)+0.99),'Tax scales - NAT 3539'!$A$127:$C$154,2,1)-VLOOKUP((TRUNC(($AN570+0.01)*3/13,0)+0.99),'Tax scales - NAT 3539'!$A$127:$C$154,3,1)),0)
*13/3,
0),
IF($E$2="Monthly",
ROUND(
ROUND(((TRUNC($AN570*3/13,0)+0.99)*VLOOKUP((TRUNC($AN570*3/13,0)+0.99),'Tax scales - NAT 3539'!$A$127:$C$154,2,1)-VLOOKUP((TRUNC($AN570*3/13,0)+0.99),'Tax scales - NAT 3539'!$A$127:$C$154,3,1)),0)
*13/3,
0),
""))),
""),
"")</f>
        <v/>
      </c>
      <c r="AZ570" s="118">
        <f>IFERROR(
HLOOKUP(VLOOKUP($C570,'Employee information'!$B:$M,COLUMNS('Employee information'!$B:$M),0),'PAYG worksheet'!$AO$561:$AY$580,COUNTA($C$562:$C570)+1,0),
0)</f>
        <v>0</v>
      </c>
      <c r="BA570" s="118"/>
      <c r="BB570" s="118">
        <f t="shared" si="604"/>
        <v>0</v>
      </c>
      <c r="BC570" s="119">
        <f>IFERROR(
IF(OR($AE570=1,$AE570=""),SUM($P570,$AA570,$AC570,$AK570)*VLOOKUP($C570,'Employee information'!$B:$Q,COLUMNS('Employee information'!$B:$H),0),
IF($AE570=0,SUM($P570,$AA570,$AK570)*VLOOKUP($C570,'Employee information'!$B:$Q,COLUMNS('Employee information'!$B:$H),0),
0)),
0)</f>
        <v>0</v>
      </c>
      <c r="BE570" s="114">
        <f t="shared" si="589"/>
        <v>0</v>
      </c>
      <c r="BF570" s="114">
        <f t="shared" si="590"/>
        <v>0</v>
      </c>
      <c r="BG570" s="114">
        <f t="shared" si="591"/>
        <v>0</v>
      </c>
      <c r="BH570" s="114">
        <f t="shared" si="592"/>
        <v>0</v>
      </c>
      <c r="BI570" s="114">
        <f t="shared" si="593"/>
        <v>0</v>
      </c>
      <c r="BJ570" s="114">
        <f t="shared" si="594"/>
        <v>0</v>
      </c>
      <c r="BK570" s="114">
        <f t="shared" si="595"/>
        <v>0</v>
      </c>
      <c r="BL570" s="114">
        <f t="shared" si="605"/>
        <v>0</v>
      </c>
      <c r="BM570" s="114">
        <f t="shared" si="596"/>
        <v>0</v>
      </c>
    </row>
    <row r="571" spans="1:65" x14ac:dyDescent="0.25">
      <c r="A571" s="228">
        <f t="shared" si="584"/>
        <v>20</v>
      </c>
      <c r="C571" s="278"/>
      <c r="E571" s="103">
        <f>IF($C571="",0,
IF(AND($E$2="Monthly",$A571&gt;12),0,
IF($E$2="Monthly",VLOOKUP($C571,'Employee information'!$B:$AM,COLUMNS('Employee information'!$B:S),0),
IF($E$2="Fortnightly",VLOOKUP($C571,'Employee information'!$B:$AM,COLUMNS('Employee information'!$B:R),0),
0))))</f>
        <v>0</v>
      </c>
      <c r="F571" s="106"/>
      <c r="G571" s="106"/>
      <c r="H571" s="106"/>
      <c r="I571" s="106"/>
      <c r="J571" s="103">
        <f t="shared" si="597"/>
        <v>0</v>
      </c>
      <c r="L571" s="113">
        <f>IF(AND($E$2="Monthly",$A571&gt;12),"",
IFERROR($J571*VLOOKUP($C571,'Employee information'!$B:$AI,COLUMNS('Employee information'!$B:$P),0),0))</f>
        <v>0</v>
      </c>
      <c r="M571" s="114">
        <f t="shared" si="598"/>
        <v>0</v>
      </c>
      <c r="O571" s="103">
        <f>IF($E$2="Monthly",
IF(AND($E$2="Monthly",$H571&lt;&gt;""),$H571,
IF(AND($E$2="Monthly",$E571=0),$F571,
$E571)),
IF($E$2="Fortnightly",
IF(AND($E$2="Fortnightly",$H571&lt;&gt;""),$H571,
IF(AND($E$2="Fortnightly",$F571&lt;&gt;"",$E571&lt;&gt;0),$F571,
IF(AND($E$2="Fortnightly",$E571=0),$F571,
$E571)))))</f>
        <v>0</v>
      </c>
      <c r="P571" s="113">
        <f>IFERROR(
IF(AND($E$2="Monthly",$A571&gt;12),0,
$O571*VLOOKUP($C571,'Employee information'!$B:$AI,COLUMNS('Employee information'!$B:$P),0)),
0)</f>
        <v>0</v>
      </c>
      <c r="R571" s="114">
        <f t="shared" si="585"/>
        <v>0</v>
      </c>
      <c r="T571" s="103"/>
      <c r="U571" s="103"/>
      <c r="V571" s="282" t="str">
        <f>IF($C571="","",
IF(AND($E$2="Monthly",$A571&gt;12),"",
$T571*VLOOKUP($C571,'Employee information'!$B:$P,COLUMNS('Employee information'!$B:$P),0)))</f>
        <v/>
      </c>
      <c r="W571" s="282" t="str">
        <f>IF($C571="","",
IF(AND($E$2="Monthly",$A571&gt;12),"",
$U571*VLOOKUP($C571,'Employee information'!$B:$P,COLUMNS('Employee information'!$B:$P),0)))</f>
        <v/>
      </c>
      <c r="X571" s="114">
        <f t="shared" si="586"/>
        <v>0</v>
      </c>
      <c r="Y571" s="114">
        <f t="shared" si="587"/>
        <v>0</v>
      </c>
      <c r="AA571" s="118">
        <f>IFERROR(
IF(OR('Basic payroll data'!$D$12="",'Basic payroll data'!$D$12="No"),0,
$T571*VLOOKUP($C571,'Employee information'!$B:$P,COLUMNS('Employee information'!$B:$P),0)*AL_loading_perc),
0)</f>
        <v>0</v>
      </c>
      <c r="AC571" s="118"/>
      <c r="AD571" s="118"/>
      <c r="AE571" s="283" t="str">
        <f t="shared" si="600"/>
        <v/>
      </c>
      <c r="AF571" s="283" t="str">
        <f t="shared" si="601"/>
        <v/>
      </c>
      <c r="AG571" s="118"/>
      <c r="AH571" s="118"/>
      <c r="AI571" s="283" t="str">
        <f t="shared" si="602"/>
        <v/>
      </c>
      <c r="AJ571" s="118"/>
      <c r="AK571" s="118"/>
      <c r="AM571" s="118">
        <f t="shared" si="603"/>
        <v>0</v>
      </c>
      <c r="AN571" s="118">
        <f t="shared" si="588"/>
        <v>0</v>
      </c>
      <c r="AO571" s="118" t="str">
        <f>IFERROR(
IF(VLOOKUP($C571,'Employee information'!$B:$M,COLUMNS('Employee information'!$B:$M),0)=1,
IF($E$2="Fortnightly",
ROUND(
ROUND((((TRUNC($AN571/2,0)+0.99))*VLOOKUP((TRUNC($AN571/2,0)+0.99),'Tax scales - NAT 1004'!$A$12:$C$18,2,1)-VLOOKUP((TRUNC($AN571/2,0)+0.99),'Tax scales - NAT 1004'!$A$12:$C$18,3,1)),0)
*2,
0),
IF(AND($E$2="Monthly",ROUND($AN571-TRUNC($AN571),2)=0.33),
ROUND(
ROUND(((TRUNC(($AN571+0.01)*3/13,0)+0.99)*VLOOKUP((TRUNC(($AN571+0.01)*3/13,0)+0.99),'Tax scales - NAT 1004'!$A$12:$C$18,2,1)-VLOOKUP((TRUNC(($AN571+0.01)*3/13,0)+0.99),'Tax scales - NAT 1004'!$A$12:$C$18,3,1)),0)
*13/3,
0),
IF($E$2="Monthly",
ROUND(
ROUND(((TRUNC($AN571*3/13,0)+0.99)*VLOOKUP((TRUNC($AN571*3/13,0)+0.99),'Tax scales - NAT 1004'!$A$12:$C$18,2,1)-VLOOKUP((TRUNC($AN571*3/13,0)+0.99),'Tax scales - NAT 1004'!$A$12:$C$18,3,1)),0)
*13/3,
0),
""))),
""),
"")</f>
        <v/>
      </c>
      <c r="AP571" s="118" t="str">
        <f>IFERROR(
IF(VLOOKUP($C571,'Employee information'!$B:$M,COLUMNS('Employee information'!$B:$M),0)=2,
IF($E$2="Fortnightly",
ROUND(
ROUND((((TRUNC($AN571/2,0)+0.99))*VLOOKUP((TRUNC($AN571/2,0)+0.99),'Tax scales - NAT 1004'!$A$25:$C$33,2,1)-VLOOKUP((TRUNC($AN571/2,0)+0.99),'Tax scales - NAT 1004'!$A$25:$C$33,3,1)),0)
*2,
0),
IF(AND($E$2="Monthly",ROUND($AN571-TRUNC($AN571),2)=0.33),
ROUND(
ROUND(((TRUNC(($AN571+0.01)*3/13,0)+0.99)*VLOOKUP((TRUNC(($AN571+0.01)*3/13,0)+0.99),'Tax scales - NAT 1004'!$A$25:$C$33,2,1)-VLOOKUP((TRUNC(($AN571+0.01)*3/13,0)+0.99),'Tax scales - NAT 1004'!$A$25:$C$33,3,1)),0)
*13/3,
0),
IF($E$2="Monthly",
ROUND(
ROUND(((TRUNC($AN571*3/13,0)+0.99)*VLOOKUP((TRUNC($AN571*3/13,0)+0.99),'Tax scales - NAT 1004'!$A$25:$C$33,2,1)-VLOOKUP((TRUNC($AN571*3/13,0)+0.99),'Tax scales - NAT 1004'!$A$25:$C$33,3,1)),0)
*13/3,
0),
""))),
""),
"")</f>
        <v/>
      </c>
      <c r="AQ571" s="118" t="str">
        <f>IFERROR(
IF(VLOOKUP($C571,'Employee information'!$B:$M,COLUMNS('Employee information'!$B:$M),0)=3,
IF($E$2="Fortnightly",
ROUND(
ROUND((((TRUNC($AN571/2,0)+0.99))*VLOOKUP((TRUNC($AN571/2,0)+0.99),'Tax scales - NAT 1004'!$A$39:$C$41,2,1)-VLOOKUP((TRUNC($AN571/2,0)+0.99),'Tax scales - NAT 1004'!$A$39:$C$41,3,1)),0)
*2,
0),
IF(AND($E$2="Monthly",ROUND($AN571-TRUNC($AN571),2)=0.33),
ROUND(
ROUND(((TRUNC(($AN571+0.01)*3/13,0)+0.99)*VLOOKUP((TRUNC(($AN571+0.01)*3/13,0)+0.99),'Tax scales - NAT 1004'!$A$39:$C$41,2,1)-VLOOKUP((TRUNC(($AN571+0.01)*3/13,0)+0.99),'Tax scales - NAT 1004'!$A$39:$C$41,3,1)),0)
*13/3,
0),
IF($E$2="Monthly",
ROUND(
ROUND(((TRUNC($AN571*3/13,0)+0.99)*VLOOKUP((TRUNC($AN571*3/13,0)+0.99),'Tax scales - NAT 1004'!$A$39:$C$41,2,1)-VLOOKUP((TRUNC($AN571*3/13,0)+0.99),'Tax scales - NAT 1004'!$A$39:$C$41,3,1)),0)
*13/3,
0),
""))),
""),
"")</f>
        <v/>
      </c>
      <c r="AR571" s="118" t="str">
        <f>IFERROR(
IF(AND(VLOOKUP($C571,'Employee information'!$B:$M,COLUMNS('Employee information'!$B:$M),0)=4,
VLOOKUP($C571,'Employee information'!$B:$J,COLUMNS('Employee information'!$B:$J),0)="Resident"),
TRUNC(TRUNC($AN571)*'Tax scales - NAT 1004'!$B$47),
IF(AND(VLOOKUP($C571,'Employee information'!$B:$M,COLUMNS('Employee information'!$B:$M),0)=4,
VLOOKUP($C571,'Employee information'!$B:$J,COLUMNS('Employee information'!$B:$J),0)="Foreign resident"),
TRUNC(TRUNC($AN571)*'Tax scales - NAT 1004'!$B$48),
"")),
"")</f>
        <v/>
      </c>
      <c r="AS571" s="118" t="str">
        <f>IFERROR(
IF(VLOOKUP($C571,'Employee information'!$B:$M,COLUMNS('Employee information'!$B:$M),0)=5,
IF($E$2="Fortnightly",
ROUND(
ROUND((((TRUNC($AN571/2,0)+0.99))*VLOOKUP((TRUNC($AN571/2,0)+0.99),'Tax scales - NAT 1004'!$A$53:$C$59,2,1)-VLOOKUP((TRUNC($AN571/2,0)+0.99),'Tax scales - NAT 1004'!$A$53:$C$59,3,1)),0)
*2,
0),
IF(AND($E$2="Monthly",ROUND($AN571-TRUNC($AN571),2)=0.33),
ROUND(
ROUND(((TRUNC(($AN571+0.01)*3/13,0)+0.99)*VLOOKUP((TRUNC(($AN571+0.01)*3/13,0)+0.99),'Tax scales - NAT 1004'!$A$53:$C$59,2,1)-VLOOKUP((TRUNC(($AN571+0.01)*3/13,0)+0.99),'Tax scales - NAT 1004'!$A$53:$C$59,3,1)),0)
*13/3,
0),
IF($E$2="Monthly",
ROUND(
ROUND(((TRUNC($AN571*3/13,0)+0.99)*VLOOKUP((TRUNC($AN571*3/13,0)+0.99),'Tax scales - NAT 1004'!$A$53:$C$59,2,1)-VLOOKUP((TRUNC($AN571*3/13,0)+0.99),'Tax scales - NAT 1004'!$A$53:$C$59,3,1)),0)
*13/3,
0),
""))),
""),
"")</f>
        <v/>
      </c>
      <c r="AT571" s="118" t="str">
        <f>IFERROR(
IF(VLOOKUP($C571,'Employee information'!$B:$M,COLUMNS('Employee information'!$B:$M),0)=6,
IF($E$2="Fortnightly",
ROUND(
ROUND((((TRUNC($AN571/2,0)+0.99))*VLOOKUP((TRUNC($AN571/2,0)+0.99),'Tax scales - NAT 1004'!$A$65:$C$73,2,1)-VLOOKUP((TRUNC($AN571/2,0)+0.99),'Tax scales - NAT 1004'!$A$65:$C$73,3,1)),0)
*2,
0),
IF(AND($E$2="Monthly",ROUND($AN571-TRUNC($AN571),2)=0.33),
ROUND(
ROUND(((TRUNC(($AN571+0.01)*3/13,0)+0.99)*VLOOKUP((TRUNC(($AN571+0.01)*3/13,0)+0.99),'Tax scales - NAT 1004'!$A$65:$C$73,2,1)-VLOOKUP((TRUNC(($AN571+0.01)*3/13,0)+0.99),'Tax scales - NAT 1004'!$A$65:$C$73,3,1)),0)
*13/3,
0),
IF($E$2="Monthly",
ROUND(
ROUND(((TRUNC($AN571*3/13,0)+0.99)*VLOOKUP((TRUNC($AN571*3/13,0)+0.99),'Tax scales - NAT 1004'!$A$65:$C$73,2,1)-VLOOKUP((TRUNC($AN571*3/13,0)+0.99),'Tax scales - NAT 1004'!$A$65:$C$73,3,1)),0)
*13/3,
0),
""))),
""),
"")</f>
        <v/>
      </c>
      <c r="AU571" s="118" t="str">
        <f>IFERROR(
IF(VLOOKUP($C571,'Employee information'!$B:$M,COLUMNS('Employee information'!$B:$M),0)=11,
IF($E$2="Fortnightly",
ROUND(
ROUND((((TRUNC($AN571/2,0)+0.99))*VLOOKUP((TRUNC($AN571/2,0)+0.99),'Tax scales - NAT 3539'!$A$14:$C$38,2,1)-VLOOKUP((TRUNC($AN571/2,0)+0.99),'Tax scales - NAT 3539'!$A$14:$C$38,3,1)),0)
*2,
0),
IF(AND($E$2="Monthly",ROUND($AN571-TRUNC($AN571),2)=0.33),
ROUND(
ROUND(((TRUNC(($AN571+0.01)*3/13,0)+0.99)*VLOOKUP((TRUNC(($AN571+0.01)*3/13,0)+0.99),'Tax scales - NAT 3539'!$A$14:$C$38,2,1)-VLOOKUP((TRUNC(($AN571+0.01)*3/13,0)+0.99),'Tax scales - NAT 3539'!$A$14:$C$38,3,1)),0)
*13/3,
0),
IF($E$2="Monthly",
ROUND(
ROUND(((TRUNC($AN571*3/13,0)+0.99)*VLOOKUP((TRUNC($AN571*3/13,0)+0.99),'Tax scales - NAT 3539'!$A$14:$C$38,2,1)-VLOOKUP((TRUNC($AN571*3/13,0)+0.99),'Tax scales - NAT 3539'!$A$14:$C$38,3,1)),0)
*13/3,
0),
""))),
""),
"")</f>
        <v/>
      </c>
      <c r="AV571" s="118" t="str">
        <f>IFERROR(
IF(VLOOKUP($C571,'Employee information'!$B:$M,COLUMNS('Employee information'!$B:$M),0)=22,
IF($E$2="Fortnightly",
ROUND(
ROUND((((TRUNC($AN571/2,0)+0.99))*VLOOKUP((TRUNC($AN571/2,0)+0.99),'Tax scales - NAT 3539'!$A$43:$C$69,2,1)-VLOOKUP((TRUNC($AN571/2,0)+0.99),'Tax scales - NAT 3539'!$A$43:$C$69,3,1)),0)
*2,
0),
IF(AND($E$2="Monthly",ROUND($AN571-TRUNC($AN571),2)=0.33),
ROUND(
ROUND(((TRUNC(($AN571+0.01)*3/13,0)+0.99)*VLOOKUP((TRUNC(($AN571+0.01)*3/13,0)+0.99),'Tax scales - NAT 3539'!$A$43:$C$69,2,1)-VLOOKUP((TRUNC(($AN571+0.01)*3/13,0)+0.99),'Tax scales - NAT 3539'!$A$43:$C$69,3,1)),0)
*13/3,
0),
IF($E$2="Monthly",
ROUND(
ROUND(((TRUNC($AN571*3/13,0)+0.99)*VLOOKUP((TRUNC($AN571*3/13,0)+0.99),'Tax scales - NAT 3539'!$A$43:$C$69,2,1)-VLOOKUP((TRUNC($AN571*3/13,0)+0.99),'Tax scales - NAT 3539'!$A$43:$C$69,3,1)),0)
*13/3,
0),
""))),
""),
"")</f>
        <v/>
      </c>
      <c r="AW571" s="118" t="str">
        <f>IFERROR(
IF(VLOOKUP($C571,'Employee information'!$B:$M,COLUMNS('Employee information'!$B:$M),0)=33,
IF($E$2="Fortnightly",
ROUND(
ROUND((((TRUNC($AN571/2,0)+0.99))*VLOOKUP((TRUNC($AN571/2,0)+0.99),'Tax scales - NAT 3539'!$A$74:$C$94,2,1)-VLOOKUP((TRUNC($AN571/2,0)+0.99),'Tax scales - NAT 3539'!$A$74:$C$94,3,1)),0)
*2,
0),
IF(AND($E$2="Monthly",ROUND($AN571-TRUNC($AN571),2)=0.33),
ROUND(
ROUND(((TRUNC(($AN571+0.01)*3/13,0)+0.99)*VLOOKUP((TRUNC(($AN571+0.01)*3/13,0)+0.99),'Tax scales - NAT 3539'!$A$74:$C$94,2,1)-VLOOKUP((TRUNC(($AN571+0.01)*3/13,0)+0.99),'Tax scales - NAT 3539'!$A$74:$C$94,3,1)),0)
*13/3,
0),
IF($E$2="Monthly",
ROUND(
ROUND(((TRUNC($AN571*3/13,0)+0.99)*VLOOKUP((TRUNC($AN571*3/13,0)+0.99),'Tax scales - NAT 3539'!$A$74:$C$94,2,1)-VLOOKUP((TRUNC($AN571*3/13,0)+0.99),'Tax scales - NAT 3539'!$A$74:$C$94,3,1)),0)
*13/3,
0),
""))),
""),
"")</f>
        <v/>
      </c>
      <c r="AX571" s="118" t="str">
        <f>IFERROR(
IF(VLOOKUP($C571,'Employee information'!$B:$M,COLUMNS('Employee information'!$B:$M),0)=55,
IF($E$2="Fortnightly",
ROUND(
ROUND((((TRUNC($AN571/2,0)+0.99))*VLOOKUP((TRUNC($AN571/2,0)+0.99),'Tax scales - NAT 3539'!$A$99:$C$123,2,1)-VLOOKUP((TRUNC($AN571/2,0)+0.99),'Tax scales - NAT 3539'!$A$99:$C$123,3,1)),0)
*2,
0),
IF(AND($E$2="Monthly",ROUND($AN571-TRUNC($AN571),2)=0.33),
ROUND(
ROUND(((TRUNC(($AN571+0.01)*3/13,0)+0.99)*VLOOKUP((TRUNC(($AN571+0.01)*3/13,0)+0.99),'Tax scales - NAT 3539'!$A$99:$C$123,2,1)-VLOOKUP((TRUNC(($AN571+0.01)*3/13,0)+0.99),'Tax scales - NAT 3539'!$A$99:$C$123,3,1)),0)
*13/3,
0),
IF($E$2="Monthly",
ROUND(
ROUND(((TRUNC($AN571*3/13,0)+0.99)*VLOOKUP((TRUNC($AN571*3/13,0)+0.99),'Tax scales - NAT 3539'!$A$99:$C$123,2,1)-VLOOKUP((TRUNC($AN571*3/13,0)+0.99),'Tax scales - NAT 3539'!$A$99:$C$123,3,1)),0)
*13/3,
0),
""))),
""),
"")</f>
        <v/>
      </c>
      <c r="AY571" s="118" t="str">
        <f>IFERROR(
IF(VLOOKUP($C571,'Employee information'!$B:$M,COLUMNS('Employee information'!$B:$M),0)=66,
IF($E$2="Fortnightly",
ROUND(
ROUND((((TRUNC($AN571/2,0)+0.99))*VLOOKUP((TRUNC($AN571/2,0)+0.99),'Tax scales - NAT 3539'!$A$127:$C$154,2,1)-VLOOKUP((TRUNC($AN571/2,0)+0.99),'Tax scales - NAT 3539'!$A$127:$C$154,3,1)),0)
*2,
0),
IF(AND($E$2="Monthly",ROUND($AN571-TRUNC($AN571),2)=0.33),
ROUND(
ROUND(((TRUNC(($AN571+0.01)*3/13,0)+0.99)*VLOOKUP((TRUNC(($AN571+0.01)*3/13,0)+0.99),'Tax scales - NAT 3539'!$A$127:$C$154,2,1)-VLOOKUP((TRUNC(($AN571+0.01)*3/13,0)+0.99),'Tax scales - NAT 3539'!$A$127:$C$154,3,1)),0)
*13/3,
0),
IF($E$2="Monthly",
ROUND(
ROUND(((TRUNC($AN571*3/13,0)+0.99)*VLOOKUP((TRUNC($AN571*3/13,0)+0.99),'Tax scales - NAT 3539'!$A$127:$C$154,2,1)-VLOOKUP((TRUNC($AN571*3/13,0)+0.99),'Tax scales - NAT 3539'!$A$127:$C$154,3,1)),0)
*13/3,
0),
""))),
""),
"")</f>
        <v/>
      </c>
      <c r="AZ571" s="118">
        <f>IFERROR(
HLOOKUP(VLOOKUP($C571,'Employee information'!$B:$M,COLUMNS('Employee information'!$B:$M),0),'PAYG worksheet'!$AO$561:$AY$580,COUNTA($C$562:$C571)+1,0),
0)</f>
        <v>0</v>
      </c>
      <c r="BA571" s="118"/>
      <c r="BB571" s="118">
        <f t="shared" si="604"/>
        <v>0</v>
      </c>
      <c r="BC571" s="119">
        <f>IFERROR(
IF(OR($AE571=1,$AE571=""),SUM($P571,$AA571,$AC571,$AK571)*VLOOKUP($C571,'Employee information'!$B:$Q,COLUMNS('Employee information'!$B:$H),0),
IF($AE571=0,SUM($P571,$AA571,$AK571)*VLOOKUP($C571,'Employee information'!$B:$Q,COLUMNS('Employee information'!$B:$H),0),
0)),
0)</f>
        <v>0</v>
      </c>
      <c r="BE571" s="114">
        <f t="shared" si="589"/>
        <v>0</v>
      </c>
      <c r="BF571" s="114">
        <f t="shared" si="590"/>
        <v>0</v>
      </c>
      <c r="BG571" s="114">
        <f t="shared" si="591"/>
        <v>0</v>
      </c>
      <c r="BH571" s="114">
        <f t="shared" si="592"/>
        <v>0</v>
      </c>
      <c r="BI571" s="114">
        <f t="shared" si="593"/>
        <v>0</v>
      </c>
      <c r="BJ571" s="114">
        <f t="shared" si="594"/>
        <v>0</v>
      </c>
      <c r="BK571" s="114">
        <f t="shared" si="595"/>
        <v>0</v>
      </c>
      <c r="BL571" s="114">
        <f t="shared" si="605"/>
        <v>0</v>
      </c>
      <c r="BM571" s="114">
        <f t="shared" si="596"/>
        <v>0</v>
      </c>
    </row>
    <row r="572" spans="1:65" x14ac:dyDescent="0.25">
      <c r="A572" s="228">
        <f t="shared" si="584"/>
        <v>20</v>
      </c>
      <c r="C572" s="278"/>
      <c r="E572" s="103">
        <f>IF($C572="",0,
IF(AND($E$2="Monthly",$A572&gt;12),0,
IF($E$2="Monthly",VLOOKUP($C572,'Employee information'!$B:$AM,COLUMNS('Employee information'!$B:S),0),
IF($E$2="Fortnightly",VLOOKUP($C572,'Employee information'!$B:$AM,COLUMNS('Employee information'!$B:R),0),
0))))</f>
        <v>0</v>
      </c>
      <c r="F572" s="106"/>
      <c r="G572" s="106"/>
      <c r="H572" s="106"/>
      <c r="I572" s="106"/>
      <c r="J572" s="103">
        <f t="shared" si="597"/>
        <v>0</v>
      </c>
      <c r="L572" s="113">
        <f>IF(AND($E$2="Monthly",$A572&gt;12),"",
IFERROR($J572*VLOOKUP($C572,'Employee information'!$B:$AI,COLUMNS('Employee information'!$B:$P),0),0))</f>
        <v>0</v>
      </c>
      <c r="M572" s="114">
        <f t="shared" si="598"/>
        <v>0</v>
      </c>
      <c r="O572" s="103">
        <f t="shared" si="599"/>
        <v>0</v>
      </c>
      <c r="P572" s="113">
        <f>IFERROR(
IF(AND($E$2="Monthly",$A572&gt;12),0,
$O572*VLOOKUP($C572,'Employee information'!$B:$AI,COLUMNS('Employee information'!$B:$P),0)),
0)</f>
        <v>0</v>
      </c>
      <c r="R572" s="114">
        <f t="shared" si="585"/>
        <v>0</v>
      </c>
      <c r="T572" s="103"/>
      <c r="U572" s="103"/>
      <c r="V572" s="282" t="str">
        <f>IF($C572="","",
IF(AND($E$2="Monthly",$A572&gt;12),"",
$T572*VLOOKUP($C572,'Employee information'!$B:$P,COLUMNS('Employee information'!$B:$P),0)))</f>
        <v/>
      </c>
      <c r="W572" s="282" t="str">
        <f>IF($C572="","",
IF(AND($E$2="Monthly",$A572&gt;12),"",
$U572*VLOOKUP($C572,'Employee information'!$B:$P,COLUMNS('Employee information'!$B:$P),0)))</f>
        <v/>
      </c>
      <c r="X572" s="114">
        <f t="shared" si="586"/>
        <v>0</v>
      </c>
      <c r="Y572" s="114">
        <f t="shared" si="587"/>
        <v>0</v>
      </c>
      <c r="AA572" s="118">
        <f>IFERROR(
IF(OR('Basic payroll data'!$D$12="",'Basic payroll data'!$D$12="No"),0,
$T572*VLOOKUP($C572,'Employee information'!$B:$P,COLUMNS('Employee information'!$B:$P),0)*AL_loading_perc),
0)</f>
        <v>0</v>
      </c>
      <c r="AC572" s="118"/>
      <c r="AD572" s="118"/>
      <c r="AE572" s="283" t="str">
        <f t="shared" si="600"/>
        <v/>
      </c>
      <c r="AF572" s="283" t="str">
        <f t="shared" si="601"/>
        <v/>
      </c>
      <c r="AG572" s="118"/>
      <c r="AH572" s="118"/>
      <c r="AI572" s="283" t="str">
        <f t="shared" si="602"/>
        <v/>
      </c>
      <c r="AJ572" s="118"/>
      <c r="AK572" s="118"/>
      <c r="AM572" s="118">
        <f t="shared" si="603"/>
        <v>0</v>
      </c>
      <c r="AN572" s="118">
        <f t="shared" si="588"/>
        <v>0</v>
      </c>
      <c r="AO572" s="118" t="str">
        <f>IFERROR(
IF(VLOOKUP($C572,'Employee information'!$B:$M,COLUMNS('Employee information'!$B:$M),0)=1,
IF($E$2="Fortnightly",
ROUND(
ROUND((((TRUNC($AN572/2,0)+0.99))*VLOOKUP((TRUNC($AN572/2,0)+0.99),'Tax scales - NAT 1004'!$A$12:$C$18,2,1)-VLOOKUP((TRUNC($AN572/2,0)+0.99),'Tax scales - NAT 1004'!$A$12:$C$18,3,1)),0)
*2,
0),
IF(AND($E$2="Monthly",ROUND($AN572-TRUNC($AN572),2)=0.33),
ROUND(
ROUND(((TRUNC(($AN572+0.01)*3/13,0)+0.99)*VLOOKUP((TRUNC(($AN572+0.01)*3/13,0)+0.99),'Tax scales - NAT 1004'!$A$12:$C$18,2,1)-VLOOKUP((TRUNC(($AN572+0.01)*3/13,0)+0.99),'Tax scales - NAT 1004'!$A$12:$C$18,3,1)),0)
*13/3,
0),
IF($E$2="Monthly",
ROUND(
ROUND(((TRUNC($AN572*3/13,0)+0.99)*VLOOKUP((TRUNC($AN572*3/13,0)+0.99),'Tax scales - NAT 1004'!$A$12:$C$18,2,1)-VLOOKUP((TRUNC($AN572*3/13,0)+0.99),'Tax scales - NAT 1004'!$A$12:$C$18,3,1)),0)
*13/3,
0),
""))),
""),
"")</f>
        <v/>
      </c>
      <c r="AP572" s="118" t="str">
        <f>IFERROR(
IF(VLOOKUP($C572,'Employee information'!$B:$M,COLUMNS('Employee information'!$B:$M),0)=2,
IF($E$2="Fortnightly",
ROUND(
ROUND((((TRUNC($AN572/2,0)+0.99))*VLOOKUP((TRUNC($AN572/2,0)+0.99),'Tax scales - NAT 1004'!$A$25:$C$33,2,1)-VLOOKUP((TRUNC($AN572/2,0)+0.99),'Tax scales - NAT 1004'!$A$25:$C$33,3,1)),0)
*2,
0),
IF(AND($E$2="Monthly",ROUND($AN572-TRUNC($AN572),2)=0.33),
ROUND(
ROUND(((TRUNC(($AN572+0.01)*3/13,0)+0.99)*VLOOKUP((TRUNC(($AN572+0.01)*3/13,0)+0.99),'Tax scales - NAT 1004'!$A$25:$C$33,2,1)-VLOOKUP((TRUNC(($AN572+0.01)*3/13,0)+0.99),'Tax scales - NAT 1004'!$A$25:$C$33,3,1)),0)
*13/3,
0),
IF($E$2="Monthly",
ROUND(
ROUND(((TRUNC($AN572*3/13,0)+0.99)*VLOOKUP((TRUNC($AN572*3/13,0)+0.99),'Tax scales - NAT 1004'!$A$25:$C$33,2,1)-VLOOKUP((TRUNC($AN572*3/13,0)+0.99),'Tax scales - NAT 1004'!$A$25:$C$33,3,1)),0)
*13/3,
0),
""))),
""),
"")</f>
        <v/>
      </c>
      <c r="AQ572" s="118" t="str">
        <f>IFERROR(
IF(VLOOKUP($C572,'Employee information'!$B:$M,COLUMNS('Employee information'!$B:$M),0)=3,
IF($E$2="Fortnightly",
ROUND(
ROUND((((TRUNC($AN572/2,0)+0.99))*VLOOKUP((TRUNC($AN572/2,0)+0.99),'Tax scales - NAT 1004'!$A$39:$C$41,2,1)-VLOOKUP((TRUNC($AN572/2,0)+0.99),'Tax scales - NAT 1004'!$A$39:$C$41,3,1)),0)
*2,
0),
IF(AND($E$2="Monthly",ROUND($AN572-TRUNC($AN572),2)=0.33),
ROUND(
ROUND(((TRUNC(($AN572+0.01)*3/13,0)+0.99)*VLOOKUP((TRUNC(($AN572+0.01)*3/13,0)+0.99),'Tax scales - NAT 1004'!$A$39:$C$41,2,1)-VLOOKUP((TRUNC(($AN572+0.01)*3/13,0)+0.99),'Tax scales - NAT 1004'!$A$39:$C$41,3,1)),0)
*13/3,
0),
IF($E$2="Monthly",
ROUND(
ROUND(((TRUNC($AN572*3/13,0)+0.99)*VLOOKUP((TRUNC($AN572*3/13,0)+0.99),'Tax scales - NAT 1004'!$A$39:$C$41,2,1)-VLOOKUP((TRUNC($AN572*3/13,0)+0.99),'Tax scales - NAT 1004'!$A$39:$C$41,3,1)),0)
*13/3,
0),
""))),
""),
"")</f>
        <v/>
      </c>
      <c r="AR572" s="118" t="str">
        <f>IFERROR(
IF(AND(VLOOKUP($C572,'Employee information'!$B:$M,COLUMNS('Employee information'!$B:$M),0)=4,
VLOOKUP($C572,'Employee information'!$B:$J,COLUMNS('Employee information'!$B:$J),0)="Resident"),
TRUNC(TRUNC($AN572)*'Tax scales - NAT 1004'!$B$47),
IF(AND(VLOOKUP($C572,'Employee information'!$B:$M,COLUMNS('Employee information'!$B:$M),0)=4,
VLOOKUP($C572,'Employee information'!$B:$J,COLUMNS('Employee information'!$B:$J),0)="Foreign resident"),
TRUNC(TRUNC($AN572)*'Tax scales - NAT 1004'!$B$48),
"")),
"")</f>
        <v/>
      </c>
      <c r="AS572" s="118" t="str">
        <f>IFERROR(
IF(VLOOKUP($C572,'Employee information'!$B:$M,COLUMNS('Employee information'!$B:$M),0)=5,
IF($E$2="Fortnightly",
ROUND(
ROUND((((TRUNC($AN572/2,0)+0.99))*VLOOKUP((TRUNC($AN572/2,0)+0.99),'Tax scales - NAT 1004'!$A$53:$C$59,2,1)-VLOOKUP((TRUNC($AN572/2,0)+0.99),'Tax scales - NAT 1004'!$A$53:$C$59,3,1)),0)
*2,
0),
IF(AND($E$2="Monthly",ROUND($AN572-TRUNC($AN572),2)=0.33),
ROUND(
ROUND(((TRUNC(($AN572+0.01)*3/13,0)+0.99)*VLOOKUP((TRUNC(($AN572+0.01)*3/13,0)+0.99),'Tax scales - NAT 1004'!$A$53:$C$59,2,1)-VLOOKUP((TRUNC(($AN572+0.01)*3/13,0)+0.99),'Tax scales - NAT 1004'!$A$53:$C$59,3,1)),0)
*13/3,
0),
IF($E$2="Monthly",
ROUND(
ROUND(((TRUNC($AN572*3/13,0)+0.99)*VLOOKUP((TRUNC($AN572*3/13,0)+0.99),'Tax scales - NAT 1004'!$A$53:$C$59,2,1)-VLOOKUP((TRUNC($AN572*3/13,0)+0.99),'Tax scales - NAT 1004'!$A$53:$C$59,3,1)),0)
*13/3,
0),
""))),
""),
"")</f>
        <v/>
      </c>
      <c r="AT572" s="118" t="str">
        <f>IFERROR(
IF(VLOOKUP($C572,'Employee information'!$B:$M,COLUMNS('Employee information'!$B:$M),0)=6,
IF($E$2="Fortnightly",
ROUND(
ROUND((((TRUNC($AN572/2,0)+0.99))*VLOOKUP((TRUNC($AN572/2,0)+0.99),'Tax scales - NAT 1004'!$A$65:$C$73,2,1)-VLOOKUP((TRUNC($AN572/2,0)+0.99),'Tax scales - NAT 1004'!$A$65:$C$73,3,1)),0)
*2,
0),
IF(AND($E$2="Monthly",ROUND($AN572-TRUNC($AN572),2)=0.33),
ROUND(
ROUND(((TRUNC(($AN572+0.01)*3/13,0)+0.99)*VLOOKUP((TRUNC(($AN572+0.01)*3/13,0)+0.99),'Tax scales - NAT 1004'!$A$65:$C$73,2,1)-VLOOKUP((TRUNC(($AN572+0.01)*3/13,0)+0.99),'Tax scales - NAT 1004'!$A$65:$C$73,3,1)),0)
*13/3,
0),
IF($E$2="Monthly",
ROUND(
ROUND(((TRUNC($AN572*3/13,0)+0.99)*VLOOKUP((TRUNC($AN572*3/13,0)+0.99),'Tax scales - NAT 1004'!$A$65:$C$73,2,1)-VLOOKUP((TRUNC($AN572*3/13,0)+0.99),'Tax scales - NAT 1004'!$A$65:$C$73,3,1)),0)
*13/3,
0),
""))),
""),
"")</f>
        <v/>
      </c>
      <c r="AU572" s="118" t="str">
        <f>IFERROR(
IF(VLOOKUP($C572,'Employee information'!$B:$M,COLUMNS('Employee information'!$B:$M),0)=11,
IF($E$2="Fortnightly",
ROUND(
ROUND((((TRUNC($AN572/2,0)+0.99))*VLOOKUP((TRUNC($AN572/2,0)+0.99),'Tax scales - NAT 3539'!$A$14:$C$38,2,1)-VLOOKUP((TRUNC($AN572/2,0)+0.99),'Tax scales - NAT 3539'!$A$14:$C$38,3,1)),0)
*2,
0),
IF(AND($E$2="Monthly",ROUND($AN572-TRUNC($AN572),2)=0.33),
ROUND(
ROUND(((TRUNC(($AN572+0.01)*3/13,0)+0.99)*VLOOKUP((TRUNC(($AN572+0.01)*3/13,0)+0.99),'Tax scales - NAT 3539'!$A$14:$C$38,2,1)-VLOOKUP((TRUNC(($AN572+0.01)*3/13,0)+0.99),'Tax scales - NAT 3539'!$A$14:$C$38,3,1)),0)
*13/3,
0),
IF($E$2="Monthly",
ROUND(
ROUND(((TRUNC($AN572*3/13,0)+0.99)*VLOOKUP((TRUNC($AN572*3/13,0)+0.99),'Tax scales - NAT 3539'!$A$14:$C$38,2,1)-VLOOKUP((TRUNC($AN572*3/13,0)+0.99),'Tax scales - NAT 3539'!$A$14:$C$38,3,1)),0)
*13/3,
0),
""))),
""),
"")</f>
        <v/>
      </c>
      <c r="AV572" s="118" t="str">
        <f>IFERROR(
IF(VLOOKUP($C572,'Employee information'!$B:$M,COLUMNS('Employee information'!$B:$M),0)=22,
IF($E$2="Fortnightly",
ROUND(
ROUND((((TRUNC($AN572/2,0)+0.99))*VLOOKUP((TRUNC($AN572/2,0)+0.99),'Tax scales - NAT 3539'!$A$43:$C$69,2,1)-VLOOKUP((TRUNC($AN572/2,0)+0.99),'Tax scales - NAT 3539'!$A$43:$C$69,3,1)),0)
*2,
0),
IF(AND($E$2="Monthly",ROUND($AN572-TRUNC($AN572),2)=0.33),
ROUND(
ROUND(((TRUNC(($AN572+0.01)*3/13,0)+0.99)*VLOOKUP((TRUNC(($AN572+0.01)*3/13,0)+0.99),'Tax scales - NAT 3539'!$A$43:$C$69,2,1)-VLOOKUP((TRUNC(($AN572+0.01)*3/13,0)+0.99),'Tax scales - NAT 3539'!$A$43:$C$69,3,1)),0)
*13/3,
0),
IF($E$2="Monthly",
ROUND(
ROUND(((TRUNC($AN572*3/13,0)+0.99)*VLOOKUP((TRUNC($AN572*3/13,0)+0.99),'Tax scales - NAT 3539'!$A$43:$C$69,2,1)-VLOOKUP((TRUNC($AN572*3/13,0)+0.99),'Tax scales - NAT 3539'!$A$43:$C$69,3,1)),0)
*13/3,
0),
""))),
""),
"")</f>
        <v/>
      </c>
      <c r="AW572" s="118" t="str">
        <f>IFERROR(
IF(VLOOKUP($C572,'Employee information'!$B:$M,COLUMNS('Employee information'!$B:$M),0)=33,
IF($E$2="Fortnightly",
ROUND(
ROUND((((TRUNC($AN572/2,0)+0.99))*VLOOKUP((TRUNC($AN572/2,0)+0.99),'Tax scales - NAT 3539'!$A$74:$C$94,2,1)-VLOOKUP((TRUNC($AN572/2,0)+0.99),'Tax scales - NAT 3539'!$A$74:$C$94,3,1)),0)
*2,
0),
IF(AND($E$2="Monthly",ROUND($AN572-TRUNC($AN572),2)=0.33),
ROUND(
ROUND(((TRUNC(($AN572+0.01)*3/13,0)+0.99)*VLOOKUP((TRUNC(($AN572+0.01)*3/13,0)+0.99),'Tax scales - NAT 3539'!$A$74:$C$94,2,1)-VLOOKUP((TRUNC(($AN572+0.01)*3/13,0)+0.99),'Tax scales - NAT 3539'!$A$74:$C$94,3,1)),0)
*13/3,
0),
IF($E$2="Monthly",
ROUND(
ROUND(((TRUNC($AN572*3/13,0)+0.99)*VLOOKUP((TRUNC($AN572*3/13,0)+0.99),'Tax scales - NAT 3539'!$A$74:$C$94,2,1)-VLOOKUP((TRUNC($AN572*3/13,0)+0.99),'Tax scales - NAT 3539'!$A$74:$C$94,3,1)),0)
*13/3,
0),
""))),
""),
"")</f>
        <v/>
      </c>
      <c r="AX572" s="118" t="str">
        <f>IFERROR(
IF(VLOOKUP($C572,'Employee information'!$B:$M,COLUMNS('Employee information'!$B:$M),0)=55,
IF($E$2="Fortnightly",
ROUND(
ROUND((((TRUNC($AN572/2,0)+0.99))*VLOOKUP((TRUNC($AN572/2,0)+0.99),'Tax scales - NAT 3539'!$A$99:$C$123,2,1)-VLOOKUP((TRUNC($AN572/2,0)+0.99),'Tax scales - NAT 3539'!$A$99:$C$123,3,1)),0)
*2,
0),
IF(AND($E$2="Monthly",ROUND($AN572-TRUNC($AN572),2)=0.33),
ROUND(
ROUND(((TRUNC(($AN572+0.01)*3/13,0)+0.99)*VLOOKUP((TRUNC(($AN572+0.01)*3/13,0)+0.99),'Tax scales - NAT 3539'!$A$99:$C$123,2,1)-VLOOKUP((TRUNC(($AN572+0.01)*3/13,0)+0.99),'Tax scales - NAT 3539'!$A$99:$C$123,3,1)),0)
*13/3,
0),
IF($E$2="Monthly",
ROUND(
ROUND(((TRUNC($AN572*3/13,0)+0.99)*VLOOKUP((TRUNC($AN572*3/13,0)+0.99),'Tax scales - NAT 3539'!$A$99:$C$123,2,1)-VLOOKUP((TRUNC($AN572*3/13,0)+0.99),'Tax scales - NAT 3539'!$A$99:$C$123,3,1)),0)
*13/3,
0),
""))),
""),
"")</f>
        <v/>
      </c>
      <c r="AY572" s="118" t="str">
        <f>IFERROR(
IF(VLOOKUP($C572,'Employee information'!$B:$M,COLUMNS('Employee information'!$B:$M),0)=66,
IF($E$2="Fortnightly",
ROUND(
ROUND((((TRUNC($AN572/2,0)+0.99))*VLOOKUP((TRUNC($AN572/2,0)+0.99),'Tax scales - NAT 3539'!$A$127:$C$154,2,1)-VLOOKUP((TRUNC($AN572/2,0)+0.99),'Tax scales - NAT 3539'!$A$127:$C$154,3,1)),0)
*2,
0),
IF(AND($E$2="Monthly",ROUND($AN572-TRUNC($AN572),2)=0.33),
ROUND(
ROUND(((TRUNC(($AN572+0.01)*3/13,0)+0.99)*VLOOKUP((TRUNC(($AN572+0.01)*3/13,0)+0.99),'Tax scales - NAT 3539'!$A$127:$C$154,2,1)-VLOOKUP((TRUNC(($AN572+0.01)*3/13,0)+0.99),'Tax scales - NAT 3539'!$A$127:$C$154,3,1)),0)
*13/3,
0),
IF($E$2="Monthly",
ROUND(
ROUND(((TRUNC($AN572*3/13,0)+0.99)*VLOOKUP((TRUNC($AN572*3/13,0)+0.99),'Tax scales - NAT 3539'!$A$127:$C$154,2,1)-VLOOKUP((TRUNC($AN572*3/13,0)+0.99),'Tax scales - NAT 3539'!$A$127:$C$154,3,1)),0)
*13/3,
0),
""))),
""),
"")</f>
        <v/>
      </c>
      <c r="AZ572" s="118">
        <f>IFERROR(
HLOOKUP(VLOOKUP($C572,'Employee information'!$B:$M,COLUMNS('Employee information'!$B:$M),0),'PAYG worksheet'!$AO$561:$AY$580,COUNTA($C$562:$C572)+1,0),
0)</f>
        <v>0</v>
      </c>
      <c r="BA572" s="118"/>
      <c r="BB572" s="118">
        <f t="shared" si="604"/>
        <v>0</v>
      </c>
      <c r="BC572" s="119">
        <f>IFERROR(
IF(OR($AE572=1,$AE572=""),SUM($P572,$AA572,$AC572,$AK572)*VLOOKUP($C572,'Employee information'!$B:$Q,COLUMNS('Employee information'!$B:$H),0),
IF($AE572=0,SUM($P572,$AA572,$AK572)*VLOOKUP($C572,'Employee information'!$B:$Q,COLUMNS('Employee information'!$B:$H),0),
0)),
0)</f>
        <v>0</v>
      </c>
      <c r="BE572" s="114">
        <f t="shared" si="589"/>
        <v>0</v>
      </c>
      <c r="BF572" s="114">
        <f t="shared" si="590"/>
        <v>0</v>
      </c>
      <c r="BG572" s="114">
        <f t="shared" si="591"/>
        <v>0</v>
      </c>
      <c r="BH572" s="114">
        <f t="shared" si="592"/>
        <v>0</v>
      </c>
      <c r="BI572" s="114">
        <f t="shared" si="593"/>
        <v>0</v>
      </c>
      <c r="BJ572" s="114">
        <f t="shared" si="594"/>
        <v>0</v>
      </c>
      <c r="BK572" s="114">
        <f t="shared" si="595"/>
        <v>0</v>
      </c>
      <c r="BL572" s="114">
        <f t="shared" si="605"/>
        <v>0</v>
      </c>
      <c r="BM572" s="114">
        <f t="shared" si="596"/>
        <v>0</v>
      </c>
    </row>
    <row r="573" spans="1:65" x14ac:dyDescent="0.25">
      <c r="A573" s="228">
        <f t="shared" si="584"/>
        <v>20</v>
      </c>
      <c r="C573" s="278"/>
      <c r="E573" s="103">
        <f>IF($C573="",0,
IF(AND($E$2="Monthly",$A573&gt;12),0,
IF($E$2="Monthly",VLOOKUP($C573,'Employee information'!$B:$AM,COLUMNS('Employee information'!$B:S),0),
IF($E$2="Fortnightly",VLOOKUP($C573,'Employee information'!$B:$AM,COLUMNS('Employee information'!$B:R),0),
0))))</f>
        <v>0</v>
      </c>
      <c r="F573" s="106"/>
      <c r="G573" s="106"/>
      <c r="H573" s="106"/>
      <c r="I573" s="106"/>
      <c r="J573" s="103">
        <f t="shared" si="597"/>
        <v>0</v>
      </c>
      <c r="L573" s="113">
        <f>IF(AND($E$2="Monthly",$A573&gt;12),"",
IFERROR($J573*VLOOKUP($C573,'Employee information'!$B:$AI,COLUMNS('Employee information'!$B:$P),0),0))</f>
        <v>0</v>
      </c>
      <c r="M573" s="114">
        <f t="shared" si="598"/>
        <v>0</v>
      </c>
      <c r="O573" s="103">
        <f t="shared" si="599"/>
        <v>0</v>
      </c>
      <c r="P573" s="113">
        <f>IFERROR(
IF(AND($E$2="Monthly",$A573&gt;12),0,
$O573*VLOOKUP($C573,'Employee information'!$B:$AI,COLUMNS('Employee information'!$B:$P),0)),
0)</f>
        <v>0</v>
      </c>
      <c r="R573" s="114">
        <f t="shared" si="585"/>
        <v>0</v>
      </c>
      <c r="T573" s="103"/>
      <c r="U573" s="103"/>
      <c r="V573" s="282" t="str">
        <f>IF($C573="","",
IF(AND($E$2="Monthly",$A573&gt;12),"",
$T573*VLOOKUP($C573,'Employee information'!$B:$P,COLUMNS('Employee information'!$B:$P),0)))</f>
        <v/>
      </c>
      <c r="W573" s="282" t="str">
        <f>IF($C573="","",
IF(AND($E$2="Monthly",$A573&gt;12),"",
$U573*VLOOKUP($C573,'Employee information'!$B:$P,COLUMNS('Employee information'!$B:$P),0)))</f>
        <v/>
      </c>
      <c r="X573" s="114">
        <f t="shared" si="586"/>
        <v>0</v>
      </c>
      <c r="Y573" s="114">
        <f t="shared" si="587"/>
        <v>0</v>
      </c>
      <c r="AA573" s="118">
        <f>IFERROR(
IF(OR('Basic payroll data'!$D$12="",'Basic payroll data'!$D$12="No"),0,
$T573*VLOOKUP($C573,'Employee information'!$B:$P,COLUMNS('Employee information'!$B:$P),0)*AL_loading_perc),
0)</f>
        <v>0</v>
      </c>
      <c r="AC573" s="118"/>
      <c r="AD573" s="118"/>
      <c r="AE573" s="283" t="str">
        <f t="shared" si="600"/>
        <v/>
      </c>
      <c r="AF573" s="283" t="str">
        <f t="shared" si="601"/>
        <v/>
      </c>
      <c r="AG573" s="118"/>
      <c r="AH573" s="118"/>
      <c r="AI573" s="283" t="str">
        <f t="shared" si="602"/>
        <v/>
      </c>
      <c r="AJ573" s="118"/>
      <c r="AK573" s="118"/>
      <c r="AM573" s="118">
        <f t="shared" si="603"/>
        <v>0</v>
      </c>
      <c r="AN573" s="118">
        <f t="shared" si="588"/>
        <v>0</v>
      </c>
      <c r="AO573" s="118" t="str">
        <f>IFERROR(
IF(VLOOKUP($C573,'Employee information'!$B:$M,COLUMNS('Employee information'!$B:$M),0)=1,
IF($E$2="Fortnightly",
ROUND(
ROUND((((TRUNC($AN573/2,0)+0.99))*VLOOKUP((TRUNC($AN573/2,0)+0.99),'Tax scales - NAT 1004'!$A$12:$C$18,2,1)-VLOOKUP((TRUNC($AN573/2,0)+0.99),'Tax scales - NAT 1004'!$A$12:$C$18,3,1)),0)
*2,
0),
IF(AND($E$2="Monthly",ROUND($AN573-TRUNC($AN573),2)=0.33),
ROUND(
ROUND(((TRUNC(($AN573+0.01)*3/13,0)+0.99)*VLOOKUP((TRUNC(($AN573+0.01)*3/13,0)+0.99),'Tax scales - NAT 1004'!$A$12:$C$18,2,1)-VLOOKUP((TRUNC(($AN573+0.01)*3/13,0)+0.99),'Tax scales - NAT 1004'!$A$12:$C$18,3,1)),0)
*13/3,
0),
IF($E$2="Monthly",
ROUND(
ROUND(((TRUNC($AN573*3/13,0)+0.99)*VLOOKUP((TRUNC($AN573*3/13,0)+0.99),'Tax scales - NAT 1004'!$A$12:$C$18,2,1)-VLOOKUP((TRUNC($AN573*3/13,0)+0.99),'Tax scales - NAT 1004'!$A$12:$C$18,3,1)),0)
*13/3,
0),
""))),
""),
"")</f>
        <v/>
      </c>
      <c r="AP573" s="118" t="str">
        <f>IFERROR(
IF(VLOOKUP($C573,'Employee information'!$B:$M,COLUMNS('Employee information'!$B:$M),0)=2,
IF($E$2="Fortnightly",
ROUND(
ROUND((((TRUNC($AN573/2,0)+0.99))*VLOOKUP((TRUNC($AN573/2,0)+0.99),'Tax scales - NAT 1004'!$A$25:$C$33,2,1)-VLOOKUP((TRUNC($AN573/2,0)+0.99),'Tax scales - NAT 1004'!$A$25:$C$33,3,1)),0)
*2,
0),
IF(AND($E$2="Monthly",ROUND($AN573-TRUNC($AN573),2)=0.33),
ROUND(
ROUND(((TRUNC(($AN573+0.01)*3/13,0)+0.99)*VLOOKUP((TRUNC(($AN573+0.01)*3/13,0)+0.99),'Tax scales - NAT 1004'!$A$25:$C$33,2,1)-VLOOKUP((TRUNC(($AN573+0.01)*3/13,0)+0.99),'Tax scales - NAT 1004'!$A$25:$C$33,3,1)),0)
*13/3,
0),
IF($E$2="Monthly",
ROUND(
ROUND(((TRUNC($AN573*3/13,0)+0.99)*VLOOKUP((TRUNC($AN573*3/13,0)+0.99),'Tax scales - NAT 1004'!$A$25:$C$33,2,1)-VLOOKUP((TRUNC($AN573*3/13,0)+0.99),'Tax scales - NAT 1004'!$A$25:$C$33,3,1)),0)
*13/3,
0),
""))),
""),
"")</f>
        <v/>
      </c>
      <c r="AQ573" s="118" t="str">
        <f>IFERROR(
IF(VLOOKUP($C573,'Employee information'!$B:$M,COLUMNS('Employee information'!$B:$M),0)=3,
IF($E$2="Fortnightly",
ROUND(
ROUND((((TRUNC($AN573/2,0)+0.99))*VLOOKUP((TRUNC($AN573/2,0)+0.99),'Tax scales - NAT 1004'!$A$39:$C$41,2,1)-VLOOKUP((TRUNC($AN573/2,0)+0.99),'Tax scales - NAT 1004'!$A$39:$C$41,3,1)),0)
*2,
0),
IF(AND($E$2="Monthly",ROUND($AN573-TRUNC($AN573),2)=0.33),
ROUND(
ROUND(((TRUNC(($AN573+0.01)*3/13,0)+0.99)*VLOOKUP((TRUNC(($AN573+0.01)*3/13,0)+0.99),'Tax scales - NAT 1004'!$A$39:$C$41,2,1)-VLOOKUP((TRUNC(($AN573+0.01)*3/13,0)+0.99),'Tax scales - NAT 1004'!$A$39:$C$41,3,1)),0)
*13/3,
0),
IF($E$2="Monthly",
ROUND(
ROUND(((TRUNC($AN573*3/13,0)+0.99)*VLOOKUP((TRUNC($AN573*3/13,0)+0.99),'Tax scales - NAT 1004'!$A$39:$C$41,2,1)-VLOOKUP((TRUNC($AN573*3/13,0)+0.99),'Tax scales - NAT 1004'!$A$39:$C$41,3,1)),0)
*13/3,
0),
""))),
""),
"")</f>
        <v/>
      </c>
      <c r="AR573" s="118" t="str">
        <f>IFERROR(
IF(AND(VLOOKUP($C573,'Employee information'!$B:$M,COLUMNS('Employee information'!$B:$M),0)=4,
VLOOKUP($C573,'Employee information'!$B:$J,COLUMNS('Employee information'!$B:$J),0)="Resident"),
TRUNC(TRUNC($AN573)*'Tax scales - NAT 1004'!$B$47),
IF(AND(VLOOKUP($C573,'Employee information'!$B:$M,COLUMNS('Employee information'!$B:$M),0)=4,
VLOOKUP($C573,'Employee information'!$B:$J,COLUMNS('Employee information'!$B:$J),0)="Foreign resident"),
TRUNC(TRUNC($AN573)*'Tax scales - NAT 1004'!$B$48),
"")),
"")</f>
        <v/>
      </c>
      <c r="AS573" s="118" t="str">
        <f>IFERROR(
IF(VLOOKUP($C573,'Employee information'!$B:$M,COLUMNS('Employee information'!$B:$M),0)=5,
IF($E$2="Fortnightly",
ROUND(
ROUND((((TRUNC($AN573/2,0)+0.99))*VLOOKUP((TRUNC($AN573/2,0)+0.99),'Tax scales - NAT 1004'!$A$53:$C$59,2,1)-VLOOKUP((TRUNC($AN573/2,0)+0.99),'Tax scales - NAT 1004'!$A$53:$C$59,3,1)),0)
*2,
0),
IF(AND($E$2="Monthly",ROUND($AN573-TRUNC($AN573),2)=0.33),
ROUND(
ROUND(((TRUNC(($AN573+0.01)*3/13,0)+0.99)*VLOOKUP((TRUNC(($AN573+0.01)*3/13,0)+0.99),'Tax scales - NAT 1004'!$A$53:$C$59,2,1)-VLOOKUP((TRUNC(($AN573+0.01)*3/13,0)+0.99),'Tax scales - NAT 1004'!$A$53:$C$59,3,1)),0)
*13/3,
0),
IF($E$2="Monthly",
ROUND(
ROUND(((TRUNC($AN573*3/13,0)+0.99)*VLOOKUP((TRUNC($AN573*3/13,0)+0.99),'Tax scales - NAT 1004'!$A$53:$C$59,2,1)-VLOOKUP((TRUNC($AN573*3/13,0)+0.99),'Tax scales - NAT 1004'!$A$53:$C$59,3,1)),0)
*13/3,
0),
""))),
""),
"")</f>
        <v/>
      </c>
      <c r="AT573" s="118" t="str">
        <f>IFERROR(
IF(VLOOKUP($C573,'Employee information'!$B:$M,COLUMNS('Employee information'!$B:$M),0)=6,
IF($E$2="Fortnightly",
ROUND(
ROUND((((TRUNC($AN573/2,0)+0.99))*VLOOKUP((TRUNC($AN573/2,0)+0.99),'Tax scales - NAT 1004'!$A$65:$C$73,2,1)-VLOOKUP((TRUNC($AN573/2,0)+0.99),'Tax scales - NAT 1004'!$A$65:$C$73,3,1)),0)
*2,
0),
IF(AND($E$2="Monthly",ROUND($AN573-TRUNC($AN573),2)=0.33),
ROUND(
ROUND(((TRUNC(($AN573+0.01)*3/13,0)+0.99)*VLOOKUP((TRUNC(($AN573+0.01)*3/13,0)+0.99),'Tax scales - NAT 1004'!$A$65:$C$73,2,1)-VLOOKUP((TRUNC(($AN573+0.01)*3/13,0)+0.99),'Tax scales - NAT 1004'!$A$65:$C$73,3,1)),0)
*13/3,
0),
IF($E$2="Monthly",
ROUND(
ROUND(((TRUNC($AN573*3/13,0)+0.99)*VLOOKUP((TRUNC($AN573*3/13,0)+0.99),'Tax scales - NAT 1004'!$A$65:$C$73,2,1)-VLOOKUP((TRUNC($AN573*3/13,0)+0.99),'Tax scales - NAT 1004'!$A$65:$C$73,3,1)),0)
*13/3,
0),
""))),
""),
"")</f>
        <v/>
      </c>
      <c r="AU573" s="118" t="str">
        <f>IFERROR(
IF(VLOOKUP($C573,'Employee information'!$B:$M,COLUMNS('Employee information'!$B:$M),0)=11,
IF($E$2="Fortnightly",
ROUND(
ROUND((((TRUNC($AN573/2,0)+0.99))*VLOOKUP((TRUNC($AN573/2,0)+0.99),'Tax scales - NAT 3539'!$A$14:$C$38,2,1)-VLOOKUP((TRUNC($AN573/2,0)+0.99),'Tax scales - NAT 3539'!$A$14:$C$38,3,1)),0)
*2,
0),
IF(AND($E$2="Monthly",ROUND($AN573-TRUNC($AN573),2)=0.33),
ROUND(
ROUND(((TRUNC(($AN573+0.01)*3/13,0)+0.99)*VLOOKUP((TRUNC(($AN573+0.01)*3/13,0)+0.99),'Tax scales - NAT 3539'!$A$14:$C$38,2,1)-VLOOKUP((TRUNC(($AN573+0.01)*3/13,0)+0.99),'Tax scales - NAT 3539'!$A$14:$C$38,3,1)),0)
*13/3,
0),
IF($E$2="Monthly",
ROUND(
ROUND(((TRUNC($AN573*3/13,0)+0.99)*VLOOKUP((TRUNC($AN573*3/13,0)+0.99),'Tax scales - NAT 3539'!$A$14:$C$38,2,1)-VLOOKUP((TRUNC($AN573*3/13,0)+0.99),'Tax scales - NAT 3539'!$A$14:$C$38,3,1)),0)
*13/3,
0),
""))),
""),
"")</f>
        <v/>
      </c>
      <c r="AV573" s="118" t="str">
        <f>IFERROR(
IF(VLOOKUP($C573,'Employee information'!$B:$M,COLUMNS('Employee information'!$B:$M),0)=22,
IF($E$2="Fortnightly",
ROUND(
ROUND((((TRUNC($AN573/2,0)+0.99))*VLOOKUP((TRUNC($AN573/2,0)+0.99),'Tax scales - NAT 3539'!$A$43:$C$69,2,1)-VLOOKUP((TRUNC($AN573/2,0)+0.99),'Tax scales - NAT 3539'!$A$43:$C$69,3,1)),0)
*2,
0),
IF(AND($E$2="Monthly",ROUND($AN573-TRUNC($AN573),2)=0.33),
ROUND(
ROUND(((TRUNC(($AN573+0.01)*3/13,0)+0.99)*VLOOKUP((TRUNC(($AN573+0.01)*3/13,0)+0.99),'Tax scales - NAT 3539'!$A$43:$C$69,2,1)-VLOOKUP((TRUNC(($AN573+0.01)*3/13,0)+0.99),'Tax scales - NAT 3539'!$A$43:$C$69,3,1)),0)
*13/3,
0),
IF($E$2="Monthly",
ROUND(
ROUND(((TRUNC($AN573*3/13,0)+0.99)*VLOOKUP((TRUNC($AN573*3/13,0)+0.99),'Tax scales - NAT 3539'!$A$43:$C$69,2,1)-VLOOKUP((TRUNC($AN573*3/13,0)+0.99),'Tax scales - NAT 3539'!$A$43:$C$69,3,1)),0)
*13/3,
0),
""))),
""),
"")</f>
        <v/>
      </c>
      <c r="AW573" s="118" t="str">
        <f>IFERROR(
IF(VLOOKUP($C573,'Employee information'!$B:$M,COLUMNS('Employee information'!$B:$M),0)=33,
IF($E$2="Fortnightly",
ROUND(
ROUND((((TRUNC($AN573/2,0)+0.99))*VLOOKUP((TRUNC($AN573/2,0)+0.99),'Tax scales - NAT 3539'!$A$74:$C$94,2,1)-VLOOKUP((TRUNC($AN573/2,0)+0.99),'Tax scales - NAT 3539'!$A$74:$C$94,3,1)),0)
*2,
0),
IF(AND($E$2="Monthly",ROUND($AN573-TRUNC($AN573),2)=0.33),
ROUND(
ROUND(((TRUNC(($AN573+0.01)*3/13,0)+0.99)*VLOOKUP((TRUNC(($AN573+0.01)*3/13,0)+0.99),'Tax scales - NAT 3539'!$A$74:$C$94,2,1)-VLOOKUP((TRUNC(($AN573+0.01)*3/13,0)+0.99),'Tax scales - NAT 3539'!$A$74:$C$94,3,1)),0)
*13/3,
0),
IF($E$2="Monthly",
ROUND(
ROUND(((TRUNC($AN573*3/13,0)+0.99)*VLOOKUP((TRUNC($AN573*3/13,0)+0.99),'Tax scales - NAT 3539'!$A$74:$C$94,2,1)-VLOOKUP((TRUNC($AN573*3/13,0)+0.99),'Tax scales - NAT 3539'!$A$74:$C$94,3,1)),0)
*13/3,
0),
""))),
""),
"")</f>
        <v/>
      </c>
      <c r="AX573" s="118" t="str">
        <f>IFERROR(
IF(VLOOKUP($C573,'Employee information'!$B:$M,COLUMNS('Employee information'!$B:$M),0)=55,
IF($E$2="Fortnightly",
ROUND(
ROUND((((TRUNC($AN573/2,0)+0.99))*VLOOKUP((TRUNC($AN573/2,0)+0.99),'Tax scales - NAT 3539'!$A$99:$C$123,2,1)-VLOOKUP((TRUNC($AN573/2,0)+0.99),'Tax scales - NAT 3539'!$A$99:$C$123,3,1)),0)
*2,
0),
IF(AND($E$2="Monthly",ROUND($AN573-TRUNC($AN573),2)=0.33),
ROUND(
ROUND(((TRUNC(($AN573+0.01)*3/13,0)+0.99)*VLOOKUP((TRUNC(($AN573+0.01)*3/13,0)+0.99),'Tax scales - NAT 3539'!$A$99:$C$123,2,1)-VLOOKUP((TRUNC(($AN573+0.01)*3/13,0)+0.99),'Tax scales - NAT 3539'!$A$99:$C$123,3,1)),0)
*13/3,
0),
IF($E$2="Monthly",
ROUND(
ROUND(((TRUNC($AN573*3/13,0)+0.99)*VLOOKUP((TRUNC($AN573*3/13,0)+0.99),'Tax scales - NAT 3539'!$A$99:$C$123,2,1)-VLOOKUP((TRUNC($AN573*3/13,0)+0.99),'Tax scales - NAT 3539'!$A$99:$C$123,3,1)),0)
*13/3,
0),
""))),
""),
"")</f>
        <v/>
      </c>
      <c r="AY573" s="118" t="str">
        <f>IFERROR(
IF(VLOOKUP($C573,'Employee information'!$B:$M,COLUMNS('Employee information'!$B:$M),0)=66,
IF($E$2="Fortnightly",
ROUND(
ROUND((((TRUNC($AN573/2,0)+0.99))*VLOOKUP((TRUNC($AN573/2,0)+0.99),'Tax scales - NAT 3539'!$A$127:$C$154,2,1)-VLOOKUP((TRUNC($AN573/2,0)+0.99),'Tax scales - NAT 3539'!$A$127:$C$154,3,1)),0)
*2,
0),
IF(AND($E$2="Monthly",ROUND($AN573-TRUNC($AN573),2)=0.33),
ROUND(
ROUND(((TRUNC(($AN573+0.01)*3/13,0)+0.99)*VLOOKUP((TRUNC(($AN573+0.01)*3/13,0)+0.99),'Tax scales - NAT 3539'!$A$127:$C$154,2,1)-VLOOKUP((TRUNC(($AN573+0.01)*3/13,0)+0.99),'Tax scales - NAT 3539'!$A$127:$C$154,3,1)),0)
*13/3,
0),
IF($E$2="Monthly",
ROUND(
ROUND(((TRUNC($AN573*3/13,0)+0.99)*VLOOKUP((TRUNC($AN573*3/13,0)+0.99),'Tax scales - NAT 3539'!$A$127:$C$154,2,1)-VLOOKUP((TRUNC($AN573*3/13,0)+0.99),'Tax scales - NAT 3539'!$A$127:$C$154,3,1)),0)
*13/3,
0),
""))),
""),
"")</f>
        <v/>
      </c>
      <c r="AZ573" s="118">
        <f>IFERROR(
HLOOKUP(VLOOKUP($C573,'Employee information'!$B:$M,COLUMNS('Employee information'!$B:$M),0),'PAYG worksheet'!$AO$561:$AY$580,COUNTA($C$562:$C573)+1,0),
0)</f>
        <v>0</v>
      </c>
      <c r="BA573" s="118"/>
      <c r="BB573" s="118">
        <f t="shared" si="604"/>
        <v>0</v>
      </c>
      <c r="BC573" s="119">
        <f>IFERROR(
IF(OR($AE573=1,$AE573=""),SUM($P573,$AA573,$AC573,$AK573)*VLOOKUP($C573,'Employee information'!$B:$Q,COLUMNS('Employee information'!$B:$H),0),
IF($AE573=0,SUM($P573,$AA573,$AK573)*VLOOKUP($C573,'Employee information'!$B:$Q,COLUMNS('Employee information'!$B:$H),0),
0)),
0)</f>
        <v>0</v>
      </c>
      <c r="BE573" s="114">
        <f t="shared" si="589"/>
        <v>0</v>
      </c>
      <c r="BF573" s="114">
        <f t="shared" si="590"/>
        <v>0</v>
      </c>
      <c r="BG573" s="114">
        <f t="shared" si="591"/>
        <v>0</v>
      </c>
      <c r="BH573" s="114">
        <f t="shared" si="592"/>
        <v>0</v>
      </c>
      <c r="BI573" s="114">
        <f t="shared" si="593"/>
        <v>0</v>
      </c>
      <c r="BJ573" s="114">
        <f t="shared" si="594"/>
        <v>0</v>
      </c>
      <c r="BK573" s="114">
        <f t="shared" si="595"/>
        <v>0</v>
      </c>
      <c r="BL573" s="114">
        <f t="shared" si="605"/>
        <v>0</v>
      </c>
      <c r="BM573" s="114">
        <f t="shared" si="596"/>
        <v>0</v>
      </c>
    </row>
    <row r="574" spans="1:65" x14ac:dyDescent="0.25">
      <c r="A574" s="228">
        <f t="shared" si="584"/>
        <v>20</v>
      </c>
      <c r="C574" s="278"/>
      <c r="E574" s="103">
        <f>IF($C574="",0,
IF(AND($E$2="Monthly",$A574&gt;12),0,
IF($E$2="Monthly",VLOOKUP($C574,'Employee information'!$B:$AM,COLUMNS('Employee information'!$B:S),0),
IF($E$2="Fortnightly",VLOOKUP($C574,'Employee information'!$B:$AM,COLUMNS('Employee information'!$B:R),0),
0))))</f>
        <v>0</v>
      </c>
      <c r="F574" s="106"/>
      <c r="G574" s="106"/>
      <c r="H574" s="106"/>
      <c r="I574" s="106"/>
      <c r="J574" s="103">
        <f t="shared" si="597"/>
        <v>0</v>
      </c>
      <c r="L574" s="113">
        <f>IF(AND($E$2="Monthly",$A574&gt;12),"",
IFERROR($J574*VLOOKUP($C574,'Employee information'!$B:$AI,COLUMNS('Employee information'!$B:$P),0),0))</f>
        <v>0</v>
      </c>
      <c r="M574" s="114">
        <f t="shared" si="598"/>
        <v>0</v>
      </c>
      <c r="O574" s="103">
        <f t="shared" si="599"/>
        <v>0</v>
      </c>
      <c r="P574" s="113">
        <f>IFERROR(
IF(AND($E$2="Monthly",$A574&gt;12),0,
$O574*VLOOKUP($C574,'Employee information'!$B:$AI,COLUMNS('Employee information'!$B:$P),0)),
0)</f>
        <v>0</v>
      </c>
      <c r="R574" s="114">
        <f t="shared" si="585"/>
        <v>0</v>
      </c>
      <c r="T574" s="103"/>
      <c r="U574" s="103"/>
      <c r="V574" s="282" t="str">
        <f>IF($C574="","",
IF(AND($E$2="Monthly",$A574&gt;12),"",
$T574*VLOOKUP($C574,'Employee information'!$B:$P,COLUMNS('Employee information'!$B:$P),0)))</f>
        <v/>
      </c>
      <c r="W574" s="282" t="str">
        <f>IF($C574="","",
IF(AND($E$2="Monthly",$A574&gt;12),"",
$U574*VLOOKUP($C574,'Employee information'!$B:$P,COLUMNS('Employee information'!$B:$P),0)))</f>
        <v/>
      </c>
      <c r="X574" s="114">
        <f t="shared" si="586"/>
        <v>0</v>
      </c>
      <c r="Y574" s="114">
        <f t="shared" si="587"/>
        <v>0</v>
      </c>
      <c r="AA574" s="118">
        <f>IFERROR(
IF(OR('Basic payroll data'!$D$12="",'Basic payroll data'!$D$12="No"),0,
$T574*VLOOKUP($C574,'Employee information'!$B:$P,COLUMNS('Employee information'!$B:$P),0)*AL_loading_perc),
0)</f>
        <v>0</v>
      </c>
      <c r="AC574" s="118"/>
      <c r="AD574" s="118"/>
      <c r="AE574" s="283" t="str">
        <f t="shared" si="600"/>
        <v/>
      </c>
      <c r="AF574" s="283" t="str">
        <f t="shared" si="601"/>
        <v/>
      </c>
      <c r="AG574" s="118"/>
      <c r="AH574" s="118"/>
      <c r="AI574" s="283" t="str">
        <f t="shared" si="602"/>
        <v/>
      </c>
      <c r="AJ574" s="118"/>
      <c r="AK574" s="118"/>
      <c r="AM574" s="118">
        <f t="shared" si="603"/>
        <v>0</v>
      </c>
      <c r="AN574" s="118">
        <f t="shared" si="588"/>
        <v>0</v>
      </c>
      <c r="AO574" s="118" t="str">
        <f>IFERROR(
IF(VLOOKUP($C574,'Employee information'!$B:$M,COLUMNS('Employee information'!$B:$M),0)=1,
IF($E$2="Fortnightly",
ROUND(
ROUND((((TRUNC($AN574/2,0)+0.99))*VLOOKUP((TRUNC($AN574/2,0)+0.99),'Tax scales - NAT 1004'!$A$12:$C$18,2,1)-VLOOKUP((TRUNC($AN574/2,0)+0.99),'Tax scales - NAT 1004'!$A$12:$C$18,3,1)),0)
*2,
0),
IF(AND($E$2="Monthly",ROUND($AN574-TRUNC($AN574),2)=0.33),
ROUND(
ROUND(((TRUNC(($AN574+0.01)*3/13,0)+0.99)*VLOOKUP((TRUNC(($AN574+0.01)*3/13,0)+0.99),'Tax scales - NAT 1004'!$A$12:$C$18,2,1)-VLOOKUP((TRUNC(($AN574+0.01)*3/13,0)+0.99),'Tax scales - NAT 1004'!$A$12:$C$18,3,1)),0)
*13/3,
0),
IF($E$2="Monthly",
ROUND(
ROUND(((TRUNC($AN574*3/13,0)+0.99)*VLOOKUP((TRUNC($AN574*3/13,0)+0.99),'Tax scales - NAT 1004'!$A$12:$C$18,2,1)-VLOOKUP((TRUNC($AN574*3/13,0)+0.99),'Tax scales - NAT 1004'!$A$12:$C$18,3,1)),0)
*13/3,
0),
""))),
""),
"")</f>
        <v/>
      </c>
      <c r="AP574" s="118" t="str">
        <f>IFERROR(
IF(VLOOKUP($C574,'Employee information'!$B:$M,COLUMNS('Employee information'!$B:$M),0)=2,
IF($E$2="Fortnightly",
ROUND(
ROUND((((TRUNC($AN574/2,0)+0.99))*VLOOKUP((TRUNC($AN574/2,0)+0.99),'Tax scales - NAT 1004'!$A$25:$C$33,2,1)-VLOOKUP((TRUNC($AN574/2,0)+0.99),'Tax scales - NAT 1004'!$A$25:$C$33,3,1)),0)
*2,
0),
IF(AND($E$2="Monthly",ROUND($AN574-TRUNC($AN574),2)=0.33),
ROUND(
ROUND(((TRUNC(($AN574+0.01)*3/13,0)+0.99)*VLOOKUP((TRUNC(($AN574+0.01)*3/13,0)+0.99),'Tax scales - NAT 1004'!$A$25:$C$33,2,1)-VLOOKUP((TRUNC(($AN574+0.01)*3/13,0)+0.99),'Tax scales - NAT 1004'!$A$25:$C$33,3,1)),0)
*13/3,
0),
IF($E$2="Monthly",
ROUND(
ROUND(((TRUNC($AN574*3/13,0)+0.99)*VLOOKUP((TRUNC($AN574*3/13,0)+0.99),'Tax scales - NAT 1004'!$A$25:$C$33,2,1)-VLOOKUP((TRUNC($AN574*3/13,0)+0.99),'Tax scales - NAT 1004'!$A$25:$C$33,3,1)),0)
*13/3,
0),
""))),
""),
"")</f>
        <v/>
      </c>
      <c r="AQ574" s="118" t="str">
        <f>IFERROR(
IF(VLOOKUP($C574,'Employee information'!$B:$M,COLUMNS('Employee information'!$B:$M),0)=3,
IF($E$2="Fortnightly",
ROUND(
ROUND((((TRUNC($AN574/2,0)+0.99))*VLOOKUP((TRUNC($AN574/2,0)+0.99),'Tax scales - NAT 1004'!$A$39:$C$41,2,1)-VLOOKUP((TRUNC($AN574/2,0)+0.99),'Tax scales - NAT 1004'!$A$39:$C$41,3,1)),0)
*2,
0),
IF(AND($E$2="Monthly",ROUND($AN574-TRUNC($AN574),2)=0.33),
ROUND(
ROUND(((TRUNC(($AN574+0.01)*3/13,0)+0.99)*VLOOKUP((TRUNC(($AN574+0.01)*3/13,0)+0.99),'Tax scales - NAT 1004'!$A$39:$C$41,2,1)-VLOOKUP((TRUNC(($AN574+0.01)*3/13,0)+0.99),'Tax scales - NAT 1004'!$A$39:$C$41,3,1)),0)
*13/3,
0),
IF($E$2="Monthly",
ROUND(
ROUND(((TRUNC($AN574*3/13,0)+0.99)*VLOOKUP((TRUNC($AN574*3/13,0)+0.99),'Tax scales - NAT 1004'!$A$39:$C$41,2,1)-VLOOKUP((TRUNC($AN574*3/13,0)+0.99),'Tax scales - NAT 1004'!$A$39:$C$41,3,1)),0)
*13/3,
0),
""))),
""),
"")</f>
        <v/>
      </c>
      <c r="AR574" s="118" t="str">
        <f>IFERROR(
IF(AND(VLOOKUP($C574,'Employee information'!$B:$M,COLUMNS('Employee information'!$B:$M),0)=4,
VLOOKUP($C574,'Employee information'!$B:$J,COLUMNS('Employee information'!$B:$J),0)="Resident"),
TRUNC(TRUNC($AN574)*'Tax scales - NAT 1004'!$B$47),
IF(AND(VLOOKUP($C574,'Employee information'!$B:$M,COLUMNS('Employee information'!$B:$M),0)=4,
VLOOKUP($C574,'Employee information'!$B:$J,COLUMNS('Employee information'!$B:$J),0)="Foreign resident"),
TRUNC(TRUNC($AN574)*'Tax scales - NAT 1004'!$B$48),
"")),
"")</f>
        <v/>
      </c>
      <c r="AS574" s="118" t="str">
        <f>IFERROR(
IF(VLOOKUP($C574,'Employee information'!$B:$M,COLUMNS('Employee information'!$B:$M),0)=5,
IF($E$2="Fortnightly",
ROUND(
ROUND((((TRUNC($AN574/2,0)+0.99))*VLOOKUP((TRUNC($AN574/2,0)+0.99),'Tax scales - NAT 1004'!$A$53:$C$59,2,1)-VLOOKUP((TRUNC($AN574/2,0)+0.99),'Tax scales - NAT 1004'!$A$53:$C$59,3,1)),0)
*2,
0),
IF(AND($E$2="Monthly",ROUND($AN574-TRUNC($AN574),2)=0.33),
ROUND(
ROUND(((TRUNC(($AN574+0.01)*3/13,0)+0.99)*VLOOKUP((TRUNC(($AN574+0.01)*3/13,0)+0.99),'Tax scales - NAT 1004'!$A$53:$C$59,2,1)-VLOOKUP((TRUNC(($AN574+0.01)*3/13,0)+0.99),'Tax scales - NAT 1004'!$A$53:$C$59,3,1)),0)
*13/3,
0),
IF($E$2="Monthly",
ROUND(
ROUND(((TRUNC($AN574*3/13,0)+0.99)*VLOOKUP((TRUNC($AN574*3/13,0)+0.99),'Tax scales - NAT 1004'!$A$53:$C$59,2,1)-VLOOKUP((TRUNC($AN574*3/13,0)+0.99),'Tax scales - NAT 1004'!$A$53:$C$59,3,1)),0)
*13/3,
0),
""))),
""),
"")</f>
        <v/>
      </c>
      <c r="AT574" s="118" t="str">
        <f>IFERROR(
IF(VLOOKUP($C574,'Employee information'!$B:$M,COLUMNS('Employee information'!$B:$M),0)=6,
IF($E$2="Fortnightly",
ROUND(
ROUND((((TRUNC($AN574/2,0)+0.99))*VLOOKUP((TRUNC($AN574/2,0)+0.99),'Tax scales - NAT 1004'!$A$65:$C$73,2,1)-VLOOKUP((TRUNC($AN574/2,0)+0.99),'Tax scales - NAT 1004'!$A$65:$C$73,3,1)),0)
*2,
0),
IF(AND($E$2="Monthly",ROUND($AN574-TRUNC($AN574),2)=0.33),
ROUND(
ROUND(((TRUNC(($AN574+0.01)*3/13,0)+0.99)*VLOOKUP((TRUNC(($AN574+0.01)*3/13,0)+0.99),'Tax scales - NAT 1004'!$A$65:$C$73,2,1)-VLOOKUP((TRUNC(($AN574+0.01)*3/13,0)+0.99),'Tax scales - NAT 1004'!$A$65:$C$73,3,1)),0)
*13/3,
0),
IF($E$2="Monthly",
ROUND(
ROUND(((TRUNC($AN574*3/13,0)+0.99)*VLOOKUP((TRUNC($AN574*3/13,0)+0.99),'Tax scales - NAT 1004'!$A$65:$C$73,2,1)-VLOOKUP((TRUNC($AN574*3/13,0)+0.99),'Tax scales - NAT 1004'!$A$65:$C$73,3,1)),0)
*13/3,
0),
""))),
""),
"")</f>
        <v/>
      </c>
      <c r="AU574" s="118" t="str">
        <f>IFERROR(
IF(VLOOKUP($C574,'Employee information'!$B:$M,COLUMNS('Employee information'!$B:$M),0)=11,
IF($E$2="Fortnightly",
ROUND(
ROUND((((TRUNC($AN574/2,0)+0.99))*VLOOKUP((TRUNC($AN574/2,0)+0.99),'Tax scales - NAT 3539'!$A$14:$C$38,2,1)-VLOOKUP((TRUNC($AN574/2,0)+0.99),'Tax scales - NAT 3539'!$A$14:$C$38,3,1)),0)
*2,
0),
IF(AND($E$2="Monthly",ROUND($AN574-TRUNC($AN574),2)=0.33),
ROUND(
ROUND(((TRUNC(($AN574+0.01)*3/13,0)+0.99)*VLOOKUP((TRUNC(($AN574+0.01)*3/13,0)+0.99),'Tax scales - NAT 3539'!$A$14:$C$38,2,1)-VLOOKUP((TRUNC(($AN574+0.01)*3/13,0)+0.99),'Tax scales - NAT 3539'!$A$14:$C$38,3,1)),0)
*13/3,
0),
IF($E$2="Monthly",
ROUND(
ROUND(((TRUNC($AN574*3/13,0)+0.99)*VLOOKUP((TRUNC($AN574*3/13,0)+0.99),'Tax scales - NAT 3539'!$A$14:$C$38,2,1)-VLOOKUP((TRUNC($AN574*3/13,0)+0.99),'Tax scales - NAT 3539'!$A$14:$C$38,3,1)),0)
*13/3,
0),
""))),
""),
"")</f>
        <v/>
      </c>
      <c r="AV574" s="118" t="str">
        <f>IFERROR(
IF(VLOOKUP($C574,'Employee information'!$B:$M,COLUMNS('Employee information'!$B:$M),0)=22,
IF($E$2="Fortnightly",
ROUND(
ROUND((((TRUNC($AN574/2,0)+0.99))*VLOOKUP((TRUNC($AN574/2,0)+0.99),'Tax scales - NAT 3539'!$A$43:$C$69,2,1)-VLOOKUP((TRUNC($AN574/2,0)+0.99),'Tax scales - NAT 3539'!$A$43:$C$69,3,1)),0)
*2,
0),
IF(AND($E$2="Monthly",ROUND($AN574-TRUNC($AN574),2)=0.33),
ROUND(
ROUND(((TRUNC(($AN574+0.01)*3/13,0)+0.99)*VLOOKUP((TRUNC(($AN574+0.01)*3/13,0)+0.99),'Tax scales - NAT 3539'!$A$43:$C$69,2,1)-VLOOKUP((TRUNC(($AN574+0.01)*3/13,0)+0.99),'Tax scales - NAT 3539'!$A$43:$C$69,3,1)),0)
*13/3,
0),
IF($E$2="Monthly",
ROUND(
ROUND(((TRUNC($AN574*3/13,0)+0.99)*VLOOKUP((TRUNC($AN574*3/13,0)+0.99),'Tax scales - NAT 3539'!$A$43:$C$69,2,1)-VLOOKUP((TRUNC($AN574*3/13,0)+0.99),'Tax scales - NAT 3539'!$A$43:$C$69,3,1)),0)
*13/3,
0),
""))),
""),
"")</f>
        <v/>
      </c>
      <c r="AW574" s="118" t="str">
        <f>IFERROR(
IF(VLOOKUP($C574,'Employee information'!$B:$M,COLUMNS('Employee information'!$B:$M),0)=33,
IF($E$2="Fortnightly",
ROUND(
ROUND((((TRUNC($AN574/2,0)+0.99))*VLOOKUP((TRUNC($AN574/2,0)+0.99),'Tax scales - NAT 3539'!$A$74:$C$94,2,1)-VLOOKUP((TRUNC($AN574/2,0)+0.99),'Tax scales - NAT 3539'!$A$74:$C$94,3,1)),0)
*2,
0),
IF(AND($E$2="Monthly",ROUND($AN574-TRUNC($AN574),2)=0.33),
ROUND(
ROUND(((TRUNC(($AN574+0.01)*3/13,0)+0.99)*VLOOKUP((TRUNC(($AN574+0.01)*3/13,0)+0.99),'Tax scales - NAT 3539'!$A$74:$C$94,2,1)-VLOOKUP((TRUNC(($AN574+0.01)*3/13,0)+0.99),'Tax scales - NAT 3539'!$A$74:$C$94,3,1)),0)
*13/3,
0),
IF($E$2="Monthly",
ROUND(
ROUND(((TRUNC($AN574*3/13,0)+0.99)*VLOOKUP((TRUNC($AN574*3/13,0)+0.99),'Tax scales - NAT 3539'!$A$74:$C$94,2,1)-VLOOKUP((TRUNC($AN574*3/13,0)+0.99),'Tax scales - NAT 3539'!$A$74:$C$94,3,1)),0)
*13/3,
0),
""))),
""),
"")</f>
        <v/>
      </c>
      <c r="AX574" s="118" t="str">
        <f>IFERROR(
IF(VLOOKUP($C574,'Employee information'!$B:$M,COLUMNS('Employee information'!$B:$M),0)=55,
IF($E$2="Fortnightly",
ROUND(
ROUND((((TRUNC($AN574/2,0)+0.99))*VLOOKUP((TRUNC($AN574/2,0)+0.99),'Tax scales - NAT 3539'!$A$99:$C$123,2,1)-VLOOKUP((TRUNC($AN574/2,0)+0.99),'Tax scales - NAT 3539'!$A$99:$C$123,3,1)),0)
*2,
0),
IF(AND($E$2="Monthly",ROUND($AN574-TRUNC($AN574),2)=0.33),
ROUND(
ROUND(((TRUNC(($AN574+0.01)*3/13,0)+0.99)*VLOOKUP((TRUNC(($AN574+0.01)*3/13,0)+0.99),'Tax scales - NAT 3539'!$A$99:$C$123,2,1)-VLOOKUP((TRUNC(($AN574+0.01)*3/13,0)+0.99),'Tax scales - NAT 3539'!$A$99:$C$123,3,1)),0)
*13/3,
0),
IF($E$2="Monthly",
ROUND(
ROUND(((TRUNC($AN574*3/13,0)+0.99)*VLOOKUP((TRUNC($AN574*3/13,0)+0.99),'Tax scales - NAT 3539'!$A$99:$C$123,2,1)-VLOOKUP((TRUNC($AN574*3/13,0)+0.99),'Tax scales - NAT 3539'!$A$99:$C$123,3,1)),0)
*13/3,
0),
""))),
""),
"")</f>
        <v/>
      </c>
      <c r="AY574" s="118" t="str">
        <f>IFERROR(
IF(VLOOKUP($C574,'Employee information'!$B:$M,COLUMNS('Employee information'!$B:$M),0)=66,
IF($E$2="Fortnightly",
ROUND(
ROUND((((TRUNC($AN574/2,0)+0.99))*VLOOKUP((TRUNC($AN574/2,0)+0.99),'Tax scales - NAT 3539'!$A$127:$C$154,2,1)-VLOOKUP((TRUNC($AN574/2,0)+0.99),'Tax scales - NAT 3539'!$A$127:$C$154,3,1)),0)
*2,
0),
IF(AND($E$2="Monthly",ROUND($AN574-TRUNC($AN574),2)=0.33),
ROUND(
ROUND(((TRUNC(($AN574+0.01)*3/13,0)+0.99)*VLOOKUP((TRUNC(($AN574+0.01)*3/13,0)+0.99),'Tax scales - NAT 3539'!$A$127:$C$154,2,1)-VLOOKUP((TRUNC(($AN574+0.01)*3/13,0)+0.99),'Tax scales - NAT 3539'!$A$127:$C$154,3,1)),0)
*13/3,
0),
IF($E$2="Monthly",
ROUND(
ROUND(((TRUNC($AN574*3/13,0)+0.99)*VLOOKUP((TRUNC($AN574*3/13,0)+0.99),'Tax scales - NAT 3539'!$A$127:$C$154,2,1)-VLOOKUP((TRUNC($AN574*3/13,0)+0.99),'Tax scales - NAT 3539'!$A$127:$C$154,3,1)),0)
*13/3,
0),
""))),
""),
"")</f>
        <v/>
      </c>
      <c r="AZ574" s="118">
        <f>IFERROR(
HLOOKUP(VLOOKUP($C574,'Employee information'!$B:$M,COLUMNS('Employee information'!$B:$M),0),'PAYG worksheet'!$AO$561:$AY$580,COUNTA($C$562:$C574)+1,0),
0)</f>
        <v>0</v>
      </c>
      <c r="BA574" s="118"/>
      <c r="BB574" s="118">
        <f t="shared" si="604"/>
        <v>0</v>
      </c>
      <c r="BC574" s="119">
        <f>IFERROR(
IF(OR($AE574=1,$AE574=""),SUM($P574,$AA574,$AC574,$AK574)*VLOOKUP($C574,'Employee information'!$B:$Q,COLUMNS('Employee information'!$B:$H),0),
IF($AE574=0,SUM($P574,$AA574,$AK574)*VLOOKUP($C574,'Employee information'!$B:$Q,COLUMNS('Employee information'!$B:$H),0),
0)),
0)</f>
        <v>0</v>
      </c>
      <c r="BE574" s="114">
        <f t="shared" si="589"/>
        <v>0</v>
      </c>
      <c r="BF574" s="114">
        <f t="shared" si="590"/>
        <v>0</v>
      </c>
      <c r="BG574" s="114">
        <f t="shared" si="591"/>
        <v>0</v>
      </c>
      <c r="BH574" s="114">
        <f t="shared" si="592"/>
        <v>0</v>
      </c>
      <c r="BI574" s="114">
        <f t="shared" si="593"/>
        <v>0</v>
      </c>
      <c r="BJ574" s="114">
        <f t="shared" si="594"/>
        <v>0</v>
      </c>
      <c r="BK574" s="114">
        <f t="shared" si="595"/>
        <v>0</v>
      </c>
      <c r="BL574" s="114">
        <f t="shared" si="605"/>
        <v>0</v>
      </c>
      <c r="BM574" s="114">
        <f t="shared" si="596"/>
        <v>0</v>
      </c>
    </row>
    <row r="575" spans="1:65" x14ac:dyDescent="0.25">
      <c r="A575" s="228">
        <f t="shared" si="584"/>
        <v>20</v>
      </c>
      <c r="C575" s="278"/>
      <c r="E575" s="103">
        <f>IF($C575="",0,
IF(AND($E$2="Monthly",$A575&gt;12),0,
IF($E$2="Monthly",VLOOKUP($C575,'Employee information'!$B:$AM,COLUMNS('Employee information'!$B:S),0),
IF($E$2="Fortnightly",VLOOKUP($C575,'Employee information'!$B:$AM,COLUMNS('Employee information'!$B:R),0),
0))))</f>
        <v>0</v>
      </c>
      <c r="F575" s="106"/>
      <c r="G575" s="106"/>
      <c r="H575" s="106"/>
      <c r="I575" s="106"/>
      <c r="J575" s="103">
        <f t="shared" si="597"/>
        <v>0</v>
      </c>
      <c r="L575" s="113">
        <f>IF(AND($E$2="Monthly",$A575&gt;12),"",
IFERROR($J575*VLOOKUP($C575,'Employee information'!$B:$AI,COLUMNS('Employee information'!$B:$P),0),0))</f>
        <v>0</v>
      </c>
      <c r="M575" s="114">
        <f t="shared" si="598"/>
        <v>0</v>
      </c>
      <c r="O575" s="103">
        <f t="shared" si="599"/>
        <v>0</v>
      </c>
      <c r="P575" s="113">
        <f>IFERROR(
IF(AND($E$2="Monthly",$A575&gt;12),0,
$O575*VLOOKUP($C575,'Employee information'!$B:$AI,COLUMNS('Employee information'!$B:$P),0)),
0)</f>
        <v>0</v>
      </c>
      <c r="R575" s="114">
        <f t="shared" si="585"/>
        <v>0</v>
      </c>
      <c r="T575" s="103"/>
      <c r="U575" s="103"/>
      <c r="V575" s="282" t="str">
        <f>IF($C575="","",
IF(AND($E$2="Monthly",$A575&gt;12),"",
$T575*VLOOKUP($C575,'Employee information'!$B:$P,COLUMNS('Employee information'!$B:$P),0)))</f>
        <v/>
      </c>
      <c r="W575" s="282" t="str">
        <f>IF($C575="","",
IF(AND($E$2="Monthly",$A575&gt;12),"",
$U575*VLOOKUP($C575,'Employee information'!$B:$P,COLUMNS('Employee information'!$B:$P),0)))</f>
        <v/>
      </c>
      <c r="X575" s="114">
        <f t="shared" si="586"/>
        <v>0</v>
      </c>
      <c r="Y575" s="114">
        <f t="shared" si="587"/>
        <v>0</v>
      </c>
      <c r="AA575" s="118">
        <f>IFERROR(
IF(OR('Basic payroll data'!$D$12="",'Basic payroll data'!$D$12="No"),0,
$T575*VLOOKUP($C575,'Employee information'!$B:$P,COLUMNS('Employee information'!$B:$P),0)*AL_loading_perc),
0)</f>
        <v>0</v>
      </c>
      <c r="AC575" s="118"/>
      <c r="AD575" s="118"/>
      <c r="AE575" s="283" t="str">
        <f t="shared" si="600"/>
        <v/>
      </c>
      <c r="AF575" s="283" t="str">
        <f t="shared" si="601"/>
        <v/>
      </c>
      <c r="AG575" s="118"/>
      <c r="AH575" s="118"/>
      <c r="AI575" s="283" t="str">
        <f t="shared" si="602"/>
        <v/>
      </c>
      <c r="AJ575" s="118"/>
      <c r="AK575" s="118"/>
      <c r="AM575" s="118">
        <f t="shared" si="603"/>
        <v>0</v>
      </c>
      <c r="AN575" s="118">
        <f t="shared" si="588"/>
        <v>0</v>
      </c>
      <c r="AO575" s="118" t="str">
        <f>IFERROR(
IF(VLOOKUP($C575,'Employee information'!$B:$M,COLUMNS('Employee information'!$B:$M),0)=1,
IF($E$2="Fortnightly",
ROUND(
ROUND((((TRUNC($AN575/2,0)+0.99))*VLOOKUP((TRUNC($AN575/2,0)+0.99),'Tax scales - NAT 1004'!$A$12:$C$18,2,1)-VLOOKUP((TRUNC($AN575/2,0)+0.99),'Tax scales - NAT 1004'!$A$12:$C$18,3,1)),0)
*2,
0),
IF(AND($E$2="Monthly",ROUND($AN575-TRUNC($AN575),2)=0.33),
ROUND(
ROUND(((TRUNC(($AN575+0.01)*3/13,0)+0.99)*VLOOKUP((TRUNC(($AN575+0.01)*3/13,0)+0.99),'Tax scales - NAT 1004'!$A$12:$C$18,2,1)-VLOOKUP((TRUNC(($AN575+0.01)*3/13,0)+0.99),'Tax scales - NAT 1004'!$A$12:$C$18,3,1)),0)
*13/3,
0),
IF($E$2="Monthly",
ROUND(
ROUND(((TRUNC($AN575*3/13,0)+0.99)*VLOOKUP((TRUNC($AN575*3/13,0)+0.99),'Tax scales - NAT 1004'!$A$12:$C$18,2,1)-VLOOKUP((TRUNC($AN575*3/13,0)+0.99),'Tax scales - NAT 1004'!$A$12:$C$18,3,1)),0)
*13/3,
0),
""))),
""),
"")</f>
        <v/>
      </c>
      <c r="AP575" s="118" t="str">
        <f>IFERROR(
IF(VLOOKUP($C575,'Employee information'!$B:$M,COLUMNS('Employee information'!$B:$M),0)=2,
IF($E$2="Fortnightly",
ROUND(
ROUND((((TRUNC($AN575/2,0)+0.99))*VLOOKUP((TRUNC($AN575/2,0)+0.99),'Tax scales - NAT 1004'!$A$25:$C$33,2,1)-VLOOKUP((TRUNC($AN575/2,0)+0.99),'Tax scales - NAT 1004'!$A$25:$C$33,3,1)),0)
*2,
0),
IF(AND($E$2="Monthly",ROUND($AN575-TRUNC($AN575),2)=0.33),
ROUND(
ROUND(((TRUNC(($AN575+0.01)*3/13,0)+0.99)*VLOOKUP((TRUNC(($AN575+0.01)*3/13,0)+0.99),'Tax scales - NAT 1004'!$A$25:$C$33,2,1)-VLOOKUP((TRUNC(($AN575+0.01)*3/13,0)+0.99),'Tax scales - NAT 1004'!$A$25:$C$33,3,1)),0)
*13/3,
0),
IF($E$2="Monthly",
ROUND(
ROUND(((TRUNC($AN575*3/13,0)+0.99)*VLOOKUP((TRUNC($AN575*3/13,0)+0.99),'Tax scales - NAT 1004'!$A$25:$C$33,2,1)-VLOOKUP((TRUNC($AN575*3/13,0)+0.99),'Tax scales - NAT 1004'!$A$25:$C$33,3,1)),0)
*13/3,
0),
""))),
""),
"")</f>
        <v/>
      </c>
      <c r="AQ575" s="118" t="str">
        <f>IFERROR(
IF(VLOOKUP($C575,'Employee information'!$B:$M,COLUMNS('Employee information'!$B:$M),0)=3,
IF($E$2="Fortnightly",
ROUND(
ROUND((((TRUNC($AN575/2,0)+0.99))*VLOOKUP((TRUNC($AN575/2,0)+0.99),'Tax scales - NAT 1004'!$A$39:$C$41,2,1)-VLOOKUP((TRUNC($AN575/2,0)+0.99),'Tax scales - NAT 1004'!$A$39:$C$41,3,1)),0)
*2,
0),
IF(AND($E$2="Monthly",ROUND($AN575-TRUNC($AN575),2)=0.33),
ROUND(
ROUND(((TRUNC(($AN575+0.01)*3/13,0)+0.99)*VLOOKUP((TRUNC(($AN575+0.01)*3/13,0)+0.99),'Tax scales - NAT 1004'!$A$39:$C$41,2,1)-VLOOKUP((TRUNC(($AN575+0.01)*3/13,0)+0.99),'Tax scales - NAT 1004'!$A$39:$C$41,3,1)),0)
*13/3,
0),
IF($E$2="Monthly",
ROUND(
ROUND(((TRUNC($AN575*3/13,0)+0.99)*VLOOKUP((TRUNC($AN575*3/13,0)+0.99),'Tax scales - NAT 1004'!$A$39:$C$41,2,1)-VLOOKUP((TRUNC($AN575*3/13,0)+0.99),'Tax scales - NAT 1004'!$A$39:$C$41,3,1)),0)
*13/3,
0),
""))),
""),
"")</f>
        <v/>
      </c>
      <c r="AR575" s="118" t="str">
        <f>IFERROR(
IF(AND(VLOOKUP($C575,'Employee information'!$B:$M,COLUMNS('Employee information'!$B:$M),0)=4,
VLOOKUP($C575,'Employee information'!$B:$J,COLUMNS('Employee information'!$B:$J),0)="Resident"),
TRUNC(TRUNC($AN575)*'Tax scales - NAT 1004'!$B$47),
IF(AND(VLOOKUP($C575,'Employee information'!$B:$M,COLUMNS('Employee information'!$B:$M),0)=4,
VLOOKUP($C575,'Employee information'!$B:$J,COLUMNS('Employee information'!$B:$J),0)="Foreign resident"),
TRUNC(TRUNC($AN575)*'Tax scales - NAT 1004'!$B$48),
"")),
"")</f>
        <v/>
      </c>
      <c r="AS575" s="118" t="str">
        <f>IFERROR(
IF(VLOOKUP($C575,'Employee information'!$B:$M,COLUMNS('Employee information'!$B:$M),0)=5,
IF($E$2="Fortnightly",
ROUND(
ROUND((((TRUNC($AN575/2,0)+0.99))*VLOOKUP((TRUNC($AN575/2,0)+0.99),'Tax scales - NAT 1004'!$A$53:$C$59,2,1)-VLOOKUP((TRUNC($AN575/2,0)+0.99),'Tax scales - NAT 1004'!$A$53:$C$59,3,1)),0)
*2,
0),
IF(AND($E$2="Monthly",ROUND($AN575-TRUNC($AN575),2)=0.33),
ROUND(
ROUND(((TRUNC(($AN575+0.01)*3/13,0)+0.99)*VLOOKUP((TRUNC(($AN575+0.01)*3/13,0)+0.99),'Tax scales - NAT 1004'!$A$53:$C$59,2,1)-VLOOKUP((TRUNC(($AN575+0.01)*3/13,0)+0.99),'Tax scales - NAT 1004'!$A$53:$C$59,3,1)),0)
*13/3,
0),
IF($E$2="Monthly",
ROUND(
ROUND(((TRUNC($AN575*3/13,0)+0.99)*VLOOKUP((TRUNC($AN575*3/13,0)+0.99),'Tax scales - NAT 1004'!$A$53:$C$59,2,1)-VLOOKUP((TRUNC($AN575*3/13,0)+0.99),'Tax scales - NAT 1004'!$A$53:$C$59,3,1)),0)
*13/3,
0),
""))),
""),
"")</f>
        <v/>
      </c>
      <c r="AT575" s="118" t="str">
        <f>IFERROR(
IF(VLOOKUP($C575,'Employee information'!$B:$M,COLUMNS('Employee information'!$B:$M),0)=6,
IF($E$2="Fortnightly",
ROUND(
ROUND((((TRUNC($AN575/2,0)+0.99))*VLOOKUP((TRUNC($AN575/2,0)+0.99),'Tax scales - NAT 1004'!$A$65:$C$73,2,1)-VLOOKUP((TRUNC($AN575/2,0)+0.99),'Tax scales - NAT 1004'!$A$65:$C$73,3,1)),0)
*2,
0),
IF(AND($E$2="Monthly",ROUND($AN575-TRUNC($AN575),2)=0.33),
ROUND(
ROUND(((TRUNC(($AN575+0.01)*3/13,0)+0.99)*VLOOKUP((TRUNC(($AN575+0.01)*3/13,0)+0.99),'Tax scales - NAT 1004'!$A$65:$C$73,2,1)-VLOOKUP((TRUNC(($AN575+0.01)*3/13,0)+0.99),'Tax scales - NAT 1004'!$A$65:$C$73,3,1)),0)
*13/3,
0),
IF($E$2="Monthly",
ROUND(
ROUND(((TRUNC($AN575*3/13,0)+0.99)*VLOOKUP((TRUNC($AN575*3/13,0)+0.99),'Tax scales - NAT 1004'!$A$65:$C$73,2,1)-VLOOKUP((TRUNC($AN575*3/13,0)+0.99),'Tax scales - NAT 1004'!$A$65:$C$73,3,1)),0)
*13/3,
0),
""))),
""),
"")</f>
        <v/>
      </c>
      <c r="AU575" s="118" t="str">
        <f>IFERROR(
IF(VLOOKUP($C575,'Employee information'!$B:$M,COLUMNS('Employee information'!$B:$M),0)=11,
IF($E$2="Fortnightly",
ROUND(
ROUND((((TRUNC($AN575/2,0)+0.99))*VLOOKUP((TRUNC($AN575/2,0)+0.99),'Tax scales - NAT 3539'!$A$14:$C$38,2,1)-VLOOKUP((TRUNC($AN575/2,0)+0.99),'Tax scales - NAT 3539'!$A$14:$C$38,3,1)),0)
*2,
0),
IF(AND($E$2="Monthly",ROUND($AN575-TRUNC($AN575),2)=0.33),
ROUND(
ROUND(((TRUNC(($AN575+0.01)*3/13,0)+0.99)*VLOOKUP((TRUNC(($AN575+0.01)*3/13,0)+0.99),'Tax scales - NAT 3539'!$A$14:$C$38,2,1)-VLOOKUP((TRUNC(($AN575+0.01)*3/13,0)+0.99),'Tax scales - NAT 3539'!$A$14:$C$38,3,1)),0)
*13/3,
0),
IF($E$2="Monthly",
ROUND(
ROUND(((TRUNC($AN575*3/13,0)+0.99)*VLOOKUP((TRUNC($AN575*3/13,0)+0.99),'Tax scales - NAT 3539'!$A$14:$C$38,2,1)-VLOOKUP((TRUNC($AN575*3/13,0)+0.99),'Tax scales - NAT 3539'!$A$14:$C$38,3,1)),0)
*13/3,
0),
""))),
""),
"")</f>
        <v/>
      </c>
      <c r="AV575" s="118" t="str">
        <f>IFERROR(
IF(VLOOKUP($C575,'Employee information'!$B:$M,COLUMNS('Employee information'!$B:$M),0)=22,
IF($E$2="Fortnightly",
ROUND(
ROUND((((TRUNC($AN575/2,0)+0.99))*VLOOKUP((TRUNC($AN575/2,0)+0.99),'Tax scales - NAT 3539'!$A$43:$C$69,2,1)-VLOOKUP((TRUNC($AN575/2,0)+0.99),'Tax scales - NAT 3539'!$A$43:$C$69,3,1)),0)
*2,
0),
IF(AND($E$2="Monthly",ROUND($AN575-TRUNC($AN575),2)=0.33),
ROUND(
ROUND(((TRUNC(($AN575+0.01)*3/13,0)+0.99)*VLOOKUP((TRUNC(($AN575+0.01)*3/13,0)+0.99),'Tax scales - NAT 3539'!$A$43:$C$69,2,1)-VLOOKUP((TRUNC(($AN575+0.01)*3/13,0)+0.99),'Tax scales - NAT 3539'!$A$43:$C$69,3,1)),0)
*13/3,
0),
IF($E$2="Monthly",
ROUND(
ROUND(((TRUNC($AN575*3/13,0)+0.99)*VLOOKUP((TRUNC($AN575*3/13,0)+0.99),'Tax scales - NAT 3539'!$A$43:$C$69,2,1)-VLOOKUP((TRUNC($AN575*3/13,0)+0.99),'Tax scales - NAT 3539'!$A$43:$C$69,3,1)),0)
*13/3,
0),
""))),
""),
"")</f>
        <v/>
      </c>
      <c r="AW575" s="118" t="str">
        <f>IFERROR(
IF(VLOOKUP($C575,'Employee information'!$B:$M,COLUMNS('Employee information'!$B:$M),0)=33,
IF($E$2="Fortnightly",
ROUND(
ROUND((((TRUNC($AN575/2,0)+0.99))*VLOOKUP((TRUNC($AN575/2,0)+0.99),'Tax scales - NAT 3539'!$A$74:$C$94,2,1)-VLOOKUP((TRUNC($AN575/2,0)+0.99),'Tax scales - NAT 3539'!$A$74:$C$94,3,1)),0)
*2,
0),
IF(AND($E$2="Monthly",ROUND($AN575-TRUNC($AN575),2)=0.33),
ROUND(
ROUND(((TRUNC(($AN575+0.01)*3/13,0)+0.99)*VLOOKUP((TRUNC(($AN575+0.01)*3/13,0)+0.99),'Tax scales - NAT 3539'!$A$74:$C$94,2,1)-VLOOKUP((TRUNC(($AN575+0.01)*3/13,0)+0.99),'Tax scales - NAT 3539'!$A$74:$C$94,3,1)),0)
*13/3,
0),
IF($E$2="Monthly",
ROUND(
ROUND(((TRUNC($AN575*3/13,0)+0.99)*VLOOKUP((TRUNC($AN575*3/13,0)+0.99),'Tax scales - NAT 3539'!$A$74:$C$94,2,1)-VLOOKUP((TRUNC($AN575*3/13,0)+0.99),'Tax scales - NAT 3539'!$A$74:$C$94,3,1)),0)
*13/3,
0),
""))),
""),
"")</f>
        <v/>
      </c>
      <c r="AX575" s="118" t="str">
        <f>IFERROR(
IF(VLOOKUP($C575,'Employee information'!$B:$M,COLUMNS('Employee information'!$B:$M),0)=55,
IF($E$2="Fortnightly",
ROUND(
ROUND((((TRUNC($AN575/2,0)+0.99))*VLOOKUP((TRUNC($AN575/2,0)+0.99),'Tax scales - NAT 3539'!$A$99:$C$123,2,1)-VLOOKUP((TRUNC($AN575/2,0)+0.99),'Tax scales - NAT 3539'!$A$99:$C$123,3,1)),0)
*2,
0),
IF(AND($E$2="Monthly",ROUND($AN575-TRUNC($AN575),2)=0.33),
ROUND(
ROUND(((TRUNC(($AN575+0.01)*3/13,0)+0.99)*VLOOKUP((TRUNC(($AN575+0.01)*3/13,0)+0.99),'Tax scales - NAT 3539'!$A$99:$C$123,2,1)-VLOOKUP((TRUNC(($AN575+0.01)*3/13,0)+0.99),'Tax scales - NAT 3539'!$A$99:$C$123,3,1)),0)
*13/3,
0),
IF($E$2="Monthly",
ROUND(
ROUND(((TRUNC($AN575*3/13,0)+0.99)*VLOOKUP((TRUNC($AN575*3/13,0)+0.99),'Tax scales - NAT 3539'!$A$99:$C$123,2,1)-VLOOKUP((TRUNC($AN575*3/13,0)+0.99),'Tax scales - NAT 3539'!$A$99:$C$123,3,1)),0)
*13/3,
0),
""))),
""),
"")</f>
        <v/>
      </c>
      <c r="AY575" s="118" t="str">
        <f>IFERROR(
IF(VLOOKUP($C575,'Employee information'!$B:$M,COLUMNS('Employee information'!$B:$M),0)=66,
IF($E$2="Fortnightly",
ROUND(
ROUND((((TRUNC($AN575/2,0)+0.99))*VLOOKUP((TRUNC($AN575/2,0)+0.99),'Tax scales - NAT 3539'!$A$127:$C$154,2,1)-VLOOKUP((TRUNC($AN575/2,0)+0.99),'Tax scales - NAT 3539'!$A$127:$C$154,3,1)),0)
*2,
0),
IF(AND($E$2="Monthly",ROUND($AN575-TRUNC($AN575),2)=0.33),
ROUND(
ROUND(((TRUNC(($AN575+0.01)*3/13,0)+0.99)*VLOOKUP((TRUNC(($AN575+0.01)*3/13,0)+0.99),'Tax scales - NAT 3539'!$A$127:$C$154,2,1)-VLOOKUP((TRUNC(($AN575+0.01)*3/13,0)+0.99),'Tax scales - NAT 3539'!$A$127:$C$154,3,1)),0)
*13/3,
0),
IF($E$2="Monthly",
ROUND(
ROUND(((TRUNC($AN575*3/13,0)+0.99)*VLOOKUP((TRUNC($AN575*3/13,0)+0.99),'Tax scales - NAT 3539'!$A$127:$C$154,2,1)-VLOOKUP((TRUNC($AN575*3/13,0)+0.99),'Tax scales - NAT 3539'!$A$127:$C$154,3,1)),0)
*13/3,
0),
""))),
""),
"")</f>
        <v/>
      </c>
      <c r="AZ575" s="118">
        <f>IFERROR(
HLOOKUP(VLOOKUP($C575,'Employee information'!$B:$M,COLUMNS('Employee information'!$B:$M),0),'PAYG worksheet'!$AO$561:$AY$580,COUNTA($C$562:$C575)+1,0),
0)</f>
        <v>0</v>
      </c>
      <c r="BA575" s="118"/>
      <c r="BB575" s="118">
        <f t="shared" si="604"/>
        <v>0</v>
      </c>
      <c r="BC575" s="119">
        <f>IFERROR(
IF(OR($AE575=1,$AE575=""),SUM($P575,$AA575,$AC575,$AK575)*VLOOKUP($C575,'Employee information'!$B:$Q,COLUMNS('Employee information'!$B:$H),0),
IF($AE575=0,SUM($P575,$AA575,$AK575)*VLOOKUP($C575,'Employee information'!$B:$Q,COLUMNS('Employee information'!$B:$H),0),
0)),
0)</f>
        <v>0</v>
      </c>
      <c r="BE575" s="114">
        <f t="shared" si="589"/>
        <v>0</v>
      </c>
      <c r="BF575" s="114">
        <f t="shared" si="590"/>
        <v>0</v>
      </c>
      <c r="BG575" s="114">
        <f t="shared" si="591"/>
        <v>0</v>
      </c>
      <c r="BH575" s="114">
        <f t="shared" si="592"/>
        <v>0</v>
      </c>
      <c r="BI575" s="114">
        <f t="shared" si="593"/>
        <v>0</v>
      </c>
      <c r="BJ575" s="114">
        <f t="shared" si="594"/>
        <v>0</v>
      </c>
      <c r="BK575" s="114">
        <f t="shared" si="595"/>
        <v>0</v>
      </c>
      <c r="BL575" s="114">
        <f t="shared" si="605"/>
        <v>0</v>
      </c>
      <c r="BM575" s="114">
        <f t="shared" si="596"/>
        <v>0</v>
      </c>
    </row>
    <row r="576" spans="1:65" x14ac:dyDescent="0.25">
      <c r="A576" s="228">
        <f t="shared" si="584"/>
        <v>20</v>
      </c>
      <c r="C576" s="278"/>
      <c r="E576" s="103">
        <f>IF($C576="",0,
IF(AND($E$2="Monthly",$A576&gt;12),0,
IF($E$2="Monthly",VLOOKUP($C576,'Employee information'!$B:$AM,COLUMNS('Employee information'!$B:S),0),
IF($E$2="Fortnightly",VLOOKUP($C576,'Employee information'!$B:$AM,COLUMNS('Employee information'!$B:R),0),
0))))</f>
        <v>0</v>
      </c>
      <c r="F576" s="106"/>
      <c r="G576" s="106"/>
      <c r="H576" s="106"/>
      <c r="I576" s="106"/>
      <c r="J576" s="103">
        <f t="shared" si="597"/>
        <v>0</v>
      </c>
      <c r="L576" s="113">
        <f>IF(AND($E$2="Monthly",$A576&gt;12),"",
IFERROR($J576*VLOOKUP($C576,'Employee information'!$B:$AI,COLUMNS('Employee information'!$B:$P),0),0))</f>
        <v>0</v>
      </c>
      <c r="M576" s="114">
        <f t="shared" si="598"/>
        <v>0</v>
      </c>
      <c r="O576" s="103">
        <f t="shared" si="599"/>
        <v>0</v>
      </c>
      <c r="P576" s="113">
        <f>IFERROR(
IF(AND($E$2="Monthly",$A576&gt;12),0,
$O576*VLOOKUP($C576,'Employee information'!$B:$AI,COLUMNS('Employee information'!$B:$P),0)),
0)</f>
        <v>0</v>
      </c>
      <c r="R576" s="114">
        <f t="shared" si="585"/>
        <v>0</v>
      </c>
      <c r="T576" s="103"/>
      <c r="U576" s="103"/>
      <c r="V576" s="282" t="str">
        <f>IF($C576="","",
IF(AND($E$2="Monthly",$A576&gt;12),"",
$T576*VLOOKUP($C576,'Employee information'!$B:$P,COLUMNS('Employee information'!$B:$P),0)))</f>
        <v/>
      </c>
      <c r="W576" s="282" t="str">
        <f>IF($C576="","",
IF(AND($E$2="Monthly",$A576&gt;12),"",
$U576*VLOOKUP($C576,'Employee information'!$B:$P,COLUMNS('Employee information'!$B:$P),0)))</f>
        <v/>
      </c>
      <c r="X576" s="114">
        <f t="shared" si="586"/>
        <v>0</v>
      </c>
      <c r="Y576" s="114">
        <f t="shared" si="587"/>
        <v>0</v>
      </c>
      <c r="AA576" s="118">
        <f>IFERROR(
IF(OR('Basic payroll data'!$D$12="",'Basic payroll data'!$D$12="No"),0,
$T576*VLOOKUP($C576,'Employee information'!$B:$P,COLUMNS('Employee information'!$B:$P),0)*AL_loading_perc),
0)</f>
        <v>0</v>
      </c>
      <c r="AC576" s="118"/>
      <c r="AD576" s="118"/>
      <c r="AE576" s="283" t="str">
        <f t="shared" si="600"/>
        <v/>
      </c>
      <c r="AF576" s="283" t="str">
        <f t="shared" si="601"/>
        <v/>
      </c>
      <c r="AG576" s="118"/>
      <c r="AH576" s="118"/>
      <c r="AI576" s="283" t="str">
        <f t="shared" si="602"/>
        <v/>
      </c>
      <c r="AJ576" s="118"/>
      <c r="AK576" s="118"/>
      <c r="AM576" s="118">
        <f t="shared" si="603"/>
        <v>0</v>
      </c>
      <c r="AN576" s="118">
        <f t="shared" si="588"/>
        <v>0</v>
      </c>
      <c r="AO576" s="118" t="str">
        <f>IFERROR(
IF(VLOOKUP($C576,'Employee information'!$B:$M,COLUMNS('Employee information'!$B:$M),0)=1,
IF($E$2="Fortnightly",
ROUND(
ROUND((((TRUNC($AN576/2,0)+0.99))*VLOOKUP((TRUNC($AN576/2,0)+0.99),'Tax scales - NAT 1004'!$A$12:$C$18,2,1)-VLOOKUP((TRUNC($AN576/2,0)+0.99),'Tax scales - NAT 1004'!$A$12:$C$18,3,1)),0)
*2,
0),
IF(AND($E$2="Monthly",ROUND($AN576-TRUNC($AN576),2)=0.33),
ROUND(
ROUND(((TRUNC(($AN576+0.01)*3/13,0)+0.99)*VLOOKUP((TRUNC(($AN576+0.01)*3/13,0)+0.99),'Tax scales - NAT 1004'!$A$12:$C$18,2,1)-VLOOKUP((TRUNC(($AN576+0.01)*3/13,0)+0.99),'Tax scales - NAT 1004'!$A$12:$C$18,3,1)),0)
*13/3,
0),
IF($E$2="Monthly",
ROUND(
ROUND(((TRUNC($AN576*3/13,0)+0.99)*VLOOKUP((TRUNC($AN576*3/13,0)+0.99),'Tax scales - NAT 1004'!$A$12:$C$18,2,1)-VLOOKUP((TRUNC($AN576*3/13,0)+0.99),'Tax scales - NAT 1004'!$A$12:$C$18,3,1)),0)
*13/3,
0),
""))),
""),
"")</f>
        <v/>
      </c>
      <c r="AP576" s="118" t="str">
        <f>IFERROR(
IF(VLOOKUP($C576,'Employee information'!$B:$M,COLUMNS('Employee information'!$B:$M),0)=2,
IF($E$2="Fortnightly",
ROUND(
ROUND((((TRUNC($AN576/2,0)+0.99))*VLOOKUP((TRUNC($AN576/2,0)+0.99),'Tax scales - NAT 1004'!$A$25:$C$33,2,1)-VLOOKUP((TRUNC($AN576/2,0)+0.99),'Tax scales - NAT 1004'!$A$25:$C$33,3,1)),0)
*2,
0),
IF(AND($E$2="Monthly",ROUND($AN576-TRUNC($AN576),2)=0.33),
ROUND(
ROUND(((TRUNC(($AN576+0.01)*3/13,0)+0.99)*VLOOKUP((TRUNC(($AN576+0.01)*3/13,0)+0.99),'Tax scales - NAT 1004'!$A$25:$C$33,2,1)-VLOOKUP((TRUNC(($AN576+0.01)*3/13,0)+0.99),'Tax scales - NAT 1004'!$A$25:$C$33,3,1)),0)
*13/3,
0),
IF($E$2="Monthly",
ROUND(
ROUND(((TRUNC($AN576*3/13,0)+0.99)*VLOOKUP((TRUNC($AN576*3/13,0)+0.99),'Tax scales - NAT 1004'!$A$25:$C$33,2,1)-VLOOKUP((TRUNC($AN576*3/13,0)+0.99),'Tax scales - NAT 1004'!$A$25:$C$33,3,1)),0)
*13/3,
0),
""))),
""),
"")</f>
        <v/>
      </c>
      <c r="AQ576" s="118" t="str">
        <f>IFERROR(
IF(VLOOKUP($C576,'Employee information'!$B:$M,COLUMNS('Employee information'!$B:$M),0)=3,
IF($E$2="Fortnightly",
ROUND(
ROUND((((TRUNC($AN576/2,0)+0.99))*VLOOKUP((TRUNC($AN576/2,0)+0.99),'Tax scales - NAT 1004'!$A$39:$C$41,2,1)-VLOOKUP((TRUNC($AN576/2,0)+0.99),'Tax scales - NAT 1004'!$A$39:$C$41,3,1)),0)
*2,
0),
IF(AND($E$2="Monthly",ROUND($AN576-TRUNC($AN576),2)=0.33),
ROUND(
ROUND(((TRUNC(($AN576+0.01)*3/13,0)+0.99)*VLOOKUP((TRUNC(($AN576+0.01)*3/13,0)+0.99),'Tax scales - NAT 1004'!$A$39:$C$41,2,1)-VLOOKUP((TRUNC(($AN576+0.01)*3/13,0)+0.99),'Tax scales - NAT 1004'!$A$39:$C$41,3,1)),0)
*13/3,
0),
IF($E$2="Monthly",
ROUND(
ROUND(((TRUNC($AN576*3/13,0)+0.99)*VLOOKUP((TRUNC($AN576*3/13,0)+0.99),'Tax scales - NAT 1004'!$A$39:$C$41,2,1)-VLOOKUP((TRUNC($AN576*3/13,0)+0.99),'Tax scales - NAT 1004'!$A$39:$C$41,3,1)),0)
*13/3,
0),
""))),
""),
"")</f>
        <v/>
      </c>
      <c r="AR576" s="118" t="str">
        <f>IFERROR(
IF(AND(VLOOKUP($C576,'Employee information'!$B:$M,COLUMNS('Employee information'!$B:$M),0)=4,
VLOOKUP($C576,'Employee information'!$B:$J,COLUMNS('Employee information'!$B:$J),0)="Resident"),
TRUNC(TRUNC($AN576)*'Tax scales - NAT 1004'!$B$47),
IF(AND(VLOOKUP($C576,'Employee information'!$B:$M,COLUMNS('Employee information'!$B:$M),0)=4,
VLOOKUP($C576,'Employee information'!$B:$J,COLUMNS('Employee information'!$B:$J),0)="Foreign resident"),
TRUNC(TRUNC($AN576)*'Tax scales - NAT 1004'!$B$48),
"")),
"")</f>
        <v/>
      </c>
      <c r="AS576" s="118" t="str">
        <f>IFERROR(
IF(VLOOKUP($C576,'Employee information'!$B:$M,COLUMNS('Employee information'!$B:$M),0)=5,
IF($E$2="Fortnightly",
ROUND(
ROUND((((TRUNC($AN576/2,0)+0.99))*VLOOKUP((TRUNC($AN576/2,0)+0.99),'Tax scales - NAT 1004'!$A$53:$C$59,2,1)-VLOOKUP((TRUNC($AN576/2,0)+0.99),'Tax scales - NAT 1004'!$A$53:$C$59,3,1)),0)
*2,
0),
IF(AND($E$2="Monthly",ROUND($AN576-TRUNC($AN576),2)=0.33),
ROUND(
ROUND(((TRUNC(($AN576+0.01)*3/13,0)+0.99)*VLOOKUP((TRUNC(($AN576+0.01)*3/13,0)+0.99),'Tax scales - NAT 1004'!$A$53:$C$59,2,1)-VLOOKUP((TRUNC(($AN576+0.01)*3/13,0)+0.99),'Tax scales - NAT 1004'!$A$53:$C$59,3,1)),0)
*13/3,
0),
IF($E$2="Monthly",
ROUND(
ROUND(((TRUNC($AN576*3/13,0)+0.99)*VLOOKUP((TRUNC($AN576*3/13,0)+0.99),'Tax scales - NAT 1004'!$A$53:$C$59,2,1)-VLOOKUP((TRUNC($AN576*3/13,0)+0.99),'Tax scales - NAT 1004'!$A$53:$C$59,3,1)),0)
*13/3,
0),
""))),
""),
"")</f>
        <v/>
      </c>
      <c r="AT576" s="118" t="str">
        <f>IFERROR(
IF(VLOOKUP($C576,'Employee information'!$B:$M,COLUMNS('Employee information'!$B:$M),0)=6,
IF($E$2="Fortnightly",
ROUND(
ROUND((((TRUNC($AN576/2,0)+0.99))*VLOOKUP((TRUNC($AN576/2,0)+0.99),'Tax scales - NAT 1004'!$A$65:$C$73,2,1)-VLOOKUP((TRUNC($AN576/2,0)+0.99),'Tax scales - NAT 1004'!$A$65:$C$73,3,1)),0)
*2,
0),
IF(AND($E$2="Monthly",ROUND($AN576-TRUNC($AN576),2)=0.33),
ROUND(
ROUND(((TRUNC(($AN576+0.01)*3/13,0)+0.99)*VLOOKUP((TRUNC(($AN576+0.01)*3/13,0)+0.99),'Tax scales - NAT 1004'!$A$65:$C$73,2,1)-VLOOKUP((TRUNC(($AN576+0.01)*3/13,0)+0.99),'Tax scales - NAT 1004'!$A$65:$C$73,3,1)),0)
*13/3,
0),
IF($E$2="Monthly",
ROUND(
ROUND(((TRUNC($AN576*3/13,0)+0.99)*VLOOKUP((TRUNC($AN576*3/13,0)+0.99),'Tax scales - NAT 1004'!$A$65:$C$73,2,1)-VLOOKUP((TRUNC($AN576*3/13,0)+0.99),'Tax scales - NAT 1004'!$A$65:$C$73,3,1)),0)
*13/3,
0),
""))),
""),
"")</f>
        <v/>
      </c>
      <c r="AU576" s="118" t="str">
        <f>IFERROR(
IF(VLOOKUP($C576,'Employee information'!$B:$M,COLUMNS('Employee information'!$B:$M),0)=11,
IF($E$2="Fortnightly",
ROUND(
ROUND((((TRUNC($AN576/2,0)+0.99))*VLOOKUP((TRUNC($AN576/2,0)+0.99),'Tax scales - NAT 3539'!$A$14:$C$38,2,1)-VLOOKUP((TRUNC($AN576/2,0)+0.99),'Tax scales - NAT 3539'!$A$14:$C$38,3,1)),0)
*2,
0),
IF(AND($E$2="Monthly",ROUND($AN576-TRUNC($AN576),2)=0.33),
ROUND(
ROUND(((TRUNC(($AN576+0.01)*3/13,0)+0.99)*VLOOKUP((TRUNC(($AN576+0.01)*3/13,0)+0.99),'Tax scales - NAT 3539'!$A$14:$C$38,2,1)-VLOOKUP((TRUNC(($AN576+0.01)*3/13,0)+0.99),'Tax scales - NAT 3539'!$A$14:$C$38,3,1)),0)
*13/3,
0),
IF($E$2="Monthly",
ROUND(
ROUND(((TRUNC($AN576*3/13,0)+0.99)*VLOOKUP((TRUNC($AN576*3/13,0)+0.99),'Tax scales - NAT 3539'!$A$14:$C$38,2,1)-VLOOKUP((TRUNC($AN576*3/13,0)+0.99),'Tax scales - NAT 3539'!$A$14:$C$38,3,1)),0)
*13/3,
0),
""))),
""),
"")</f>
        <v/>
      </c>
      <c r="AV576" s="118" t="str">
        <f>IFERROR(
IF(VLOOKUP($C576,'Employee information'!$B:$M,COLUMNS('Employee information'!$B:$M),0)=22,
IF($E$2="Fortnightly",
ROUND(
ROUND((((TRUNC($AN576/2,0)+0.99))*VLOOKUP((TRUNC($AN576/2,0)+0.99),'Tax scales - NAT 3539'!$A$43:$C$69,2,1)-VLOOKUP((TRUNC($AN576/2,0)+0.99),'Tax scales - NAT 3539'!$A$43:$C$69,3,1)),0)
*2,
0),
IF(AND($E$2="Monthly",ROUND($AN576-TRUNC($AN576),2)=0.33),
ROUND(
ROUND(((TRUNC(($AN576+0.01)*3/13,0)+0.99)*VLOOKUP((TRUNC(($AN576+0.01)*3/13,0)+0.99),'Tax scales - NAT 3539'!$A$43:$C$69,2,1)-VLOOKUP((TRUNC(($AN576+0.01)*3/13,0)+0.99),'Tax scales - NAT 3539'!$A$43:$C$69,3,1)),0)
*13/3,
0),
IF($E$2="Monthly",
ROUND(
ROUND(((TRUNC($AN576*3/13,0)+0.99)*VLOOKUP((TRUNC($AN576*3/13,0)+0.99),'Tax scales - NAT 3539'!$A$43:$C$69,2,1)-VLOOKUP((TRUNC($AN576*3/13,0)+0.99),'Tax scales - NAT 3539'!$A$43:$C$69,3,1)),0)
*13/3,
0),
""))),
""),
"")</f>
        <v/>
      </c>
      <c r="AW576" s="118" t="str">
        <f>IFERROR(
IF(VLOOKUP($C576,'Employee information'!$B:$M,COLUMNS('Employee information'!$B:$M),0)=33,
IF($E$2="Fortnightly",
ROUND(
ROUND((((TRUNC($AN576/2,0)+0.99))*VLOOKUP((TRUNC($AN576/2,0)+0.99),'Tax scales - NAT 3539'!$A$74:$C$94,2,1)-VLOOKUP((TRUNC($AN576/2,0)+0.99),'Tax scales - NAT 3539'!$A$74:$C$94,3,1)),0)
*2,
0),
IF(AND($E$2="Monthly",ROUND($AN576-TRUNC($AN576),2)=0.33),
ROUND(
ROUND(((TRUNC(($AN576+0.01)*3/13,0)+0.99)*VLOOKUP((TRUNC(($AN576+0.01)*3/13,0)+0.99),'Tax scales - NAT 3539'!$A$74:$C$94,2,1)-VLOOKUP((TRUNC(($AN576+0.01)*3/13,0)+0.99),'Tax scales - NAT 3539'!$A$74:$C$94,3,1)),0)
*13/3,
0),
IF($E$2="Monthly",
ROUND(
ROUND(((TRUNC($AN576*3/13,0)+0.99)*VLOOKUP((TRUNC($AN576*3/13,0)+0.99),'Tax scales - NAT 3539'!$A$74:$C$94,2,1)-VLOOKUP((TRUNC($AN576*3/13,0)+0.99),'Tax scales - NAT 3539'!$A$74:$C$94,3,1)),0)
*13/3,
0),
""))),
""),
"")</f>
        <v/>
      </c>
      <c r="AX576" s="118" t="str">
        <f>IFERROR(
IF(VLOOKUP($C576,'Employee information'!$B:$M,COLUMNS('Employee information'!$B:$M),0)=55,
IF($E$2="Fortnightly",
ROUND(
ROUND((((TRUNC($AN576/2,0)+0.99))*VLOOKUP((TRUNC($AN576/2,0)+0.99),'Tax scales - NAT 3539'!$A$99:$C$123,2,1)-VLOOKUP((TRUNC($AN576/2,0)+0.99),'Tax scales - NAT 3539'!$A$99:$C$123,3,1)),0)
*2,
0),
IF(AND($E$2="Monthly",ROUND($AN576-TRUNC($AN576),2)=0.33),
ROUND(
ROUND(((TRUNC(($AN576+0.01)*3/13,0)+0.99)*VLOOKUP((TRUNC(($AN576+0.01)*3/13,0)+0.99),'Tax scales - NAT 3539'!$A$99:$C$123,2,1)-VLOOKUP((TRUNC(($AN576+0.01)*3/13,0)+0.99),'Tax scales - NAT 3539'!$A$99:$C$123,3,1)),0)
*13/3,
0),
IF($E$2="Monthly",
ROUND(
ROUND(((TRUNC($AN576*3/13,0)+0.99)*VLOOKUP((TRUNC($AN576*3/13,0)+0.99),'Tax scales - NAT 3539'!$A$99:$C$123,2,1)-VLOOKUP((TRUNC($AN576*3/13,0)+0.99),'Tax scales - NAT 3539'!$A$99:$C$123,3,1)),0)
*13/3,
0),
""))),
""),
"")</f>
        <v/>
      </c>
      <c r="AY576" s="118" t="str">
        <f>IFERROR(
IF(VLOOKUP($C576,'Employee information'!$B:$M,COLUMNS('Employee information'!$B:$M),0)=66,
IF($E$2="Fortnightly",
ROUND(
ROUND((((TRUNC($AN576/2,0)+0.99))*VLOOKUP((TRUNC($AN576/2,0)+0.99),'Tax scales - NAT 3539'!$A$127:$C$154,2,1)-VLOOKUP((TRUNC($AN576/2,0)+0.99),'Tax scales - NAT 3539'!$A$127:$C$154,3,1)),0)
*2,
0),
IF(AND($E$2="Monthly",ROUND($AN576-TRUNC($AN576),2)=0.33),
ROUND(
ROUND(((TRUNC(($AN576+0.01)*3/13,0)+0.99)*VLOOKUP((TRUNC(($AN576+0.01)*3/13,0)+0.99),'Tax scales - NAT 3539'!$A$127:$C$154,2,1)-VLOOKUP((TRUNC(($AN576+0.01)*3/13,0)+0.99),'Tax scales - NAT 3539'!$A$127:$C$154,3,1)),0)
*13/3,
0),
IF($E$2="Monthly",
ROUND(
ROUND(((TRUNC($AN576*3/13,0)+0.99)*VLOOKUP((TRUNC($AN576*3/13,0)+0.99),'Tax scales - NAT 3539'!$A$127:$C$154,2,1)-VLOOKUP((TRUNC($AN576*3/13,0)+0.99),'Tax scales - NAT 3539'!$A$127:$C$154,3,1)),0)
*13/3,
0),
""))),
""),
"")</f>
        <v/>
      </c>
      <c r="AZ576" s="118">
        <f>IFERROR(
HLOOKUP(VLOOKUP($C576,'Employee information'!$B:$M,COLUMNS('Employee information'!$B:$M),0),'PAYG worksheet'!$AO$561:$AY$580,COUNTA($C$562:$C576)+1,0),
0)</f>
        <v>0</v>
      </c>
      <c r="BA576" s="118"/>
      <c r="BB576" s="118">
        <f t="shared" si="604"/>
        <v>0</v>
      </c>
      <c r="BC576" s="119">
        <f>IFERROR(
IF(OR($AE576=1,$AE576=""),SUM($P576,$AA576,$AC576,$AK576)*VLOOKUP($C576,'Employee information'!$B:$Q,COLUMNS('Employee information'!$B:$H),0),
IF($AE576=0,SUM($P576,$AA576,$AK576)*VLOOKUP($C576,'Employee information'!$B:$Q,COLUMNS('Employee information'!$B:$H),0),
0)),
0)</f>
        <v>0</v>
      </c>
      <c r="BE576" s="114">
        <f t="shared" si="589"/>
        <v>0</v>
      </c>
      <c r="BF576" s="114">
        <f t="shared" si="590"/>
        <v>0</v>
      </c>
      <c r="BG576" s="114">
        <f t="shared" si="591"/>
        <v>0</v>
      </c>
      <c r="BH576" s="114">
        <f t="shared" si="592"/>
        <v>0</v>
      </c>
      <c r="BI576" s="114">
        <f t="shared" si="593"/>
        <v>0</v>
      </c>
      <c r="BJ576" s="114">
        <f t="shared" si="594"/>
        <v>0</v>
      </c>
      <c r="BK576" s="114">
        <f t="shared" si="595"/>
        <v>0</v>
      </c>
      <c r="BL576" s="114">
        <f t="shared" si="605"/>
        <v>0</v>
      </c>
      <c r="BM576" s="114">
        <f t="shared" si="596"/>
        <v>0</v>
      </c>
    </row>
    <row r="577" spans="1:65" x14ac:dyDescent="0.25">
      <c r="A577" s="228">
        <f t="shared" si="584"/>
        <v>20</v>
      </c>
      <c r="C577" s="278"/>
      <c r="E577" s="103">
        <f>IF($C577="",0,
IF(AND($E$2="Monthly",$A577&gt;12),0,
IF($E$2="Monthly",VLOOKUP($C577,'Employee information'!$B:$AM,COLUMNS('Employee information'!$B:S),0),
IF($E$2="Fortnightly",VLOOKUP($C577,'Employee information'!$B:$AM,COLUMNS('Employee information'!$B:R),0),
0))))</f>
        <v>0</v>
      </c>
      <c r="F577" s="106"/>
      <c r="G577" s="106"/>
      <c r="H577" s="106"/>
      <c r="I577" s="106"/>
      <c r="J577" s="103">
        <f t="shared" si="597"/>
        <v>0</v>
      </c>
      <c r="L577" s="113">
        <f>IF(AND($E$2="Monthly",$A577&gt;12),"",
IFERROR($J577*VLOOKUP($C577,'Employee information'!$B:$AI,COLUMNS('Employee information'!$B:$P),0),0))</f>
        <v>0</v>
      </c>
      <c r="M577" s="114">
        <f t="shared" si="598"/>
        <v>0</v>
      </c>
      <c r="O577" s="103">
        <f t="shared" si="599"/>
        <v>0</v>
      </c>
      <c r="P577" s="113">
        <f>IFERROR(
IF(AND($E$2="Monthly",$A577&gt;12),0,
$O577*VLOOKUP($C577,'Employee information'!$B:$AI,COLUMNS('Employee information'!$B:$P),0)),
0)</f>
        <v>0</v>
      </c>
      <c r="R577" s="114">
        <f t="shared" si="585"/>
        <v>0</v>
      </c>
      <c r="T577" s="103"/>
      <c r="U577" s="103"/>
      <c r="V577" s="282" t="str">
        <f>IF($C577="","",
IF(AND($E$2="Monthly",$A577&gt;12),"",
$T577*VLOOKUP($C577,'Employee information'!$B:$P,COLUMNS('Employee information'!$B:$P),0)))</f>
        <v/>
      </c>
      <c r="W577" s="282" t="str">
        <f>IF($C577="","",
IF(AND($E$2="Monthly",$A577&gt;12),"",
$U577*VLOOKUP($C577,'Employee information'!$B:$P,COLUMNS('Employee information'!$B:$P),0)))</f>
        <v/>
      </c>
      <c r="X577" s="114">
        <f t="shared" si="586"/>
        <v>0</v>
      </c>
      <c r="Y577" s="114">
        <f t="shared" si="587"/>
        <v>0</v>
      </c>
      <c r="AA577" s="118">
        <f>IFERROR(
IF(OR('Basic payroll data'!$D$12="",'Basic payroll data'!$D$12="No"),0,
$T577*VLOOKUP($C577,'Employee information'!$B:$P,COLUMNS('Employee information'!$B:$P),0)*AL_loading_perc),
0)</f>
        <v>0</v>
      </c>
      <c r="AC577" s="118"/>
      <c r="AD577" s="118"/>
      <c r="AE577" s="283" t="str">
        <f t="shared" si="600"/>
        <v/>
      </c>
      <c r="AF577" s="283" t="str">
        <f t="shared" si="601"/>
        <v/>
      </c>
      <c r="AG577" s="118"/>
      <c r="AH577" s="118"/>
      <c r="AI577" s="283" t="str">
        <f t="shared" si="602"/>
        <v/>
      </c>
      <c r="AJ577" s="118"/>
      <c r="AK577" s="118"/>
      <c r="AM577" s="118">
        <f t="shared" si="603"/>
        <v>0</v>
      </c>
      <c r="AN577" s="118">
        <f t="shared" si="588"/>
        <v>0</v>
      </c>
      <c r="AO577" s="118" t="str">
        <f>IFERROR(
IF(VLOOKUP($C577,'Employee information'!$B:$M,COLUMNS('Employee information'!$B:$M),0)=1,
IF($E$2="Fortnightly",
ROUND(
ROUND((((TRUNC($AN577/2,0)+0.99))*VLOOKUP((TRUNC($AN577/2,0)+0.99),'Tax scales - NAT 1004'!$A$12:$C$18,2,1)-VLOOKUP((TRUNC($AN577/2,0)+0.99),'Tax scales - NAT 1004'!$A$12:$C$18,3,1)),0)
*2,
0),
IF(AND($E$2="Monthly",ROUND($AN577-TRUNC($AN577),2)=0.33),
ROUND(
ROUND(((TRUNC(($AN577+0.01)*3/13,0)+0.99)*VLOOKUP((TRUNC(($AN577+0.01)*3/13,0)+0.99),'Tax scales - NAT 1004'!$A$12:$C$18,2,1)-VLOOKUP((TRUNC(($AN577+0.01)*3/13,0)+0.99),'Tax scales - NAT 1004'!$A$12:$C$18,3,1)),0)
*13/3,
0),
IF($E$2="Monthly",
ROUND(
ROUND(((TRUNC($AN577*3/13,0)+0.99)*VLOOKUP((TRUNC($AN577*3/13,0)+0.99),'Tax scales - NAT 1004'!$A$12:$C$18,2,1)-VLOOKUP((TRUNC($AN577*3/13,0)+0.99),'Tax scales - NAT 1004'!$A$12:$C$18,3,1)),0)
*13/3,
0),
""))),
""),
"")</f>
        <v/>
      </c>
      <c r="AP577" s="118" t="str">
        <f>IFERROR(
IF(VLOOKUP($C577,'Employee information'!$B:$M,COLUMNS('Employee information'!$B:$M),0)=2,
IF($E$2="Fortnightly",
ROUND(
ROUND((((TRUNC($AN577/2,0)+0.99))*VLOOKUP((TRUNC($AN577/2,0)+0.99),'Tax scales - NAT 1004'!$A$25:$C$33,2,1)-VLOOKUP((TRUNC($AN577/2,0)+0.99),'Tax scales - NAT 1004'!$A$25:$C$33,3,1)),0)
*2,
0),
IF(AND($E$2="Monthly",ROUND($AN577-TRUNC($AN577),2)=0.33),
ROUND(
ROUND(((TRUNC(($AN577+0.01)*3/13,0)+0.99)*VLOOKUP((TRUNC(($AN577+0.01)*3/13,0)+0.99),'Tax scales - NAT 1004'!$A$25:$C$33,2,1)-VLOOKUP((TRUNC(($AN577+0.01)*3/13,0)+0.99),'Tax scales - NAT 1004'!$A$25:$C$33,3,1)),0)
*13/3,
0),
IF($E$2="Monthly",
ROUND(
ROUND(((TRUNC($AN577*3/13,0)+0.99)*VLOOKUP((TRUNC($AN577*3/13,0)+0.99),'Tax scales - NAT 1004'!$A$25:$C$33,2,1)-VLOOKUP((TRUNC($AN577*3/13,0)+0.99),'Tax scales - NAT 1004'!$A$25:$C$33,3,1)),0)
*13/3,
0),
""))),
""),
"")</f>
        <v/>
      </c>
      <c r="AQ577" s="118" t="str">
        <f>IFERROR(
IF(VLOOKUP($C577,'Employee information'!$B:$M,COLUMNS('Employee information'!$B:$M),0)=3,
IF($E$2="Fortnightly",
ROUND(
ROUND((((TRUNC($AN577/2,0)+0.99))*VLOOKUP((TRUNC($AN577/2,0)+0.99),'Tax scales - NAT 1004'!$A$39:$C$41,2,1)-VLOOKUP((TRUNC($AN577/2,0)+0.99),'Tax scales - NAT 1004'!$A$39:$C$41,3,1)),0)
*2,
0),
IF(AND($E$2="Monthly",ROUND($AN577-TRUNC($AN577),2)=0.33),
ROUND(
ROUND(((TRUNC(($AN577+0.01)*3/13,0)+0.99)*VLOOKUP((TRUNC(($AN577+0.01)*3/13,0)+0.99),'Tax scales - NAT 1004'!$A$39:$C$41,2,1)-VLOOKUP((TRUNC(($AN577+0.01)*3/13,0)+0.99),'Tax scales - NAT 1004'!$A$39:$C$41,3,1)),0)
*13/3,
0),
IF($E$2="Monthly",
ROUND(
ROUND(((TRUNC($AN577*3/13,0)+0.99)*VLOOKUP((TRUNC($AN577*3/13,0)+0.99),'Tax scales - NAT 1004'!$A$39:$C$41,2,1)-VLOOKUP((TRUNC($AN577*3/13,0)+0.99),'Tax scales - NAT 1004'!$A$39:$C$41,3,1)),0)
*13/3,
0),
""))),
""),
"")</f>
        <v/>
      </c>
      <c r="AR577" s="118" t="str">
        <f>IFERROR(
IF(AND(VLOOKUP($C577,'Employee information'!$B:$M,COLUMNS('Employee information'!$B:$M),0)=4,
VLOOKUP($C577,'Employee information'!$B:$J,COLUMNS('Employee information'!$B:$J),0)="Resident"),
TRUNC(TRUNC($AN577)*'Tax scales - NAT 1004'!$B$47),
IF(AND(VLOOKUP($C577,'Employee information'!$B:$M,COLUMNS('Employee information'!$B:$M),0)=4,
VLOOKUP($C577,'Employee information'!$B:$J,COLUMNS('Employee information'!$B:$J),0)="Foreign resident"),
TRUNC(TRUNC($AN577)*'Tax scales - NAT 1004'!$B$48),
"")),
"")</f>
        <v/>
      </c>
      <c r="AS577" s="118" t="str">
        <f>IFERROR(
IF(VLOOKUP($C577,'Employee information'!$B:$M,COLUMNS('Employee information'!$B:$M),0)=5,
IF($E$2="Fortnightly",
ROUND(
ROUND((((TRUNC($AN577/2,0)+0.99))*VLOOKUP((TRUNC($AN577/2,0)+0.99),'Tax scales - NAT 1004'!$A$53:$C$59,2,1)-VLOOKUP((TRUNC($AN577/2,0)+0.99),'Tax scales - NAT 1004'!$A$53:$C$59,3,1)),0)
*2,
0),
IF(AND($E$2="Monthly",ROUND($AN577-TRUNC($AN577),2)=0.33),
ROUND(
ROUND(((TRUNC(($AN577+0.01)*3/13,0)+0.99)*VLOOKUP((TRUNC(($AN577+0.01)*3/13,0)+0.99),'Tax scales - NAT 1004'!$A$53:$C$59,2,1)-VLOOKUP((TRUNC(($AN577+0.01)*3/13,0)+0.99),'Tax scales - NAT 1004'!$A$53:$C$59,3,1)),0)
*13/3,
0),
IF($E$2="Monthly",
ROUND(
ROUND(((TRUNC($AN577*3/13,0)+0.99)*VLOOKUP((TRUNC($AN577*3/13,0)+0.99),'Tax scales - NAT 1004'!$A$53:$C$59,2,1)-VLOOKUP((TRUNC($AN577*3/13,0)+0.99),'Tax scales - NAT 1004'!$A$53:$C$59,3,1)),0)
*13/3,
0),
""))),
""),
"")</f>
        <v/>
      </c>
      <c r="AT577" s="118" t="str">
        <f>IFERROR(
IF(VLOOKUP($C577,'Employee information'!$B:$M,COLUMNS('Employee information'!$B:$M),0)=6,
IF($E$2="Fortnightly",
ROUND(
ROUND((((TRUNC($AN577/2,0)+0.99))*VLOOKUP((TRUNC($AN577/2,0)+0.99),'Tax scales - NAT 1004'!$A$65:$C$73,2,1)-VLOOKUP((TRUNC($AN577/2,0)+0.99),'Tax scales - NAT 1004'!$A$65:$C$73,3,1)),0)
*2,
0),
IF(AND($E$2="Monthly",ROUND($AN577-TRUNC($AN577),2)=0.33),
ROUND(
ROUND(((TRUNC(($AN577+0.01)*3/13,0)+0.99)*VLOOKUP((TRUNC(($AN577+0.01)*3/13,0)+0.99),'Tax scales - NAT 1004'!$A$65:$C$73,2,1)-VLOOKUP((TRUNC(($AN577+0.01)*3/13,0)+0.99),'Tax scales - NAT 1004'!$A$65:$C$73,3,1)),0)
*13/3,
0),
IF($E$2="Monthly",
ROUND(
ROUND(((TRUNC($AN577*3/13,0)+0.99)*VLOOKUP((TRUNC($AN577*3/13,0)+0.99),'Tax scales - NAT 1004'!$A$65:$C$73,2,1)-VLOOKUP((TRUNC($AN577*3/13,0)+0.99),'Tax scales - NAT 1004'!$A$65:$C$73,3,1)),0)
*13/3,
0),
""))),
""),
"")</f>
        <v/>
      </c>
      <c r="AU577" s="118" t="str">
        <f>IFERROR(
IF(VLOOKUP($C577,'Employee information'!$B:$M,COLUMNS('Employee information'!$B:$M),0)=11,
IF($E$2="Fortnightly",
ROUND(
ROUND((((TRUNC($AN577/2,0)+0.99))*VLOOKUP((TRUNC($AN577/2,0)+0.99),'Tax scales - NAT 3539'!$A$14:$C$38,2,1)-VLOOKUP((TRUNC($AN577/2,0)+0.99),'Tax scales - NAT 3539'!$A$14:$C$38,3,1)),0)
*2,
0),
IF(AND($E$2="Monthly",ROUND($AN577-TRUNC($AN577),2)=0.33),
ROUND(
ROUND(((TRUNC(($AN577+0.01)*3/13,0)+0.99)*VLOOKUP((TRUNC(($AN577+0.01)*3/13,0)+0.99),'Tax scales - NAT 3539'!$A$14:$C$38,2,1)-VLOOKUP((TRUNC(($AN577+0.01)*3/13,0)+0.99),'Tax scales - NAT 3539'!$A$14:$C$38,3,1)),0)
*13/3,
0),
IF($E$2="Monthly",
ROUND(
ROUND(((TRUNC($AN577*3/13,0)+0.99)*VLOOKUP((TRUNC($AN577*3/13,0)+0.99),'Tax scales - NAT 3539'!$A$14:$C$38,2,1)-VLOOKUP((TRUNC($AN577*3/13,0)+0.99),'Tax scales - NAT 3539'!$A$14:$C$38,3,1)),0)
*13/3,
0),
""))),
""),
"")</f>
        <v/>
      </c>
      <c r="AV577" s="118" t="str">
        <f>IFERROR(
IF(VLOOKUP($C577,'Employee information'!$B:$M,COLUMNS('Employee information'!$B:$M),0)=22,
IF($E$2="Fortnightly",
ROUND(
ROUND((((TRUNC($AN577/2,0)+0.99))*VLOOKUP((TRUNC($AN577/2,0)+0.99),'Tax scales - NAT 3539'!$A$43:$C$69,2,1)-VLOOKUP((TRUNC($AN577/2,0)+0.99),'Tax scales - NAT 3539'!$A$43:$C$69,3,1)),0)
*2,
0),
IF(AND($E$2="Monthly",ROUND($AN577-TRUNC($AN577),2)=0.33),
ROUND(
ROUND(((TRUNC(($AN577+0.01)*3/13,0)+0.99)*VLOOKUP((TRUNC(($AN577+0.01)*3/13,0)+0.99),'Tax scales - NAT 3539'!$A$43:$C$69,2,1)-VLOOKUP((TRUNC(($AN577+0.01)*3/13,0)+0.99),'Tax scales - NAT 3539'!$A$43:$C$69,3,1)),0)
*13/3,
0),
IF($E$2="Monthly",
ROUND(
ROUND(((TRUNC($AN577*3/13,0)+0.99)*VLOOKUP((TRUNC($AN577*3/13,0)+0.99),'Tax scales - NAT 3539'!$A$43:$C$69,2,1)-VLOOKUP((TRUNC($AN577*3/13,0)+0.99),'Tax scales - NAT 3539'!$A$43:$C$69,3,1)),0)
*13/3,
0),
""))),
""),
"")</f>
        <v/>
      </c>
      <c r="AW577" s="118" t="str">
        <f>IFERROR(
IF(VLOOKUP($C577,'Employee information'!$B:$M,COLUMNS('Employee information'!$B:$M),0)=33,
IF($E$2="Fortnightly",
ROUND(
ROUND((((TRUNC($AN577/2,0)+0.99))*VLOOKUP((TRUNC($AN577/2,0)+0.99),'Tax scales - NAT 3539'!$A$74:$C$94,2,1)-VLOOKUP((TRUNC($AN577/2,0)+0.99),'Tax scales - NAT 3539'!$A$74:$C$94,3,1)),0)
*2,
0),
IF(AND($E$2="Monthly",ROUND($AN577-TRUNC($AN577),2)=0.33),
ROUND(
ROUND(((TRUNC(($AN577+0.01)*3/13,0)+0.99)*VLOOKUP((TRUNC(($AN577+0.01)*3/13,0)+0.99),'Tax scales - NAT 3539'!$A$74:$C$94,2,1)-VLOOKUP((TRUNC(($AN577+0.01)*3/13,0)+0.99),'Tax scales - NAT 3539'!$A$74:$C$94,3,1)),0)
*13/3,
0),
IF($E$2="Monthly",
ROUND(
ROUND(((TRUNC($AN577*3/13,0)+0.99)*VLOOKUP((TRUNC($AN577*3/13,0)+0.99),'Tax scales - NAT 3539'!$A$74:$C$94,2,1)-VLOOKUP((TRUNC($AN577*3/13,0)+0.99),'Tax scales - NAT 3539'!$A$74:$C$94,3,1)),0)
*13/3,
0),
""))),
""),
"")</f>
        <v/>
      </c>
      <c r="AX577" s="118" t="str">
        <f>IFERROR(
IF(VLOOKUP($C577,'Employee information'!$B:$M,COLUMNS('Employee information'!$B:$M),0)=55,
IF($E$2="Fortnightly",
ROUND(
ROUND((((TRUNC($AN577/2,0)+0.99))*VLOOKUP((TRUNC($AN577/2,0)+0.99),'Tax scales - NAT 3539'!$A$99:$C$123,2,1)-VLOOKUP((TRUNC($AN577/2,0)+0.99),'Tax scales - NAT 3539'!$A$99:$C$123,3,1)),0)
*2,
0),
IF(AND($E$2="Monthly",ROUND($AN577-TRUNC($AN577),2)=0.33),
ROUND(
ROUND(((TRUNC(($AN577+0.01)*3/13,0)+0.99)*VLOOKUP((TRUNC(($AN577+0.01)*3/13,0)+0.99),'Tax scales - NAT 3539'!$A$99:$C$123,2,1)-VLOOKUP((TRUNC(($AN577+0.01)*3/13,0)+0.99),'Tax scales - NAT 3539'!$A$99:$C$123,3,1)),0)
*13/3,
0),
IF($E$2="Monthly",
ROUND(
ROUND(((TRUNC($AN577*3/13,0)+0.99)*VLOOKUP((TRUNC($AN577*3/13,0)+0.99),'Tax scales - NAT 3539'!$A$99:$C$123,2,1)-VLOOKUP((TRUNC($AN577*3/13,0)+0.99),'Tax scales - NAT 3539'!$A$99:$C$123,3,1)),0)
*13/3,
0),
""))),
""),
"")</f>
        <v/>
      </c>
      <c r="AY577" s="118" t="str">
        <f>IFERROR(
IF(VLOOKUP($C577,'Employee information'!$B:$M,COLUMNS('Employee information'!$B:$M),0)=66,
IF($E$2="Fortnightly",
ROUND(
ROUND((((TRUNC($AN577/2,0)+0.99))*VLOOKUP((TRUNC($AN577/2,0)+0.99),'Tax scales - NAT 3539'!$A$127:$C$154,2,1)-VLOOKUP((TRUNC($AN577/2,0)+0.99),'Tax scales - NAT 3539'!$A$127:$C$154,3,1)),0)
*2,
0),
IF(AND($E$2="Monthly",ROUND($AN577-TRUNC($AN577),2)=0.33),
ROUND(
ROUND(((TRUNC(($AN577+0.01)*3/13,0)+0.99)*VLOOKUP((TRUNC(($AN577+0.01)*3/13,0)+0.99),'Tax scales - NAT 3539'!$A$127:$C$154,2,1)-VLOOKUP((TRUNC(($AN577+0.01)*3/13,0)+0.99),'Tax scales - NAT 3539'!$A$127:$C$154,3,1)),0)
*13/3,
0),
IF($E$2="Monthly",
ROUND(
ROUND(((TRUNC($AN577*3/13,0)+0.99)*VLOOKUP((TRUNC($AN577*3/13,0)+0.99),'Tax scales - NAT 3539'!$A$127:$C$154,2,1)-VLOOKUP((TRUNC($AN577*3/13,0)+0.99),'Tax scales - NAT 3539'!$A$127:$C$154,3,1)),0)
*13/3,
0),
""))),
""),
"")</f>
        <v/>
      </c>
      <c r="AZ577" s="118">
        <f>IFERROR(
HLOOKUP(VLOOKUP($C577,'Employee information'!$B:$M,COLUMNS('Employee information'!$B:$M),0),'PAYG worksheet'!$AO$561:$AY$580,COUNTA($C$562:$C577)+1,0),
0)</f>
        <v>0</v>
      </c>
      <c r="BA577" s="118"/>
      <c r="BB577" s="118">
        <f t="shared" si="604"/>
        <v>0</v>
      </c>
      <c r="BC577" s="119">
        <f>IFERROR(
IF(OR($AE577=1,$AE577=""),SUM($P577,$AA577,$AC577,$AK577)*VLOOKUP($C577,'Employee information'!$B:$Q,COLUMNS('Employee information'!$B:$H),0),
IF($AE577=0,SUM($P577,$AA577,$AK577)*VLOOKUP($C577,'Employee information'!$B:$Q,COLUMNS('Employee information'!$B:$H),0),
0)),
0)</f>
        <v>0</v>
      </c>
      <c r="BE577" s="114">
        <f t="shared" si="589"/>
        <v>0</v>
      </c>
      <c r="BF577" s="114">
        <f t="shared" si="590"/>
        <v>0</v>
      </c>
      <c r="BG577" s="114">
        <f t="shared" si="591"/>
        <v>0</v>
      </c>
      <c r="BH577" s="114">
        <f t="shared" si="592"/>
        <v>0</v>
      </c>
      <c r="BI577" s="114">
        <f t="shared" si="593"/>
        <v>0</v>
      </c>
      <c r="BJ577" s="114">
        <f t="shared" si="594"/>
        <v>0</v>
      </c>
      <c r="BK577" s="114">
        <f t="shared" si="595"/>
        <v>0</v>
      </c>
      <c r="BL577" s="114">
        <f t="shared" si="605"/>
        <v>0</v>
      </c>
      <c r="BM577" s="114">
        <f t="shared" si="596"/>
        <v>0</v>
      </c>
    </row>
    <row r="578" spans="1:65" x14ac:dyDescent="0.25">
      <c r="A578" s="228">
        <f t="shared" si="584"/>
        <v>20</v>
      </c>
      <c r="C578" s="278"/>
      <c r="E578" s="103">
        <f>IF($C578="",0,
IF(AND($E$2="Monthly",$A578&gt;12),0,
IF($E$2="Monthly",VLOOKUP($C578,'Employee information'!$B:$AM,COLUMNS('Employee information'!$B:S),0),
IF($E$2="Fortnightly",VLOOKUP($C578,'Employee information'!$B:$AM,COLUMNS('Employee information'!$B:R),0),
0))))</f>
        <v>0</v>
      </c>
      <c r="F578" s="106"/>
      <c r="G578" s="106"/>
      <c r="H578" s="106"/>
      <c r="I578" s="106"/>
      <c r="J578" s="103">
        <f t="shared" si="597"/>
        <v>0</v>
      </c>
      <c r="L578" s="113">
        <f>IF(AND($E$2="Monthly",$A578&gt;12),"",
IFERROR($J578*VLOOKUP($C578,'Employee information'!$B:$AI,COLUMNS('Employee information'!$B:$P),0),0))</f>
        <v>0</v>
      </c>
      <c r="M578" s="114">
        <f t="shared" si="598"/>
        <v>0</v>
      </c>
      <c r="O578" s="103">
        <f t="shared" si="599"/>
        <v>0</v>
      </c>
      <c r="P578" s="113">
        <f>IFERROR(
IF(AND($E$2="Monthly",$A578&gt;12),0,
$O578*VLOOKUP($C578,'Employee information'!$B:$AI,COLUMNS('Employee information'!$B:$P),0)),
0)</f>
        <v>0</v>
      </c>
      <c r="R578" s="114">
        <f t="shared" si="585"/>
        <v>0</v>
      </c>
      <c r="T578" s="103"/>
      <c r="U578" s="103"/>
      <c r="V578" s="282" t="str">
        <f>IF($C578="","",
IF(AND($E$2="Monthly",$A578&gt;12),"",
$T578*VLOOKUP($C578,'Employee information'!$B:$P,COLUMNS('Employee information'!$B:$P),0)))</f>
        <v/>
      </c>
      <c r="W578" s="282" t="str">
        <f>IF($C578="","",
IF(AND($E$2="Monthly",$A578&gt;12),"",
$U578*VLOOKUP($C578,'Employee information'!$B:$P,COLUMNS('Employee information'!$B:$P),0)))</f>
        <v/>
      </c>
      <c r="X578" s="114">
        <f t="shared" si="586"/>
        <v>0</v>
      </c>
      <c r="Y578" s="114">
        <f t="shared" si="587"/>
        <v>0</v>
      </c>
      <c r="AA578" s="118">
        <f>IFERROR(
IF(OR('Basic payroll data'!$D$12="",'Basic payroll data'!$D$12="No"),0,
$T578*VLOOKUP($C578,'Employee information'!$B:$P,COLUMNS('Employee information'!$B:$P),0)*AL_loading_perc),
0)</f>
        <v>0</v>
      </c>
      <c r="AC578" s="118"/>
      <c r="AD578" s="118"/>
      <c r="AE578" s="283" t="str">
        <f t="shared" si="600"/>
        <v/>
      </c>
      <c r="AF578" s="283" t="str">
        <f t="shared" si="601"/>
        <v/>
      </c>
      <c r="AG578" s="118"/>
      <c r="AH578" s="118"/>
      <c r="AI578" s="283" t="str">
        <f t="shared" si="602"/>
        <v/>
      </c>
      <c r="AJ578" s="118"/>
      <c r="AK578" s="118"/>
      <c r="AM578" s="118">
        <f t="shared" si="603"/>
        <v>0</v>
      </c>
      <c r="AN578" s="118">
        <f t="shared" si="588"/>
        <v>0</v>
      </c>
      <c r="AO578" s="118" t="str">
        <f>IFERROR(
IF(VLOOKUP($C578,'Employee information'!$B:$M,COLUMNS('Employee information'!$B:$M),0)=1,
IF($E$2="Fortnightly",
ROUND(
ROUND((((TRUNC($AN578/2,0)+0.99))*VLOOKUP((TRUNC($AN578/2,0)+0.99),'Tax scales - NAT 1004'!$A$12:$C$18,2,1)-VLOOKUP((TRUNC($AN578/2,0)+0.99),'Tax scales - NAT 1004'!$A$12:$C$18,3,1)),0)
*2,
0),
IF(AND($E$2="Monthly",ROUND($AN578-TRUNC($AN578),2)=0.33),
ROUND(
ROUND(((TRUNC(($AN578+0.01)*3/13,0)+0.99)*VLOOKUP((TRUNC(($AN578+0.01)*3/13,0)+0.99),'Tax scales - NAT 1004'!$A$12:$C$18,2,1)-VLOOKUP((TRUNC(($AN578+0.01)*3/13,0)+0.99),'Tax scales - NAT 1004'!$A$12:$C$18,3,1)),0)
*13/3,
0),
IF($E$2="Monthly",
ROUND(
ROUND(((TRUNC($AN578*3/13,0)+0.99)*VLOOKUP((TRUNC($AN578*3/13,0)+0.99),'Tax scales - NAT 1004'!$A$12:$C$18,2,1)-VLOOKUP((TRUNC($AN578*3/13,0)+0.99),'Tax scales - NAT 1004'!$A$12:$C$18,3,1)),0)
*13/3,
0),
""))),
""),
"")</f>
        <v/>
      </c>
      <c r="AP578" s="118" t="str">
        <f>IFERROR(
IF(VLOOKUP($C578,'Employee information'!$B:$M,COLUMNS('Employee information'!$B:$M),0)=2,
IF($E$2="Fortnightly",
ROUND(
ROUND((((TRUNC($AN578/2,0)+0.99))*VLOOKUP((TRUNC($AN578/2,0)+0.99),'Tax scales - NAT 1004'!$A$25:$C$33,2,1)-VLOOKUP((TRUNC($AN578/2,0)+0.99),'Tax scales - NAT 1004'!$A$25:$C$33,3,1)),0)
*2,
0),
IF(AND($E$2="Monthly",ROUND($AN578-TRUNC($AN578),2)=0.33),
ROUND(
ROUND(((TRUNC(($AN578+0.01)*3/13,0)+0.99)*VLOOKUP((TRUNC(($AN578+0.01)*3/13,0)+0.99),'Tax scales - NAT 1004'!$A$25:$C$33,2,1)-VLOOKUP((TRUNC(($AN578+0.01)*3/13,0)+0.99),'Tax scales - NAT 1004'!$A$25:$C$33,3,1)),0)
*13/3,
0),
IF($E$2="Monthly",
ROUND(
ROUND(((TRUNC($AN578*3/13,0)+0.99)*VLOOKUP((TRUNC($AN578*3/13,0)+0.99),'Tax scales - NAT 1004'!$A$25:$C$33,2,1)-VLOOKUP((TRUNC($AN578*3/13,0)+0.99),'Tax scales - NAT 1004'!$A$25:$C$33,3,1)),0)
*13/3,
0),
""))),
""),
"")</f>
        <v/>
      </c>
      <c r="AQ578" s="118" t="str">
        <f>IFERROR(
IF(VLOOKUP($C578,'Employee information'!$B:$M,COLUMNS('Employee information'!$B:$M),0)=3,
IF($E$2="Fortnightly",
ROUND(
ROUND((((TRUNC($AN578/2,0)+0.99))*VLOOKUP((TRUNC($AN578/2,0)+0.99),'Tax scales - NAT 1004'!$A$39:$C$41,2,1)-VLOOKUP((TRUNC($AN578/2,0)+0.99),'Tax scales - NAT 1004'!$A$39:$C$41,3,1)),0)
*2,
0),
IF(AND($E$2="Monthly",ROUND($AN578-TRUNC($AN578),2)=0.33),
ROUND(
ROUND(((TRUNC(($AN578+0.01)*3/13,0)+0.99)*VLOOKUP((TRUNC(($AN578+0.01)*3/13,0)+0.99),'Tax scales - NAT 1004'!$A$39:$C$41,2,1)-VLOOKUP((TRUNC(($AN578+0.01)*3/13,0)+0.99),'Tax scales - NAT 1004'!$A$39:$C$41,3,1)),0)
*13/3,
0),
IF($E$2="Monthly",
ROUND(
ROUND(((TRUNC($AN578*3/13,0)+0.99)*VLOOKUP((TRUNC($AN578*3/13,0)+0.99),'Tax scales - NAT 1004'!$A$39:$C$41,2,1)-VLOOKUP((TRUNC($AN578*3/13,0)+0.99),'Tax scales - NAT 1004'!$A$39:$C$41,3,1)),0)
*13/3,
0),
""))),
""),
"")</f>
        <v/>
      </c>
      <c r="AR578" s="118" t="str">
        <f>IFERROR(
IF(AND(VLOOKUP($C578,'Employee information'!$B:$M,COLUMNS('Employee information'!$B:$M),0)=4,
VLOOKUP($C578,'Employee information'!$B:$J,COLUMNS('Employee information'!$B:$J),0)="Resident"),
TRUNC(TRUNC($AN578)*'Tax scales - NAT 1004'!$B$47),
IF(AND(VLOOKUP($C578,'Employee information'!$B:$M,COLUMNS('Employee information'!$B:$M),0)=4,
VLOOKUP($C578,'Employee information'!$B:$J,COLUMNS('Employee information'!$B:$J),0)="Foreign resident"),
TRUNC(TRUNC($AN578)*'Tax scales - NAT 1004'!$B$48),
"")),
"")</f>
        <v/>
      </c>
      <c r="AS578" s="118" t="str">
        <f>IFERROR(
IF(VLOOKUP($C578,'Employee information'!$B:$M,COLUMNS('Employee information'!$B:$M),0)=5,
IF($E$2="Fortnightly",
ROUND(
ROUND((((TRUNC($AN578/2,0)+0.99))*VLOOKUP((TRUNC($AN578/2,0)+0.99),'Tax scales - NAT 1004'!$A$53:$C$59,2,1)-VLOOKUP((TRUNC($AN578/2,0)+0.99),'Tax scales - NAT 1004'!$A$53:$C$59,3,1)),0)
*2,
0),
IF(AND($E$2="Monthly",ROUND($AN578-TRUNC($AN578),2)=0.33),
ROUND(
ROUND(((TRUNC(($AN578+0.01)*3/13,0)+0.99)*VLOOKUP((TRUNC(($AN578+0.01)*3/13,0)+0.99),'Tax scales - NAT 1004'!$A$53:$C$59,2,1)-VLOOKUP((TRUNC(($AN578+0.01)*3/13,0)+0.99),'Tax scales - NAT 1004'!$A$53:$C$59,3,1)),0)
*13/3,
0),
IF($E$2="Monthly",
ROUND(
ROUND(((TRUNC($AN578*3/13,0)+0.99)*VLOOKUP((TRUNC($AN578*3/13,0)+0.99),'Tax scales - NAT 1004'!$A$53:$C$59,2,1)-VLOOKUP((TRUNC($AN578*3/13,0)+0.99),'Tax scales - NAT 1004'!$A$53:$C$59,3,1)),0)
*13/3,
0),
""))),
""),
"")</f>
        <v/>
      </c>
      <c r="AT578" s="118" t="str">
        <f>IFERROR(
IF(VLOOKUP($C578,'Employee information'!$B:$M,COLUMNS('Employee information'!$B:$M),0)=6,
IF($E$2="Fortnightly",
ROUND(
ROUND((((TRUNC($AN578/2,0)+0.99))*VLOOKUP((TRUNC($AN578/2,0)+0.99),'Tax scales - NAT 1004'!$A$65:$C$73,2,1)-VLOOKUP((TRUNC($AN578/2,0)+0.99),'Tax scales - NAT 1004'!$A$65:$C$73,3,1)),0)
*2,
0),
IF(AND($E$2="Monthly",ROUND($AN578-TRUNC($AN578),2)=0.33),
ROUND(
ROUND(((TRUNC(($AN578+0.01)*3/13,0)+0.99)*VLOOKUP((TRUNC(($AN578+0.01)*3/13,0)+0.99),'Tax scales - NAT 1004'!$A$65:$C$73,2,1)-VLOOKUP((TRUNC(($AN578+0.01)*3/13,0)+0.99),'Tax scales - NAT 1004'!$A$65:$C$73,3,1)),0)
*13/3,
0),
IF($E$2="Monthly",
ROUND(
ROUND(((TRUNC($AN578*3/13,0)+0.99)*VLOOKUP((TRUNC($AN578*3/13,0)+0.99),'Tax scales - NAT 1004'!$A$65:$C$73,2,1)-VLOOKUP((TRUNC($AN578*3/13,0)+0.99),'Tax scales - NAT 1004'!$A$65:$C$73,3,1)),0)
*13/3,
0),
""))),
""),
"")</f>
        <v/>
      </c>
      <c r="AU578" s="118" t="str">
        <f>IFERROR(
IF(VLOOKUP($C578,'Employee information'!$B:$M,COLUMNS('Employee information'!$B:$M),0)=11,
IF($E$2="Fortnightly",
ROUND(
ROUND((((TRUNC($AN578/2,0)+0.99))*VLOOKUP((TRUNC($AN578/2,0)+0.99),'Tax scales - NAT 3539'!$A$14:$C$38,2,1)-VLOOKUP((TRUNC($AN578/2,0)+0.99),'Tax scales - NAT 3539'!$A$14:$C$38,3,1)),0)
*2,
0),
IF(AND($E$2="Monthly",ROUND($AN578-TRUNC($AN578),2)=0.33),
ROUND(
ROUND(((TRUNC(($AN578+0.01)*3/13,0)+0.99)*VLOOKUP((TRUNC(($AN578+0.01)*3/13,0)+0.99),'Tax scales - NAT 3539'!$A$14:$C$38,2,1)-VLOOKUP((TRUNC(($AN578+0.01)*3/13,0)+0.99),'Tax scales - NAT 3539'!$A$14:$C$38,3,1)),0)
*13/3,
0),
IF($E$2="Monthly",
ROUND(
ROUND(((TRUNC($AN578*3/13,0)+0.99)*VLOOKUP((TRUNC($AN578*3/13,0)+0.99),'Tax scales - NAT 3539'!$A$14:$C$38,2,1)-VLOOKUP((TRUNC($AN578*3/13,0)+0.99),'Tax scales - NAT 3539'!$A$14:$C$38,3,1)),0)
*13/3,
0),
""))),
""),
"")</f>
        <v/>
      </c>
      <c r="AV578" s="118" t="str">
        <f>IFERROR(
IF(VLOOKUP($C578,'Employee information'!$B:$M,COLUMNS('Employee information'!$B:$M),0)=22,
IF($E$2="Fortnightly",
ROUND(
ROUND((((TRUNC($AN578/2,0)+0.99))*VLOOKUP((TRUNC($AN578/2,0)+0.99),'Tax scales - NAT 3539'!$A$43:$C$69,2,1)-VLOOKUP((TRUNC($AN578/2,0)+0.99),'Tax scales - NAT 3539'!$A$43:$C$69,3,1)),0)
*2,
0),
IF(AND($E$2="Monthly",ROUND($AN578-TRUNC($AN578),2)=0.33),
ROUND(
ROUND(((TRUNC(($AN578+0.01)*3/13,0)+0.99)*VLOOKUP((TRUNC(($AN578+0.01)*3/13,0)+0.99),'Tax scales - NAT 3539'!$A$43:$C$69,2,1)-VLOOKUP((TRUNC(($AN578+0.01)*3/13,0)+0.99),'Tax scales - NAT 3539'!$A$43:$C$69,3,1)),0)
*13/3,
0),
IF($E$2="Monthly",
ROUND(
ROUND(((TRUNC($AN578*3/13,0)+0.99)*VLOOKUP((TRUNC($AN578*3/13,0)+0.99),'Tax scales - NAT 3539'!$A$43:$C$69,2,1)-VLOOKUP((TRUNC($AN578*3/13,0)+0.99),'Tax scales - NAT 3539'!$A$43:$C$69,3,1)),0)
*13/3,
0),
""))),
""),
"")</f>
        <v/>
      </c>
      <c r="AW578" s="118" t="str">
        <f>IFERROR(
IF(VLOOKUP($C578,'Employee information'!$B:$M,COLUMNS('Employee information'!$B:$M),0)=33,
IF($E$2="Fortnightly",
ROUND(
ROUND((((TRUNC($AN578/2,0)+0.99))*VLOOKUP((TRUNC($AN578/2,0)+0.99),'Tax scales - NAT 3539'!$A$74:$C$94,2,1)-VLOOKUP((TRUNC($AN578/2,0)+0.99),'Tax scales - NAT 3539'!$A$74:$C$94,3,1)),0)
*2,
0),
IF(AND($E$2="Monthly",ROUND($AN578-TRUNC($AN578),2)=0.33),
ROUND(
ROUND(((TRUNC(($AN578+0.01)*3/13,0)+0.99)*VLOOKUP((TRUNC(($AN578+0.01)*3/13,0)+0.99),'Tax scales - NAT 3539'!$A$74:$C$94,2,1)-VLOOKUP((TRUNC(($AN578+0.01)*3/13,0)+0.99),'Tax scales - NAT 3539'!$A$74:$C$94,3,1)),0)
*13/3,
0),
IF($E$2="Monthly",
ROUND(
ROUND(((TRUNC($AN578*3/13,0)+0.99)*VLOOKUP((TRUNC($AN578*3/13,0)+0.99),'Tax scales - NAT 3539'!$A$74:$C$94,2,1)-VLOOKUP((TRUNC($AN578*3/13,0)+0.99),'Tax scales - NAT 3539'!$A$74:$C$94,3,1)),0)
*13/3,
0),
""))),
""),
"")</f>
        <v/>
      </c>
      <c r="AX578" s="118" t="str">
        <f>IFERROR(
IF(VLOOKUP($C578,'Employee information'!$B:$M,COLUMNS('Employee information'!$B:$M),0)=55,
IF($E$2="Fortnightly",
ROUND(
ROUND((((TRUNC($AN578/2,0)+0.99))*VLOOKUP((TRUNC($AN578/2,0)+0.99),'Tax scales - NAT 3539'!$A$99:$C$123,2,1)-VLOOKUP((TRUNC($AN578/2,0)+0.99),'Tax scales - NAT 3539'!$A$99:$C$123,3,1)),0)
*2,
0),
IF(AND($E$2="Monthly",ROUND($AN578-TRUNC($AN578),2)=0.33),
ROUND(
ROUND(((TRUNC(($AN578+0.01)*3/13,0)+0.99)*VLOOKUP((TRUNC(($AN578+0.01)*3/13,0)+0.99),'Tax scales - NAT 3539'!$A$99:$C$123,2,1)-VLOOKUP((TRUNC(($AN578+0.01)*3/13,0)+0.99),'Tax scales - NAT 3539'!$A$99:$C$123,3,1)),0)
*13/3,
0),
IF($E$2="Monthly",
ROUND(
ROUND(((TRUNC($AN578*3/13,0)+0.99)*VLOOKUP((TRUNC($AN578*3/13,0)+0.99),'Tax scales - NAT 3539'!$A$99:$C$123,2,1)-VLOOKUP((TRUNC($AN578*3/13,0)+0.99),'Tax scales - NAT 3539'!$A$99:$C$123,3,1)),0)
*13/3,
0),
""))),
""),
"")</f>
        <v/>
      </c>
      <c r="AY578" s="118" t="str">
        <f>IFERROR(
IF(VLOOKUP($C578,'Employee information'!$B:$M,COLUMNS('Employee information'!$B:$M),0)=66,
IF($E$2="Fortnightly",
ROUND(
ROUND((((TRUNC($AN578/2,0)+0.99))*VLOOKUP((TRUNC($AN578/2,0)+0.99),'Tax scales - NAT 3539'!$A$127:$C$154,2,1)-VLOOKUP((TRUNC($AN578/2,0)+0.99),'Tax scales - NAT 3539'!$A$127:$C$154,3,1)),0)
*2,
0),
IF(AND($E$2="Monthly",ROUND($AN578-TRUNC($AN578),2)=0.33),
ROUND(
ROUND(((TRUNC(($AN578+0.01)*3/13,0)+0.99)*VLOOKUP((TRUNC(($AN578+0.01)*3/13,0)+0.99),'Tax scales - NAT 3539'!$A$127:$C$154,2,1)-VLOOKUP((TRUNC(($AN578+0.01)*3/13,0)+0.99),'Tax scales - NAT 3539'!$A$127:$C$154,3,1)),0)
*13/3,
0),
IF($E$2="Monthly",
ROUND(
ROUND(((TRUNC($AN578*3/13,0)+0.99)*VLOOKUP((TRUNC($AN578*3/13,0)+0.99),'Tax scales - NAT 3539'!$A$127:$C$154,2,1)-VLOOKUP((TRUNC($AN578*3/13,0)+0.99),'Tax scales - NAT 3539'!$A$127:$C$154,3,1)),0)
*13/3,
0),
""))),
""),
"")</f>
        <v/>
      </c>
      <c r="AZ578" s="118">
        <f>IFERROR(
HLOOKUP(VLOOKUP($C578,'Employee information'!$B:$M,COLUMNS('Employee information'!$B:$M),0),'PAYG worksheet'!$AO$561:$AY$580,COUNTA($C$562:$C578)+1,0),
0)</f>
        <v>0</v>
      </c>
      <c r="BA578" s="118"/>
      <c r="BB578" s="118">
        <f t="shared" si="604"/>
        <v>0</v>
      </c>
      <c r="BC578" s="119">
        <f>IFERROR(
IF(OR($AE578=1,$AE578=""),SUM($P578,$AA578,$AC578,$AK578)*VLOOKUP($C578,'Employee information'!$B:$Q,COLUMNS('Employee information'!$B:$H),0),
IF($AE578=0,SUM($P578,$AA578,$AK578)*VLOOKUP($C578,'Employee information'!$B:$Q,COLUMNS('Employee information'!$B:$H),0),
0)),
0)</f>
        <v>0</v>
      </c>
      <c r="BE578" s="114">
        <f t="shared" si="589"/>
        <v>0</v>
      </c>
      <c r="BF578" s="114">
        <f t="shared" si="590"/>
        <v>0</v>
      </c>
      <c r="BG578" s="114">
        <f t="shared" si="591"/>
        <v>0</v>
      </c>
      <c r="BH578" s="114">
        <f t="shared" si="592"/>
        <v>0</v>
      </c>
      <c r="BI578" s="114">
        <f t="shared" si="593"/>
        <v>0</v>
      </c>
      <c r="BJ578" s="114">
        <f t="shared" si="594"/>
        <v>0</v>
      </c>
      <c r="BK578" s="114">
        <f t="shared" si="595"/>
        <v>0</v>
      </c>
      <c r="BL578" s="114">
        <f t="shared" si="605"/>
        <v>0</v>
      </c>
      <c r="BM578" s="114">
        <f t="shared" si="596"/>
        <v>0</v>
      </c>
    </row>
    <row r="579" spans="1:65" x14ac:dyDescent="0.25">
      <c r="A579" s="228">
        <f t="shared" si="584"/>
        <v>20</v>
      </c>
      <c r="C579" s="278"/>
      <c r="E579" s="103">
        <f>IF($C579="",0,
IF(AND($E$2="Monthly",$A579&gt;12),0,
IF($E$2="Monthly",VLOOKUP($C579,'Employee information'!$B:$AM,COLUMNS('Employee information'!$B:S),0),
IF($E$2="Fortnightly",VLOOKUP($C579,'Employee information'!$B:$AM,COLUMNS('Employee information'!$B:R),0),
0))))</f>
        <v>0</v>
      </c>
      <c r="F579" s="106"/>
      <c r="G579" s="106"/>
      <c r="H579" s="106"/>
      <c r="I579" s="106"/>
      <c r="J579" s="103">
        <f t="shared" si="597"/>
        <v>0</v>
      </c>
      <c r="L579" s="113">
        <f>IF(AND($E$2="Monthly",$A579&gt;12),"",
IFERROR($J579*VLOOKUP($C579,'Employee information'!$B:$AI,COLUMNS('Employee information'!$B:$P),0),0))</f>
        <v>0</v>
      </c>
      <c r="M579" s="114">
        <f t="shared" si="598"/>
        <v>0</v>
      </c>
      <c r="O579" s="103">
        <f t="shared" si="599"/>
        <v>0</v>
      </c>
      <c r="P579" s="113">
        <f>IFERROR(
IF(AND($E$2="Monthly",$A579&gt;12),0,
$O579*VLOOKUP($C579,'Employee information'!$B:$AI,COLUMNS('Employee information'!$B:$P),0)),
0)</f>
        <v>0</v>
      </c>
      <c r="R579" s="114">
        <f t="shared" si="585"/>
        <v>0</v>
      </c>
      <c r="T579" s="103"/>
      <c r="U579" s="103"/>
      <c r="V579" s="282" t="str">
        <f>IF($C579="","",
IF(AND($E$2="Monthly",$A579&gt;12),"",
$T579*VLOOKUP($C579,'Employee information'!$B:$P,COLUMNS('Employee information'!$B:$P),0)))</f>
        <v/>
      </c>
      <c r="W579" s="282" t="str">
        <f>IF($C579="","",
IF(AND($E$2="Monthly",$A579&gt;12),"",
$U579*VLOOKUP($C579,'Employee information'!$B:$P,COLUMNS('Employee information'!$B:$P),0)))</f>
        <v/>
      </c>
      <c r="X579" s="114">
        <f t="shared" si="586"/>
        <v>0</v>
      </c>
      <c r="Y579" s="114">
        <f t="shared" si="587"/>
        <v>0</v>
      </c>
      <c r="AA579" s="118">
        <f>IFERROR(
IF(OR('Basic payroll data'!$D$12="",'Basic payroll data'!$D$12="No"),0,
$T579*VLOOKUP($C579,'Employee information'!$B:$P,COLUMNS('Employee information'!$B:$P),0)*AL_loading_perc),
0)</f>
        <v>0</v>
      </c>
      <c r="AC579" s="118"/>
      <c r="AD579" s="118"/>
      <c r="AE579" s="283" t="str">
        <f t="shared" si="600"/>
        <v/>
      </c>
      <c r="AF579" s="283" t="str">
        <f t="shared" si="601"/>
        <v/>
      </c>
      <c r="AG579" s="118"/>
      <c r="AH579" s="118"/>
      <c r="AI579" s="283" t="str">
        <f t="shared" si="602"/>
        <v/>
      </c>
      <c r="AJ579" s="118"/>
      <c r="AK579" s="118"/>
      <c r="AM579" s="118">
        <f t="shared" si="603"/>
        <v>0</v>
      </c>
      <c r="AN579" s="118">
        <f t="shared" si="588"/>
        <v>0</v>
      </c>
      <c r="AO579" s="118" t="str">
        <f>IFERROR(
IF(VLOOKUP($C579,'Employee information'!$B:$M,COLUMNS('Employee information'!$B:$M),0)=1,
IF($E$2="Fortnightly",
ROUND(
ROUND((((TRUNC($AN579/2,0)+0.99))*VLOOKUP((TRUNC($AN579/2,0)+0.99),'Tax scales - NAT 1004'!$A$12:$C$18,2,1)-VLOOKUP((TRUNC($AN579/2,0)+0.99),'Tax scales - NAT 1004'!$A$12:$C$18,3,1)),0)
*2,
0),
IF(AND($E$2="Monthly",ROUND($AN579-TRUNC($AN579),2)=0.33),
ROUND(
ROUND(((TRUNC(($AN579+0.01)*3/13,0)+0.99)*VLOOKUP((TRUNC(($AN579+0.01)*3/13,0)+0.99),'Tax scales - NAT 1004'!$A$12:$C$18,2,1)-VLOOKUP((TRUNC(($AN579+0.01)*3/13,0)+0.99),'Tax scales - NAT 1004'!$A$12:$C$18,3,1)),0)
*13/3,
0),
IF($E$2="Monthly",
ROUND(
ROUND(((TRUNC($AN579*3/13,0)+0.99)*VLOOKUP((TRUNC($AN579*3/13,0)+0.99),'Tax scales - NAT 1004'!$A$12:$C$18,2,1)-VLOOKUP((TRUNC($AN579*3/13,0)+0.99),'Tax scales - NAT 1004'!$A$12:$C$18,3,1)),0)
*13/3,
0),
""))),
""),
"")</f>
        <v/>
      </c>
      <c r="AP579" s="118" t="str">
        <f>IFERROR(
IF(VLOOKUP($C579,'Employee information'!$B:$M,COLUMNS('Employee information'!$B:$M),0)=2,
IF($E$2="Fortnightly",
ROUND(
ROUND((((TRUNC($AN579/2,0)+0.99))*VLOOKUP((TRUNC($AN579/2,0)+0.99),'Tax scales - NAT 1004'!$A$25:$C$33,2,1)-VLOOKUP((TRUNC($AN579/2,0)+0.99),'Tax scales - NAT 1004'!$A$25:$C$33,3,1)),0)
*2,
0),
IF(AND($E$2="Monthly",ROUND($AN579-TRUNC($AN579),2)=0.33),
ROUND(
ROUND(((TRUNC(($AN579+0.01)*3/13,0)+0.99)*VLOOKUP((TRUNC(($AN579+0.01)*3/13,0)+0.99),'Tax scales - NAT 1004'!$A$25:$C$33,2,1)-VLOOKUP((TRUNC(($AN579+0.01)*3/13,0)+0.99),'Tax scales - NAT 1004'!$A$25:$C$33,3,1)),0)
*13/3,
0),
IF($E$2="Monthly",
ROUND(
ROUND(((TRUNC($AN579*3/13,0)+0.99)*VLOOKUP((TRUNC($AN579*3/13,0)+0.99),'Tax scales - NAT 1004'!$A$25:$C$33,2,1)-VLOOKUP((TRUNC($AN579*3/13,0)+0.99),'Tax scales - NAT 1004'!$A$25:$C$33,3,1)),0)
*13/3,
0),
""))),
""),
"")</f>
        <v/>
      </c>
      <c r="AQ579" s="118" t="str">
        <f>IFERROR(
IF(VLOOKUP($C579,'Employee information'!$B:$M,COLUMNS('Employee information'!$B:$M),0)=3,
IF($E$2="Fortnightly",
ROUND(
ROUND((((TRUNC($AN579/2,0)+0.99))*VLOOKUP((TRUNC($AN579/2,0)+0.99),'Tax scales - NAT 1004'!$A$39:$C$41,2,1)-VLOOKUP((TRUNC($AN579/2,0)+0.99),'Tax scales - NAT 1004'!$A$39:$C$41,3,1)),0)
*2,
0),
IF(AND($E$2="Monthly",ROUND($AN579-TRUNC($AN579),2)=0.33),
ROUND(
ROUND(((TRUNC(($AN579+0.01)*3/13,0)+0.99)*VLOOKUP((TRUNC(($AN579+0.01)*3/13,0)+0.99),'Tax scales - NAT 1004'!$A$39:$C$41,2,1)-VLOOKUP((TRUNC(($AN579+0.01)*3/13,0)+0.99),'Tax scales - NAT 1004'!$A$39:$C$41,3,1)),0)
*13/3,
0),
IF($E$2="Monthly",
ROUND(
ROUND(((TRUNC($AN579*3/13,0)+0.99)*VLOOKUP((TRUNC($AN579*3/13,0)+0.99),'Tax scales - NAT 1004'!$A$39:$C$41,2,1)-VLOOKUP((TRUNC($AN579*3/13,0)+0.99),'Tax scales - NAT 1004'!$A$39:$C$41,3,1)),0)
*13/3,
0),
""))),
""),
"")</f>
        <v/>
      </c>
      <c r="AR579" s="118" t="str">
        <f>IFERROR(
IF(AND(VLOOKUP($C579,'Employee information'!$B:$M,COLUMNS('Employee information'!$B:$M),0)=4,
VLOOKUP($C579,'Employee information'!$B:$J,COLUMNS('Employee information'!$B:$J),0)="Resident"),
TRUNC(TRUNC($AN579)*'Tax scales - NAT 1004'!$B$47),
IF(AND(VLOOKUP($C579,'Employee information'!$B:$M,COLUMNS('Employee information'!$B:$M),0)=4,
VLOOKUP($C579,'Employee information'!$B:$J,COLUMNS('Employee information'!$B:$J),0)="Foreign resident"),
TRUNC(TRUNC($AN579)*'Tax scales - NAT 1004'!$B$48),
"")),
"")</f>
        <v/>
      </c>
      <c r="AS579" s="118" t="str">
        <f>IFERROR(
IF(VLOOKUP($C579,'Employee information'!$B:$M,COLUMNS('Employee information'!$B:$M),0)=5,
IF($E$2="Fortnightly",
ROUND(
ROUND((((TRUNC($AN579/2,0)+0.99))*VLOOKUP((TRUNC($AN579/2,0)+0.99),'Tax scales - NAT 1004'!$A$53:$C$59,2,1)-VLOOKUP((TRUNC($AN579/2,0)+0.99),'Tax scales - NAT 1004'!$A$53:$C$59,3,1)),0)
*2,
0),
IF(AND($E$2="Monthly",ROUND($AN579-TRUNC($AN579),2)=0.33),
ROUND(
ROUND(((TRUNC(($AN579+0.01)*3/13,0)+0.99)*VLOOKUP((TRUNC(($AN579+0.01)*3/13,0)+0.99),'Tax scales - NAT 1004'!$A$53:$C$59,2,1)-VLOOKUP((TRUNC(($AN579+0.01)*3/13,0)+0.99),'Tax scales - NAT 1004'!$A$53:$C$59,3,1)),0)
*13/3,
0),
IF($E$2="Monthly",
ROUND(
ROUND(((TRUNC($AN579*3/13,0)+0.99)*VLOOKUP((TRUNC($AN579*3/13,0)+0.99),'Tax scales - NAT 1004'!$A$53:$C$59,2,1)-VLOOKUP((TRUNC($AN579*3/13,0)+0.99),'Tax scales - NAT 1004'!$A$53:$C$59,3,1)),0)
*13/3,
0),
""))),
""),
"")</f>
        <v/>
      </c>
      <c r="AT579" s="118" t="str">
        <f>IFERROR(
IF(VLOOKUP($C579,'Employee information'!$B:$M,COLUMNS('Employee information'!$B:$M),0)=6,
IF($E$2="Fortnightly",
ROUND(
ROUND((((TRUNC($AN579/2,0)+0.99))*VLOOKUP((TRUNC($AN579/2,0)+0.99),'Tax scales - NAT 1004'!$A$65:$C$73,2,1)-VLOOKUP((TRUNC($AN579/2,0)+0.99),'Tax scales - NAT 1004'!$A$65:$C$73,3,1)),0)
*2,
0),
IF(AND($E$2="Monthly",ROUND($AN579-TRUNC($AN579),2)=0.33),
ROUND(
ROUND(((TRUNC(($AN579+0.01)*3/13,0)+0.99)*VLOOKUP((TRUNC(($AN579+0.01)*3/13,0)+0.99),'Tax scales - NAT 1004'!$A$65:$C$73,2,1)-VLOOKUP((TRUNC(($AN579+0.01)*3/13,0)+0.99),'Tax scales - NAT 1004'!$A$65:$C$73,3,1)),0)
*13/3,
0),
IF($E$2="Monthly",
ROUND(
ROUND(((TRUNC($AN579*3/13,0)+0.99)*VLOOKUP((TRUNC($AN579*3/13,0)+0.99),'Tax scales - NAT 1004'!$A$65:$C$73,2,1)-VLOOKUP((TRUNC($AN579*3/13,0)+0.99),'Tax scales - NAT 1004'!$A$65:$C$73,3,1)),0)
*13/3,
0),
""))),
""),
"")</f>
        <v/>
      </c>
      <c r="AU579" s="118" t="str">
        <f>IFERROR(
IF(VLOOKUP($C579,'Employee information'!$B:$M,COLUMNS('Employee information'!$B:$M),0)=11,
IF($E$2="Fortnightly",
ROUND(
ROUND((((TRUNC($AN579/2,0)+0.99))*VLOOKUP((TRUNC($AN579/2,0)+0.99),'Tax scales - NAT 3539'!$A$14:$C$38,2,1)-VLOOKUP((TRUNC($AN579/2,0)+0.99),'Tax scales - NAT 3539'!$A$14:$C$38,3,1)),0)
*2,
0),
IF(AND($E$2="Monthly",ROUND($AN579-TRUNC($AN579),2)=0.33),
ROUND(
ROUND(((TRUNC(($AN579+0.01)*3/13,0)+0.99)*VLOOKUP((TRUNC(($AN579+0.01)*3/13,0)+0.99),'Tax scales - NAT 3539'!$A$14:$C$38,2,1)-VLOOKUP((TRUNC(($AN579+0.01)*3/13,0)+0.99),'Tax scales - NAT 3539'!$A$14:$C$38,3,1)),0)
*13/3,
0),
IF($E$2="Monthly",
ROUND(
ROUND(((TRUNC($AN579*3/13,0)+0.99)*VLOOKUP((TRUNC($AN579*3/13,0)+0.99),'Tax scales - NAT 3539'!$A$14:$C$38,2,1)-VLOOKUP((TRUNC($AN579*3/13,0)+0.99),'Tax scales - NAT 3539'!$A$14:$C$38,3,1)),0)
*13/3,
0),
""))),
""),
"")</f>
        <v/>
      </c>
      <c r="AV579" s="118" t="str">
        <f>IFERROR(
IF(VLOOKUP($C579,'Employee information'!$B:$M,COLUMNS('Employee information'!$B:$M),0)=22,
IF($E$2="Fortnightly",
ROUND(
ROUND((((TRUNC($AN579/2,0)+0.99))*VLOOKUP((TRUNC($AN579/2,0)+0.99),'Tax scales - NAT 3539'!$A$43:$C$69,2,1)-VLOOKUP((TRUNC($AN579/2,0)+0.99),'Tax scales - NAT 3539'!$A$43:$C$69,3,1)),0)
*2,
0),
IF(AND($E$2="Monthly",ROUND($AN579-TRUNC($AN579),2)=0.33),
ROUND(
ROUND(((TRUNC(($AN579+0.01)*3/13,0)+0.99)*VLOOKUP((TRUNC(($AN579+0.01)*3/13,0)+0.99),'Tax scales - NAT 3539'!$A$43:$C$69,2,1)-VLOOKUP((TRUNC(($AN579+0.01)*3/13,0)+0.99),'Tax scales - NAT 3539'!$A$43:$C$69,3,1)),0)
*13/3,
0),
IF($E$2="Monthly",
ROUND(
ROUND(((TRUNC($AN579*3/13,0)+0.99)*VLOOKUP((TRUNC($AN579*3/13,0)+0.99),'Tax scales - NAT 3539'!$A$43:$C$69,2,1)-VLOOKUP((TRUNC($AN579*3/13,0)+0.99),'Tax scales - NAT 3539'!$A$43:$C$69,3,1)),0)
*13/3,
0),
""))),
""),
"")</f>
        <v/>
      </c>
      <c r="AW579" s="118" t="str">
        <f>IFERROR(
IF(VLOOKUP($C579,'Employee information'!$B:$M,COLUMNS('Employee information'!$B:$M),0)=33,
IF($E$2="Fortnightly",
ROUND(
ROUND((((TRUNC($AN579/2,0)+0.99))*VLOOKUP((TRUNC($AN579/2,0)+0.99),'Tax scales - NAT 3539'!$A$74:$C$94,2,1)-VLOOKUP((TRUNC($AN579/2,0)+0.99),'Tax scales - NAT 3539'!$A$74:$C$94,3,1)),0)
*2,
0),
IF(AND($E$2="Monthly",ROUND($AN579-TRUNC($AN579),2)=0.33),
ROUND(
ROUND(((TRUNC(($AN579+0.01)*3/13,0)+0.99)*VLOOKUP((TRUNC(($AN579+0.01)*3/13,0)+0.99),'Tax scales - NAT 3539'!$A$74:$C$94,2,1)-VLOOKUP((TRUNC(($AN579+0.01)*3/13,0)+0.99),'Tax scales - NAT 3539'!$A$74:$C$94,3,1)),0)
*13/3,
0),
IF($E$2="Monthly",
ROUND(
ROUND(((TRUNC($AN579*3/13,0)+0.99)*VLOOKUP((TRUNC($AN579*3/13,0)+0.99),'Tax scales - NAT 3539'!$A$74:$C$94,2,1)-VLOOKUP((TRUNC($AN579*3/13,0)+0.99),'Tax scales - NAT 3539'!$A$74:$C$94,3,1)),0)
*13/3,
0),
""))),
""),
"")</f>
        <v/>
      </c>
      <c r="AX579" s="118" t="str">
        <f>IFERROR(
IF(VLOOKUP($C579,'Employee information'!$B:$M,COLUMNS('Employee information'!$B:$M),0)=55,
IF($E$2="Fortnightly",
ROUND(
ROUND((((TRUNC($AN579/2,0)+0.99))*VLOOKUP((TRUNC($AN579/2,0)+0.99),'Tax scales - NAT 3539'!$A$99:$C$123,2,1)-VLOOKUP((TRUNC($AN579/2,0)+0.99),'Tax scales - NAT 3539'!$A$99:$C$123,3,1)),0)
*2,
0),
IF(AND($E$2="Monthly",ROUND($AN579-TRUNC($AN579),2)=0.33),
ROUND(
ROUND(((TRUNC(($AN579+0.01)*3/13,0)+0.99)*VLOOKUP((TRUNC(($AN579+0.01)*3/13,0)+0.99),'Tax scales - NAT 3539'!$A$99:$C$123,2,1)-VLOOKUP((TRUNC(($AN579+0.01)*3/13,0)+0.99),'Tax scales - NAT 3539'!$A$99:$C$123,3,1)),0)
*13/3,
0),
IF($E$2="Monthly",
ROUND(
ROUND(((TRUNC($AN579*3/13,0)+0.99)*VLOOKUP((TRUNC($AN579*3/13,0)+0.99),'Tax scales - NAT 3539'!$A$99:$C$123,2,1)-VLOOKUP((TRUNC($AN579*3/13,0)+0.99),'Tax scales - NAT 3539'!$A$99:$C$123,3,1)),0)
*13/3,
0),
""))),
""),
"")</f>
        <v/>
      </c>
      <c r="AY579" s="118" t="str">
        <f>IFERROR(
IF(VLOOKUP($C579,'Employee information'!$B:$M,COLUMNS('Employee information'!$B:$M),0)=66,
IF($E$2="Fortnightly",
ROUND(
ROUND((((TRUNC($AN579/2,0)+0.99))*VLOOKUP((TRUNC($AN579/2,0)+0.99),'Tax scales - NAT 3539'!$A$127:$C$154,2,1)-VLOOKUP((TRUNC($AN579/2,0)+0.99),'Tax scales - NAT 3539'!$A$127:$C$154,3,1)),0)
*2,
0),
IF(AND($E$2="Monthly",ROUND($AN579-TRUNC($AN579),2)=0.33),
ROUND(
ROUND(((TRUNC(($AN579+0.01)*3/13,0)+0.99)*VLOOKUP((TRUNC(($AN579+0.01)*3/13,0)+0.99),'Tax scales - NAT 3539'!$A$127:$C$154,2,1)-VLOOKUP((TRUNC(($AN579+0.01)*3/13,0)+0.99),'Tax scales - NAT 3539'!$A$127:$C$154,3,1)),0)
*13/3,
0),
IF($E$2="Monthly",
ROUND(
ROUND(((TRUNC($AN579*3/13,0)+0.99)*VLOOKUP((TRUNC($AN579*3/13,0)+0.99),'Tax scales - NAT 3539'!$A$127:$C$154,2,1)-VLOOKUP((TRUNC($AN579*3/13,0)+0.99),'Tax scales - NAT 3539'!$A$127:$C$154,3,1)),0)
*13/3,
0),
""))),
""),
"")</f>
        <v/>
      </c>
      <c r="AZ579" s="118">
        <f>IFERROR(
HLOOKUP(VLOOKUP($C579,'Employee information'!$B:$M,COLUMNS('Employee information'!$B:$M),0),'PAYG worksheet'!$AO$561:$AY$580,COUNTA($C$562:$C579)+1,0),
0)</f>
        <v>0</v>
      </c>
      <c r="BA579" s="118"/>
      <c r="BB579" s="118">
        <f t="shared" si="604"/>
        <v>0</v>
      </c>
      <c r="BC579" s="119">
        <f>IFERROR(
IF(OR($AE579=1,$AE579=""),SUM($P579,$AA579,$AC579,$AK579)*VLOOKUP($C579,'Employee information'!$B:$Q,COLUMNS('Employee information'!$B:$H),0),
IF($AE579=0,SUM($P579,$AA579,$AK579)*VLOOKUP($C579,'Employee information'!$B:$Q,COLUMNS('Employee information'!$B:$H),0),
0)),
0)</f>
        <v>0</v>
      </c>
      <c r="BE579" s="114">
        <f t="shared" si="589"/>
        <v>0</v>
      </c>
      <c r="BF579" s="114">
        <f t="shared" si="590"/>
        <v>0</v>
      </c>
      <c r="BG579" s="114">
        <f t="shared" si="591"/>
        <v>0</v>
      </c>
      <c r="BH579" s="114">
        <f t="shared" si="592"/>
        <v>0</v>
      </c>
      <c r="BI579" s="114">
        <f t="shared" si="593"/>
        <v>0</v>
      </c>
      <c r="BJ579" s="114">
        <f t="shared" si="594"/>
        <v>0</v>
      </c>
      <c r="BK579" s="114">
        <f t="shared" si="595"/>
        <v>0</v>
      </c>
      <c r="BL579" s="114">
        <f t="shared" si="605"/>
        <v>0</v>
      </c>
      <c r="BM579" s="114">
        <f t="shared" si="596"/>
        <v>0</v>
      </c>
    </row>
    <row r="580" spans="1:65" x14ac:dyDescent="0.25">
      <c r="A580" s="228">
        <f t="shared" si="584"/>
        <v>20</v>
      </c>
      <c r="C580" s="278"/>
      <c r="E580" s="103">
        <f>IF($C580="",0,
IF(AND($E$2="Monthly",$A580&gt;12),0,
IF($E$2="Monthly",VLOOKUP($C580,'Employee information'!$B:$AM,COLUMNS('Employee information'!$B:S),0),
IF($E$2="Fortnightly",VLOOKUP($C580,'Employee information'!$B:$AM,COLUMNS('Employee information'!$B:R),0),
0))))</f>
        <v>0</v>
      </c>
      <c r="F580" s="106"/>
      <c r="G580" s="106"/>
      <c r="H580" s="106"/>
      <c r="I580" s="106"/>
      <c r="J580" s="103">
        <f t="shared" si="597"/>
        <v>0</v>
      </c>
      <c r="L580" s="113">
        <f>IF(AND($E$2="Monthly",$A580&gt;12),"",
IFERROR($J580*VLOOKUP($C580,'Employee information'!$B:$AI,COLUMNS('Employee information'!$B:$P),0),0))</f>
        <v>0</v>
      </c>
      <c r="M580" s="114">
        <f t="shared" si="598"/>
        <v>0</v>
      </c>
      <c r="O580" s="103">
        <f t="shared" si="599"/>
        <v>0</v>
      </c>
      <c r="P580" s="113">
        <f>IFERROR(
IF(AND($E$2="Monthly",$A580&gt;12),0,
$O580*VLOOKUP($C580,'Employee information'!$B:$AI,COLUMNS('Employee information'!$B:$P),0)),
0)</f>
        <v>0</v>
      </c>
      <c r="R580" s="114">
        <f t="shared" si="585"/>
        <v>0</v>
      </c>
      <c r="T580" s="103"/>
      <c r="U580" s="103"/>
      <c r="V580" s="282" t="str">
        <f>IF($C580="","",
IF(AND($E$2="Monthly",$A580&gt;12),"",
$T580*VLOOKUP($C580,'Employee information'!$B:$P,COLUMNS('Employee information'!$B:$P),0)))</f>
        <v/>
      </c>
      <c r="W580" s="282" t="str">
        <f>IF($C580="","",
IF(AND($E$2="Monthly",$A580&gt;12),"",
$U580*VLOOKUP($C580,'Employee information'!$B:$P,COLUMNS('Employee information'!$B:$P),0)))</f>
        <v/>
      </c>
      <c r="X580" s="114">
        <f t="shared" si="586"/>
        <v>0</v>
      </c>
      <c r="Y580" s="114">
        <f t="shared" si="587"/>
        <v>0</v>
      </c>
      <c r="AA580" s="118">
        <f>IFERROR(
IF(OR('Basic payroll data'!$D$12="",'Basic payroll data'!$D$12="No"),0,
$T580*VLOOKUP($C580,'Employee information'!$B:$P,COLUMNS('Employee information'!$B:$P),0)*AL_loading_perc),
0)</f>
        <v>0</v>
      </c>
      <c r="AC580" s="118"/>
      <c r="AD580" s="118"/>
      <c r="AE580" s="283" t="str">
        <f t="shared" si="600"/>
        <v/>
      </c>
      <c r="AF580" s="283" t="str">
        <f t="shared" si="601"/>
        <v/>
      </c>
      <c r="AG580" s="118"/>
      <c r="AH580" s="118"/>
      <c r="AI580" s="283" t="str">
        <f t="shared" si="602"/>
        <v/>
      </c>
      <c r="AJ580" s="118"/>
      <c r="AK580" s="118"/>
      <c r="AM580" s="118">
        <f t="shared" si="603"/>
        <v>0</v>
      </c>
      <c r="AN580" s="118">
        <f t="shared" si="588"/>
        <v>0</v>
      </c>
      <c r="AO580" s="118" t="str">
        <f>IFERROR(
IF(VLOOKUP($C580,'Employee information'!$B:$M,COLUMNS('Employee information'!$B:$M),0)=1,
IF($E$2="Fortnightly",
ROUND(
ROUND((((TRUNC($AN580/2,0)+0.99))*VLOOKUP((TRUNC($AN580/2,0)+0.99),'Tax scales - NAT 1004'!$A$12:$C$18,2,1)-VLOOKUP((TRUNC($AN580/2,0)+0.99),'Tax scales - NAT 1004'!$A$12:$C$18,3,1)),0)
*2,
0),
IF(AND($E$2="Monthly",ROUND($AN580-TRUNC($AN580),2)=0.33),
ROUND(
ROUND(((TRUNC(($AN580+0.01)*3/13,0)+0.99)*VLOOKUP((TRUNC(($AN580+0.01)*3/13,0)+0.99),'Tax scales - NAT 1004'!$A$12:$C$18,2,1)-VLOOKUP((TRUNC(($AN580+0.01)*3/13,0)+0.99),'Tax scales - NAT 1004'!$A$12:$C$18,3,1)),0)
*13/3,
0),
IF($E$2="Monthly",
ROUND(
ROUND(((TRUNC($AN580*3/13,0)+0.99)*VLOOKUP((TRUNC($AN580*3/13,0)+0.99),'Tax scales - NAT 1004'!$A$12:$C$18,2,1)-VLOOKUP((TRUNC($AN580*3/13,0)+0.99),'Tax scales - NAT 1004'!$A$12:$C$18,3,1)),0)
*13/3,
0),
""))),
""),
"")</f>
        <v/>
      </c>
      <c r="AP580" s="118" t="str">
        <f>IFERROR(
IF(VLOOKUP($C580,'Employee information'!$B:$M,COLUMNS('Employee information'!$B:$M),0)=2,
IF($E$2="Fortnightly",
ROUND(
ROUND((((TRUNC($AN580/2,0)+0.99))*VLOOKUP((TRUNC($AN580/2,0)+0.99),'Tax scales - NAT 1004'!$A$25:$C$33,2,1)-VLOOKUP((TRUNC($AN580/2,0)+0.99),'Tax scales - NAT 1004'!$A$25:$C$33,3,1)),0)
*2,
0),
IF(AND($E$2="Monthly",ROUND($AN580-TRUNC($AN580),2)=0.33),
ROUND(
ROUND(((TRUNC(($AN580+0.01)*3/13,0)+0.99)*VLOOKUP((TRUNC(($AN580+0.01)*3/13,0)+0.99),'Tax scales - NAT 1004'!$A$25:$C$33,2,1)-VLOOKUP((TRUNC(($AN580+0.01)*3/13,0)+0.99),'Tax scales - NAT 1004'!$A$25:$C$33,3,1)),0)
*13/3,
0),
IF($E$2="Monthly",
ROUND(
ROUND(((TRUNC($AN580*3/13,0)+0.99)*VLOOKUP((TRUNC($AN580*3/13,0)+0.99),'Tax scales - NAT 1004'!$A$25:$C$33,2,1)-VLOOKUP((TRUNC($AN580*3/13,0)+0.99),'Tax scales - NAT 1004'!$A$25:$C$33,3,1)),0)
*13/3,
0),
""))),
""),
"")</f>
        <v/>
      </c>
      <c r="AQ580" s="118" t="str">
        <f>IFERROR(
IF(VLOOKUP($C580,'Employee information'!$B:$M,COLUMNS('Employee information'!$B:$M),0)=3,
IF($E$2="Fortnightly",
ROUND(
ROUND((((TRUNC($AN580/2,0)+0.99))*VLOOKUP((TRUNC($AN580/2,0)+0.99),'Tax scales - NAT 1004'!$A$39:$C$41,2,1)-VLOOKUP((TRUNC($AN580/2,0)+0.99),'Tax scales - NAT 1004'!$A$39:$C$41,3,1)),0)
*2,
0),
IF(AND($E$2="Monthly",ROUND($AN580-TRUNC($AN580),2)=0.33),
ROUND(
ROUND(((TRUNC(($AN580+0.01)*3/13,0)+0.99)*VLOOKUP((TRUNC(($AN580+0.01)*3/13,0)+0.99),'Tax scales - NAT 1004'!$A$39:$C$41,2,1)-VLOOKUP((TRUNC(($AN580+0.01)*3/13,0)+0.99),'Tax scales - NAT 1004'!$A$39:$C$41,3,1)),0)
*13/3,
0),
IF($E$2="Monthly",
ROUND(
ROUND(((TRUNC($AN580*3/13,0)+0.99)*VLOOKUP((TRUNC($AN580*3/13,0)+0.99),'Tax scales - NAT 1004'!$A$39:$C$41,2,1)-VLOOKUP((TRUNC($AN580*3/13,0)+0.99),'Tax scales - NAT 1004'!$A$39:$C$41,3,1)),0)
*13/3,
0),
""))),
""),
"")</f>
        <v/>
      </c>
      <c r="AR580" s="118" t="str">
        <f>IFERROR(
IF(AND(VLOOKUP($C580,'Employee information'!$B:$M,COLUMNS('Employee information'!$B:$M),0)=4,
VLOOKUP($C580,'Employee information'!$B:$J,COLUMNS('Employee information'!$B:$J),0)="Resident"),
TRUNC(TRUNC($AN580)*'Tax scales - NAT 1004'!$B$47),
IF(AND(VLOOKUP($C580,'Employee information'!$B:$M,COLUMNS('Employee information'!$B:$M),0)=4,
VLOOKUP($C580,'Employee information'!$B:$J,COLUMNS('Employee information'!$B:$J),0)="Foreign resident"),
TRUNC(TRUNC($AN580)*'Tax scales - NAT 1004'!$B$48),
"")),
"")</f>
        <v/>
      </c>
      <c r="AS580" s="118" t="str">
        <f>IFERROR(
IF(VLOOKUP($C580,'Employee information'!$B:$M,COLUMNS('Employee information'!$B:$M),0)=5,
IF($E$2="Fortnightly",
ROUND(
ROUND((((TRUNC($AN580/2,0)+0.99))*VLOOKUP((TRUNC($AN580/2,0)+0.99),'Tax scales - NAT 1004'!$A$53:$C$59,2,1)-VLOOKUP((TRUNC($AN580/2,0)+0.99),'Tax scales - NAT 1004'!$A$53:$C$59,3,1)),0)
*2,
0),
IF(AND($E$2="Monthly",ROUND($AN580-TRUNC($AN580),2)=0.33),
ROUND(
ROUND(((TRUNC(($AN580+0.01)*3/13,0)+0.99)*VLOOKUP((TRUNC(($AN580+0.01)*3/13,0)+0.99),'Tax scales - NAT 1004'!$A$53:$C$59,2,1)-VLOOKUP((TRUNC(($AN580+0.01)*3/13,0)+0.99),'Tax scales - NAT 1004'!$A$53:$C$59,3,1)),0)
*13/3,
0),
IF($E$2="Monthly",
ROUND(
ROUND(((TRUNC($AN580*3/13,0)+0.99)*VLOOKUP((TRUNC($AN580*3/13,0)+0.99),'Tax scales - NAT 1004'!$A$53:$C$59,2,1)-VLOOKUP((TRUNC($AN580*3/13,0)+0.99),'Tax scales - NAT 1004'!$A$53:$C$59,3,1)),0)
*13/3,
0),
""))),
""),
"")</f>
        <v/>
      </c>
      <c r="AT580" s="118" t="str">
        <f>IFERROR(
IF(VLOOKUP($C580,'Employee information'!$B:$M,COLUMNS('Employee information'!$B:$M),0)=6,
IF($E$2="Fortnightly",
ROUND(
ROUND((((TRUNC($AN580/2,0)+0.99))*VLOOKUP((TRUNC($AN580/2,0)+0.99),'Tax scales - NAT 1004'!$A$65:$C$73,2,1)-VLOOKUP((TRUNC($AN580/2,0)+0.99),'Tax scales - NAT 1004'!$A$65:$C$73,3,1)),0)
*2,
0),
IF(AND($E$2="Monthly",ROUND($AN580-TRUNC($AN580),2)=0.33),
ROUND(
ROUND(((TRUNC(($AN580+0.01)*3/13,0)+0.99)*VLOOKUP((TRUNC(($AN580+0.01)*3/13,0)+0.99),'Tax scales - NAT 1004'!$A$65:$C$73,2,1)-VLOOKUP((TRUNC(($AN580+0.01)*3/13,0)+0.99),'Tax scales - NAT 1004'!$A$65:$C$73,3,1)),0)
*13/3,
0),
IF($E$2="Monthly",
ROUND(
ROUND(((TRUNC($AN580*3/13,0)+0.99)*VLOOKUP((TRUNC($AN580*3/13,0)+0.99),'Tax scales - NAT 1004'!$A$65:$C$73,2,1)-VLOOKUP((TRUNC($AN580*3/13,0)+0.99),'Tax scales - NAT 1004'!$A$65:$C$73,3,1)),0)
*13/3,
0),
""))),
""),
"")</f>
        <v/>
      </c>
      <c r="AU580" s="118" t="str">
        <f>IFERROR(
IF(VLOOKUP($C580,'Employee information'!$B:$M,COLUMNS('Employee information'!$B:$M),0)=11,
IF($E$2="Fortnightly",
ROUND(
ROUND((((TRUNC($AN580/2,0)+0.99))*VLOOKUP((TRUNC($AN580/2,0)+0.99),'Tax scales - NAT 3539'!$A$14:$C$38,2,1)-VLOOKUP((TRUNC($AN580/2,0)+0.99),'Tax scales - NAT 3539'!$A$14:$C$38,3,1)),0)
*2,
0),
IF(AND($E$2="Monthly",ROUND($AN580-TRUNC($AN580),2)=0.33),
ROUND(
ROUND(((TRUNC(($AN580+0.01)*3/13,0)+0.99)*VLOOKUP((TRUNC(($AN580+0.01)*3/13,0)+0.99),'Tax scales - NAT 3539'!$A$14:$C$38,2,1)-VLOOKUP((TRUNC(($AN580+0.01)*3/13,0)+0.99),'Tax scales - NAT 3539'!$A$14:$C$38,3,1)),0)
*13/3,
0),
IF($E$2="Monthly",
ROUND(
ROUND(((TRUNC($AN580*3/13,0)+0.99)*VLOOKUP((TRUNC($AN580*3/13,0)+0.99),'Tax scales - NAT 3539'!$A$14:$C$38,2,1)-VLOOKUP((TRUNC($AN580*3/13,0)+0.99),'Tax scales - NAT 3539'!$A$14:$C$38,3,1)),0)
*13/3,
0),
""))),
""),
"")</f>
        <v/>
      </c>
      <c r="AV580" s="118" t="str">
        <f>IFERROR(
IF(VLOOKUP($C580,'Employee information'!$B:$M,COLUMNS('Employee information'!$B:$M),0)=22,
IF($E$2="Fortnightly",
ROUND(
ROUND((((TRUNC($AN580/2,0)+0.99))*VLOOKUP((TRUNC($AN580/2,0)+0.99),'Tax scales - NAT 3539'!$A$43:$C$69,2,1)-VLOOKUP((TRUNC($AN580/2,0)+0.99),'Tax scales - NAT 3539'!$A$43:$C$69,3,1)),0)
*2,
0),
IF(AND($E$2="Monthly",ROUND($AN580-TRUNC($AN580),2)=0.33),
ROUND(
ROUND(((TRUNC(($AN580+0.01)*3/13,0)+0.99)*VLOOKUP((TRUNC(($AN580+0.01)*3/13,0)+0.99),'Tax scales - NAT 3539'!$A$43:$C$69,2,1)-VLOOKUP((TRUNC(($AN580+0.01)*3/13,0)+0.99),'Tax scales - NAT 3539'!$A$43:$C$69,3,1)),0)
*13/3,
0),
IF($E$2="Monthly",
ROUND(
ROUND(((TRUNC($AN580*3/13,0)+0.99)*VLOOKUP((TRUNC($AN580*3/13,0)+0.99),'Tax scales - NAT 3539'!$A$43:$C$69,2,1)-VLOOKUP((TRUNC($AN580*3/13,0)+0.99),'Tax scales - NAT 3539'!$A$43:$C$69,3,1)),0)
*13/3,
0),
""))),
""),
"")</f>
        <v/>
      </c>
      <c r="AW580" s="118" t="str">
        <f>IFERROR(
IF(VLOOKUP($C580,'Employee information'!$B:$M,COLUMNS('Employee information'!$B:$M),0)=33,
IF($E$2="Fortnightly",
ROUND(
ROUND((((TRUNC($AN580/2,0)+0.99))*VLOOKUP((TRUNC($AN580/2,0)+0.99),'Tax scales - NAT 3539'!$A$74:$C$94,2,1)-VLOOKUP((TRUNC($AN580/2,0)+0.99),'Tax scales - NAT 3539'!$A$74:$C$94,3,1)),0)
*2,
0),
IF(AND($E$2="Monthly",ROUND($AN580-TRUNC($AN580),2)=0.33),
ROUND(
ROUND(((TRUNC(($AN580+0.01)*3/13,0)+0.99)*VLOOKUP((TRUNC(($AN580+0.01)*3/13,0)+0.99),'Tax scales - NAT 3539'!$A$74:$C$94,2,1)-VLOOKUP((TRUNC(($AN580+0.01)*3/13,0)+0.99),'Tax scales - NAT 3539'!$A$74:$C$94,3,1)),0)
*13/3,
0),
IF($E$2="Monthly",
ROUND(
ROUND(((TRUNC($AN580*3/13,0)+0.99)*VLOOKUP((TRUNC($AN580*3/13,0)+0.99),'Tax scales - NAT 3539'!$A$74:$C$94,2,1)-VLOOKUP((TRUNC($AN580*3/13,0)+0.99),'Tax scales - NAT 3539'!$A$74:$C$94,3,1)),0)
*13/3,
0),
""))),
""),
"")</f>
        <v/>
      </c>
      <c r="AX580" s="118" t="str">
        <f>IFERROR(
IF(VLOOKUP($C580,'Employee information'!$B:$M,COLUMNS('Employee information'!$B:$M),0)=55,
IF($E$2="Fortnightly",
ROUND(
ROUND((((TRUNC($AN580/2,0)+0.99))*VLOOKUP((TRUNC($AN580/2,0)+0.99),'Tax scales - NAT 3539'!$A$99:$C$123,2,1)-VLOOKUP((TRUNC($AN580/2,0)+0.99),'Tax scales - NAT 3539'!$A$99:$C$123,3,1)),0)
*2,
0),
IF(AND($E$2="Monthly",ROUND($AN580-TRUNC($AN580),2)=0.33),
ROUND(
ROUND(((TRUNC(($AN580+0.01)*3/13,0)+0.99)*VLOOKUP((TRUNC(($AN580+0.01)*3/13,0)+0.99),'Tax scales - NAT 3539'!$A$99:$C$123,2,1)-VLOOKUP((TRUNC(($AN580+0.01)*3/13,0)+0.99),'Tax scales - NAT 3539'!$A$99:$C$123,3,1)),0)
*13/3,
0),
IF($E$2="Monthly",
ROUND(
ROUND(((TRUNC($AN580*3/13,0)+0.99)*VLOOKUP((TRUNC($AN580*3/13,0)+0.99),'Tax scales - NAT 3539'!$A$99:$C$123,2,1)-VLOOKUP((TRUNC($AN580*3/13,0)+0.99),'Tax scales - NAT 3539'!$A$99:$C$123,3,1)),0)
*13/3,
0),
""))),
""),
"")</f>
        <v/>
      </c>
      <c r="AY580" s="118" t="str">
        <f>IFERROR(
IF(VLOOKUP($C580,'Employee information'!$B:$M,COLUMNS('Employee information'!$B:$M),0)=66,
IF($E$2="Fortnightly",
ROUND(
ROUND((((TRUNC($AN580/2,0)+0.99))*VLOOKUP((TRUNC($AN580/2,0)+0.99),'Tax scales - NAT 3539'!$A$127:$C$154,2,1)-VLOOKUP((TRUNC($AN580/2,0)+0.99),'Tax scales - NAT 3539'!$A$127:$C$154,3,1)),0)
*2,
0),
IF(AND($E$2="Monthly",ROUND($AN580-TRUNC($AN580),2)=0.33),
ROUND(
ROUND(((TRUNC(($AN580+0.01)*3/13,0)+0.99)*VLOOKUP((TRUNC(($AN580+0.01)*3/13,0)+0.99),'Tax scales - NAT 3539'!$A$127:$C$154,2,1)-VLOOKUP((TRUNC(($AN580+0.01)*3/13,0)+0.99),'Tax scales - NAT 3539'!$A$127:$C$154,3,1)),0)
*13/3,
0),
IF($E$2="Monthly",
ROUND(
ROUND(((TRUNC($AN580*3/13,0)+0.99)*VLOOKUP((TRUNC($AN580*3/13,0)+0.99),'Tax scales - NAT 3539'!$A$127:$C$154,2,1)-VLOOKUP((TRUNC($AN580*3/13,0)+0.99),'Tax scales - NAT 3539'!$A$127:$C$154,3,1)),0)
*13/3,
0),
""))),
""),
"")</f>
        <v/>
      </c>
      <c r="AZ580" s="118">
        <f>IFERROR(
HLOOKUP(VLOOKUP($C580,'Employee information'!$B:$M,COLUMNS('Employee information'!$B:$M),0),'PAYG worksheet'!$AO$561:$AY$580,COUNTA($C$562:$C580)+1,0),
0)</f>
        <v>0</v>
      </c>
      <c r="BA580" s="118"/>
      <c r="BB580" s="118">
        <f t="shared" si="604"/>
        <v>0</v>
      </c>
      <c r="BC580" s="119">
        <f>IFERROR(
IF(OR($AE580=1,$AE580=""),SUM($P580,$AA580,$AC580,$AK580)*VLOOKUP($C580,'Employee information'!$B:$Q,COLUMNS('Employee information'!$B:$H),0),
IF($AE580=0,SUM($P580,$AA580,$AK580)*VLOOKUP($C580,'Employee information'!$B:$Q,COLUMNS('Employee information'!$B:$H),0),
0)),
0)</f>
        <v>0</v>
      </c>
      <c r="BE580" s="114">
        <f t="shared" si="589"/>
        <v>0</v>
      </c>
      <c r="BF580" s="114">
        <f t="shared" si="590"/>
        <v>0</v>
      </c>
      <c r="BG580" s="114">
        <f t="shared" si="591"/>
        <v>0</v>
      </c>
      <c r="BH580" s="114">
        <f t="shared" si="592"/>
        <v>0</v>
      </c>
      <c r="BI580" s="114">
        <f t="shared" si="593"/>
        <v>0</v>
      </c>
      <c r="BJ580" s="114">
        <f t="shared" si="594"/>
        <v>0</v>
      </c>
      <c r="BK580" s="114">
        <f t="shared" si="595"/>
        <v>0</v>
      </c>
      <c r="BL580" s="114">
        <f t="shared" si="605"/>
        <v>0</v>
      </c>
      <c r="BM580" s="114">
        <f t="shared" si="596"/>
        <v>0</v>
      </c>
    </row>
    <row r="581" spans="1:65" x14ac:dyDescent="0.25">
      <c r="C581" s="284" t="s">
        <v>39</v>
      </c>
      <c r="D581" s="223"/>
      <c r="E581" s="111">
        <f>SUM(E562:E580)</f>
        <v>345</v>
      </c>
      <c r="F581" s="112">
        <f t="shared" ref="F581:H581" si="606">SUM(F562:F580)</f>
        <v>0</v>
      </c>
      <c r="G581" s="112">
        <f t="shared" si="606"/>
        <v>0</v>
      </c>
      <c r="H581" s="112">
        <f t="shared" si="606"/>
        <v>0</v>
      </c>
      <c r="I581" s="112"/>
      <c r="J581" s="111">
        <f t="shared" ref="J581" si="607">SUM(J562:J580)</f>
        <v>345</v>
      </c>
      <c r="K581" s="223"/>
      <c r="L581" s="115">
        <f>SUM(L562:L580)</f>
        <v>19122.576396206536</v>
      </c>
      <c r="M581" s="115">
        <f>SUM(M562:M580)</f>
        <v>384966.9125395153</v>
      </c>
      <c r="N581" s="223"/>
      <c r="O581" s="116">
        <f>SUM(O562:O580)</f>
        <v>345</v>
      </c>
      <c r="P581" s="117">
        <f>SUM(P562:P580)</f>
        <v>19122.576396206536</v>
      </c>
      <c r="R581" s="117">
        <f>SUM(R562:R580)</f>
        <v>384966.9125395153</v>
      </c>
      <c r="S581" s="223"/>
      <c r="T581" s="116">
        <f>SUM(T562:T580)</f>
        <v>0</v>
      </c>
      <c r="U581" s="116">
        <f t="shared" ref="U581:Y581" si="608">SUM(U562:U580)</f>
        <v>0</v>
      </c>
      <c r="V581" s="285">
        <f t="shared" si="608"/>
        <v>0</v>
      </c>
      <c r="W581" s="285">
        <f t="shared" si="608"/>
        <v>0</v>
      </c>
      <c r="X581" s="285">
        <f t="shared" si="608"/>
        <v>1538.4615384615386</v>
      </c>
      <c r="Y581" s="285">
        <f t="shared" si="608"/>
        <v>801.28205128205127</v>
      </c>
      <c r="Z581" s="223"/>
      <c r="AA581" s="117">
        <f t="shared" ref="AA581" si="609">SUM(AA562:AA580)</f>
        <v>0</v>
      </c>
      <c r="AC581" s="117">
        <f t="shared" ref="AC581" si="610">SUM(AC562:AC580)</f>
        <v>0</v>
      </c>
      <c r="AD581" s="117"/>
      <c r="AE581" s="117"/>
      <c r="AF581" s="117"/>
      <c r="AG581" s="117">
        <f t="shared" ref="AG581" si="611">SUM(AG562:AG580)</f>
        <v>0</v>
      </c>
      <c r="AH581" s="117"/>
      <c r="AI581" s="117"/>
      <c r="AJ581" s="117">
        <f>SUM(AJ562:AJ580)</f>
        <v>0</v>
      </c>
      <c r="AK581" s="117">
        <f>SUM(AK562:AK580)</f>
        <v>0</v>
      </c>
      <c r="AM581" s="117">
        <f t="shared" ref="AM581:AN581" si="612">SUM(AM562:AM580)</f>
        <v>19122.576396206536</v>
      </c>
      <c r="AN581" s="117">
        <f t="shared" si="612"/>
        <v>19122.576396206536</v>
      </c>
      <c r="AO581" s="117"/>
      <c r="AP581" s="117"/>
      <c r="AQ581" s="117"/>
      <c r="AR581" s="117"/>
      <c r="AS581" s="117"/>
      <c r="AT581" s="117"/>
      <c r="AU581" s="117"/>
      <c r="AV581" s="117"/>
      <c r="AW581" s="117"/>
      <c r="AX581" s="117"/>
      <c r="AY581" s="117"/>
      <c r="AZ581" s="117">
        <f>SUM(AZ562:AZ580)</f>
        <v>7481</v>
      </c>
      <c r="BA581" s="117">
        <f>SUM(BA562:BA580)</f>
        <v>0</v>
      </c>
      <c r="BB581" s="117">
        <f>SUM(BB562:BB580)</f>
        <v>11641.576396206534</v>
      </c>
      <c r="BC581" s="117">
        <f t="shared" ref="BC581" si="613">SUM(BC562:BC580)</f>
        <v>1816.6447576396208</v>
      </c>
      <c r="BD581" s="136"/>
      <c r="BE581" s="117">
        <f t="shared" ref="BE581:BM581" si="614">SUM(BE562:BE580)</f>
        <v>385206.9125395153</v>
      </c>
      <c r="BF581" s="117">
        <f t="shared" si="614"/>
        <v>385066.9125395153</v>
      </c>
      <c r="BG581" s="117">
        <f t="shared" si="614"/>
        <v>0</v>
      </c>
      <c r="BH581" s="117">
        <f t="shared" si="614"/>
        <v>140</v>
      </c>
      <c r="BI581" s="117">
        <f t="shared" si="614"/>
        <v>150434</v>
      </c>
      <c r="BJ581" s="117">
        <f t="shared" si="614"/>
        <v>0</v>
      </c>
      <c r="BK581" s="117">
        <f t="shared" si="614"/>
        <v>0</v>
      </c>
      <c r="BL581" s="117">
        <f t="shared" si="614"/>
        <v>100</v>
      </c>
      <c r="BM581" s="117">
        <f t="shared" si="614"/>
        <v>36581.356691253946</v>
      </c>
    </row>
    <row r="583" spans="1:65" x14ac:dyDescent="0.25">
      <c r="B583" s="228">
        <v>21</v>
      </c>
      <c r="C583" s="230" t="s">
        <v>2</v>
      </c>
      <c r="E583" s="232">
        <v>44116</v>
      </c>
      <c r="F583" s="148" t="s">
        <v>91</v>
      </c>
      <c r="L583" s="286"/>
      <c r="T583" s="127"/>
      <c r="U583" s="127"/>
      <c r="V583" s="127"/>
      <c r="W583" s="127"/>
      <c r="X583" s="127"/>
      <c r="Y583" s="127"/>
    </row>
    <row r="584" spans="1:65" x14ac:dyDescent="0.25">
      <c r="C584" s="230" t="s">
        <v>3</v>
      </c>
      <c r="E584" s="232">
        <v>44127</v>
      </c>
      <c r="F584" s="148" t="s">
        <v>90</v>
      </c>
      <c r="G584" s="229"/>
      <c r="H584" s="229"/>
      <c r="I584" s="229"/>
      <c r="J584" s="229"/>
      <c r="L584" s="164"/>
      <c r="T584" s="127"/>
      <c r="U584" s="127"/>
      <c r="V584" s="127"/>
      <c r="W584" s="127"/>
      <c r="X584" s="127"/>
      <c r="Y584" s="127"/>
    </row>
    <row r="585" spans="1:65" x14ac:dyDescent="0.25">
      <c r="C585" s="233"/>
    </row>
    <row r="586" spans="1:65" ht="34.5" customHeight="1" x14ac:dyDescent="0.25">
      <c r="C586" s="234"/>
      <c r="D586" s="235"/>
      <c r="E586" s="441" t="s">
        <v>4</v>
      </c>
      <c r="F586" s="442"/>
      <c r="G586" s="442"/>
      <c r="H586" s="442"/>
      <c r="I586" s="442"/>
      <c r="J586" s="443"/>
      <c r="L586" s="444" t="s">
        <v>253</v>
      </c>
      <c r="M586" s="445"/>
      <c r="N586" s="235"/>
      <c r="O586" s="444" t="s">
        <v>148</v>
      </c>
      <c r="P586" s="445"/>
      <c r="R586" s="235"/>
      <c r="T586" s="446" t="s">
        <v>269</v>
      </c>
      <c r="U586" s="447"/>
      <c r="V586" s="447"/>
      <c r="W586" s="447"/>
      <c r="X586" s="447"/>
      <c r="Y586" s="447"/>
      <c r="Z586" s="447"/>
      <c r="AA586" s="447"/>
      <c r="AC586" s="438" t="s">
        <v>274</v>
      </c>
      <c r="AD586" s="438"/>
      <c r="AE586" s="438"/>
      <c r="AF586" s="438"/>
      <c r="AG586" s="438"/>
      <c r="AH586" s="438"/>
      <c r="AI586" s="438"/>
      <c r="AJ586" s="438"/>
      <c r="AK586" s="438"/>
      <c r="AM586" s="439" t="s">
        <v>270</v>
      </c>
      <c r="AN586" s="439"/>
      <c r="AO586" s="439"/>
      <c r="AP586" s="439"/>
      <c r="AQ586" s="439"/>
      <c r="AR586" s="439"/>
      <c r="AS586" s="439"/>
      <c r="AT586" s="439"/>
      <c r="AU586" s="439"/>
      <c r="AV586" s="439"/>
      <c r="AW586" s="439"/>
      <c r="AX586" s="439"/>
      <c r="AY586" s="439"/>
      <c r="AZ586" s="439"/>
      <c r="BA586" s="439"/>
      <c r="BB586" s="439"/>
      <c r="BC586" s="440"/>
      <c r="BE586" s="439" t="s">
        <v>246</v>
      </c>
      <c r="BF586" s="439"/>
      <c r="BG586" s="439"/>
      <c r="BH586" s="439"/>
      <c r="BI586" s="439"/>
      <c r="BJ586" s="439"/>
      <c r="BK586" s="439"/>
      <c r="BL586" s="439"/>
      <c r="BM586" s="439"/>
    </row>
    <row r="587" spans="1:65" x14ac:dyDescent="0.25">
      <c r="C587" s="236"/>
      <c r="E587" s="229"/>
      <c r="F587" s="229"/>
      <c r="G587" s="229"/>
      <c r="H587" s="229"/>
      <c r="I587" s="229"/>
      <c r="J587" s="229"/>
      <c r="L587" s="164"/>
      <c r="O587" s="229"/>
      <c r="P587" s="164"/>
      <c r="T587" s="127"/>
      <c r="U587" s="127"/>
      <c r="V587" s="127"/>
      <c r="W587" s="127"/>
      <c r="X587" s="127"/>
      <c r="Y587" s="127"/>
      <c r="AA587" s="229"/>
      <c r="AC587" s="229"/>
      <c r="AD587" s="229"/>
      <c r="AE587" s="229"/>
      <c r="AF587" s="229"/>
      <c r="AG587" s="229"/>
      <c r="AH587" s="229"/>
      <c r="AI587" s="229"/>
      <c r="AJ587" s="229"/>
      <c r="AK587" s="127"/>
      <c r="AM587" s="229"/>
      <c r="AN587" s="229"/>
      <c r="AO587" s="229"/>
      <c r="AP587" s="229"/>
      <c r="AQ587" s="229"/>
      <c r="AR587" s="229"/>
      <c r="AS587" s="229"/>
      <c r="AT587" s="229"/>
      <c r="AU587" s="229"/>
      <c r="AV587" s="229"/>
      <c r="AW587" s="229"/>
      <c r="AX587" s="229"/>
      <c r="AY587" s="229"/>
      <c r="AZ587" s="229"/>
      <c r="BA587" s="229"/>
      <c r="BB587" s="229"/>
      <c r="BC587" s="229"/>
    </row>
    <row r="588" spans="1:65" ht="60" x14ac:dyDescent="0.25">
      <c r="C588" s="238" t="s">
        <v>5</v>
      </c>
      <c r="D588" s="239"/>
      <c r="E588" s="240" t="s">
        <v>268</v>
      </c>
      <c r="F588" s="241" t="s">
        <v>271</v>
      </c>
      <c r="G588" s="242" t="s">
        <v>267</v>
      </c>
      <c r="H588" s="243" t="s">
        <v>266</v>
      </c>
      <c r="I588" s="242" t="s">
        <v>265</v>
      </c>
      <c r="J588" s="244" t="s">
        <v>6</v>
      </c>
      <c r="L588" s="245" t="s">
        <v>7</v>
      </c>
      <c r="M588" s="246" t="s">
        <v>254</v>
      </c>
      <c r="N588" s="247"/>
      <c r="O588" s="248" t="s">
        <v>272</v>
      </c>
      <c r="P588" s="249" t="s">
        <v>200</v>
      </c>
      <c r="R588" s="250" t="s">
        <v>151</v>
      </c>
      <c r="T588" s="251" t="s">
        <v>8</v>
      </c>
      <c r="U588" s="252" t="s">
        <v>9</v>
      </c>
      <c r="V588" s="252" t="s">
        <v>120</v>
      </c>
      <c r="W588" s="252" t="s">
        <v>121</v>
      </c>
      <c r="X588" s="253" t="s">
        <v>118</v>
      </c>
      <c r="Y588" s="254" t="s">
        <v>119</v>
      </c>
      <c r="AA588" s="255" t="s">
        <v>84</v>
      </c>
      <c r="AC588" s="256" t="s">
        <v>142</v>
      </c>
      <c r="AD588" s="256" t="s">
        <v>138</v>
      </c>
      <c r="AE588" s="257" t="s">
        <v>147</v>
      </c>
      <c r="AF588" s="257" t="s">
        <v>149</v>
      </c>
      <c r="AG588" s="256" t="s">
        <v>305</v>
      </c>
      <c r="AH588" s="256" t="s">
        <v>306</v>
      </c>
      <c r="AI588" s="257" t="s">
        <v>150</v>
      </c>
      <c r="AJ588" s="258" t="s">
        <v>250</v>
      </c>
      <c r="AK588" s="259" t="s">
        <v>373</v>
      </c>
      <c r="AM588" s="260" t="s">
        <v>256</v>
      </c>
      <c r="AN588" s="261" t="s">
        <v>372</v>
      </c>
      <c r="AO588" s="253" t="s">
        <v>170</v>
      </c>
      <c r="AP588" s="253" t="s">
        <v>171</v>
      </c>
      <c r="AQ588" s="253" t="s">
        <v>172</v>
      </c>
      <c r="AR588" s="253" t="s">
        <v>173</v>
      </c>
      <c r="AS588" s="253" t="s">
        <v>174</v>
      </c>
      <c r="AT588" s="253" t="s">
        <v>175</v>
      </c>
      <c r="AU588" s="262" t="s">
        <v>210</v>
      </c>
      <c r="AV588" s="262" t="s">
        <v>211</v>
      </c>
      <c r="AW588" s="262" t="s">
        <v>212</v>
      </c>
      <c r="AX588" s="262" t="s">
        <v>213</v>
      </c>
      <c r="AY588" s="263" t="s">
        <v>214</v>
      </c>
      <c r="AZ588" s="264" t="s">
        <v>111</v>
      </c>
      <c r="BA588" s="265" t="s">
        <v>199</v>
      </c>
      <c r="BB588" s="252" t="s">
        <v>223</v>
      </c>
      <c r="BC588" s="260" t="s">
        <v>112</v>
      </c>
      <c r="BE588" s="260" t="s">
        <v>257</v>
      </c>
      <c r="BF588" s="266" t="s">
        <v>255</v>
      </c>
      <c r="BG588" s="262" t="s">
        <v>247</v>
      </c>
      <c r="BH588" s="262" t="s">
        <v>248</v>
      </c>
      <c r="BI588" s="260" t="s">
        <v>249</v>
      </c>
      <c r="BJ588" s="253" t="s">
        <v>199</v>
      </c>
      <c r="BK588" s="262" t="s">
        <v>251</v>
      </c>
      <c r="BL588" s="259" t="s">
        <v>373</v>
      </c>
      <c r="BM588" s="260" t="s">
        <v>252</v>
      </c>
    </row>
    <row r="589" spans="1:65" x14ac:dyDescent="0.25">
      <c r="T589" s="120"/>
      <c r="U589" s="120"/>
      <c r="V589" s="120"/>
      <c r="W589" s="120"/>
      <c r="X589" s="120"/>
      <c r="Y589" s="120"/>
      <c r="AM589" s="267" t="s">
        <v>322</v>
      </c>
      <c r="AN589" s="237"/>
      <c r="AO589" s="237"/>
      <c r="AP589" s="237"/>
      <c r="AQ589" s="237"/>
      <c r="AR589" s="237"/>
      <c r="AS589" s="237"/>
      <c r="AT589" s="237"/>
      <c r="AU589" s="237"/>
      <c r="AV589" s="237"/>
      <c r="AW589" s="237"/>
      <c r="AX589" s="237"/>
      <c r="AY589" s="237"/>
      <c r="AZ589" s="436" t="s">
        <v>320</v>
      </c>
      <c r="BA589" s="437"/>
      <c r="BB589" s="237"/>
      <c r="BC589" s="267" t="s">
        <v>321</v>
      </c>
    </row>
    <row r="590" spans="1:65" x14ac:dyDescent="0.25">
      <c r="A590" s="228">
        <f t="shared" ref="A590:A609" si="615">IF($E$584="","",$B$583)</f>
        <v>21</v>
      </c>
      <c r="C590" s="268"/>
      <c r="D590" s="239"/>
      <c r="E590" s="269"/>
      <c r="F590" s="270"/>
      <c r="G590" s="271"/>
      <c r="H590" s="272"/>
      <c r="I590" s="271"/>
      <c r="J590" s="273"/>
      <c r="O590" s="274"/>
      <c r="P590" s="247"/>
      <c r="T590" s="271"/>
      <c r="U590" s="271"/>
      <c r="V590" s="275"/>
      <c r="W590" s="269"/>
      <c r="X590" s="269"/>
      <c r="Y590" s="269"/>
      <c r="AA590" s="271"/>
      <c r="AC590" s="271"/>
      <c r="AD590" s="271"/>
      <c r="AE590" s="271"/>
      <c r="AF590" s="271"/>
      <c r="AG590" s="271"/>
      <c r="AH590" s="271"/>
      <c r="AI590" s="271"/>
      <c r="AJ590" s="271"/>
      <c r="AK590" s="275"/>
      <c r="AM590" s="271"/>
      <c r="AN590" s="271"/>
      <c r="AO590" s="276">
        <v>1</v>
      </c>
      <c r="AP590" s="276">
        <v>2</v>
      </c>
      <c r="AQ590" s="276">
        <v>3</v>
      </c>
      <c r="AR590" s="277">
        <v>4</v>
      </c>
      <c r="AS590" s="276">
        <v>5</v>
      </c>
      <c r="AT590" s="276">
        <v>6</v>
      </c>
      <c r="AU590" s="276">
        <v>11</v>
      </c>
      <c r="AV590" s="276">
        <v>22</v>
      </c>
      <c r="AW590" s="276">
        <v>33</v>
      </c>
      <c r="AX590" s="276">
        <v>55</v>
      </c>
      <c r="AY590" s="276">
        <v>66</v>
      </c>
      <c r="AZ590" s="271"/>
      <c r="BA590" s="271"/>
      <c r="BB590" s="271"/>
      <c r="BC590" s="273"/>
    </row>
    <row r="591" spans="1:65" x14ac:dyDescent="0.25">
      <c r="A591" s="228">
        <f t="shared" si="615"/>
        <v>21</v>
      </c>
      <c r="C591" s="278" t="s">
        <v>12</v>
      </c>
      <c r="E591" s="103">
        <f>IF($C591="",0,
IF(AND($E$2="Monthly",$A591&gt;12),0,
IF($E$2="Monthly",VLOOKUP($C591,'Employee information'!$B:$AM,COLUMNS('Employee information'!$B:S),0),
IF($E$2="Fortnightly",VLOOKUP($C591,'Employee information'!$B:$AM,COLUMNS('Employee information'!$B:R),0),
0))))</f>
        <v>75</v>
      </c>
      <c r="F591" s="279"/>
      <c r="G591" s="106"/>
      <c r="H591" s="280"/>
      <c r="I591" s="106"/>
      <c r="J591" s="103">
        <f>IF($E$2="Monthly",
IF(AND($E$2="Monthly",$H591&lt;&gt;""),$H591,
IF(AND($E$2="Monthly",$E591=0),SUM($F591:$G591),
$E591)),
IF($E$2="Fortnightly",
IF(AND($E$2="Fortnightly",$H591&lt;&gt;""),$H591,
IF(AND($E$2="Fortnightly",$F591&lt;&gt;"",$E591&lt;&gt;0),$F591,
IF(AND($E$2="Fortnightly",$E591=0),SUM($F591:$G591),
$E591)))))</f>
        <v>75</v>
      </c>
      <c r="L591" s="113">
        <f>IF(AND($E$2="Monthly",$A591&gt;12),"",
IFERROR($J591*VLOOKUP($C591,'Employee information'!$B:$AI,COLUMNS('Employee information'!$B:$P),0),0))</f>
        <v>3697.576396206533</v>
      </c>
      <c r="M591" s="114">
        <f>IF(AND($E$2="Monthly",$A591&gt;12),"",
SUMIFS($L:$L,$C:$C,$C591,$A:$A,"&lt;="&amp;$A591)
)</f>
        <v>77649.10432033721</v>
      </c>
      <c r="O591" s="103">
        <f>IF($E$2="Monthly",
IF(AND($E$2="Monthly",$H591&lt;&gt;""),$H591,
IF(AND($E$2="Monthly",$E591=0),$F591,
$E591)),
IF($E$2="Fortnightly",
IF(AND($E$2="Fortnightly",$H591&lt;&gt;""),$H591,
IF(AND($E$2="Fortnightly",$F591&lt;&gt;"",$E591&lt;&gt;0),$F591,
IF(AND($E$2="Fortnightly",$E591=0),$F591,
$E591)))))</f>
        <v>75</v>
      </c>
      <c r="P591" s="113">
        <f>IFERROR(
IF(AND($E$2="Monthly",$A591&gt;12),0,
$O591*VLOOKUP($C591,'Employee information'!$B:$AI,COLUMNS('Employee information'!$B:$P),0)),
0)</f>
        <v>3697.576396206533</v>
      </c>
      <c r="R591" s="114">
        <f t="shared" ref="R591:R609" si="616">IF(AND($E$2="Monthly",$A591&gt;12),"",
SUMIFS($P:$P,$C:$C,$C591,$A:$A,"&lt;="&amp;$A591)
)</f>
        <v>77649.10432033721</v>
      </c>
      <c r="T591" s="281"/>
      <c r="U591" s="103"/>
      <c r="V591" s="282">
        <f>IF($C591="","",
IF(AND($E$2="Monthly",$A591&gt;12),"",
$T591*VLOOKUP($C591,'Employee information'!$B:$P,COLUMNS('Employee information'!$B:$P),0)))</f>
        <v>0</v>
      </c>
      <c r="W591" s="282">
        <f>IF($C591="","",
IF(AND($E$2="Monthly",$A591&gt;12),"",
$U591*VLOOKUP($C591,'Employee information'!$B:$P,COLUMNS('Employee information'!$B:$P),0)))</f>
        <v>0</v>
      </c>
      <c r="X591" s="114">
        <f t="shared" ref="X591:X609" si="617">IF(AND($E$2="Monthly",$A591&gt;12),"",
SUMIFS($V:$V,$C:$C,$C591,$A:$A,"&lt;="&amp;$A591)
)</f>
        <v>0</v>
      </c>
      <c r="Y591" s="114">
        <f t="shared" ref="Y591:Y609" si="618">IF(AND($E$2="Monthly",$A591&gt;12),"",
SUMIFS($W:$W,$C:$C,$C591,$A:$A,"&lt;="&amp;$A591)
)</f>
        <v>0</v>
      </c>
      <c r="AA591" s="118">
        <f>IFERROR(
IF(OR('Basic payroll data'!$D$12="",'Basic payroll data'!$D$12="No"),0,
$T591*VLOOKUP($C591,'Employee information'!$B:$P,COLUMNS('Employee information'!$B:$P),0)*AL_loading_perc),
0)</f>
        <v>0</v>
      </c>
      <c r="AC591" s="118"/>
      <c r="AD591" s="118"/>
      <c r="AE591" s="283" t="str">
        <f>IF(LEFT($AD591,6)="Is OTE",1,
IF(LEFT($AD591,10)="Is not OTE",0,
""))</f>
        <v/>
      </c>
      <c r="AF591" s="283" t="str">
        <f>IF(RIGHT($AD591,12)="tax withheld",1,
IF(RIGHT($AD591,16)="tax not withheld",0,
""))</f>
        <v/>
      </c>
      <c r="AG591" s="118"/>
      <c r="AH591" s="118"/>
      <c r="AI591" s="283" t="str">
        <f>IF($AH591="FBT",0,
IF($AH591="Not FBT",1,
""))</f>
        <v/>
      </c>
      <c r="AJ591" s="118"/>
      <c r="AK591" s="118"/>
      <c r="AM591" s="118">
        <f>SUM($L591,$AA591,$AC591,$AG591,$AK591)-$AJ591</f>
        <v>3697.576396206533</v>
      </c>
      <c r="AN591" s="118">
        <f t="shared" ref="AN591:AN609" si="619">IF(AND(OR($AF591=1,$AF591=""),OR($AI591=1,$AI591="")),SUM($L591,$AA591,$AC591,$AG591,$AK591)-$AJ591,
IF(AND(OR($AF591=1,$AF591=""),$AI591=0),SUM($L591,$AA591,$AC591,$AK591)-$AJ591,
IF(AND($AF591=0,OR($AI591=1,$AI591="")),SUM($L591,$AA591,$AG591,$AK591)-$AJ591,
IF(AND($AF591=0,$AI591=0),SUM($L591,$AA591,$AK591)-$AJ591,
""))))</f>
        <v>3697.576396206533</v>
      </c>
      <c r="AO591" s="118" t="str">
        <f>IFERROR(
IF(VLOOKUP($C591,'Employee information'!$B:$M,COLUMNS('Employee information'!$B:$M),0)=1,
IF($E$2="Fortnightly",
ROUND(
ROUND((((TRUNC($AN591/2,0)+0.99))*VLOOKUP((TRUNC($AN591/2,0)+0.99),'Tax scales - NAT 1004'!$A$12:$C$18,2,1)-VLOOKUP((TRUNC($AN591/2,0)+0.99),'Tax scales - NAT 1004'!$A$12:$C$18,3,1)),0)
*2,
0),
IF(AND($E$2="Monthly",ROUND($AN591-TRUNC($AN591),2)=0.33),
ROUND(
ROUND(((TRUNC(($AN591+0.01)*3/13,0)+0.99)*VLOOKUP((TRUNC(($AN591+0.01)*3/13,0)+0.99),'Tax scales - NAT 1004'!$A$12:$C$18,2,1)-VLOOKUP((TRUNC(($AN591+0.01)*3/13,0)+0.99),'Tax scales - NAT 1004'!$A$12:$C$18,3,1)),0)
*13/3,
0),
IF($E$2="Monthly",
ROUND(
ROUND(((TRUNC($AN591*3/13,0)+0.99)*VLOOKUP((TRUNC($AN591*3/13,0)+0.99),'Tax scales - NAT 1004'!$A$12:$C$18,2,1)-VLOOKUP((TRUNC($AN591*3/13,0)+0.99),'Tax scales - NAT 1004'!$A$12:$C$18,3,1)),0)
*13/3,
0),
""))),
""),
"")</f>
        <v/>
      </c>
      <c r="AP591" s="118" t="str">
        <f>IFERROR(
IF(VLOOKUP($C591,'Employee information'!$B:$M,COLUMNS('Employee information'!$B:$M),0)=2,
IF($E$2="Fortnightly",
ROUND(
ROUND((((TRUNC($AN591/2,0)+0.99))*VLOOKUP((TRUNC($AN591/2,0)+0.99),'Tax scales - NAT 1004'!$A$25:$C$33,2,1)-VLOOKUP((TRUNC($AN591/2,0)+0.99),'Tax scales - NAT 1004'!$A$25:$C$33,3,1)),0)
*2,
0),
IF(AND($E$2="Monthly",ROUND($AN591-TRUNC($AN591),2)=0.33),
ROUND(
ROUND(((TRUNC(($AN591+0.01)*3/13,0)+0.99)*VLOOKUP((TRUNC(($AN591+0.01)*3/13,0)+0.99),'Tax scales - NAT 1004'!$A$25:$C$33,2,1)-VLOOKUP((TRUNC(($AN591+0.01)*3/13,0)+0.99),'Tax scales - NAT 1004'!$A$25:$C$33,3,1)),0)
*13/3,
0),
IF($E$2="Monthly",
ROUND(
ROUND(((TRUNC($AN591*3/13,0)+0.99)*VLOOKUP((TRUNC($AN591*3/13,0)+0.99),'Tax scales - NAT 1004'!$A$25:$C$33,2,1)-VLOOKUP((TRUNC($AN591*3/13,0)+0.99),'Tax scales - NAT 1004'!$A$25:$C$33,3,1)),0)
*13/3,
0),
""))),
""),
"")</f>
        <v/>
      </c>
      <c r="AQ591" s="118" t="str">
        <f>IFERROR(
IF(VLOOKUP($C591,'Employee information'!$B:$M,COLUMNS('Employee information'!$B:$M),0)=3,
IF($E$2="Fortnightly",
ROUND(
ROUND((((TRUNC($AN591/2,0)+0.99))*VLOOKUP((TRUNC($AN591/2,0)+0.99),'Tax scales - NAT 1004'!$A$39:$C$41,2,1)-VLOOKUP((TRUNC($AN591/2,0)+0.99),'Tax scales - NAT 1004'!$A$39:$C$41,3,1)),0)
*2,
0),
IF(AND($E$2="Monthly",ROUND($AN591-TRUNC($AN591),2)=0.33),
ROUND(
ROUND(((TRUNC(($AN591+0.01)*3/13,0)+0.99)*VLOOKUP((TRUNC(($AN591+0.01)*3/13,0)+0.99),'Tax scales - NAT 1004'!$A$39:$C$41,2,1)-VLOOKUP((TRUNC(($AN591+0.01)*3/13,0)+0.99),'Tax scales - NAT 1004'!$A$39:$C$41,3,1)),0)
*13/3,
0),
IF($E$2="Monthly",
ROUND(
ROUND(((TRUNC($AN591*3/13,0)+0.99)*VLOOKUP((TRUNC($AN591*3/13,0)+0.99),'Tax scales - NAT 1004'!$A$39:$C$41,2,1)-VLOOKUP((TRUNC($AN591*3/13,0)+0.99),'Tax scales - NAT 1004'!$A$39:$C$41,3,1)),0)
*13/3,
0),
""))),
""),
"")</f>
        <v/>
      </c>
      <c r="AR591" s="118" t="str">
        <f>IFERROR(
IF(AND(VLOOKUP($C591,'Employee information'!$B:$M,COLUMNS('Employee information'!$B:$M),0)=4,
VLOOKUP($C591,'Employee information'!$B:$J,COLUMNS('Employee information'!$B:$J),0)="Resident"),
TRUNC(TRUNC($AN591)*'Tax scales - NAT 1004'!$B$47),
IF(AND(VLOOKUP($C591,'Employee information'!$B:$M,COLUMNS('Employee information'!$B:$M),0)=4,
VLOOKUP($C591,'Employee information'!$B:$J,COLUMNS('Employee information'!$B:$J),0)="Foreign resident"),
TRUNC(TRUNC($AN591)*'Tax scales - NAT 1004'!$B$48),
"")),
"")</f>
        <v/>
      </c>
      <c r="AS591" s="118" t="str">
        <f>IFERROR(
IF(VLOOKUP($C591,'Employee information'!$B:$M,COLUMNS('Employee information'!$B:$M),0)=5,
IF($E$2="Fortnightly",
ROUND(
ROUND((((TRUNC($AN591/2,0)+0.99))*VLOOKUP((TRUNC($AN591/2,0)+0.99),'Tax scales - NAT 1004'!$A$53:$C$59,2,1)-VLOOKUP((TRUNC($AN591/2,0)+0.99),'Tax scales - NAT 1004'!$A$53:$C$59,3,1)),0)
*2,
0),
IF(AND($E$2="Monthly",ROUND($AN591-TRUNC($AN591),2)=0.33),
ROUND(
ROUND(((TRUNC(($AN591+0.01)*3/13,0)+0.99)*VLOOKUP((TRUNC(($AN591+0.01)*3/13,0)+0.99),'Tax scales - NAT 1004'!$A$53:$C$59,2,1)-VLOOKUP((TRUNC(($AN591+0.01)*3/13,0)+0.99),'Tax scales - NAT 1004'!$A$53:$C$59,3,1)),0)
*13/3,
0),
IF($E$2="Monthly",
ROUND(
ROUND(((TRUNC($AN591*3/13,0)+0.99)*VLOOKUP((TRUNC($AN591*3/13,0)+0.99),'Tax scales - NAT 1004'!$A$53:$C$59,2,1)-VLOOKUP((TRUNC($AN591*3/13,0)+0.99),'Tax scales - NAT 1004'!$A$53:$C$59,3,1)),0)
*13/3,
0),
""))),
""),
"")</f>
        <v/>
      </c>
      <c r="AT591" s="118" t="str">
        <f>IFERROR(
IF(VLOOKUP($C591,'Employee information'!$B:$M,COLUMNS('Employee information'!$B:$M),0)=6,
IF($E$2="Fortnightly",
ROUND(
ROUND((((TRUNC($AN591/2,0)+0.99))*VLOOKUP((TRUNC($AN591/2,0)+0.99),'Tax scales - NAT 1004'!$A$65:$C$73,2,1)-VLOOKUP((TRUNC($AN591/2,0)+0.99),'Tax scales - NAT 1004'!$A$65:$C$73,3,1)),0)
*2,
0),
IF(AND($E$2="Monthly",ROUND($AN591-TRUNC($AN591),2)=0.33),
ROUND(
ROUND(((TRUNC(($AN591+0.01)*3/13,0)+0.99)*VLOOKUP((TRUNC(($AN591+0.01)*3/13,0)+0.99),'Tax scales - NAT 1004'!$A$65:$C$73,2,1)-VLOOKUP((TRUNC(($AN591+0.01)*3/13,0)+0.99),'Tax scales - NAT 1004'!$A$65:$C$73,3,1)),0)
*13/3,
0),
IF($E$2="Monthly",
ROUND(
ROUND(((TRUNC($AN591*3/13,0)+0.99)*VLOOKUP((TRUNC($AN591*3/13,0)+0.99),'Tax scales - NAT 1004'!$A$65:$C$73,2,1)-VLOOKUP((TRUNC($AN591*3/13,0)+0.99),'Tax scales - NAT 1004'!$A$65:$C$73,3,1)),0)
*13/3,
0),
""))),
""),
"")</f>
        <v/>
      </c>
      <c r="AU591" s="118">
        <f>IFERROR(
IF(VLOOKUP($C591,'Employee information'!$B:$M,COLUMNS('Employee information'!$B:$M),0)=11,
IF($E$2="Fortnightly",
ROUND(
ROUND((((TRUNC($AN591/2,0)+0.99))*VLOOKUP((TRUNC($AN591/2,0)+0.99),'Tax scales - NAT 3539'!$A$14:$C$38,2,1)-VLOOKUP((TRUNC($AN591/2,0)+0.99),'Tax scales - NAT 3539'!$A$14:$C$38,3,1)),0)
*2,
0),
IF(AND($E$2="Monthly",ROUND($AN591-TRUNC($AN591),2)=0.33),
ROUND(
ROUND(((TRUNC(($AN591+0.01)*3/13,0)+0.99)*VLOOKUP((TRUNC(($AN591+0.01)*3/13,0)+0.99),'Tax scales - NAT 3539'!$A$14:$C$38,2,1)-VLOOKUP((TRUNC(($AN591+0.01)*3/13,0)+0.99),'Tax scales - NAT 3539'!$A$14:$C$38,3,1)),0)
*13/3,
0),
IF($E$2="Monthly",
ROUND(
ROUND(((TRUNC($AN591*3/13,0)+0.99)*VLOOKUP((TRUNC($AN591*3/13,0)+0.99),'Tax scales - NAT 3539'!$A$14:$C$38,2,1)-VLOOKUP((TRUNC($AN591*3/13,0)+0.99),'Tax scales - NAT 3539'!$A$14:$C$38,3,1)),0)
*13/3,
0),
""))),
""),
"")</f>
        <v>1448</v>
      </c>
      <c r="AV591" s="118" t="str">
        <f>IFERROR(
IF(VLOOKUP($C591,'Employee information'!$B:$M,COLUMNS('Employee information'!$B:$M),0)=22,
IF($E$2="Fortnightly",
ROUND(
ROUND((((TRUNC($AN591/2,0)+0.99))*VLOOKUP((TRUNC($AN591/2,0)+0.99),'Tax scales - NAT 3539'!$A$43:$C$69,2,1)-VLOOKUP((TRUNC($AN591/2,0)+0.99),'Tax scales - NAT 3539'!$A$43:$C$69,3,1)),0)
*2,
0),
IF(AND($E$2="Monthly",ROUND($AN591-TRUNC($AN591),2)=0.33),
ROUND(
ROUND(((TRUNC(($AN591+0.01)*3/13,0)+0.99)*VLOOKUP((TRUNC(($AN591+0.01)*3/13,0)+0.99),'Tax scales - NAT 3539'!$A$43:$C$69,2,1)-VLOOKUP((TRUNC(($AN591+0.01)*3/13,0)+0.99),'Tax scales - NAT 3539'!$A$43:$C$69,3,1)),0)
*13/3,
0),
IF($E$2="Monthly",
ROUND(
ROUND(((TRUNC($AN591*3/13,0)+0.99)*VLOOKUP((TRUNC($AN591*3/13,0)+0.99),'Tax scales - NAT 3539'!$A$43:$C$69,2,1)-VLOOKUP((TRUNC($AN591*3/13,0)+0.99),'Tax scales - NAT 3539'!$A$43:$C$69,3,1)),0)
*13/3,
0),
""))),
""),
"")</f>
        <v/>
      </c>
      <c r="AW591" s="118" t="str">
        <f>IFERROR(
IF(VLOOKUP($C591,'Employee information'!$B:$M,COLUMNS('Employee information'!$B:$M),0)=33,
IF($E$2="Fortnightly",
ROUND(
ROUND((((TRUNC($AN591/2,0)+0.99))*VLOOKUP((TRUNC($AN591/2,0)+0.99),'Tax scales - NAT 3539'!$A$74:$C$94,2,1)-VLOOKUP((TRUNC($AN591/2,0)+0.99),'Tax scales - NAT 3539'!$A$74:$C$94,3,1)),0)
*2,
0),
IF(AND($E$2="Monthly",ROUND($AN591-TRUNC($AN591),2)=0.33),
ROUND(
ROUND(((TRUNC(($AN591+0.01)*3/13,0)+0.99)*VLOOKUP((TRUNC(($AN591+0.01)*3/13,0)+0.99),'Tax scales - NAT 3539'!$A$74:$C$94,2,1)-VLOOKUP((TRUNC(($AN591+0.01)*3/13,0)+0.99),'Tax scales - NAT 3539'!$A$74:$C$94,3,1)),0)
*13/3,
0),
IF($E$2="Monthly",
ROUND(
ROUND(((TRUNC($AN591*3/13,0)+0.99)*VLOOKUP((TRUNC($AN591*3/13,0)+0.99),'Tax scales - NAT 3539'!$A$74:$C$94,2,1)-VLOOKUP((TRUNC($AN591*3/13,0)+0.99),'Tax scales - NAT 3539'!$A$74:$C$94,3,1)),0)
*13/3,
0),
""))),
""),
"")</f>
        <v/>
      </c>
      <c r="AX591" s="118" t="str">
        <f>IFERROR(
IF(VLOOKUP($C591,'Employee information'!$B:$M,COLUMNS('Employee information'!$B:$M),0)=55,
IF($E$2="Fortnightly",
ROUND(
ROUND((((TRUNC($AN591/2,0)+0.99))*VLOOKUP((TRUNC($AN591/2,0)+0.99),'Tax scales - NAT 3539'!$A$99:$C$123,2,1)-VLOOKUP((TRUNC($AN591/2,0)+0.99),'Tax scales - NAT 3539'!$A$99:$C$123,3,1)),0)
*2,
0),
IF(AND($E$2="Monthly",ROUND($AN591-TRUNC($AN591),2)=0.33),
ROUND(
ROUND(((TRUNC(($AN591+0.01)*3/13,0)+0.99)*VLOOKUP((TRUNC(($AN591+0.01)*3/13,0)+0.99),'Tax scales - NAT 3539'!$A$99:$C$123,2,1)-VLOOKUP((TRUNC(($AN591+0.01)*3/13,0)+0.99),'Tax scales - NAT 3539'!$A$99:$C$123,3,1)),0)
*13/3,
0),
IF($E$2="Monthly",
ROUND(
ROUND(((TRUNC($AN591*3/13,0)+0.99)*VLOOKUP((TRUNC($AN591*3/13,0)+0.99),'Tax scales - NAT 3539'!$A$99:$C$123,2,1)-VLOOKUP((TRUNC($AN591*3/13,0)+0.99),'Tax scales - NAT 3539'!$A$99:$C$123,3,1)),0)
*13/3,
0),
""))),
""),
"")</f>
        <v/>
      </c>
      <c r="AY591" s="118" t="str">
        <f>IFERROR(
IF(VLOOKUP($C591,'Employee information'!$B:$M,COLUMNS('Employee information'!$B:$M),0)=66,
IF($E$2="Fortnightly",
ROUND(
ROUND((((TRUNC($AN591/2,0)+0.99))*VLOOKUP((TRUNC($AN591/2,0)+0.99),'Tax scales - NAT 3539'!$A$127:$C$154,2,1)-VLOOKUP((TRUNC($AN591/2,0)+0.99),'Tax scales - NAT 3539'!$A$127:$C$154,3,1)),0)
*2,
0),
IF(AND($E$2="Monthly",ROUND($AN591-TRUNC($AN591),2)=0.33),
ROUND(
ROUND(((TRUNC(($AN591+0.01)*3/13,0)+0.99)*VLOOKUP((TRUNC(($AN591+0.01)*3/13,0)+0.99),'Tax scales - NAT 3539'!$A$127:$C$154,2,1)-VLOOKUP((TRUNC(($AN591+0.01)*3/13,0)+0.99),'Tax scales - NAT 3539'!$A$127:$C$154,3,1)),0)
*13/3,
0),
IF($E$2="Monthly",
ROUND(
ROUND(((TRUNC($AN591*3/13,0)+0.99)*VLOOKUP((TRUNC($AN591*3/13,0)+0.99),'Tax scales - NAT 3539'!$A$127:$C$154,2,1)-VLOOKUP((TRUNC($AN591*3/13,0)+0.99),'Tax scales - NAT 3539'!$A$127:$C$154,3,1)),0)
*13/3,
0),
""))),
""),
"")</f>
        <v/>
      </c>
      <c r="AZ591" s="118">
        <f>IFERROR(
HLOOKUP(VLOOKUP($C591,'Employee information'!$B:$M,COLUMNS('Employee information'!$B:$M),0),'PAYG worksheet'!$AO$590:$AY$609,COUNTA($C$591:$C591)+1,0),
0)</f>
        <v>1448</v>
      </c>
      <c r="BA591" s="118"/>
      <c r="BB591" s="118">
        <f>IFERROR($AM591-$AZ591-$BA591,"")</f>
        <v>2249.576396206533</v>
      </c>
      <c r="BC591" s="119">
        <f>IFERROR(
IF(OR($AE591=1,$AE591=""),SUM($P591,$AA591,$AC591,$AK591)*VLOOKUP($C591,'Employee information'!$B:$Q,COLUMNS('Employee information'!$B:$H),0),
IF($AE591=0,SUM($P591,$AA591,$AK591)*VLOOKUP($C591,'Employee information'!$B:$Q,COLUMNS('Employee information'!$B:$H),0),
0)),
0)</f>
        <v>351.26975763962065</v>
      </c>
      <c r="BE591" s="114">
        <f t="shared" ref="BE591:BE609" si="620">IF(AND($E$2="Monthly",$A591&gt;12),"",
SUMIFS($AM:$AM,$C:$C,$C591,$A:$A,"&lt;="&amp;$A591)
)</f>
        <v>77649.10432033721</v>
      </c>
      <c r="BF591" s="114">
        <f t="shared" ref="BF591:BF609" si="621">IF(AND($E$2="Monthly",$A591&gt;12),"",
SUMIFS($AN:$AN,$C:$C,$C591,$A:$A,"&lt;="&amp;$A591)
)</f>
        <v>77649.10432033721</v>
      </c>
      <c r="BG591" s="114">
        <f t="shared" ref="BG591:BG609" si="622">IF(AND($E$2="Monthly",$A591&gt;12),"",
SUMIFS($AC:$AC,$C:$C,$C591,$A:$A,"&lt;="&amp;$A591)
)</f>
        <v>0</v>
      </c>
      <c r="BH591" s="114">
        <f t="shared" ref="BH591:BH609" si="623">IF(AND($E$2="Monthly",$A591&gt;12),"",
SUMIFS($AG:$AG,$C:$C,$C591,$A:$A,"&lt;="&amp;$A591)
)</f>
        <v>0</v>
      </c>
      <c r="BI591" s="114">
        <f t="shared" ref="BI591:BI609" si="624">IF(AND($E$2="Monthly",$A591&gt;12),"",
SUMIFS($AZ:$AZ,$C:$C,$C591,$A:$A,"&lt;="&amp;$A591)
)</f>
        <v>30408</v>
      </c>
      <c r="BJ591" s="114">
        <f t="shared" ref="BJ591:BJ609" si="625">IF(AND($E$2="Monthly",$A591&gt;12),"",
SUMIFS($BA:$BA,$C:$C,$C591,$A:$A,"&lt;="&amp;$A591)
)</f>
        <v>0</v>
      </c>
      <c r="BK591" s="114">
        <f t="shared" ref="BK591:BK609" si="626">IF(AND($E$2="Monthly",$A591&gt;12),"",
SUMIFS($AJ:$AJ,$C:$C,$C591,$A:$A,"&lt;="&amp;$A591)
)</f>
        <v>0</v>
      </c>
      <c r="BL591" s="114">
        <f>IF(AND($E$2="Monthly",$A591&gt;12),"",
SUMIFS($AK:$AK,$C:$C,$C591,$A:$A,"&lt;="&amp;$A591)
)</f>
        <v>0</v>
      </c>
      <c r="BM591" s="114">
        <f t="shared" ref="BM591:BM609" si="627">IF(AND($E$2="Monthly",$A591&gt;12),"",
SUMIFS($BC:$BC,$C:$C,$C591,$A:$A,"&lt;="&amp;$A591)
)</f>
        <v>7376.6649104320322</v>
      </c>
    </row>
    <row r="592" spans="1:65" x14ac:dyDescent="0.25">
      <c r="A592" s="228">
        <f t="shared" si="615"/>
        <v>21</v>
      </c>
      <c r="C592" s="278" t="s">
        <v>13</v>
      </c>
      <c r="E592" s="103">
        <f>IF($C592="",0,
IF(AND($E$2="Monthly",$A592&gt;12),0,
IF($E$2="Monthly",VLOOKUP($C592,'Employee information'!$B:$AM,COLUMNS('Employee information'!$B:S),0),
IF($E$2="Fortnightly",VLOOKUP($C592,'Employee information'!$B:$AM,COLUMNS('Employee information'!$B:R),0),
0))))</f>
        <v>0</v>
      </c>
      <c r="F592" s="106"/>
      <c r="G592" s="106"/>
      <c r="H592" s="106"/>
      <c r="I592" s="106"/>
      <c r="J592" s="103">
        <f t="shared" ref="J592:J609" si="628">IF($E$2="Monthly",
IF(AND($E$2="Monthly",$H592&lt;&gt;""),$H592,
IF(AND($E$2="Monthly",$E592=0),SUM($F592:$G592),
$E592)),
IF($E$2="Fortnightly",
IF(AND($E$2="Fortnightly",$H592&lt;&gt;""),$H592,
IF(AND($E$2="Fortnightly",$F592&lt;&gt;"",$E592&lt;&gt;0),$F592,
IF(AND($E$2="Fortnightly",$E592=0),SUM($F592:$G592),
$E592)))))</f>
        <v>0</v>
      </c>
      <c r="L592" s="113">
        <f>IF(AND($E$2="Monthly",$A592&gt;12),"",
IFERROR($J592*VLOOKUP($C592,'Employee information'!$B:$AI,COLUMNS('Employee information'!$B:$P),0),0))</f>
        <v>0</v>
      </c>
      <c r="M592" s="114">
        <f t="shared" ref="M592:M609" si="629">IF(AND($E$2="Monthly",$A592&gt;12),"",
SUMIFS($L:$L,$C:$C,$C592,$A:$A,"&lt;="&amp;$A592)
)</f>
        <v>1615.3846153846152</v>
      </c>
      <c r="O592" s="103">
        <f t="shared" ref="O592:O609" si="630">IF($E$2="Monthly",
IF(AND($E$2="Monthly",$H592&lt;&gt;""),$H592,
IF(AND($E$2="Monthly",$E592=0),$F592,
$E592)),
IF($E$2="Fortnightly",
IF(AND($E$2="Fortnightly",$H592&lt;&gt;""),$H592,
IF(AND($E$2="Fortnightly",$F592&lt;&gt;"",$E592&lt;&gt;0),$F592,
IF(AND($E$2="Fortnightly",$E592=0),$F592,
$E592)))))</f>
        <v>0</v>
      </c>
      <c r="P592" s="113">
        <f>IFERROR(
IF(AND($E$2="Monthly",$A592&gt;12),0,
$O592*VLOOKUP($C592,'Employee information'!$B:$AI,COLUMNS('Employee information'!$B:$P),0)),
0)</f>
        <v>0</v>
      </c>
      <c r="R592" s="114">
        <f t="shared" si="616"/>
        <v>1615.3846153846152</v>
      </c>
      <c r="T592" s="103"/>
      <c r="U592" s="103"/>
      <c r="V592" s="282">
        <f>IF($C592="","",
IF(AND($E$2="Monthly",$A592&gt;12),"",
$T592*VLOOKUP($C592,'Employee information'!$B:$P,COLUMNS('Employee information'!$B:$P),0)))</f>
        <v>0</v>
      </c>
      <c r="W592" s="282">
        <f>IF($C592="","",
IF(AND($E$2="Monthly",$A592&gt;12),"",
$U592*VLOOKUP($C592,'Employee information'!$B:$P,COLUMNS('Employee information'!$B:$P),0)))</f>
        <v>0</v>
      </c>
      <c r="X592" s="114">
        <f t="shared" si="617"/>
        <v>0</v>
      </c>
      <c r="Y592" s="114">
        <f t="shared" si="618"/>
        <v>288.46153846153845</v>
      </c>
      <c r="AA592" s="118">
        <f>IFERROR(
IF(OR('Basic payroll data'!$D$12="",'Basic payroll data'!$D$12="No"),0,
$T592*VLOOKUP($C592,'Employee information'!$B:$P,COLUMNS('Employee information'!$B:$P),0)*AL_loading_perc),
0)</f>
        <v>0</v>
      </c>
      <c r="AC592" s="118"/>
      <c r="AD592" s="118"/>
      <c r="AE592" s="283" t="str">
        <f t="shared" ref="AE592:AE609" si="631">IF(LEFT($AD592,6)="Is OTE",1,
IF(LEFT($AD592,10)="Is not OTE",0,
""))</f>
        <v/>
      </c>
      <c r="AF592" s="283" t="str">
        <f t="shared" ref="AF592:AF609" si="632">IF(RIGHT($AD592,12)="tax withheld",1,
IF(RIGHT($AD592,16)="tax not withheld",0,
""))</f>
        <v/>
      </c>
      <c r="AG592" s="118"/>
      <c r="AH592" s="118"/>
      <c r="AI592" s="283" t="str">
        <f t="shared" ref="AI592:AI609" si="633">IF($AH592="FBT",0,
IF($AH592="Not FBT",1,
""))</f>
        <v/>
      </c>
      <c r="AJ592" s="118"/>
      <c r="AK592" s="118"/>
      <c r="AM592" s="118">
        <f t="shared" ref="AM592:AM609" si="634">SUM($L592,$AA592,$AC592,$AG592,$AK592)-$AJ592</f>
        <v>0</v>
      </c>
      <c r="AN592" s="118">
        <f t="shared" si="619"/>
        <v>0</v>
      </c>
      <c r="AO592" s="118" t="str">
        <f>IFERROR(
IF(VLOOKUP($C592,'Employee information'!$B:$M,COLUMNS('Employee information'!$B:$M),0)=1,
IF($E$2="Fortnightly",
ROUND(
ROUND((((TRUNC($AN592/2,0)+0.99))*VLOOKUP((TRUNC($AN592/2,0)+0.99),'Tax scales - NAT 1004'!$A$12:$C$18,2,1)-VLOOKUP((TRUNC($AN592/2,0)+0.99),'Tax scales - NAT 1004'!$A$12:$C$18,3,1)),0)
*2,
0),
IF(AND($E$2="Monthly",ROUND($AN592-TRUNC($AN592),2)=0.33),
ROUND(
ROUND(((TRUNC(($AN592+0.01)*3/13,0)+0.99)*VLOOKUP((TRUNC(($AN592+0.01)*3/13,0)+0.99),'Tax scales - NAT 1004'!$A$12:$C$18,2,1)-VLOOKUP((TRUNC(($AN592+0.01)*3/13,0)+0.99),'Tax scales - NAT 1004'!$A$12:$C$18,3,1)),0)
*13/3,
0),
IF($E$2="Monthly",
ROUND(
ROUND(((TRUNC($AN592*3/13,0)+0.99)*VLOOKUP((TRUNC($AN592*3/13,0)+0.99),'Tax scales - NAT 1004'!$A$12:$C$18,2,1)-VLOOKUP((TRUNC($AN592*3/13,0)+0.99),'Tax scales - NAT 1004'!$A$12:$C$18,3,1)),0)
*13/3,
0),
""))),
""),
"")</f>
        <v/>
      </c>
      <c r="AP592" s="118" t="str">
        <f>IFERROR(
IF(VLOOKUP($C592,'Employee information'!$B:$M,COLUMNS('Employee information'!$B:$M),0)=2,
IF($E$2="Fortnightly",
ROUND(
ROUND((((TRUNC($AN592/2,0)+0.99))*VLOOKUP((TRUNC($AN592/2,0)+0.99),'Tax scales - NAT 1004'!$A$25:$C$33,2,1)-VLOOKUP((TRUNC($AN592/2,0)+0.99),'Tax scales - NAT 1004'!$A$25:$C$33,3,1)),0)
*2,
0),
IF(AND($E$2="Monthly",ROUND($AN592-TRUNC($AN592),2)=0.33),
ROUND(
ROUND(((TRUNC(($AN592+0.01)*3/13,0)+0.99)*VLOOKUP((TRUNC(($AN592+0.01)*3/13,0)+0.99),'Tax scales - NAT 1004'!$A$25:$C$33,2,1)-VLOOKUP((TRUNC(($AN592+0.01)*3/13,0)+0.99),'Tax scales - NAT 1004'!$A$25:$C$33,3,1)),0)
*13/3,
0),
IF($E$2="Monthly",
ROUND(
ROUND(((TRUNC($AN592*3/13,0)+0.99)*VLOOKUP((TRUNC($AN592*3/13,0)+0.99),'Tax scales - NAT 1004'!$A$25:$C$33,2,1)-VLOOKUP((TRUNC($AN592*3/13,0)+0.99),'Tax scales - NAT 1004'!$A$25:$C$33,3,1)),0)
*13/3,
0),
""))),
""),
"")</f>
        <v/>
      </c>
      <c r="AQ592" s="118" t="str">
        <f>IFERROR(
IF(VLOOKUP($C592,'Employee information'!$B:$M,COLUMNS('Employee information'!$B:$M),0)=3,
IF($E$2="Fortnightly",
ROUND(
ROUND((((TRUNC($AN592/2,0)+0.99))*VLOOKUP((TRUNC($AN592/2,0)+0.99),'Tax scales - NAT 1004'!$A$39:$C$41,2,1)-VLOOKUP((TRUNC($AN592/2,0)+0.99),'Tax scales - NAT 1004'!$A$39:$C$41,3,1)),0)
*2,
0),
IF(AND($E$2="Monthly",ROUND($AN592-TRUNC($AN592),2)=0.33),
ROUND(
ROUND(((TRUNC(($AN592+0.01)*3/13,0)+0.99)*VLOOKUP((TRUNC(($AN592+0.01)*3/13,0)+0.99),'Tax scales - NAT 1004'!$A$39:$C$41,2,1)-VLOOKUP((TRUNC(($AN592+0.01)*3/13,0)+0.99),'Tax scales - NAT 1004'!$A$39:$C$41,3,1)),0)
*13/3,
0),
IF($E$2="Monthly",
ROUND(
ROUND(((TRUNC($AN592*3/13,0)+0.99)*VLOOKUP((TRUNC($AN592*3/13,0)+0.99),'Tax scales - NAT 1004'!$A$39:$C$41,2,1)-VLOOKUP((TRUNC($AN592*3/13,0)+0.99),'Tax scales - NAT 1004'!$A$39:$C$41,3,1)),0)
*13/3,
0),
""))),
""),
"")</f>
        <v/>
      </c>
      <c r="AR592" s="118" t="str">
        <f>IFERROR(
IF(AND(VLOOKUP($C592,'Employee information'!$B:$M,COLUMNS('Employee information'!$B:$M),0)=4,
VLOOKUP($C592,'Employee information'!$B:$J,COLUMNS('Employee information'!$B:$J),0)="Resident"),
TRUNC(TRUNC($AN592)*'Tax scales - NAT 1004'!$B$47),
IF(AND(VLOOKUP($C592,'Employee information'!$B:$M,COLUMNS('Employee information'!$B:$M),0)=4,
VLOOKUP($C592,'Employee information'!$B:$J,COLUMNS('Employee information'!$B:$J),0)="Foreign resident"),
TRUNC(TRUNC($AN592)*'Tax scales - NAT 1004'!$B$48),
"")),
"")</f>
        <v/>
      </c>
      <c r="AS592" s="118" t="str">
        <f>IFERROR(
IF(VLOOKUP($C592,'Employee information'!$B:$M,COLUMNS('Employee information'!$B:$M),0)=5,
IF($E$2="Fortnightly",
ROUND(
ROUND((((TRUNC($AN592/2,0)+0.99))*VLOOKUP((TRUNC($AN592/2,0)+0.99),'Tax scales - NAT 1004'!$A$53:$C$59,2,1)-VLOOKUP((TRUNC($AN592/2,0)+0.99),'Tax scales - NAT 1004'!$A$53:$C$59,3,1)),0)
*2,
0),
IF(AND($E$2="Monthly",ROUND($AN592-TRUNC($AN592),2)=0.33),
ROUND(
ROUND(((TRUNC(($AN592+0.01)*3/13,0)+0.99)*VLOOKUP((TRUNC(($AN592+0.01)*3/13,0)+0.99),'Tax scales - NAT 1004'!$A$53:$C$59,2,1)-VLOOKUP((TRUNC(($AN592+0.01)*3/13,0)+0.99),'Tax scales - NAT 1004'!$A$53:$C$59,3,1)),0)
*13/3,
0),
IF($E$2="Monthly",
ROUND(
ROUND(((TRUNC($AN592*3/13,0)+0.99)*VLOOKUP((TRUNC($AN592*3/13,0)+0.99),'Tax scales - NAT 1004'!$A$53:$C$59,2,1)-VLOOKUP((TRUNC($AN592*3/13,0)+0.99),'Tax scales - NAT 1004'!$A$53:$C$59,3,1)),0)
*13/3,
0),
""))),
""),
"")</f>
        <v/>
      </c>
      <c r="AT592" s="118" t="str">
        <f>IFERROR(
IF(VLOOKUP($C592,'Employee information'!$B:$M,COLUMNS('Employee information'!$B:$M),0)=6,
IF($E$2="Fortnightly",
ROUND(
ROUND((((TRUNC($AN592/2,0)+0.99))*VLOOKUP((TRUNC($AN592/2,0)+0.99),'Tax scales - NAT 1004'!$A$65:$C$73,2,1)-VLOOKUP((TRUNC($AN592/2,0)+0.99),'Tax scales - NAT 1004'!$A$65:$C$73,3,1)),0)
*2,
0),
IF(AND($E$2="Monthly",ROUND($AN592-TRUNC($AN592),2)=0.33),
ROUND(
ROUND(((TRUNC(($AN592+0.01)*3/13,0)+0.99)*VLOOKUP((TRUNC(($AN592+0.01)*3/13,0)+0.99),'Tax scales - NAT 1004'!$A$65:$C$73,2,1)-VLOOKUP((TRUNC(($AN592+0.01)*3/13,0)+0.99),'Tax scales - NAT 1004'!$A$65:$C$73,3,1)),0)
*13/3,
0),
IF($E$2="Monthly",
ROUND(
ROUND(((TRUNC($AN592*3/13,0)+0.99)*VLOOKUP((TRUNC($AN592*3/13,0)+0.99),'Tax scales - NAT 1004'!$A$65:$C$73,2,1)-VLOOKUP((TRUNC($AN592*3/13,0)+0.99),'Tax scales - NAT 1004'!$A$65:$C$73,3,1)),0)
*13/3,
0),
""))),
""),
"")</f>
        <v/>
      </c>
      <c r="AU592" s="118">
        <f>IFERROR(
IF(VLOOKUP($C592,'Employee information'!$B:$M,COLUMNS('Employee information'!$B:$M),0)=11,
IF($E$2="Fortnightly",
ROUND(
ROUND((((TRUNC($AN592/2,0)+0.99))*VLOOKUP((TRUNC($AN592/2,0)+0.99),'Tax scales - NAT 3539'!$A$14:$C$38,2,1)-VLOOKUP((TRUNC($AN592/2,0)+0.99),'Tax scales - NAT 3539'!$A$14:$C$38,3,1)),0)
*2,
0),
IF(AND($E$2="Monthly",ROUND($AN592-TRUNC($AN592),2)=0.33),
ROUND(
ROUND(((TRUNC(($AN592+0.01)*3/13,0)+0.99)*VLOOKUP((TRUNC(($AN592+0.01)*3/13,0)+0.99),'Tax scales - NAT 3539'!$A$14:$C$38,2,1)-VLOOKUP((TRUNC(($AN592+0.01)*3/13,0)+0.99),'Tax scales - NAT 3539'!$A$14:$C$38,3,1)),0)
*13/3,
0),
IF($E$2="Monthly",
ROUND(
ROUND(((TRUNC($AN592*3/13,0)+0.99)*VLOOKUP((TRUNC($AN592*3/13,0)+0.99),'Tax scales - NAT 3539'!$A$14:$C$38,2,1)-VLOOKUP((TRUNC($AN592*3/13,0)+0.99),'Tax scales - NAT 3539'!$A$14:$C$38,3,1)),0)
*13/3,
0),
""))),
""),
"")</f>
        <v>0</v>
      </c>
      <c r="AV592" s="118" t="str">
        <f>IFERROR(
IF(VLOOKUP($C592,'Employee information'!$B:$M,COLUMNS('Employee information'!$B:$M),0)=22,
IF($E$2="Fortnightly",
ROUND(
ROUND((((TRUNC($AN592/2,0)+0.99))*VLOOKUP((TRUNC($AN592/2,0)+0.99),'Tax scales - NAT 3539'!$A$43:$C$69,2,1)-VLOOKUP((TRUNC($AN592/2,0)+0.99),'Tax scales - NAT 3539'!$A$43:$C$69,3,1)),0)
*2,
0),
IF(AND($E$2="Monthly",ROUND($AN592-TRUNC($AN592),2)=0.33),
ROUND(
ROUND(((TRUNC(($AN592+0.01)*3/13,0)+0.99)*VLOOKUP((TRUNC(($AN592+0.01)*3/13,0)+0.99),'Tax scales - NAT 3539'!$A$43:$C$69,2,1)-VLOOKUP((TRUNC(($AN592+0.01)*3/13,0)+0.99),'Tax scales - NAT 3539'!$A$43:$C$69,3,1)),0)
*13/3,
0),
IF($E$2="Monthly",
ROUND(
ROUND(((TRUNC($AN592*3/13,0)+0.99)*VLOOKUP((TRUNC($AN592*3/13,0)+0.99),'Tax scales - NAT 3539'!$A$43:$C$69,2,1)-VLOOKUP((TRUNC($AN592*3/13,0)+0.99),'Tax scales - NAT 3539'!$A$43:$C$69,3,1)),0)
*13/3,
0),
""))),
""),
"")</f>
        <v/>
      </c>
      <c r="AW592" s="118" t="str">
        <f>IFERROR(
IF(VLOOKUP($C592,'Employee information'!$B:$M,COLUMNS('Employee information'!$B:$M),0)=33,
IF($E$2="Fortnightly",
ROUND(
ROUND((((TRUNC($AN592/2,0)+0.99))*VLOOKUP((TRUNC($AN592/2,0)+0.99),'Tax scales - NAT 3539'!$A$74:$C$94,2,1)-VLOOKUP((TRUNC($AN592/2,0)+0.99),'Tax scales - NAT 3539'!$A$74:$C$94,3,1)),0)
*2,
0),
IF(AND($E$2="Monthly",ROUND($AN592-TRUNC($AN592),2)=0.33),
ROUND(
ROUND(((TRUNC(($AN592+0.01)*3/13,0)+0.99)*VLOOKUP((TRUNC(($AN592+0.01)*3/13,0)+0.99),'Tax scales - NAT 3539'!$A$74:$C$94,2,1)-VLOOKUP((TRUNC(($AN592+0.01)*3/13,0)+0.99),'Tax scales - NAT 3539'!$A$74:$C$94,3,1)),0)
*13/3,
0),
IF($E$2="Monthly",
ROUND(
ROUND(((TRUNC($AN592*3/13,0)+0.99)*VLOOKUP((TRUNC($AN592*3/13,0)+0.99),'Tax scales - NAT 3539'!$A$74:$C$94,2,1)-VLOOKUP((TRUNC($AN592*3/13,0)+0.99),'Tax scales - NAT 3539'!$A$74:$C$94,3,1)),0)
*13/3,
0),
""))),
""),
"")</f>
        <v/>
      </c>
      <c r="AX592" s="118" t="str">
        <f>IFERROR(
IF(VLOOKUP($C592,'Employee information'!$B:$M,COLUMNS('Employee information'!$B:$M),0)=55,
IF($E$2="Fortnightly",
ROUND(
ROUND((((TRUNC($AN592/2,0)+0.99))*VLOOKUP((TRUNC($AN592/2,0)+0.99),'Tax scales - NAT 3539'!$A$99:$C$123,2,1)-VLOOKUP((TRUNC($AN592/2,0)+0.99),'Tax scales - NAT 3539'!$A$99:$C$123,3,1)),0)
*2,
0),
IF(AND($E$2="Monthly",ROUND($AN592-TRUNC($AN592),2)=0.33),
ROUND(
ROUND(((TRUNC(($AN592+0.01)*3/13,0)+0.99)*VLOOKUP((TRUNC(($AN592+0.01)*3/13,0)+0.99),'Tax scales - NAT 3539'!$A$99:$C$123,2,1)-VLOOKUP((TRUNC(($AN592+0.01)*3/13,0)+0.99),'Tax scales - NAT 3539'!$A$99:$C$123,3,1)),0)
*13/3,
0),
IF($E$2="Monthly",
ROUND(
ROUND(((TRUNC($AN592*3/13,0)+0.99)*VLOOKUP((TRUNC($AN592*3/13,0)+0.99),'Tax scales - NAT 3539'!$A$99:$C$123,2,1)-VLOOKUP((TRUNC($AN592*3/13,0)+0.99),'Tax scales - NAT 3539'!$A$99:$C$123,3,1)),0)
*13/3,
0),
""))),
""),
"")</f>
        <v/>
      </c>
      <c r="AY592" s="118" t="str">
        <f>IFERROR(
IF(VLOOKUP($C592,'Employee information'!$B:$M,COLUMNS('Employee information'!$B:$M),0)=66,
IF($E$2="Fortnightly",
ROUND(
ROUND((((TRUNC($AN592/2,0)+0.99))*VLOOKUP((TRUNC($AN592/2,0)+0.99),'Tax scales - NAT 3539'!$A$127:$C$154,2,1)-VLOOKUP((TRUNC($AN592/2,0)+0.99),'Tax scales - NAT 3539'!$A$127:$C$154,3,1)),0)
*2,
0),
IF(AND($E$2="Monthly",ROUND($AN592-TRUNC($AN592),2)=0.33),
ROUND(
ROUND(((TRUNC(($AN592+0.01)*3/13,0)+0.99)*VLOOKUP((TRUNC(($AN592+0.01)*3/13,0)+0.99),'Tax scales - NAT 3539'!$A$127:$C$154,2,1)-VLOOKUP((TRUNC(($AN592+0.01)*3/13,0)+0.99),'Tax scales - NAT 3539'!$A$127:$C$154,3,1)),0)
*13/3,
0),
IF($E$2="Monthly",
ROUND(
ROUND(((TRUNC($AN592*3/13,0)+0.99)*VLOOKUP((TRUNC($AN592*3/13,0)+0.99),'Tax scales - NAT 3539'!$A$127:$C$154,2,1)-VLOOKUP((TRUNC($AN592*3/13,0)+0.99),'Tax scales - NAT 3539'!$A$127:$C$154,3,1)),0)
*13/3,
0),
""))),
""),
"")</f>
        <v/>
      </c>
      <c r="AZ592" s="118">
        <f>IFERROR(
HLOOKUP(VLOOKUP($C592,'Employee information'!$B:$M,COLUMNS('Employee information'!$B:$M),0),'PAYG worksheet'!$AO$590:$AY$609,COUNTA($C$591:$C592)+1,0),
0)</f>
        <v>0</v>
      </c>
      <c r="BA592" s="118"/>
      <c r="BB592" s="118">
        <f t="shared" ref="BB592:BB609" si="635">IFERROR($AM592-$AZ592-$BA592,"")</f>
        <v>0</v>
      </c>
      <c r="BC592" s="119">
        <f>IFERROR(
IF(OR($AE592=1,$AE592=""),SUM($P592,$AA592,$AC592,$AK592)*VLOOKUP($C592,'Employee information'!$B:$Q,COLUMNS('Employee information'!$B:$H),0),
IF($AE592=0,SUM($P592,$AA592,$AK592)*VLOOKUP($C592,'Employee information'!$B:$Q,COLUMNS('Employee information'!$B:$H),0),
0)),
0)</f>
        <v>0</v>
      </c>
      <c r="BE592" s="114">
        <f t="shared" si="620"/>
        <v>1615.3846153846152</v>
      </c>
      <c r="BF592" s="114">
        <f t="shared" si="621"/>
        <v>1615.3846153846152</v>
      </c>
      <c r="BG592" s="114">
        <f t="shared" si="622"/>
        <v>0</v>
      </c>
      <c r="BH592" s="114">
        <f t="shared" si="623"/>
        <v>0</v>
      </c>
      <c r="BI592" s="114">
        <f t="shared" si="624"/>
        <v>474</v>
      </c>
      <c r="BJ592" s="114">
        <f t="shared" si="625"/>
        <v>0</v>
      </c>
      <c r="BK592" s="114">
        <f t="shared" si="626"/>
        <v>0</v>
      </c>
      <c r="BL592" s="114">
        <f t="shared" ref="BL592:BL609" si="636">IF(AND($E$2="Monthly",$A592&gt;12),"",
SUMIFS($AK:$AK,$C:$C,$C592,$A:$A,"&lt;="&amp;$A592)
)</f>
        <v>0</v>
      </c>
      <c r="BM592" s="114">
        <f t="shared" si="627"/>
        <v>153.46153846153845</v>
      </c>
    </row>
    <row r="593" spans="1:65" x14ac:dyDescent="0.25">
      <c r="A593" s="228">
        <f t="shared" si="615"/>
        <v>21</v>
      </c>
      <c r="C593" s="278" t="s">
        <v>14</v>
      </c>
      <c r="E593" s="103">
        <f>IF($C593="",0,
IF(AND($E$2="Monthly",$A593&gt;12),0,
IF($E$2="Monthly",VLOOKUP($C593,'Employee information'!$B:$AM,COLUMNS('Employee information'!$B:S),0),
IF($E$2="Fortnightly",VLOOKUP($C593,'Employee information'!$B:$AM,COLUMNS('Employee information'!$B:R),0),
0))))</f>
        <v>0</v>
      </c>
      <c r="F593" s="106"/>
      <c r="G593" s="106"/>
      <c r="H593" s="106"/>
      <c r="I593" s="106"/>
      <c r="J593" s="103">
        <f t="shared" si="628"/>
        <v>0</v>
      </c>
      <c r="L593" s="113">
        <f>IF(AND($E$2="Monthly",$A593&gt;12),"",
IFERROR($J593*VLOOKUP($C593,'Employee information'!$B:$AI,COLUMNS('Employee information'!$B:$P),0),0))</f>
        <v>0</v>
      </c>
      <c r="M593" s="114">
        <f t="shared" si="629"/>
        <v>900</v>
      </c>
      <c r="O593" s="103">
        <f t="shared" si="630"/>
        <v>0</v>
      </c>
      <c r="P593" s="113">
        <f>IFERROR(
IF(AND($E$2="Monthly",$A593&gt;12),0,
$O593*VLOOKUP($C593,'Employee information'!$B:$AI,COLUMNS('Employee information'!$B:$P),0)),
0)</f>
        <v>0</v>
      </c>
      <c r="R593" s="114">
        <f t="shared" si="616"/>
        <v>900</v>
      </c>
      <c r="T593" s="103"/>
      <c r="U593" s="103"/>
      <c r="V593" s="282">
        <f>IF($C593="","",
IF(AND($E$2="Monthly",$A593&gt;12),"",
$T593*VLOOKUP($C593,'Employee information'!$B:$P,COLUMNS('Employee information'!$B:$P),0)))</f>
        <v>0</v>
      </c>
      <c r="W593" s="282">
        <f>IF($C593="","",
IF(AND($E$2="Monthly",$A593&gt;12),"",
$U593*VLOOKUP($C593,'Employee information'!$B:$P,COLUMNS('Employee information'!$B:$P),0)))</f>
        <v>0</v>
      </c>
      <c r="X593" s="114">
        <f t="shared" si="617"/>
        <v>0</v>
      </c>
      <c r="Y593" s="114">
        <f t="shared" si="618"/>
        <v>0</v>
      </c>
      <c r="AA593" s="118">
        <f>IFERROR(
IF(OR('Basic payroll data'!$D$12="",'Basic payroll data'!$D$12="No"),0,
$T593*VLOOKUP($C593,'Employee information'!$B:$P,COLUMNS('Employee information'!$B:$P),0)*AL_loading_perc),
0)</f>
        <v>0</v>
      </c>
      <c r="AC593" s="118"/>
      <c r="AD593" s="118"/>
      <c r="AE593" s="283" t="str">
        <f t="shared" si="631"/>
        <v/>
      </c>
      <c r="AF593" s="283" t="str">
        <f t="shared" si="632"/>
        <v/>
      </c>
      <c r="AG593" s="118"/>
      <c r="AH593" s="118"/>
      <c r="AI593" s="283" t="str">
        <f t="shared" si="633"/>
        <v/>
      </c>
      <c r="AJ593" s="118"/>
      <c r="AK593" s="118"/>
      <c r="AM593" s="118">
        <f t="shared" si="634"/>
        <v>0</v>
      </c>
      <c r="AN593" s="118">
        <f t="shared" si="619"/>
        <v>0</v>
      </c>
      <c r="AO593" s="118" t="str">
        <f>IFERROR(
IF(VLOOKUP($C593,'Employee information'!$B:$M,COLUMNS('Employee information'!$B:$M),0)=1,
IF($E$2="Fortnightly",
ROUND(
ROUND((((TRUNC($AN593/2,0)+0.99))*VLOOKUP((TRUNC($AN593/2,0)+0.99),'Tax scales - NAT 1004'!$A$12:$C$18,2,1)-VLOOKUP((TRUNC($AN593/2,0)+0.99),'Tax scales - NAT 1004'!$A$12:$C$18,3,1)),0)
*2,
0),
IF(AND($E$2="Monthly",ROUND($AN593-TRUNC($AN593),2)=0.33),
ROUND(
ROUND(((TRUNC(($AN593+0.01)*3/13,0)+0.99)*VLOOKUP((TRUNC(($AN593+0.01)*3/13,0)+0.99),'Tax scales - NAT 1004'!$A$12:$C$18,2,1)-VLOOKUP((TRUNC(($AN593+0.01)*3/13,0)+0.99),'Tax scales - NAT 1004'!$A$12:$C$18,3,1)),0)
*13/3,
0),
IF($E$2="Monthly",
ROUND(
ROUND(((TRUNC($AN593*3/13,0)+0.99)*VLOOKUP((TRUNC($AN593*3/13,0)+0.99),'Tax scales - NAT 1004'!$A$12:$C$18,2,1)-VLOOKUP((TRUNC($AN593*3/13,0)+0.99),'Tax scales - NAT 1004'!$A$12:$C$18,3,1)),0)
*13/3,
0),
""))),
""),
"")</f>
        <v/>
      </c>
      <c r="AP593" s="118" t="str">
        <f>IFERROR(
IF(VLOOKUP($C593,'Employee information'!$B:$M,COLUMNS('Employee information'!$B:$M),0)=2,
IF($E$2="Fortnightly",
ROUND(
ROUND((((TRUNC($AN593/2,0)+0.99))*VLOOKUP((TRUNC($AN593/2,0)+0.99),'Tax scales - NAT 1004'!$A$25:$C$33,2,1)-VLOOKUP((TRUNC($AN593/2,0)+0.99),'Tax scales - NAT 1004'!$A$25:$C$33,3,1)),0)
*2,
0),
IF(AND($E$2="Monthly",ROUND($AN593-TRUNC($AN593),2)=0.33),
ROUND(
ROUND(((TRUNC(($AN593+0.01)*3/13,0)+0.99)*VLOOKUP((TRUNC(($AN593+0.01)*3/13,0)+0.99),'Tax scales - NAT 1004'!$A$25:$C$33,2,1)-VLOOKUP((TRUNC(($AN593+0.01)*3/13,0)+0.99),'Tax scales - NAT 1004'!$A$25:$C$33,3,1)),0)
*13/3,
0),
IF($E$2="Monthly",
ROUND(
ROUND(((TRUNC($AN593*3/13,0)+0.99)*VLOOKUP((TRUNC($AN593*3/13,0)+0.99),'Tax scales - NAT 1004'!$A$25:$C$33,2,1)-VLOOKUP((TRUNC($AN593*3/13,0)+0.99),'Tax scales - NAT 1004'!$A$25:$C$33,3,1)),0)
*13/3,
0),
""))),
""),
"")</f>
        <v/>
      </c>
      <c r="AQ593" s="118" t="str">
        <f>IFERROR(
IF(VLOOKUP($C593,'Employee information'!$B:$M,COLUMNS('Employee information'!$B:$M),0)=3,
IF($E$2="Fortnightly",
ROUND(
ROUND((((TRUNC($AN593/2,0)+0.99))*VLOOKUP((TRUNC($AN593/2,0)+0.99),'Tax scales - NAT 1004'!$A$39:$C$41,2,1)-VLOOKUP((TRUNC($AN593/2,0)+0.99),'Tax scales - NAT 1004'!$A$39:$C$41,3,1)),0)
*2,
0),
IF(AND($E$2="Monthly",ROUND($AN593-TRUNC($AN593),2)=0.33),
ROUND(
ROUND(((TRUNC(($AN593+0.01)*3/13,0)+0.99)*VLOOKUP((TRUNC(($AN593+0.01)*3/13,0)+0.99),'Tax scales - NAT 1004'!$A$39:$C$41,2,1)-VLOOKUP((TRUNC(($AN593+0.01)*3/13,0)+0.99),'Tax scales - NAT 1004'!$A$39:$C$41,3,1)),0)
*13/3,
0),
IF($E$2="Monthly",
ROUND(
ROUND(((TRUNC($AN593*3/13,0)+0.99)*VLOOKUP((TRUNC($AN593*3/13,0)+0.99),'Tax scales - NAT 1004'!$A$39:$C$41,2,1)-VLOOKUP((TRUNC($AN593*3/13,0)+0.99),'Tax scales - NAT 1004'!$A$39:$C$41,3,1)),0)
*13/3,
0),
""))),
""),
"")</f>
        <v/>
      </c>
      <c r="AR593" s="118" t="str">
        <f>IFERROR(
IF(AND(VLOOKUP($C593,'Employee information'!$B:$M,COLUMNS('Employee information'!$B:$M),0)=4,
VLOOKUP($C593,'Employee information'!$B:$J,COLUMNS('Employee information'!$B:$J),0)="Resident"),
TRUNC(TRUNC($AN593)*'Tax scales - NAT 1004'!$B$47),
IF(AND(VLOOKUP($C593,'Employee information'!$B:$M,COLUMNS('Employee information'!$B:$M),0)=4,
VLOOKUP($C593,'Employee information'!$B:$J,COLUMNS('Employee information'!$B:$J),0)="Foreign resident"),
TRUNC(TRUNC($AN593)*'Tax scales - NAT 1004'!$B$48),
"")),
"")</f>
        <v/>
      </c>
      <c r="AS593" s="118" t="str">
        <f>IFERROR(
IF(VLOOKUP($C593,'Employee information'!$B:$M,COLUMNS('Employee information'!$B:$M),0)=5,
IF($E$2="Fortnightly",
ROUND(
ROUND((((TRUNC($AN593/2,0)+0.99))*VLOOKUP((TRUNC($AN593/2,0)+0.99),'Tax scales - NAT 1004'!$A$53:$C$59,2,1)-VLOOKUP((TRUNC($AN593/2,0)+0.99),'Tax scales - NAT 1004'!$A$53:$C$59,3,1)),0)
*2,
0),
IF(AND($E$2="Monthly",ROUND($AN593-TRUNC($AN593),2)=0.33),
ROUND(
ROUND(((TRUNC(($AN593+0.01)*3/13,0)+0.99)*VLOOKUP((TRUNC(($AN593+0.01)*3/13,0)+0.99),'Tax scales - NAT 1004'!$A$53:$C$59,2,1)-VLOOKUP((TRUNC(($AN593+0.01)*3/13,0)+0.99),'Tax scales - NAT 1004'!$A$53:$C$59,3,1)),0)
*13/3,
0),
IF($E$2="Monthly",
ROUND(
ROUND(((TRUNC($AN593*3/13,0)+0.99)*VLOOKUP((TRUNC($AN593*3/13,0)+0.99),'Tax scales - NAT 1004'!$A$53:$C$59,2,1)-VLOOKUP((TRUNC($AN593*3/13,0)+0.99),'Tax scales - NAT 1004'!$A$53:$C$59,3,1)),0)
*13/3,
0),
""))),
""),
"")</f>
        <v/>
      </c>
      <c r="AT593" s="118" t="str">
        <f>IFERROR(
IF(VLOOKUP($C593,'Employee information'!$B:$M,COLUMNS('Employee information'!$B:$M),0)=6,
IF($E$2="Fortnightly",
ROUND(
ROUND((((TRUNC($AN593/2,0)+0.99))*VLOOKUP((TRUNC($AN593/2,0)+0.99),'Tax scales - NAT 1004'!$A$65:$C$73,2,1)-VLOOKUP((TRUNC($AN593/2,0)+0.99),'Tax scales - NAT 1004'!$A$65:$C$73,3,1)),0)
*2,
0),
IF(AND($E$2="Monthly",ROUND($AN593-TRUNC($AN593),2)=0.33),
ROUND(
ROUND(((TRUNC(($AN593+0.01)*3/13,0)+0.99)*VLOOKUP((TRUNC(($AN593+0.01)*3/13,0)+0.99),'Tax scales - NAT 1004'!$A$65:$C$73,2,1)-VLOOKUP((TRUNC(($AN593+0.01)*3/13,0)+0.99),'Tax scales - NAT 1004'!$A$65:$C$73,3,1)),0)
*13/3,
0),
IF($E$2="Monthly",
ROUND(
ROUND(((TRUNC($AN593*3/13,0)+0.99)*VLOOKUP((TRUNC($AN593*3/13,0)+0.99),'Tax scales - NAT 1004'!$A$65:$C$73,2,1)-VLOOKUP((TRUNC($AN593*3/13,0)+0.99),'Tax scales - NAT 1004'!$A$65:$C$73,3,1)),0)
*13/3,
0),
""))),
""),
"")</f>
        <v/>
      </c>
      <c r="AU593" s="118" t="str">
        <f>IFERROR(
IF(VLOOKUP($C593,'Employee information'!$B:$M,COLUMNS('Employee information'!$B:$M),0)=11,
IF($E$2="Fortnightly",
ROUND(
ROUND((((TRUNC($AN593/2,0)+0.99))*VLOOKUP((TRUNC($AN593/2,0)+0.99),'Tax scales - NAT 3539'!$A$14:$C$38,2,1)-VLOOKUP((TRUNC($AN593/2,0)+0.99),'Tax scales - NAT 3539'!$A$14:$C$38,3,1)),0)
*2,
0),
IF(AND($E$2="Monthly",ROUND($AN593-TRUNC($AN593),2)=0.33),
ROUND(
ROUND(((TRUNC(($AN593+0.01)*3/13,0)+0.99)*VLOOKUP((TRUNC(($AN593+0.01)*3/13,0)+0.99),'Tax scales - NAT 3539'!$A$14:$C$38,2,1)-VLOOKUP((TRUNC(($AN593+0.01)*3/13,0)+0.99),'Tax scales - NAT 3539'!$A$14:$C$38,3,1)),0)
*13/3,
0),
IF($E$2="Monthly",
ROUND(
ROUND(((TRUNC($AN593*3/13,0)+0.99)*VLOOKUP((TRUNC($AN593*3/13,0)+0.99),'Tax scales - NAT 3539'!$A$14:$C$38,2,1)-VLOOKUP((TRUNC($AN593*3/13,0)+0.99),'Tax scales - NAT 3539'!$A$14:$C$38,3,1)),0)
*13/3,
0),
""))),
""),
"")</f>
        <v/>
      </c>
      <c r="AV593" s="118" t="str">
        <f>IFERROR(
IF(VLOOKUP($C593,'Employee information'!$B:$M,COLUMNS('Employee information'!$B:$M),0)=22,
IF($E$2="Fortnightly",
ROUND(
ROUND((((TRUNC($AN593/2,0)+0.99))*VLOOKUP((TRUNC($AN593/2,0)+0.99),'Tax scales - NAT 3539'!$A$43:$C$69,2,1)-VLOOKUP((TRUNC($AN593/2,0)+0.99),'Tax scales - NAT 3539'!$A$43:$C$69,3,1)),0)
*2,
0),
IF(AND($E$2="Monthly",ROUND($AN593-TRUNC($AN593),2)=0.33),
ROUND(
ROUND(((TRUNC(($AN593+0.01)*3/13,0)+0.99)*VLOOKUP((TRUNC(($AN593+0.01)*3/13,0)+0.99),'Tax scales - NAT 3539'!$A$43:$C$69,2,1)-VLOOKUP((TRUNC(($AN593+0.01)*3/13,0)+0.99),'Tax scales - NAT 3539'!$A$43:$C$69,3,1)),0)
*13/3,
0),
IF($E$2="Monthly",
ROUND(
ROUND(((TRUNC($AN593*3/13,0)+0.99)*VLOOKUP((TRUNC($AN593*3/13,0)+0.99),'Tax scales - NAT 3539'!$A$43:$C$69,2,1)-VLOOKUP((TRUNC($AN593*3/13,0)+0.99),'Tax scales - NAT 3539'!$A$43:$C$69,3,1)),0)
*13/3,
0),
""))),
""),
"")</f>
        <v/>
      </c>
      <c r="AW593" s="118">
        <f>IFERROR(
IF(VLOOKUP($C593,'Employee information'!$B:$M,COLUMNS('Employee information'!$B:$M),0)=33,
IF($E$2="Fortnightly",
ROUND(
ROUND((((TRUNC($AN593/2,0)+0.99))*VLOOKUP((TRUNC($AN593/2,0)+0.99),'Tax scales - NAT 3539'!$A$74:$C$94,2,1)-VLOOKUP((TRUNC($AN593/2,0)+0.99),'Tax scales - NAT 3539'!$A$74:$C$94,3,1)),0)
*2,
0),
IF(AND($E$2="Monthly",ROUND($AN593-TRUNC($AN593),2)=0.33),
ROUND(
ROUND(((TRUNC(($AN593+0.01)*3/13,0)+0.99)*VLOOKUP((TRUNC(($AN593+0.01)*3/13,0)+0.99),'Tax scales - NAT 3539'!$A$74:$C$94,2,1)-VLOOKUP((TRUNC(($AN593+0.01)*3/13,0)+0.99),'Tax scales - NAT 3539'!$A$74:$C$94,3,1)),0)
*13/3,
0),
IF($E$2="Monthly",
ROUND(
ROUND(((TRUNC($AN593*3/13,0)+0.99)*VLOOKUP((TRUNC($AN593*3/13,0)+0.99),'Tax scales - NAT 3539'!$A$74:$C$94,2,1)-VLOOKUP((TRUNC($AN593*3/13,0)+0.99),'Tax scales - NAT 3539'!$A$74:$C$94,3,1)),0)
*13/3,
0),
""))),
""),
"")</f>
        <v>0</v>
      </c>
      <c r="AX593" s="118" t="str">
        <f>IFERROR(
IF(VLOOKUP($C593,'Employee information'!$B:$M,COLUMNS('Employee information'!$B:$M),0)=55,
IF($E$2="Fortnightly",
ROUND(
ROUND((((TRUNC($AN593/2,0)+0.99))*VLOOKUP((TRUNC($AN593/2,0)+0.99),'Tax scales - NAT 3539'!$A$99:$C$123,2,1)-VLOOKUP((TRUNC($AN593/2,0)+0.99),'Tax scales - NAT 3539'!$A$99:$C$123,3,1)),0)
*2,
0),
IF(AND($E$2="Monthly",ROUND($AN593-TRUNC($AN593),2)=0.33),
ROUND(
ROUND(((TRUNC(($AN593+0.01)*3/13,0)+0.99)*VLOOKUP((TRUNC(($AN593+0.01)*3/13,0)+0.99),'Tax scales - NAT 3539'!$A$99:$C$123,2,1)-VLOOKUP((TRUNC(($AN593+0.01)*3/13,0)+0.99),'Tax scales - NAT 3539'!$A$99:$C$123,3,1)),0)
*13/3,
0),
IF($E$2="Monthly",
ROUND(
ROUND(((TRUNC($AN593*3/13,0)+0.99)*VLOOKUP((TRUNC($AN593*3/13,0)+0.99),'Tax scales - NAT 3539'!$A$99:$C$123,2,1)-VLOOKUP((TRUNC($AN593*3/13,0)+0.99),'Tax scales - NAT 3539'!$A$99:$C$123,3,1)),0)
*13/3,
0),
""))),
""),
"")</f>
        <v/>
      </c>
      <c r="AY593" s="118" t="str">
        <f>IFERROR(
IF(VLOOKUP($C593,'Employee information'!$B:$M,COLUMNS('Employee information'!$B:$M),0)=66,
IF($E$2="Fortnightly",
ROUND(
ROUND((((TRUNC($AN593/2,0)+0.99))*VLOOKUP((TRUNC($AN593/2,0)+0.99),'Tax scales - NAT 3539'!$A$127:$C$154,2,1)-VLOOKUP((TRUNC($AN593/2,0)+0.99),'Tax scales - NAT 3539'!$A$127:$C$154,3,1)),0)
*2,
0),
IF(AND($E$2="Monthly",ROUND($AN593-TRUNC($AN593),2)=0.33),
ROUND(
ROUND(((TRUNC(($AN593+0.01)*3/13,0)+0.99)*VLOOKUP((TRUNC(($AN593+0.01)*3/13,0)+0.99),'Tax scales - NAT 3539'!$A$127:$C$154,2,1)-VLOOKUP((TRUNC(($AN593+0.01)*3/13,0)+0.99),'Tax scales - NAT 3539'!$A$127:$C$154,3,1)),0)
*13/3,
0),
IF($E$2="Monthly",
ROUND(
ROUND(((TRUNC($AN593*3/13,0)+0.99)*VLOOKUP((TRUNC($AN593*3/13,0)+0.99),'Tax scales - NAT 3539'!$A$127:$C$154,2,1)-VLOOKUP((TRUNC($AN593*3/13,0)+0.99),'Tax scales - NAT 3539'!$A$127:$C$154,3,1)),0)
*13/3,
0),
""))),
""),
"")</f>
        <v/>
      </c>
      <c r="AZ593" s="118">
        <f>IFERROR(
HLOOKUP(VLOOKUP($C593,'Employee information'!$B:$M,COLUMNS('Employee information'!$B:$M),0),'PAYG worksheet'!$AO$590:$AY$609,COUNTA($C$591:$C593)+1,0),
0)</f>
        <v>0</v>
      </c>
      <c r="BA593" s="118"/>
      <c r="BB593" s="118">
        <f t="shared" si="635"/>
        <v>0</v>
      </c>
      <c r="BC593" s="119">
        <f>IFERROR(
IF(OR($AE593=1,$AE593=""),SUM($P593,$AA593,$AC593,$AK593)*VLOOKUP($C593,'Employee information'!$B:$Q,COLUMNS('Employee information'!$B:$H),0),
IF($AE593=0,SUM($P593,$AA593,$AK593)*VLOOKUP($C593,'Employee information'!$B:$Q,COLUMNS('Employee information'!$B:$H),0),
0)),
0)</f>
        <v>0</v>
      </c>
      <c r="BE593" s="114">
        <f t="shared" si="620"/>
        <v>900</v>
      </c>
      <c r="BF593" s="114">
        <f t="shared" si="621"/>
        <v>900</v>
      </c>
      <c r="BG593" s="114">
        <f t="shared" si="622"/>
        <v>0</v>
      </c>
      <c r="BH593" s="114">
        <f t="shared" si="623"/>
        <v>0</v>
      </c>
      <c r="BI593" s="114">
        <f t="shared" si="624"/>
        <v>292</v>
      </c>
      <c r="BJ593" s="114">
        <f t="shared" si="625"/>
        <v>0</v>
      </c>
      <c r="BK593" s="114">
        <f t="shared" si="626"/>
        <v>0</v>
      </c>
      <c r="BL593" s="114">
        <f t="shared" si="636"/>
        <v>0</v>
      </c>
      <c r="BM593" s="114">
        <f t="shared" si="627"/>
        <v>85.5</v>
      </c>
    </row>
    <row r="594" spans="1:65" x14ac:dyDescent="0.25">
      <c r="A594" s="228">
        <f t="shared" si="615"/>
        <v>21</v>
      </c>
      <c r="C594" s="278" t="s">
        <v>15</v>
      </c>
      <c r="E594" s="103">
        <f>IF($C594="",0,
IF(AND($E$2="Monthly",$A594&gt;12),0,
IF($E$2="Monthly",VLOOKUP($C594,'Employee information'!$B:$AM,COLUMNS('Employee information'!$B:S),0),
IF($E$2="Fortnightly",VLOOKUP($C594,'Employee information'!$B:$AM,COLUMNS('Employee information'!$B:R),0),
0))))</f>
        <v>75</v>
      </c>
      <c r="F594" s="106"/>
      <c r="G594" s="106"/>
      <c r="H594" s="106"/>
      <c r="I594" s="106"/>
      <c r="J594" s="103">
        <f t="shared" si="628"/>
        <v>75</v>
      </c>
      <c r="L594" s="113">
        <f>IF(AND($E$2="Monthly",$A594&gt;12),"",
IFERROR($J594*VLOOKUP($C594,'Employee information'!$B:$AI,COLUMNS('Employee information'!$B:$P),0),0))</f>
        <v>7692.3076923076924</v>
      </c>
      <c r="M594" s="114">
        <f t="shared" si="629"/>
        <v>161538.4615384615</v>
      </c>
      <c r="O594" s="103">
        <f t="shared" si="630"/>
        <v>75</v>
      </c>
      <c r="P594" s="113">
        <f>IFERROR(
IF(AND($E$2="Monthly",$A594&gt;12),0,
$O594*VLOOKUP($C594,'Employee information'!$B:$AI,COLUMNS('Employee information'!$B:$P),0)),
0)</f>
        <v>7692.3076923076924</v>
      </c>
      <c r="R594" s="114">
        <f t="shared" si="616"/>
        <v>161538.4615384615</v>
      </c>
      <c r="T594" s="103"/>
      <c r="U594" s="103"/>
      <c r="V594" s="282">
        <f>IF($C594="","",
IF(AND($E$2="Monthly",$A594&gt;12),"",
$T594*VLOOKUP($C594,'Employee information'!$B:$P,COLUMNS('Employee information'!$B:$P),0)))</f>
        <v>0</v>
      </c>
      <c r="W594" s="282">
        <f>IF($C594="","",
IF(AND($E$2="Monthly",$A594&gt;12),"",
$U594*VLOOKUP($C594,'Employee information'!$B:$P,COLUMNS('Employee information'!$B:$P),0)))</f>
        <v>0</v>
      </c>
      <c r="X594" s="114">
        <f t="shared" si="617"/>
        <v>1538.4615384615386</v>
      </c>
      <c r="Y594" s="114">
        <f t="shared" si="618"/>
        <v>512.82051282051282</v>
      </c>
      <c r="AA594" s="118">
        <f>IFERROR(
IF(OR('Basic payroll data'!$D$12="",'Basic payroll data'!$D$12="No"),0,
$T594*VLOOKUP($C594,'Employee information'!$B:$P,COLUMNS('Employee information'!$B:$P),0)*AL_loading_perc),
0)</f>
        <v>0</v>
      </c>
      <c r="AC594" s="118"/>
      <c r="AD594" s="118"/>
      <c r="AE594" s="283" t="str">
        <f t="shared" si="631"/>
        <v/>
      </c>
      <c r="AF594" s="283" t="str">
        <f t="shared" si="632"/>
        <v/>
      </c>
      <c r="AG594" s="118"/>
      <c r="AH594" s="118"/>
      <c r="AI594" s="283" t="str">
        <f t="shared" si="633"/>
        <v/>
      </c>
      <c r="AJ594" s="118"/>
      <c r="AK594" s="118"/>
      <c r="AM594" s="118">
        <f t="shared" si="634"/>
        <v>7692.3076923076924</v>
      </c>
      <c r="AN594" s="118">
        <f t="shared" si="619"/>
        <v>7692.3076923076924</v>
      </c>
      <c r="AO594" s="118" t="str">
        <f>IFERROR(
IF(VLOOKUP($C594,'Employee information'!$B:$M,COLUMNS('Employee information'!$B:$M),0)=1,
IF($E$2="Fortnightly",
ROUND(
ROUND((((TRUNC($AN594/2,0)+0.99))*VLOOKUP((TRUNC($AN594/2,0)+0.99),'Tax scales - NAT 1004'!$A$12:$C$18,2,1)-VLOOKUP((TRUNC($AN594/2,0)+0.99),'Tax scales - NAT 1004'!$A$12:$C$18,3,1)),0)
*2,
0),
IF(AND($E$2="Monthly",ROUND($AN594-TRUNC($AN594),2)=0.33),
ROUND(
ROUND(((TRUNC(($AN594+0.01)*3/13,0)+0.99)*VLOOKUP((TRUNC(($AN594+0.01)*3/13,0)+0.99),'Tax scales - NAT 1004'!$A$12:$C$18,2,1)-VLOOKUP((TRUNC(($AN594+0.01)*3/13,0)+0.99),'Tax scales - NAT 1004'!$A$12:$C$18,3,1)),0)
*13/3,
0),
IF($E$2="Monthly",
ROUND(
ROUND(((TRUNC($AN594*3/13,0)+0.99)*VLOOKUP((TRUNC($AN594*3/13,0)+0.99),'Tax scales - NAT 1004'!$A$12:$C$18,2,1)-VLOOKUP((TRUNC($AN594*3/13,0)+0.99),'Tax scales - NAT 1004'!$A$12:$C$18,3,1)),0)
*13/3,
0),
""))),
""),
"")</f>
        <v/>
      </c>
      <c r="AP594" s="118" t="str">
        <f>IFERROR(
IF(VLOOKUP($C594,'Employee information'!$B:$M,COLUMNS('Employee information'!$B:$M),0)=2,
IF($E$2="Fortnightly",
ROUND(
ROUND((((TRUNC($AN594/2,0)+0.99))*VLOOKUP((TRUNC($AN594/2,0)+0.99),'Tax scales - NAT 1004'!$A$25:$C$33,2,1)-VLOOKUP((TRUNC($AN594/2,0)+0.99),'Tax scales - NAT 1004'!$A$25:$C$33,3,1)),0)
*2,
0),
IF(AND($E$2="Monthly",ROUND($AN594-TRUNC($AN594),2)=0.33),
ROUND(
ROUND(((TRUNC(($AN594+0.01)*3/13,0)+0.99)*VLOOKUP((TRUNC(($AN594+0.01)*3/13,0)+0.99),'Tax scales - NAT 1004'!$A$25:$C$33,2,1)-VLOOKUP((TRUNC(($AN594+0.01)*3/13,0)+0.99),'Tax scales - NAT 1004'!$A$25:$C$33,3,1)),0)
*13/3,
0),
IF($E$2="Monthly",
ROUND(
ROUND(((TRUNC($AN594*3/13,0)+0.99)*VLOOKUP((TRUNC($AN594*3/13,0)+0.99),'Tax scales - NAT 1004'!$A$25:$C$33,2,1)-VLOOKUP((TRUNC($AN594*3/13,0)+0.99),'Tax scales - NAT 1004'!$A$25:$C$33,3,1)),0)
*13/3,
0),
""))),
""),
"")</f>
        <v/>
      </c>
      <c r="AQ594" s="118" t="str">
        <f>IFERROR(
IF(VLOOKUP($C594,'Employee information'!$B:$M,COLUMNS('Employee information'!$B:$M),0)=3,
IF($E$2="Fortnightly",
ROUND(
ROUND((((TRUNC($AN594/2,0)+0.99))*VLOOKUP((TRUNC($AN594/2,0)+0.99),'Tax scales - NAT 1004'!$A$39:$C$41,2,1)-VLOOKUP((TRUNC($AN594/2,0)+0.99),'Tax scales - NAT 1004'!$A$39:$C$41,3,1)),0)
*2,
0),
IF(AND($E$2="Monthly",ROUND($AN594-TRUNC($AN594),2)=0.33),
ROUND(
ROUND(((TRUNC(($AN594+0.01)*3/13,0)+0.99)*VLOOKUP((TRUNC(($AN594+0.01)*3/13,0)+0.99),'Tax scales - NAT 1004'!$A$39:$C$41,2,1)-VLOOKUP((TRUNC(($AN594+0.01)*3/13,0)+0.99),'Tax scales - NAT 1004'!$A$39:$C$41,3,1)),0)
*13/3,
0),
IF($E$2="Monthly",
ROUND(
ROUND(((TRUNC($AN594*3/13,0)+0.99)*VLOOKUP((TRUNC($AN594*3/13,0)+0.99),'Tax scales - NAT 1004'!$A$39:$C$41,2,1)-VLOOKUP((TRUNC($AN594*3/13,0)+0.99),'Tax scales - NAT 1004'!$A$39:$C$41,3,1)),0)
*13/3,
0),
""))),
""),
"")</f>
        <v/>
      </c>
      <c r="AR594" s="118" t="str">
        <f>IFERROR(
IF(AND(VLOOKUP($C594,'Employee information'!$B:$M,COLUMNS('Employee information'!$B:$M),0)=4,
VLOOKUP($C594,'Employee information'!$B:$J,COLUMNS('Employee information'!$B:$J),0)="Resident"),
TRUNC(TRUNC($AN594)*'Tax scales - NAT 1004'!$B$47),
IF(AND(VLOOKUP($C594,'Employee information'!$B:$M,COLUMNS('Employee information'!$B:$M),0)=4,
VLOOKUP($C594,'Employee information'!$B:$J,COLUMNS('Employee information'!$B:$J),0)="Foreign resident"),
TRUNC(TRUNC($AN594)*'Tax scales - NAT 1004'!$B$48),
"")),
"")</f>
        <v/>
      </c>
      <c r="AS594" s="118" t="str">
        <f>IFERROR(
IF(VLOOKUP($C594,'Employee information'!$B:$M,COLUMNS('Employee information'!$B:$M),0)=5,
IF($E$2="Fortnightly",
ROUND(
ROUND((((TRUNC($AN594/2,0)+0.99))*VLOOKUP((TRUNC($AN594/2,0)+0.99),'Tax scales - NAT 1004'!$A$53:$C$59,2,1)-VLOOKUP((TRUNC($AN594/2,0)+0.99),'Tax scales - NAT 1004'!$A$53:$C$59,3,1)),0)
*2,
0),
IF(AND($E$2="Monthly",ROUND($AN594-TRUNC($AN594),2)=0.33),
ROUND(
ROUND(((TRUNC(($AN594+0.01)*3/13,0)+0.99)*VLOOKUP((TRUNC(($AN594+0.01)*3/13,0)+0.99),'Tax scales - NAT 1004'!$A$53:$C$59,2,1)-VLOOKUP((TRUNC(($AN594+0.01)*3/13,0)+0.99),'Tax scales - NAT 1004'!$A$53:$C$59,3,1)),0)
*13/3,
0),
IF($E$2="Monthly",
ROUND(
ROUND(((TRUNC($AN594*3/13,0)+0.99)*VLOOKUP((TRUNC($AN594*3/13,0)+0.99),'Tax scales - NAT 1004'!$A$53:$C$59,2,1)-VLOOKUP((TRUNC($AN594*3/13,0)+0.99),'Tax scales - NAT 1004'!$A$53:$C$59,3,1)),0)
*13/3,
0),
""))),
""),
"")</f>
        <v/>
      </c>
      <c r="AT594" s="118" t="str">
        <f>IFERROR(
IF(VLOOKUP($C594,'Employee information'!$B:$M,COLUMNS('Employee information'!$B:$M),0)=6,
IF($E$2="Fortnightly",
ROUND(
ROUND((((TRUNC($AN594/2,0)+0.99))*VLOOKUP((TRUNC($AN594/2,0)+0.99),'Tax scales - NAT 1004'!$A$65:$C$73,2,1)-VLOOKUP((TRUNC($AN594/2,0)+0.99),'Tax scales - NAT 1004'!$A$65:$C$73,3,1)),0)
*2,
0),
IF(AND($E$2="Monthly",ROUND($AN594-TRUNC($AN594),2)=0.33),
ROUND(
ROUND(((TRUNC(($AN594+0.01)*3/13,0)+0.99)*VLOOKUP((TRUNC(($AN594+0.01)*3/13,0)+0.99),'Tax scales - NAT 1004'!$A$65:$C$73,2,1)-VLOOKUP((TRUNC(($AN594+0.01)*3/13,0)+0.99),'Tax scales - NAT 1004'!$A$65:$C$73,3,1)),0)
*13/3,
0),
IF($E$2="Monthly",
ROUND(
ROUND(((TRUNC($AN594*3/13,0)+0.99)*VLOOKUP((TRUNC($AN594*3/13,0)+0.99),'Tax scales - NAT 1004'!$A$65:$C$73,2,1)-VLOOKUP((TRUNC($AN594*3/13,0)+0.99),'Tax scales - NAT 1004'!$A$65:$C$73,3,1)),0)
*13/3,
0),
""))),
""),
"")</f>
        <v/>
      </c>
      <c r="AU594" s="118" t="str">
        <f>IFERROR(
IF(VLOOKUP($C594,'Employee information'!$B:$M,COLUMNS('Employee information'!$B:$M),0)=11,
IF($E$2="Fortnightly",
ROUND(
ROUND((((TRUNC($AN594/2,0)+0.99))*VLOOKUP((TRUNC($AN594/2,0)+0.99),'Tax scales - NAT 3539'!$A$14:$C$38,2,1)-VLOOKUP((TRUNC($AN594/2,0)+0.99),'Tax scales - NAT 3539'!$A$14:$C$38,3,1)),0)
*2,
0),
IF(AND($E$2="Monthly",ROUND($AN594-TRUNC($AN594),2)=0.33),
ROUND(
ROUND(((TRUNC(($AN594+0.01)*3/13,0)+0.99)*VLOOKUP((TRUNC(($AN594+0.01)*3/13,0)+0.99),'Tax scales - NAT 3539'!$A$14:$C$38,2,1)-VLOOKUP((TRUNC(($AN594+0.01)*3/13,0)+0.99),'Tax scales - NAT 3539'!$A$14:$C$38,3,1)),0)
*13/3,
0),
IF($E$2="Monthly",
ROUND(
ROUND(((TRUNC($AN594*3/13,0)+0.99)*VLOOKUP((TRUNC($AN594*3/13,0)+0.99),'Tax scales - NAT 3539'!$A$14:$C$38,2,1)-VLOOKUP((TRUNC($AN594*3/13,0)+0.99),'Tax scales - NAT 3539'!$A$14:$C$38,3,1)),0)
*13/3,
0),
""))),
""),
"")</f>
        <v/>
      </c>
      <c r="AV594" s="118" t="str">
        <f>IFERROR(
IF(VLOOKUP($C594,'Employee information'!$B:$M,COLUMNS('Employee information'!$B:$M),0)=22,
IF($E$2="Fortnightly",
ROUND(
ROUND((((TRUNC($AN594/2,0)+0.99))*VLOOKUP((TRUNC($AN594/2,0)+0.99),'Tax scales - NAT 3539'!$A$43:$C$69,2,1)-VLOOKUP((TRUNC($AN594/2,0)+0.99),'Tax scales - NAT 3539'!$A$43:$C$69,3,1)),0)
*2,
0),
IF(AND($E$2="Monthly",ROUND($AN594-TRUNC($AN594),2)=0.33),
ROUND(
ROUND(((TRUNC(($AN594+0.01)*3/13,0)+0.99)*VLOOKUP((TRUNC(($AN594+0.01)*3/13,0)+0.99),'Tax scales - NAT 3539'!$A$43:$C$69,2,1)-VLOOKUP((TRUNC(($AN594+0.01)*3/13,0)+0.99),'Tax scales - NAT 3539'!$A$43:$C$69,3,1)),0)
*13/3,
0),
IF($E$2="Monthly",
ROUND(
ROUND(((TRUNC($AN594*3/13,0)+0.99)*VLOOKUP((TRUNC($AN594*3/13,0)+0.99),'Tax scales - NAT 3539'!$A$43:$C$69,2,1)-VLOOKUP((TRUNC($AN594*3/13,0)+0.99),'Tax scales - NAT 3539'!$A$43:$C$69,3,1)),0)
*13/3,
0),
""))),
""),
"")</f>
        <v/>
      </c>
      <c r="AW594" s="118" t="str">
        <f>IFERROR(
IF(VLOOKUP($C594,'Employee information'!$B:$M,COLUMNS('Employee information'!$B:$M),0)=33,
IF($E$2="Fortnightly",
ROUND(
ROUND((((TRUNC($AN594/2,0)+0.99))*VLOOKUP((TRUNC($AN594/2,0)+0.99),'Tax scales - NAT 3539'!$A$74:$C$94,2,1)-VLOOKUP((TRUNC($AN594/2,0)+0.99),'Tax scales - NAT 3539'!$A$74:$C$94,3,1)),0)
*2,
0),
IF(AND($E$2="Monthly",ROUND($AN594-TRUNC($AN594),2)=0.33),
ROUND(
ROUND(((TRUNC(($AN594+0.01)*3/13,0)+0.99)*VLOOKUP((TRUNC(($AN594+0.01)*3/13,0)+0.99),'Tax scales - NAT 3539'!$A$74:$C$94,2,1)-VLOOKUP((TRUNC(($AN594+0.01)*3/13,0)+0.99),'Tax scales - NAT 3539'!$A$74:$C$94,3,1)),0)
*13/3,
0),
IF($E$2="Monthly",
ROUND(
ROUND(((TRUNC($AN594*3/13,0)+0.99)*VLOOKUP((TRUNC($AN594*3/13,0)+0.99),'Tax scales - NAT 3539'!$A$74:$C$94,2,1)-VLOOKUP((TRUNC($AN594*3/13,0)+0.99),'Tax scales - NAT 3539'!$A$74:$C$94,3,1)),0)
*13/3,
0),
""))),
""),
"")</f>
        <v/>
      </c>
      <c r="AX594" s="118">
        <f>IFERROR(
IF(VLOOKUP($C594,'Employee information'!$B:$M,COLUMNS('Employee information'!$B:$M),0)=55,
IF($E$2="Fortnightly",
ROUND(
ROUND((((TRUNC($AN594/2,0)+0.99))*VLOOKUP((TRUNC($AN594/2,0)+0.99),'Tax scales - NAT 3539'!$A$99:$C$123,2,1)-VLOOKUP((TRUNC($AN594/2,0)+0.99),'Tax scales - NAT 3539'!$A$99:$C$123,3,1)),0)
*2,
0),
IF(AND($E$2="Monthly",ROUND($AN594-TRUNC($AN594),2)=0.33),
ROUND(
ROUND(((TRUNC(($AN594+0.01)*3/13,0)+0.99)*VLOOKUP((TRUNC(($AN594+0.01)*3/13,0)+0.99),'Tax scales - NAT 3539'!$A$99:$C$123,2,1)-VLOOKUP((TRUNC(($AN594+0.01)*3/13,0)+0.99),'Tax scales - NAT 3539'!$A$99:$C$123,3,1)),0)
*13/3,
0),
IF($E$2="Monthly",
ROUND(
ROUND(((TRUNC($AN594*3/13,0)+0.99)*VLOOKUP((TRUNC($AN594*3/13,0)+0.99),'Tax scales - NAT 3539'!$A$99:$C$123,2,1)-VLOOKUP((TRUNC($AN594*3/13,0)+0.99),'Tax scales - NAT 3539'!$A$99:$C$123,3,1)),0)
*13/3,
0),
""))),
""),
"")</f>
        <v>3104</v>
      </c>
      <c r="AY594" s="118" t="str">
        <f>IFERROR(
IF(VLOOKUP($C594,'Employee information'!$B:$M,COLUMNS('Employee information'!$B:$M),0)=66,
IF($E$2="Fortnightly",
ROUND(
ROUND((((TRUNC($AN594/2,0)+0.99))*VLOOKUP((TRUNC($AN594/2,0)+0.99),'Tax scales - NAT 3539'!$A$127:$C$154,2,1)-VLOOKUP((TRUNC($AN594/2,0)+0.99),'Tax scales - NAT 3539'!$A$127:$C$154,3,1)),0)
*2,
0),
IF(AND($E$2="Monthly",ROUND($AN594-TRUNC($AN594),2)=0.33),
ROUND(
ROUND(((TRUNC(($AN594+0.01)*3/13,0)+0.99)*VLOOKUP((TRUNC(($AN594+0.01)*3/13,0)+0.99),'Tax scales - NAT 3539'!$A$127:$C$154,2,1)-VLOOKUP((TRUNC(($AN594+0.01)*3/13,0)+0.99),'Tax scales - NAT 3539'!$A$127:$C$154,3,1)),0)
*13/3,
0),
IF($E$2="Monthly",
ROUND(
ROUND(((TRUNC($AN594*3/13,0)+0.99)*VLOOKUP((TRUNC($AN594*3/13,0)+0.99),'Tax scales - NAT 3539'!$A$127:$C$154,2,1)-VLOOKUP((TRUNC($AN594*3/13,0)+0.99),'Tax scales - NAT 3539'!$A$127:$C$154,3,1)),0)
*13/3,
0),
""))),
""),
"")</f>
        <v/>
      </c>
      <c r="AZ594" s="118">
        <f>IFERROR(
HLOOKUP(VLOOKUP($C594,'Employee information'!$B:$M,COLUMNS('Employee information'!$B:$M),0),'PAYG worksheet'!$AO$590:$AY$609,COUNTA($C$591:$C594)+1,0),
0)</f>
        <v>3104</v>
      </c>
      <c r="BA594" s="118"/>
      <c r="BB594" s="118">
        <f t="shared" si="635"/>
        <v>4588.3076923076924</v>
      </c>
      <c r="BC594" s="119">
        <f>IFERROR(
IF(OR($AE594=1,$AE594=""),SUM($P594,$AA594,$AC594,$AK594)*VLOOKUP($C594,'Employee information'!$B:$Q,COLUMNS('Employee information'!$B:$H),0),
IF($AE594=0,SUM($P594,$AA594,$AK594)*VLOOKUP($C594,'Employee information'!$B:$Q,COLUMNS('Employee information'!$B:$H),0),
0)),
0)</f>
        <v>730.76923076923083</v>
      </c>
      <c r="BE594" s="114">
        <f t="shared" si="620"/>
        <v>161678.4615384615</v>
      </c>
      <c r="BF594" s="114">
        <f t="shared" si="621"/>
        <v>161538.4615384615</v>
      </c>
      <c r="BG594" s="114">
        <f t="shared" si="622"/>
        <v>0</v>
      </c>
      <c r="BH594" s="114">
        <f t="shared" si="623"/>
        <v>140</v>
      </c>
      <c r="BI594" s="114">
        <f t="shared" si="624"/>
        <v>65184</v>
      </c>
      <c r="BJ594" s="114">
        <f t="shared" si="625"/>
        <v>0</v>
      </c>
      <c r="BK594" s="114">
        <f t="shared" si="626"/>
        <v>0</v>
      </c>
      <c r="BL594" s="114">
        <f t="shared" si="636"/>
        <v>0</v>
      </c>
      <c r="BM594" s="114">
        <f t="shared" si="627"/>
        <v>15346.153846153842</v>
      </c>
    </row>
    <row r="595" spans="1:65" x14ac:dyDescent="0.25">
      <c r="A595" s="228">
        <f t="shared" si="615"/>
        <v>21</v>
      </c>
      <c r="C595" s="278" t="s">
        <v>16</v>
      </c>
      <c r="E595" s="103">
        <f>IF($C595="",0,
IF(AND($E$2="Monthly",$A595&gt;12),0,
IF($E$2="Monthly",VLOOKUP($C595,'Employee information'!$B:$AM,COLUMNS('Employee information'!$B:S),0),
IF($E$2="Fortnightly",VLOOKUP($C595,'Employee information'!$B:$AM,COLUMNS('Employee information'!$B:R),0),
0))))</f>
        <v>75</v>
      </c>
      <c r="F595" s="106"/>
      <c r="G595" s="106"/>
      <c r="H595" s="106"/>
      <c r="I595" s="106"/>
      <c r="J595" s="103">
        <f t="shared" si="628"/>
        <v>75</v>
      </c>
      <c r="L595" s="113">
        <f>IF(AND($E$2="Monthly",$A595&gt;12),"",
IFERROR($J595*VLOOKUP($C595,'Employee information'!$B:$AI,COLUMNS('Employee information'!$B:$P),0),0))</f>
        <v>4125</v>
      </c>
      <c r="M595" s="114">
        <f t="shared" si="629"/>
        <v>86625</v>
      </c>
      <c r="O595" s="103">
        <f t="shared" si="630"/>
        <v>75</v>
      </c>
      <c r="P595" s="113">
        <f>IFERROR(
IF(AND($E$2="Monthly",$A595&gt;12),0,
$O595*VLOOKUP($C595,'Employee information'!$B:$AI,COLUMNS('Employee information'!$B:$P),0)),
0)</f>
        <v>4125</v>
      </c>
      <c r="R595" s="114">
        <f t="shared" si="616"/>
        <v>86625</v>
      </c>
      <c r="T595" s="103"/>
      <c r="U595" s="103"/>
      <c r="V595" s="282">
        <f>IF($C595="","",
IF(AND($E$2="Monthly",$A595&gt;12),"",
$T595*VLOOKUP($C595,'Employee information'!$B:$P,COLUMNS('Employee information'!$B:$P),0)))</f>
        <v>0</v>
      </c>
      <c r="W595" s="282">
        <f>IF($C595="","",
IF(AND($E$2="Monthly",$A595&gt;12),"",
$U595*VLOOKUP($C595,'Employee information'!$B:$P,COLUMNS('Employee information'!$B:$P),0)))</f>
        <v>0</v>
      </c>
      <c r="X595" s="114">
        <f t="shared" si="617"/>
        <v>0</v>
      </c>
      <c r="Y595" s="114">
        <f t="shared" si="618"/>
        <v>0</v>
      </c>
      <c r="AA595" s="118">
        <f>IFERROR(
IF(OR('Basic payroll data'!$D$12="",'Basic payroll data'!$D$12="No"),0,
$T595*VLOOKUP($C595,'Employee information'!$B:$P,COLUMNS('Employee information'!$B:$P),0)*AL_loading_perc),
0)</f>
        <v>0</v>
      </c>
      <c r="AC595" s="118"/>
      <c r="AD595" s="118"/>
      <c r="AE595" s="283" t="str">
        <f t="shared" si="631"/>
        <v/>
      </c>
      <c r="AF595" s="283" t="str">
        <f t="shared" si="632"/>
        <v/>
      </c>
      <c r="AG595" s="118"/>
      <c r="AH595" s="118"/>
      <c r="AI595" s="283" t="str">
        <f t="shared" si="633"/>
        <v/>
      </c>
      <c r="AJ595" s="118"/>
      <c r="AK595" s="118"/>
      <c r="AM595" s="118">
        <f t="shared" si="634"/>
        <v>4125</v>
      </c>
      <c r="AN595" s="118">
        <f t="shared" si="619"/>
        <v>4125</v>
      </c>
      <c r="AO595" s="118" t="str">
        <f>IFERROR(
IF(VLOOKUP($C595,'Employee information'!$B:$M,COLUMNS('Employee information'!$B:$M),0)=1,
IF($E$2="Fortnightly",
ROUND(
ROUND((((TRUNC($AN595/2,0)+0.99))*VLOOKUP((TRUNC($AN595/2,0)+0.99),'Tax scales - NAT 1004'!$A$12:$C$18,2,1)-VLOOKUP((TRUNC($AN595/2,0)+0.99),'Tax scales - NAT 1004'!$A$12:$C$18,3,1)),0)
*2,
0),
IF(AND($E$2="Monthly",ROUND($AN595-TRUNC($AN595),2)=0.33),
ROUND(
ROUND(((TRUNC(($AN595+0.01)*3/13,0)+0.99)*VLOOKUP((TRUNC(($AN595+0.01)*3/13,0)+0.99),'Tax scales - NAT 1004'!$A$12:$C$18,2,1)-VLOOKUP((TRUNC(($AN595+0.01)*3/13,0)+0.99),'Tax scales - NAT 1004'!$A$12:$C$18,3,1)),0)
*13/3,
0),
IF($E$2="Monthly",
ROUND(
ROUND(((TRUNC($AN595*3/13,0)+0.99)*VLOOKUP((TRUNC($AN595*3/13,0)+0.99),'Tax scales - NAT 1004'!$A$12:$C$18,2,1)-VLOOKUP((TRUNC($AN595*3/13,0)+0.99),'Tax scales - NAT 1004'!$A$12:$C$18,3,1)),0)
*13/3,
0),
""))),
""),
"")</f>
        <v/>
      </c>
      <c r="AP595" s="118" t="str">
        <f>IFERROR(
IF(VLOOKUP($C595,'Employee information'!$B:$M,COLUMNS('Employee information'!$B:$M),0)=2,
IF($E$2="Fortnightly",
ROUND(
ROUND((((TRUNC($AN595/2,0)+0.99))*VLOOKUP((TRUNC($AN595/2,0)+0.99),'Tax scales - NAT 1004'!$A$25:$C$33,2,1)-VLOOKUP((TRUNC($AN595/2,0)+0.99),'Tax scales - NAT 1004'!$A$25:$C$33,3,1)),0)
*2,
0),
IF(AND($E$2="Monthly",ROUND($AN595-TRUNC($AN595),2)=0.33),
ROUND(
ROUND(((TRUNC(($AN595+0.01)*3/13,0)+0.99)*VLOOKUP((TRUNC(($AN595+0.01)*3/13,0)+0.99),'Tax scales - NAT 1004'!$A$25:$C$33,2,1)-VLOOKUP((TRUNC(($AN595+0.01)*3/13,0)+0.99),'Tax scales - NAT 1004'!$A$25:$C$33,3,1)),0)
*13/3,
0),
IF($E$2="Monthly",
ROUND(
ROUND(((TRUNC($AN595*3/13,0)+0.99)*VLOOKUP((TRUNC($AN595*3/13,0)+0.99),'Tax scales - NAT 1004'!$A$25:$C$33,2,1)-VLOOKUP((TRUNC($AN595*3/13,0)+0.99),'Tax scales - NAT 1004'!$A$25:$C$33,3,1)),0)
*13/3,
0),
""))),
""),
"")</f>
        <v/>
      </c>
      <c r="AQ595" s="118" t="str">
        <f>IFERROR(
IF(VLOOKUP($C595,'Employee information'!$B:$M,COLUMNS('Employee information'!$B:$M),0)=3,
IF($E$2="Fortnightly",
ROUND(
ROUND((((TRUNC($AN595/2,0)+0.99))*VLOOKUP((TRUNC($AN595/2,0)+0.99),'Tax scales - NAT 1004'!$A$39:$C$41,2,1)-VLOOKUP((TRUNC($AN595/2,0)+0.99),'Tax scales - NAT 1004'!$A$39:$C$41,3,1)),0)
*2,
0),
IF(AND($E$2="Monthly",ROUND($AN595-TRUNC($AN595),2)=0.33),
ROUND(
ROUND(((TRUNC(($AN595+0.01)*3/13,0)+0.99)*VLOOKUP((TRUNC(($AN595+0.01)*3/13,0)+0.99),'Tax scales - NAT 1004'!$A$39:$C$41,2,1)-VLOOKUP((TRUNC(($AN595+0.01)*3/13,0)+0.99),'Tax scales - NAT 1004'!$A$39:$C$41,3,1)),0)
*13/3,
0),
IF($E$2="Monthly",
ROUND(
ROUND(((TRUNC($AN595*3/13,0)+0.99)*VLOOKUP((TRUNC($AN595*3/13,0)+0.99),'Tax scales - NAT 1004'!$A$39:$C$41,2,1)-VLOOKUP((TRUNC($AN595*3/13,0)+0.99),'Tax scales - NAT 1004'!$A$39:$C$41,3,1)),0)
*13/3,
0),
""))),
""),
"")</f>
        <v/>
      </c>
      <c r="AR595" s="118" t="str">
        <f>IFERROR(
IF(AND(VLOOKUP($C595,'Employee information'!$B:$M,COLUMNS('Employee information'!$B:$M),0)=4,
VLOOKUP($C595,'Employee information'!$B:$J,COLUMNS('Employee information'!$B:$J),0)="Resident"),
TRUNC(TRUNC($AN595)*'Tax scales - NAT 1004'!$B$47),
IF(AND(VLOOKUP($C595,'Employee information'!$B:$M,COLUMNS('Employee information'!$B:$M),0)=4,
VLOOKUP($C595,'Employee information'!$B:$J,COLUMNS('Employee information'!$B:$J),0)="Foreign resident"),
TRUNC(TRUNC($AN595)*'Tax scales - NAT 1004'!$B$48),
"")),
"")</f>
        <v/>
      </c>
      <c r="AS595" s="118" t="str">
        <f>IFERROR(
IF(VLOOKUP($C595,'Employee information'!$B:$M,COLUMNS('Employee information'!$B:$M),0)=5,
IF($E$2="Fortnightly",
ROUND(
ROUND((((TRUNC($AN595/2,0)+0.99))*VLOOKUP((TRUNC($AN595/2,0)+0.99),'Tax scales - NAT 1004'!$A$53:$C$59,2,1)-VLOOKUP((TRUNC($AN595/2,0)+0.99),'Tax scales - NAT 1004'!$A$53:$C$59,3,1)),0)
*2,
0),
IF(AND($E$2="Monthly",ROUND($AN595-TRUNC($AN595),2)=0.33),
ROUND(
ROUND(((TRUNC(($AN595+0.01)*3/13,0)+0.99)*VLOOKUP((TRUNC(($AN595+0.01)*3/13,0)+0.99),'Tax scales - NAT 1004'!$A$53:$C$59,2,1)-VLOOKUP((TRUNC(($AN595+0.01)*3/13,0)+0.99),'Tax scales - NAT 1004'!$A$53:$C$59,3,1)),0)
*13/3,
0),
IF($E$2="Monthly",
ROUND(
ROUND(((TRUNC($AN595*3/13,0)+0.99)*VLOOKUP((TRUNC($AN595*3/13,0)+0.99),'Tax scales - NAT 1004'!$A$53:$C$59,2,1)-VLOOKUP((TRUNC($AN595*3/13,0)+0.99),'Tax scales - NAT 1004'!$A$53:$C$59,3,1)),0)
*13/3,
0),
""))),
""),
"")</f>
        <v/>
      </c>
      <c r="AT595" s="118" t="str">
        <f>IFERROR(
IF(VLOOKUP($C595,'Employee information'!$B:$M,COLUMNS('Employee information'!$B:$M),0)=6,
IF($E$2="Fortnightly",
ROUND(
ROUND((((TRUNC($AN595/2,0)+0.99))*VLOOKUP((TRUNC($AN595/2,0)+0.99),'Tax scales - NAT 1004'!$A$65:$C$73,2,1)-VLOOKUP((TRUNC($AN595/2,0)+0.99),'Tax scales - NAT 1004'!$A$65:$C$73,3,1)),0)
*2,
0),
IF(AND($E$2="Monthly",ROUND($AN595-TRUNC($AN595),2)=0.33),
ROUND(
ROUND(((TRUNC(($AN595+0.01)*3/13,0)+0.99)*VLOOKUP((TRUNC(($AN595+0.01)*3/13,0)+0.99),'Tax scales - NAT 1004'!$A$65:$C$73,2,1)-VLOOKUP((TRUNC(($AN595+0.01)*3/13,0)+0.99),'Tax scales - NAT 1004'!$A$65:$C$73,3,1)),0)
*13/3,
0),
IF($E$2="Monthly",
ROUND(
ROUND(((TRUNC($AN595*3/13,0)+0.99)*VLOOKUP((TRUNC($AN595*3/13,0)+0.99),'Tax scales - NAT 1004'!$A$65:$C$73,2,1)-VLOOKUP((TRUNC($AN595*3/13,0)+0.99),'Tax scales - NAT 1004'!$A$65:$C$73,3,1)),0)
*13/3,
0),
""))),
""),
"")</f>
        <v/>
      </c>
      <c r="AU595" s="118">
        <f>IFERROR(
IF(VLOOKUP($C595,'Employee information'!$B:$M,COLUMNS('Employee information'!$B:$M),0)=11,
IF($E$2="Fortnightly",
ROUND(
ROUND((((TRUNC($AN595/2,0)+0.99))*VLOOKUP((TRUNC($AN595/2,0)+0.99),'Tax scales - NAT 3539'!$A$14:$C$38,2,1)-VLOOKUP((TRUNC($AN595/2,0)+0.99),'Tax scales - NAT 3539'!$A$14:$C$38,3,1)),0)
*2,
0),
IF(AND($E$2="Monthly",ROUND($AN595-TRUNC($AN595),2)=0.33),
ROUND(
ROUND(((TRUNC(($AN595+0.01)*3/13,0)+0.99)*VLOOKUP((TRUNC(($AN595+0.01)*3/13,0)+0.99),'Tax scales - NAT 3539'!$A$14:$C$38,2,1)-VLOOKUP((TRUNC(($AN595+0.01)*3/13,0)+0.99),'Tax scales - NAT 3539'!$A$14:$C$38,3,1)),0)
*13/3,
0),
IF($E$2="Monthly",
ROUND(
ROUND(((TRUNC($AN595*3/13,0)+0.99)*VLOOKUP((TRUNC($AN595*3/13,0)+0.99),'Tax scales - NAT 3539'!$A$14:$C$38,2,1)-VLOOKUP((TRUNC($AN595*3/13,0)+0.99),'Tax scales - NAT 3539'!$A$14:$C$38,3,1)),0)
*13/3,
0),
""))),
""),
"")</f>
        <v>1680</v>
      </c>
      <c r="AV595" s="118" t="str">
        <f>IFERROR(
IF(VLOOKUP($C595,'Employee information'!$B:$M,COLUMNS('Employee information'!$B:$M),0)=22,
IF($E$2="Fortnightly",
ROUND(
ROUND((((TRUNC($AN595/2,0)+0.99))*VLOOKUP((TRUNC($AN595/2,0)+0.99),'Tax scales - NAT 3539'!$A$43:$C$69,2,1)-VLOOKUP((TRUNC($AN595/2,0)+0.99),'Tax scales - NAT 3539'!$A$43:$C$69,3,1)),0)
*2,
0),
IF(AND($E$2="Monthly",ROUND($AN595-TRUNC($AN595),2)=0.33),
ROUND(
ROUND(((TRUNC(($AN595+0.01)*3/13,0)+0.99)*VLOOKUP((TRUNC(($AN595+0.01)*3/13,0)+0.99),'Tax scales - NAT 3539'!$A$43:$C$69,2,1)-VLOOKUP((TRUNC(($AN595+0.01)*3/13,0)+0.99),'Tax scales - NAT 3539'!$A$43:$C$69,3,1)),0)
*13/3,
0),
IF($E$2="Monthly",
ROUND(
ROUND(((TRUNC($AN595*3/13,0)+0.99)*VLOOKUP((TRUNC($AN595*3/13,0)+0.99),'Tax scales - NAT 3539'!$A$43:$C$69,2,1)-VLOOKUP((TRUNC($AN595*3/13,0)+0.99),'Tax scales - NAT 3539'!$A$43:$C$69,3,1)),0)
*13/3,
0),
""))),
""),
"")</f>
        <v/>
      </c>
      <c r="AW595" s="118" t="str">
        <f>IFERROR(
IF(VLOOKUP($C595,'Employee information'!$B:$M,COLUMNS('Employee information'!$B:$M),0)=33,
IF($E$2="Fortnightly",
ROUND(
ROUND((((TRUNC($AN595/2,0)+0.99))*VLOOKUP((TRUNC($AN595/2,0)+0.99),'Tax scales - NAT 3539'!$A$74:$C$94,2,1)-VLOOKUP((TRUNC($AN595/2,0)+0.99),'Tax scales - NAT 3539'!$A$74:$C$94,3,1)),0)
*2,
0),
IF(AND($E$2="Monthly",ROUND($AN595-TRUNC($AN595),2)=0.33),
ROUND(
ROUND(((TRUNC(($AN595+0.01)*3/13,0)+0.99)*VLOOKUP((TRUNC(($AN595+0.01)*3/13,0)+0.99),'Tax scales - NAT 3539'!$A$74:$C$94,2,1)-VLOOKUP((TRUNC(($AN595+0.01)*3/13,0)+0.99),'Tax scales - NAT 3539'!$A$74:$C$94,3,1)),0)
*13/3,
0),
IF($E$2="Monthly",
ROUND(
ROUND(((TRUNC($AN595*3/13,0)+0.99)*VLOOKUP((TRUNC($AN595*3/13,0)+0.99),'Tax scales - NAT 3539'!$A$74:$C$94,2,1)-VLOOKUP((TRUNC($AN595*3/13,0)+0.99),'Tax scales - NAT 3539'!$A$74:$C$94,3,1)),0)
*13/3,
0),
""))),
""),
"")</f>
        <v/>
      </c>
      <c r="AX595" s="118" t="str">
        <f>IFERROR(
IF(VLOOKUP($C595,'Employee information'!$B:$M,COLUMNS('Employee information'!$B:$M),0)=55,
IF($E$2="Fortnightly",
ROUND(
ROUND((((TRUNC($AN595/2,0)+0.99))*VLOOKUP((TRUNC($AN595/2,0)+0.99),'Tax scales - NAT 3539'!$A$99:$C$123,2,1)-VLOOKUP((TRUNC($AN595/2,0)+0.99),'Tax scales - NAT 3539'!$A$99:$C$123,3,1)),0)
*2,
0),
IF(AND($E$2="Monthly",ROUND($AN595-TRUNC($AN595),2)=0.33),
ROUND(
ROUND(((TRUNC(($AN595+0.01)*3/13,0)+0.99)*VLOOKUP((TRUNC(($AN595+0.01)*3/13,0)+0.99),'Tax scales - NAT 3539'!$A$99:$C$123,2,1)-VLOOKUP((TRUNC(($AN595+0.01)*3/13,0)+0.99),'Tax scales - NAT 3539'!$A$99:$C$123,3,1)),0)
*13/3,
0),
IF($E$2="Monthly",
ROUND(
ROUND(((TRUNC($AN595*3/13,0)+0.99)*VLOOKUP((TRUNC($AN595*3/13,0)+0.99),'Tax scales - NAT 3539'!$A$99:$C$123,2,1)-VLOOKUP((TRUNC($AN595*3/13,0)+0.99),'Tax scales - NAT 3539'!$A$99:$C$123,3,1)),0)
*13/3,
0),
""))),
""),
"")</f>
        <v/>
      </c>
      <c r="AY595" s="118" t="str">
        <f>IFERROR(
IF(VLOOKUP($C595,'Employee information'!$B:$M,COLUMNS('Employee information'!$B:$M),0)=66,
IF($E$2="Fortnightly",
ROUND(
ROUND((((TRUNC($AN595/2,0)+0.99))*VLOOKUP((TRUNC($AN595/2,0)+0.99),'Tax scales - NAT 3539'!$A$127:$C$154,2,1)-VLOOKUP((TRUNC($AN595/2,0)+0.99),'Tax scales - NAT 3539'!$A$127:$C$154,3,1)),0)
*2,
0),
IF(AND($E$2="Monthly",ROUND($AN595-TRUNC($AN595),2)=0.33),
ROUND(
ROUND(((TRUNC(($AN595+0.01)*3/13,0)+0.99)*VLOOKUP((TRUNC(($AN595+0.01)*3/13,0)+0.99),'Tax scales - NAT 3539'!$A$127:$C$154,2,1)-VLOOKUP((TRUNC(($AN595+0.01)*3/13,0)+0.99),'Tax scales - NAT 3539'!$A$127:$C$154,3,1)),0)
*13/3,
0),
IF($E$2="Monthly",
ROUND(
ROUND(((TRUNC($AN595*3/13,0)+0.99)*VLOOKUP((TRUNC($AN595*3/13,0)+0.99),'Tax scales - NAT 3539'!$A$127:$C$154,2,1)-VLOOKUP((TRUNC($AN595*3/13,0)+0.99),'Tax scales - NAT 3539'!$A$127:$C$154,3,1)),0)
*13/3,
0),
""))),
""),
"")</f>
        <v/>
      </c>
      <c r="AZ595" s="118">
        <f>IFERROR(
HLOOKUP(VLOOKUP($C595,'Employee information'!$B:$M,COLUMNS('Employee information'!$B:$M),0),'PAYG worksheet'!$AO$590:$AY$609,COUNTA($C$591:$C595)+1,0),
0)</f>
        <v>1680</v>
      </c>
      <c r="BA595" s="118"/>
      <c r="BB595" s="118">
        <f t="shared" si="635"/>
        <v>2445</v>
      </c>
      <c r="BC595" s="119">
        <f>IFERROR(
IF(OR($AE595=1,$AE595=""),SUM($P595,$AA595,$AC595,$AK595)*VLOOKUP($C595,'Employee information'!$B:$Q,COLUMNS('Employee information'!$B:$H),0),
IF($AE595=0,SUM($P595,$AA595,$AK595)*VLOOKUP($C595,'Employee information'!$B:$Q,COLUMNS('Employee information'!$B:$H),0),
0)),
0)</f>
        <v>391.875</v>
      </c>
      <c r="BE595" s="114">
        <f t="shared" si="620"/>
        <v>86725</v>
      </c>
      <c r="BF595" s="114">
        <f t="shared" si="621"/>
        <v>86725</v>
      </c>
      <c r="BG595" s="114">
        <f t="shared" si="622"/>
        <v>0</v>
      </c>
      <c r="BH595" s="114">
        <f t="shared" si="623"/>
        <v>0</v>
      </c>
      <c r="BI595" s="114">
        <f t="shared" si="624"/>
        <v>35328</v>
      </c>
      <c r="BJ595" s="114">
        <f t="shared" si="625"/>
        <v>0</v>
      </c>
      <c r="BK595" s="114">
        <f t="shared" si="626"/>
        <v>0</v>
      </c>
      <c r="BL595" s="114">
        <f t="shared" si="636"/>
        <v>100</v>
      </c>
      <c r="BM595" s="114">
        <f t="shared" si="627"/>
        <v>8238.875</v>
      </c>
    </row>
    <row r="596" spans="1:65" x14ac:dyDescent="0.25">
      <c r="A596" s="228">
        <f t="shared" si="615"/>
        <v>21</v>
      </c>
      <c r="C596" s="278" t="s">
        <v>17</v>
      </c>
      <c r="E596" s="103">
        <f>IF($C596="",0,
IF(AND($E$2="Monthly",$A596&gt;12),0,
IF($E$2="Monthly",VLOOKUP($C596,'Employee information'!$B:$AM,COLUMNS('Employee information'!$B:S),0),
IF($E$2="Fortnightly",VLOOKUP($C596,'Employee information'!$B:$AM,COLUMNS('Employee information'!$B:R),0),
0))))</f>
        <v>75</v>
      </c>
      <c r="F596" s="106"/>
      <c r="G596" s="106"/>
      <c r="H596" s="106"/>
      <c r="I596" s="106"/>
      <c r="J596" s="103">
        <f t="shared" si="628"/>
        <v>75</v>
      </c>
      <c r="L596" s="113">
        <f>IF(AND($E$2="Monthly",$A596&gt;12),"",
IFERROR($J596*VLOOKUP($C596,'Employee information'!$B:$AI,COLUMNS('Employee information'!$B:$P),0),0))</f>
        <v>2500</v>
      </c>
      <c r="M596" s="114">
        <f t="shared" si="629"/>
        <v>52500</v>
      </c>
      <c r="O596" s="103">
        <f t="shared" si="630"/>
        <v>75</v>
      </c>
      <c r="P596" s="113">
        <f>IFERROR(
IF(AND($E$2="Monthly",$A596&gt;12),0,
$O596*VLOOKUP($C596,'Employee information'!$B:$AI,COLUMNS('Employee information'!$B:$P),0)),
0)</f>
        <v>2500</v>
      </c>
      <c r="R596" s="114">
        <f t="shared" si="616"/>
        <v>52500</v>
      </c>
      <c r="T596" s="103"/>
      <c r="U596" s="103"/>
      <c r="V596" s="282">
        <f>IF($C596="","",
IF(AND($E$2="Monthly",$A596&gt;12),"",
$T596*VLOOKUP($C596,'Employee information'!$B:$P,COLUMNS('Employee information'!$B:$P),0)))</f>
        <v>0</v>
      </c>
      <c r="W596" s="282">
        <f>IF($C596="","",
IF(AND($E$2="Monthly",$A596&gt;12),"",
$U596*VLOOKUP($C596,'Employee information'!$B:$P,COLUMNS('Employee information'!$B:$P),0)))</f>
        <v>0</v>
      </c>
      <c r="X596" s="114">
        <f t="shared" si="617"/>
        <v>0</v>
      </c>
      <c r="Y596" s="114">
        <f t="shared" si="618"/>
        <v>0</v>
      </c>
      <c r="AA596" s="118">
        <f>IFERROR(
IF(OR('Basic payroll data'!$D$12="",'Basic payroll data'!$D$12="No"),0,
$T596*VLOOKUP($C596,'Employee information'!$B:$P,COLUMNS('Employee information'!$B:$P),0)*AL_loading_perc),
0)</f>
        <v>0</v>
      </c>
      <c r="AC596" s="118"/>
      <c r="AD596" s="118"/>
      <c r="AE596" s="283" t="str">
        <f t="shared" si="631"/>
        <v/>
      </c>
      <c r="AF596" s="283" t="str">
        <f t="shared" si="632"/>
        <v/>
      </c>
      <c r="AG596" s="118"/>
      <c r="AH596" s="118"/>
      <c r="AI596" s="283" t="str">
        <f t="shared" si="633"/>
        <v/>
      </c>
      <c r="AJ596" s="118"/>
      <c r="AK596" s="118"/>
      <c r="AM596" s="118">
        <f t="shared" si="634"/>
        <v>2500</v>
      </c>
      <c r="AN596" s="118">
        <f t="shared" si="619"/>
        <v>2500</v>
      </c>
      <c r="AO596" s="118" t="str">
        <f>IFERROR(
IF(VLOOKUP($C596,'Employee information'!$B:$M,COLUMNS('Employee information'!$B:$M),0)=1,
IF($E$2="Fortnightly",
ROUND(
ROUND((((TRUNC($AN596/2,0)+0.99))*VLOOKUP((TRUNC($AN596/2,0)+0.99),'Tax scales - NAT 1004'!$A$12:$C$18,2,1)-VLOOKUP((TRUNC($AN596/2,0)+0.99),'Tax scales - NAT 1004'!$A$12:$C$18,3,1)),0)
*2,
0),
IF(AND($E$2="Monthly",ROUND($AN596-TRUNC($AN596),2)=0.33),
ROUND(
ROUND(((TRUNC(($AN596+0.01)*3/13,0)+0.99)*VLOOKUP((TRUNC(($AN596+0.01)*3/13,0)+0.99),'Tax scales - NAT 1004'!$A$12:$C$18,2,1)-VLOOKUP((TRUNC(($AN596+0.01)*3/13,0)+0.99),'Tax scales - NAT 1004'!$A$12:$C$18,3,1)),0)
*13/3,
0),
IF($E$2="Monthly",
ROUND(
ROUND(((TRUNC($AN596*3/13,0)+0.99)*VLOOKUP((TRUNC($AN596*3/13,0)+0.99),'Tax scales - NAT 1004'!$A$12:$C$18,2,1)-VLOOKUP((TRUNC($AN596*3/13,0)+0.99),'Tax scales - NAT 1004'!$A$12:$C$18,3,1)),0)
*13/3,
0),
""))),
""),
"")</f>
        <v/>
      </c>
      <c r="AP596" s="118" t="str">
        <f>IFERROR(
IF(VLOOKUP($C596,'Employee information'!$B:$M,COLUMNS('Employee information'!$B:$M),0)=2,
IF($E$2="Fortnightly",
ROUND(
ROUND((((TRUNC($AN596/2,0)+0.99))*VLOOKUP((TRUNC($AN596/2,0)+0.99),'Tax scales - NAT 1004'!$A$25:$C$33,2,1)-VLOOKUP((TRUNC($AN596/2,0)+0.99),'Tax scales - NAT 1004'!$A$25:$C$33,3,1)),0)
*2,
0),
IF(AND($E$2="Monthly",ROUND($AN596-TRUNC($AN596),2)=0.33),
ROUND(
ROUND(((TRUNC(($AN596+0.01)*3/13,0)+0.99)*VLOOKUP((TRUNC(($AN596+0.01)*3/13,0)+0.99),'Tax scales - NAT 1004'!$A$25:$C$33,2,1)-VLOOKUP((TRUNC(($AN596+0.01)*3/13,0)+0.99),'Tax scales - NAT 1004'!$A$25:$C$33,3,1)),0)
*13/3,
0),
IF($E$2="Monthly",
ROUND(
ROUND(((TRUNC($AN596*3/13,0)+0.99)*VLOOKUP((TRUNC($AN596*3/13,0)+0.99),'Tax scales - NAT 1004'!$A$25:$C$33,2,1)-VLOOKUP((TRUNC($AN596*3/13,0)+0.99),'Tax scales - NAT 1004'!$A$25:$C$33,3,1)),0)
*13/3,
0),
""))),
""),
"")</f>
        <v/>
      </c>
      <c r="AQ596" s="118" t="str">
        <f>IFERROR(
IF(VLOOKUP($C596,'Employee information'!$B:$M,COLUMNS('Employee information'!$B:$M),0)=3,
IF($E$2="Fortnightly",
ROUND(
ROUND((((TRUNC($AN596/2,0)+0.99))*VLOOKUP((TRUNC($AN596/2,0)+0.99),'Tax scales - NAT 1004'!$A$39:$C$41,2,1)-VLOOKUP((TRUNC($AN596/2,0)+0.99),'Tax scales - NAT 1004'!$A$39:$C$41,3,1)),0)
*2,
0),
IF(AND($E$2="Monthly",ROUND($AN596-TRUNC($AN596),2)=0.33),
ROUND(
ROUND(((TRUNC(($AN596+0.01)*3/13,0)+0.99)*VLOOKUP((TRUNC(($AN596+0.01)*3/13,0)+0.99),'Tax scales - NAT 1004'!$A$39:$C$41,2,1)-VLOOKUP((TRUNC(($AN596+0.01)*3/13,0)+0.99),'Tax scales - NAT 1004'!$A$39:$C$41,3,1)),0)
*13/3,
0),
IF($E$2="Monthly",
ROUND(
ROUND(((TRUNC($AN596*3/13,0)+0.99)*VLOOKUP((TRUNC($AN596*3/13,0)+0.99),'Tax scales - NAT 1004'!$A$39:$C$41,2,1)-VLOOKUP((TRUNC($AN596*3/13,0)+0.99),'Tax scales - NAT 1004'!$A$39:$C$41,3,1)),0)
*13/3,
0),
""))),
""),
"")</f>
        <v/>
      </c>
      <c r="AR596" s="118">
        <f>IFERROR(
IF(AND(VLOOKUP($C596,'Employee information'!$B:$M,COLUMNS('Employee information'!$B:$M),0)=4,
VLOOKUP($C596,'Employee information'!$B:$J,COLUMNS('Employee information'!$B:$J),0)="Resident"),
TRUNC(TRUNC($AN596)*'Tax scales - NAT 1004'!$B$47),
IF(AND(VLOOKUP($C596,'Employee information'!$B:$M,COLUMNS('Employee information'!$B:$M),0)=4,
VLOOKUP($C596,'Employee information'!$B:$J,COLUMNS('Employee information'!$B:$J),0)="Foreign resident"),
TRUNC(TRUNC($AN596)*'Tax scales - NAT 1004'!$B$48),
"")),
"")</f>
        <v>1175</v>
      </c>
      <c r="AS596" s="118" t="str">
        <f>IFERROR(
IF(VLOOKUP($C596,'Employee information'!$B:$M,COLUMNS('Employee information'!$B:$M),0)=5,
IF($E$2="Fortnightly",
ROUND(
ROUND((((TRUNC($AN596/2,0)+0.99))*VLOOKUP((TRUNC($AN596/2,0)+0.99),'Tax scales - NAT 1004'!$A$53:$C$59,2,1)-VLOOKUP((TRUNC($AN596/2,0)+0.99),'Tax scales - NAT 1004'!$A$53:$C$59,3,1)),0)
*2,
0),
IF(AND($E$2="Monthly",ROUND($AN596-TRUNC($AN596),2)=0.33),
ROUND(
ROUND(((TRUNC(($AN596+0.01)*3/13,0)+0.99)*VLOOKUP((TRUNC(($AN596+0.01)*3/13,0)+0.99),'Tax scales - NAT 1004'!$A$53:$C$59,2,1)-VLOOKUP((TRUNC(($AN596+0.01)*3/13,0)+0.99),'Tax scales - NAT 1004'!$A$53:$C$59,3,1)),0)
*13/3,
0),
IF($E$2="Monthly",
ROUND(
ROUND(((TRUNC($AN596*3/13,0)+0.99)*VLOOKUP((TRUNC($AN596*3/13,0)+0.99),'Tax scales - NAT 1004'!$A$53:$C$59,2,1)-VLOOKUP((TRUNC($AN596*3/13,0)+0.99),'Tax scales - NAT 1004'!$A$53:$C$59,3,1)),0)
*13/3,
0),
""))),
""),
"")</f>
        <v/>
      </c>
      <c r="AT596" s="118" t="str">
        <f>IFERROR(
IF(VLOOKUP($C596,'Employee information'!$B:$M,COLUMNS('Employee information'!$B:$M),0)=6,
IF($E$2="Fortnightly",
ROUND(
ROUND((((TRUNC($AN596/2,0)+0.99))*VLOOKUP((TRUNC($AN596/2,0)+0.99),'Tax scales - NAT 1004'!$A$65:$C$73,2,1)-VLOOKUP((TRUNC($AN596/2,0)+0.99),'Tax scales - NAT 1004'!$A$65:$C$73,3,1)),0)
*2,
0),
IF(AND($E$2="Monthly",ROUND($AN596-TRUNC($AN596),2)=0.33),
ROUND(
ROUND(((TRUNC(($AN596+0.01)*3/13,0)+0.99)*VLOOKUP((TRUNC(($AN596+0.01)*3/13,0)+0.99),'Tax scales - NAT 1004'!$A$65:$C$73,2,1)-VLOOKUP((TRUNC(($AN596+0.01)*3/13,0)+0.99),'Tax scales - NAT 1004'!$A$65:$C$73,3,1)),0)
*13/3,
0),
IF($E$2="Monthly",
ROUND(
ROUND(((TRUNC($AN596*3/13,0)+0.99)*VLOOKUP((TRUNC($AN596*3/13,0)+0.99),'Tax scales - NAT 1004'!$A$65:$C$73,2,1)-VLOOKUP((TRUNC($AN596*3/13,0)+0.99),'Tax scales - NAT 1004'!$A$65:$C$73,3,1)),0)
*13/3,
0),
""))),
""),
"")</f>
        <v/>
      </c>
      <c r="AU596" s="118" t="str">
        <f>IFERROR(
IF(VLOOKUP($C596,'Employee information'!$B:$M,COLUMNS('Employee information'!$B:$M),0)=11,
IF($E$2="Fortnightly",
ROUND(
ROUND((((TRUNC($AN596/2,0)+0.99))*VLOOKUP((TRUNC($AN596/2,0)+0.99),'Tax scales - NAT 3539'!$A$14:$C$38,2,1)-VLOOKUP((TRUNC($AN596/2,0)+0.99),'Tax scales - NAT 3539'!$A$14:$C$38,3,1)),0)
*2,
0),
IF(AND($E$2="Monthly",ROUND($AN596-TRUNC($AN596),2)=0.33),
ROUND(
ROUND(((TRUNC(($AN596+0.01)*3/13,0)+0.99)*VLOOKUP((TRUNC(($AN596+0.01)*3/13,0)+0.99),'Tax scales - NAT 3539'!$A$14:$C$38,2,1)-VLOOKUP((TRUNC(($AN596+0.01)*3/13,0)+0.99),'Tax scales - NAT 3539'!$A$14:$C$38,3,1)),0)
*13/3,
0),
IF($E$2="Monthly",
ROUND(
ROUND(((TRUNC($AN596*3/13,0)+0.99)*VLOOKUP((TRUNC($AN596*3/13,0)+0.99),'Tax scales - NAT 3539'!$A$14:$C$38,2,1)-VLOOKUP((TRUNC($AN596*3/13,0)+0.99),'Tax scales - NAT 3539'!$A$14:$C$38,3,1)),0)
*13/3,
0),
""))),
""),
"")</f>
        <v/>
      </c>
      <c r="AV596" s="118" t="str">
        <f>IFERROR(
IF(VLOOKUP($C596,'Employee information'!$B:$M,COLUMNS('Employee information'!$B:$M),0)=22,
IF($E$2="Fortnightly",
ROUND(
ROUND((((TRUNC($AN596/2,0)+0.99))*VLOOKUP((TRUNC($AN596/2,0)+0.99),'Tax scales - NAT 3539'!$A$43:$C$69,2,1)-VLOOKUP((TRUNC($AN596/2,0)+0.99),'Tax scales - NAT 3539'!$A$43:$C$69,3,1)),0)
*2,
0),
IF(AND($E$2="Monthly",ROUND($AN596-TRUNC($AN596),2)=0.33),
ROUND(
ROUND(((TRUNC(($AN596+0.01)*3/13,0)+0.99)*VLOOKUP((TRUNC(($AN596+0.01)*3/13,0)+0.99),'Tax scales - NAT 3539'!$A$43:$C$69,2,1)-VLOOKUP((TRUNC(($AN596+0.01)*3/13,0)+0.99),'Tax scales - NAT 3539'!$A$43:$C$69,3,1)),0)
*13/3,
0),
IF($E$2="Monthly",
ROUND(
ROUND(((TRUNC($AN596*3/13,0)+0.99)*VLOOKUP((TRUNC($AN596*3/13,0)+0.99),'Tax scales - NAT 3539'!$A$43:$C$69,2,1)-VLOOKUP((TRUNC($AN596*3/13,0)+0.99),'Tax scales - NAT 3539'!$A$43:$C$69,3,1)),0)
*13/3,
0),
""))),
""),
"")</f>
        <v/>
      </c>
      <c r="AW596" s="118" t="str">
        <f>IFERROR(
IF(VLOOKUP($C596,'Employee information'!$B:$M,COLUMNS('Employee information'!$B:$M),0)=33,
IF($E$2="Fortnightly",
ROUND(
ROUND((((TRUNC($AN596/2,0)+0.99))*VLOOKUP((TRUNC($AN596/2,0)+0.99),'Tax scales - NAT 3539'!$A$74:$C$94,2,1)-VLOOKUP((TRUNC($AN596/2,0)+0.99),'Tax scales - NAT 3539'!$A$74:$C$94,3,1)),0)
*2,
0),
IF(AND($E$2="Monthly",ROUND($AN596-TRUNC($AN596),2)=0.33),
ROUND(
ROUND(((TRUNC(($AN596+0.01)*3/13,0)+0.99)*VLOOKUP((TRUNC(($AN596+0.01)*3/13,0)+0.99),'Tax scales - NAT 3539'!$A$74:$C$94,2,1)-VLOOKUP((TRUNC(($AN596+0.01)*3/13,0)+0.99),'Tax scales - NAT 3539'!$A$74:$C$94,3,1)),0)
*13/3,
0),
IF($E$2="Monthly",
ROUND(
ROUND(((TRUNC($AN596*3/13,0)+0.99)*VLOOKUP((TRUNC($AN596*3/13,0)+0.99),'Tax scales - NAT 3539'!$A$74:$C$94,2,1)-VLOOKUP((TRUNC($AN596*3/13,0)+0.99),'Tax scales - NAT 3539'!$A$74:$C$94,3,1)),0)
*13/3,
0),
""))),
""),
"")</f>
        <v/>
      </c>
      <c r="AX596" s="118" t="str">
        <f>IFERROR(
IF(VLOOKUP($C596,'Employee information'!$B:$M,COLUMNS('Employee information'!$B:$M),0)=55,
IF($E$2="Fortnightly",
ROUND(
ROUND((((TRUNC($AN596/2,0)+0.99))*VLOOKUP((TRUNC($AN596/2,0)+0.99),'Tax scales - NAT 3539'!$A$99:$C$123,2,1)-VLOOKUP((TRUNC($AN596/2,0)+0.99),'Tax scales - NAT 3539'!$A$99:$C$123,3,1)),0)
*2,
0),
IF(AND($E$2="Monthly",ROUND($AN596-TRUNC($AN596),2)=0.33),
ROUND(
ROUND(((TRUNC(($AN596+0.01)*3/13,0)+0.99)*VLOOKUP((TRUNC(($AN596+0.01)*3/13,0)+0.99),'Tax scales - NAT 3539'!$A$99:$C$123,2,1)-VLOOKUP((TRUNC(($AN596+0.01)*3/13,0)+0.99),'Tax scales - NAT 3539'!$A$99:$C$123,3,1)),0)
*13/3,
0),
IF($E$2="Monthly",
ROUND(
ROUND(((TRUNC($AN596*3/13,0)+0.99)*VLOOKUP((TRUNC($AN596*3/13,0)+0.99),'Tax scales - NAT 3539'!$A$99:$C$123,2,1)-VLOOKUP((TRUNC($AN596*3/13,0)+0.99),'Tax scales - NAT 3539'!$A$99:$C$123,3,1)),0)
*13/3,
0),
""))),
""),
"")</f>
        <v/>
      </c>
      <c r="AY596" s="118" t="str">
        <f>IFERROR(
IF(VLOOKUP($C596,'Employee information'!$B:$M,COLUMNS('Employee information'!$B:$M),0)=66,
IF($E$2="Fortnightly",
ROUND(
ROUND((((TRUNC($AN596/2,0)+0.99))*VLOOKUP((TRUNC($AN596/2,0)+0.99),'Tax scales - NAT 3539'!$A$127:$C$154,2,1)-VLOOKUP((TRUNC($AN596/2,0)+0.99),'Tax scales - NAT 3539'!$A$127:$C$154,3,1)),0)
*2,
0),
IF(AND($E$2="Monthly",ROUND($AN596-TRUNC($AN596),2)=0.33),
ROUND(
ROUND(((TRUNC(($AN596+0.01)*3/13,0)+0.99)*VLOOKUP((TRUNC(($AN596+0.01)*3/13,0)+0.99),'Tax scales - NAT 3539'!$A$127:$C$154,2,1)-VLOOKUP((TRUNC(($AN596+0.01)*3/13,0)+0.99),'Tax scales - NAT 3539'!$A$127:$C$154,3,1)),0)
*13/3,
0),
IF($E$2="Monthly",
ROUND(
ROUND(((TRUNC($AN596*3/13,0)+0.99)*VLOOKUP((TRUNC($AN596*3/13,0)+0.99),'Tax scales - NAT 3539'!$A$127:$C$154,2,1)-VLOOKUP((TRUNC($AN596*3/13,0)+0.99),'Tax scales - NAT 3539'!$A$127:$C$154,3,1)),0)
*13/3,
0),
""))),
""),
"")</f>
        <v/>
      </c>
      <c r="AZ596" s="118">
        <f>IFERROR(
HLOOKUP(VLOOKUP($C596,'Employee information'!$B:$M,COLUMNS('Employee information'!$B:$M),0),'PAYG worksheet'!$AO$590:$AY$609,COUNTA($C$591:$C596)+1,0),
0)</f>
        <v>1175</v>
      </c>
      <c r="BA596" s="118"/>
      <c r="BB596" s="118">
        <f t="shared" si="635"/>
        <v>1325</v>
      </c>
      <c r="BC596" s="119">
        <f>IFERROR(
IF(OR($AE596=1,$AE596=""),SUM($P596,$AA596,$AC596,$AK596)*VLOOKUP($C596,'Employee information'!$B:$Q,COLUMNS('Employee information'!$B:$H),0),
IF($AE596=0,SUM($P596,$AA596,$AK596)*VLOOKUP($C596,'Employee information'!$B:$Q,COLUMNS('Employee information'!$B:$H),0),
0)),
0)</f>
        <v>237.5</v>
      </c>
      <c r="BE596" s="114">
        <f t="shared" si="620"/>
        <v>52500</v>
      </c>
      <c r="BF596" s="114">
        <f t="shared" si="621"/>
        <v>52500</v>
      </c>
      <c r="BG596" s="114">
        <f t="shared" si="622"/>
        <v>0</v>
      </c>
      <c r="BH596" s="114">
        <f t="shared" si="623"/>
        <v>0</v>
      </c>
      <c r="BI596" s="114">
        <f t="shared" si="624"/>
        <v>24675</v>
      </c>
      <c r="BJ596" s="114">
        <f t="shared" si="625"/>
        <v>0</v>
      </c>
      <c r="BK596" s="114">
        <f t="shared" si="626"/>
        <v>0</v>
      </c>
      <c r="BL596" s="114">
        <f t="shared" si="636"/>
        <v>0</v>
      </c>
      <c r="BM596" s="114">
        <f t="shared" si="627"/>
        <v>4987.5</v>
      </c>
    </row>
    <row r="597" spans="1:65" x14ac:dyDescent="0.25">
      <c r="A597" s="228">
        <f t="shared" si="615"/>
        <v>21</v>
      </c>
      <c r="C597" s="278" t="s">
        <v>95</v>
      </c>
      <c r="E597" s="103">
        <f>IF($C597="",0,
IF(AND($E$2="Monthly",$A597&gt;12),0,
IF($E$2="Monthly",VLOOKUP($C597,'Employee information'!$B:$AM,COLUMNS('Employee information'!$B:S),0),
IF($E$2="Fortnightly",VLOOKUP($C597,'Employee information'!$B:$AM,COLUMNS('Employee information'!$B:R),0),
0))))</f>
        <v>45</v>
      </c>
      <c r="F597" s="106"/>
      <c r="G597" s="106"/>
      <c r="H597" s="106"/>
      <c r="I597" s="106"/>
      <c r="J597" s="103">
        <f t="shared" si="628"/>
        <v>45</v>
      </c>
      <c r="L597" s="113">
        <f>IF(AND($E$2="Monthly",$A597&gt;12),"",
IFERROR($J597*VLOOKUP($C597,'Employee information'!$B:$AI,COLUMNS('Employee information'!$B:$P),0),0))</f>
        <v>1107.6923076923078</v>
      </c>
      <c r="M597" s="114">
        <f t="shared" si="629"/>
        <v>23261.538461538472</v>
      </c>
      <c r="O597" s="103">
        <f t="shared" si="630"/>
        <v>45</v>
      </c>
      <c r="P597" s="113">
        <f>IFERROR(
IF(AND($E$2="Monthly",$A597&gt;12),0,
$O597*VLOOKUP($C597,'Employee information'!$B:$AI,COLUMNS('Employee information'!$B:$P),0)),
0)</f>
        <v>1107.6923076923078</v>
      </c>
      <c r="R597" s="114">
        <f t="shared" si="616"/>
        <v>23261.538461538472</v>
      </c>
      <c r="T597" s="103"/>
      <c r="U597" s="103"/>
      <c r="V597" s="282">
        <f>IF($C597="","",
IF(AND($E$2="Monthly",$A597&gt;12),"",
$T597*VLOOKUP($C597,'Employee information'!$B:$P,COLUMNS('Employee information'!$B:$P),0)))</f>
        <v>0</v>
      </c>
      <c r="W597" s="282">
        <f>IF($C597="","",
IF(AND($E$2="Monthly",$A597&gt;12),"",
$U597*VLOOKUP($C597,'Employee information'!$B:$P,COLUMNS('Employee information'!$B:$P),0)))</f>
        <v>0</v>
      </c>
      <c r="X597" s="114">
        <f t="shared" si="617"/>
        <v>0</v>
      </c>
      <c r="Y597" s="114">
        <f t="shared" si="618"/>
        <v>0</v>
      </c>
      <c r="AA597" s="118">
        <f>IFERROR(
IF(OR('Basic payroll data'!$D$12="",'Basic payroll data'!$D$12="No"),0,
$T597*VLOOKUP($C597,'Employee information'!$B:$P,COLUMNS('Employee information'!$B:$P),0)*AL_loading_perc),
0)</f>
        <v>0</v>
      </c>
      <c r="AC597" s="118"/>
      <c r="AD597" s="118"/>
      <c r="AE597" s="283" t="str">
        <f t="shared" si="631"/>
        <v/>
      </c>
      <c r="AF597" s="283" t="str">
        <f t="shared" si="632"/>
        <v/>
      </c>
      <c r="AG597" s="118"/>
      <c r="AH597" s="118"/>
      <c r="AI597" s="283" t="str">
        <f t="shared" si="633"/>
        <v/>
      </c>
      <c r="AJ597" s="118"/>
      <c r="AK597" s="118"/>
      <c r="AM597" s="118">
        <f t="shared" si="634"/>
        <v>1107.6923076923078</v>
      </c>
      <c r="AN597" s="118">
        <f t="shared" si="619"/>
        <v>1107.6923076923078</v>
      </c>
      <c r="AO597" s="118" t="str">
        <f>IFERROR(
IF(VLOOKUP($C597,'Employee information'!$B:$M,COLUMNS('Employee information'!$B:$M),0)=1,
IF($E$2="Fortnightly",
ROUND(
ROUND((((TRUNC($AN597/2,0)+0.99))*VLOOKUP((TRUNC($AN597/2,0)+0.99),'Tax scales - NAT 1004'!$A$12:$C$18,2,1)-VLOOKUP((TRUNC($AN597/2,0)+0.99),'Tax scales - NAT 1004'!$A$12:$C$18,3,1)),0)
*2,
0),
IF(AND($E$2="Monthly",ROUND($AN597-TRUNC($AN597),2)=0.33),
ROUND(
ROUND(((TRUNC(($AN597+0.01)*3/13,0)+0.99)*VLOOKUP((TRUNC(($AN597+0.01)*3/13,0)+0.99),'Tax scales - NAT 1004'!$A$12:$C$18,2,1)-VLOOKUP((TRUNC(($AN597+0.01)*3/13,0)+0.99),'Tax scales - NAT 1004'!$A$12:$C$18,3,1)),0)
*13/3,
0),
IF($E$2="Monthly",
ROUND(
ROUND(((TRUNC($AN597*3/13,0)+0.99)*VLOOKUP((TRUNC($AN597*3/13,0)+0.99),'Tax scales - NAT 1004'!$A$12:$C$18,2,1)-VLOOKUP((TRUNC($AN597*3/13,0)+0.99),'Tax scales - NAT 1004'!$A$12:$C$18,3,1)),0)
*13/3,
0),
""))),
""),
"")</f>
        <v/>
      </c>
      <c r="AP597" s="118" t="str">
        <f>IFERROR(
IF(VLOOKUP($C597,'Employee information'!$B:$M,COLUMNS('Employee information'!$B:$M),0)=2,
IF($E$2="Fortnightly",
ROUND(
ROUND((((TRUNC($AN597/2,0)+0.99))*VLOOKUP((TRUNC($AN597/2,0)+0.99),'Tax scales - NAT 1004'!$A$25:$C$33,2,1)-VLOOKUP((TRUNC($AN597/2,0)+0.99),'Tax scales - NAT 1004'!$A$25:$C$33,3,1)),0)
*2,
0),
IF(AND($E$2="Monthly",ROUND($AN597-TRUNC($AN597),2)=0.33),
ROUND(
ROUND(((TRUNC(($AN597+0.01)*3/13,0)+0.99)*VLOOKUP((TRUNC(($AN597+0.01)*3/13,0)+0.99),'Tax scales - NAT 1004'!$A$25:$C$33,2,1)-VLOOKUP((TRUNC(($AN597+0.01)*3/13,0)+0.99),'Tax scales - NAT 1004'!$A$25:$C$33,3,1)),0)
*13/3,
0),
IF($E$2="Monthly",
ROUND(
ROUND(((TRUNC($AN597*3/13,0)+0.99)*VLOOKUP((TRUNC($AN597*3/13,0)+0.99),'Tax scales - NAT 1004'!$A$25:$C$33,2,1)-VLOOKUP((TRUNC($AN597*3/13,0)+0.99),'Tax scales - NAT 1004'!$A$25:$C$33,3,1)),0)
*13/3,
0),
""))),
""),
"")</f>
        <v/>
      </c>
      <c r="AQ597" s="118" t="str">
        <f>IFERROR(
IF(VLOOKUP($C597,'Employee information'!$B:$M,COLUMNS('Employee information'!$B:$M),0)=3,
IF($E$2="Fortnightly",
ROUND(
ROUND((((TRUNC($AN597/2,0)+0.99))*VLOOKUP((TRUNC($AN597/2,0)+0.99),'Tax scales - NAT 1004'!$A$39:$C$41,2,1)-VLOOKUP((TRUNC($AN597/2,0)+0.99),'Tax scales - NAT 1004'!$A$39:$C$41,3,1)),0)
*2,
0),
IF(AND($E$2="Monthly",ROUND($AN597-TRUNC($AN597),2)=0.33),
ROUND(
ROUND(((TRUNC(($AN597+0.01)*3/13,0)+0.99)*VLOOKUP((TRUNC(($AN597+0.01)*3/13,0)+0.99),'Tax scales - NAT 1004'!$A$39:$C$41,2,1)-VLOOKUP((TRUNC(($AN597+0.01)*3/13,0)+0.99),'Tax scales - NAT 1004'!$A$39:$C$41,3,1)),0)
*13/3,
0),
IF($E$2="Monthly",
ROUND(
ROUND(((TRUNC($AN597*3/13,0)+0.99)*VLOOKUP((TRUNC($AN597*3/13,0)+0.99),'Tax scales - NAT 1004'!$A$39:$C$41,2,1)-VLOOKUP((TRUNC($AN597*3/13,0)+0.99),'Tax scales - NAT 1004'!$A$39:$C$41,3,1)),0)
*13/3,
0),
""))),
""),
"")</f>
        <v/>
      </c>
      <c r="AR597" s="118" t="str">
        <f>IFERROR(
IF(AND(VLOOKUP($C597,'Employee information'!$B:$M,COLUMNS('Employee information'!$B:$M),0)=4,
VLOOKUP($C597,'Employee information'!$B:$J,COLUMNS('Employee information'!$B:$J),0)="Resident"),
TRUNC(TRUNC($AN597)*'Tax scales - NAT 1004'!$B$47),
IF(AND(VLOOKUP($C597,'Employee information'!$B:$M,COLUMNS('Employee information'!$B:$M),0)=4,
VLOOKUP($C597,'Employee information'!$B:$J,COLUMNS('Employee information'!$B:$J),0)="Foreign resident"),
TRUNC(TRUNC($AN597)*'Tax scales - NAT 1004'!$B$48),
"")),
"")</f>
        <v/>
      </c>
      <c r="AS597" s="118" t="str">
        <f>IFERROR(
IF(VLOOKUP($C597,'Employee information'!$B:$M,COLUMNS('Employee information'!$B:$M),0)=5,
IF($E$2="Fortnightly",
ROUND(
ROUND((((TRUNC($AN597/2,0)+0.99))*VLOOKUP((TRUNC($AN597/2,0)+0.99),'Tax scales - NAT 1004'!$A$53:$C$59,2,1)-VLOOKUP((TRUNC($AN597/2,0)+0.99),'Tax scales - NAT 1004'!$A$53:$C$59,3,1)),0)
*2,
0),
IF(AND($E$2="Monthly",ROUND($AN597-TRUNC($AN597),2)=0.33),
ROUND(
ROUND(((TRUNC(($AN597+0.01)*3/13,0)+0.99)*VLOOKUP((TRUNC(($AN597+0.01)*3/13,0)+0.99),'Tax scales - NAT 1004'!$A$53:$C$59,2,1)-VLOOKUP((TRUNC(($AN597+0.01)*3/13,0)+0.99),'Tax scales - NAT 1004'!$A$53:$C$59,3,1)),0)
*13/3,
0),
IF($E$2="Monthly",
ROUND(
ROUND(((TRUNC($AN597*3/13,0)+0.99)*VLOOKUP((TRUNC($AN597*3/13,0)+0.99),'Tax scales - NAT 1004'!$A$53:$C$59,2,1)-VLOOKUP((TRUNC($AN597*3/13,0)+0.99),'Tax scales - NAT 1004'!$A$53:$C$59,3,1)),0)
*13/3,
0),
""))),
""),
"")</f>
        <v/>
      </c>
      <c r="AT597" s="118" t="str">
        <f>IFERROR(
IF(VLOOKUP($C597,'Employee information'!$B:$M,COLUMNS('Employee information'!$B:$M),0)=6,
IF($E$2="Fortnightly",
ROUND(
ROUND((((TRUNC($AN597/2,0)+0.99))*VLOOKUP((TRUNC($AN597/2,0)+0.99),'Tax scales - NAT 1004'!$A$65:$C$73,2,1)-VLOOKUP((TRUNC($AN597/2,0)+0.99),'Tax scales - NAT 1004'!$A$65:$C$73,3,1)),0)
*2,
0),
IF(AND($E$2="Monthly",ROUND($AN597-TRUNC($AN597),2)=0.33),
ROUND(
ROUND(((TRUNC(($AN597+0.01)*3/13,0)+0.99)*VLOOKUP((TRUNC(($AN597+0.01)*3/13,0)+0.99),'Tax scales - NAT 1004'!$A$65:$C$73,2,1)-VLOOKUP((TRUNC(($AN597+0.01)*3/13,0)+0.99),'Tax scales - NAT 1004'!$A$65:$C$73,3,1)),0)
*13/3,
0),
IF($E$2="Monthly",
ROUND(
ROUND(((TRUNC($AN597*3/13,0)+0.99)*VLOOKUP((TRUNC($AN597*3/13,0)+0.99),'Tax scales - NAT 1004'!$A$65:$C$73,2,1)-VLOOKUP((TRUNC($AN597*3/13,0)+0.99),'Tax scales - NAT 1004'!$A$65:$C$73,3,1)),0)
*13/3,
0),
""))),
""),
"")</f>
        <v/>
      </c>
      <c r="AU597" s="118" t="str">
        <f>IFERROR(
IF(VLOOKUP($C597,'Employee information'!$B:$M,COLUMNS('Employee information'!$B:$M),0)=11,
IF($E$2="Fortnightly",
ROUND(
ROUND((((TRUNC($AN597/2,0)+0.99))*VLOOKUP((TRUNC($AN597/2,0)+0.99),'Tax scales - NAT 3539'!$A$14:$C$38,2,1)-VLOOKUP((TRUNC($AN597/2,0)+0.99),'Tax scales - NAT 3539'!$A$14:$C$38,3,1)),0)
*2,
0),
IF(AND($E$2="Monthly",ROUND($AN597-TRUNC($AN597),2)=0.33),
ROUND(
ROUND(((TRUNC(($AN597+0.01)*3/13,0)+0.99)*VLOOKUP((TRUNC(($AN597+0.01)*3/13,0)+0.99),'Tax scales - NAT 3539'!$A$14:$C$38,2,1)-VLOOKUP((TRUNC(($AN597+0.01)*3/13,0)+0.99),'Tax scales - NAT 3539'!$A$14:$C$38,3,1)),0)
*13/3,
0),
IF($E$2="Monthly",
ROUND(
ROUND(((TRUNC($AN597*3/13,0)+0.99)*VLOOKUP((TRUNC($AN597*3/13,0)+0.99),'Tax scales - NAT 3539'!$A$14:$C$38,2,1)-VLOOKUP((TRUNC($AN597*3/13,0)+0.99),'Tax scales - NAT 3539'!$A$14:$C$38,3,1)),0)
*13/3,
0),
""))),
""),
"")</f>
        <v/>
      </c>
      <c r="AV597" s="118" t="str">
        <f>IFERROR(
IF(VLOOKUP($C597,'Employee information'!$B:$M,COLUMNS('Employee information'!$B:$M),0)=22,
IF($E$2="Fortnightly",
ROUND(
ROUND((((TRUNC($AN597/2,0)+0.99))*VLOOKUP((TRUNC($AN597/2,0)+0.99),'Tax scales - NAT 3539'!$A$43:$C$69,2,1)-VLOOKUP((TRUNC($AN597/2,0)+0.99),'Tax scales - NAT 3539'!$A$43:$C$69,3,1)),0)
*2,
0),
IF(AND($E$2="Monthly",ROUND($AN597-TRUNC($AN597),2)=0.33),
ROUND(
ROUND(((TRUNC(($AN597+0.01)*3/13,0)+0.99)*VLOOKUP((TRUNC(($AN597+0.01)*3/13,0)+0.99),'Tax scales - NAT 3539'!$A$43:$C$69,2,1)-VLOOKUP((TRUNC(($AN597+0.01)*3/13,0)+0.99),'Tax scales - NAT 3539'!$A$43:$C$69,3,1)),0)
*13/3,
0),
IF($E$2="Monthly",
ROUND(
ROUND(((TRUNC($AN597*3/13,0)+0.99)*VLOOKUP((TRUNC($AN597*3/13,0)+0.99),'Tax scales - NAT 3539'!$A$43:$C$69,2,1)-VLOOKUP((TRUNC($AN597*3/13,0)+0.99),'Tax scales - NAT 3539'!$A$43:$C$69,3,1)),0)
*13/3,
0),
""))),
""),
"")</f>
        <v/>
      </c>
      <c r="AW597" s="118" t="str">
        <f>IFERROR(
IF(VLOOKUP($C597,'Employee information'!$B:$M,COLUMNS('Employee information'!$B:$M),0)=33,
IF($E$2="Fortnightly",
ROUND(
ROUND((((TRUNC($AN597/2,0)+0.99))*VLOOKUP((TRUNC($AN597/2,0)+0.99),'Tax scales - NAT 3539'!$A$74:$C$94,2,1)-VLOOKUP((TRUNC($AN597/2,0)+0.99),'Tax scales - NAT 3539'!$A$74:$C$94,3,1)),0)
*2,
0),
IF(AND($E$2="Monthly",ROUND($AN597-TRUNC($AN597),2)=0.33),
ROUND(
ROUND(((TRUNC(($AN597+0.01)*3/13,0)+0.99)*VLOOKUP((TRUNC(($AN597+0.01)*3/13,0)+0.99),'Tax scales - NAT 3539'!$A$74:$C$94,2,1)-VLOOKUP((TRUNC(($AN597+0.01)*3/13,0)+0.99),'Tax scales - NAT 3539'!$A$74:$C$94,3,1)),0)
*13/3,
0),
IF($E$2="Monthly",
ROUND(
ROUND(((TRUNC($AN597*3/13,0)+0.99)*VLOOKUP((TRUNC($AN597*3/13,0)+0.99),'Tax scales - NAT 3539'!$A$74:$C$94,2,1)-VLOOKUP((TRUNC($AN597*3/13,0)+0.99),'Tax scales - NAT 3539'!$A$74:$C$94,3,1)),0)
*13/3,
0),
""))),
""),
"")</f>
        <v/>
      </c>
      <c r="AX597" s="118" t="str">
        <f>IFERROR(
IF(VLOOKUP($C597,'Employee information'!$B:$M,COLUMNS('Employee information'!$B:$M),0)=55,
IF($E$2="Fortnightly",
ROUND(
ROUND((((TRUNC($AN597/2,0)+0.99))*VLOOKUP((TRUNC($AN597/2,0)+0.99),'Tax scales - NAT 3539'!$A$99:$C$123,2,1)-VLOOKUP((TRUNC($AN597/2,0)+0.99),'Tax scales - NAT 3539'!$A$99:$C$123,3,1)),0)
*2,
0),
IF(AND($E$2="Monthly",ROUND($AN597-TRUNC($AN597),2)=0.33),
ROUND(
ROUND(((TRUNC(($AN597+0.01)*3/13,0)+0.99)*VLOOKUP((TRUNC(($AN597+0.01)*3/13,0)+0.99),'Tax scales - NAT 3539'!$A$99:$C$123,2,1)-VLOOKUP((TRUNC(($AN597+0.01)*3/13,0)+0.99),'Tax scales - NAT 3539'!$A$99:$C$123,3,1)),0)
*13/3,
0),
IF($E$2="Monthly",
ROUND(
ROUND(((TRUNC($AN597*3/13,0)+0.99)*VLOOKUP((TRUNC($AN597*3/13,0)+0.99),'Tax scales - NAT 3539'!$A$99:$C$123,2,1)-VLOOKUP((TRUNC($AN597*3/13,0)+0.99),'Tax scales - NAT 3539'!$A$99:$C$123,3,1)),0)
*13/3,
0),
""))),
""),
"")</f>
        <v/>
      </c>
      <c r="AY597" s="118">
        <f>IFERROR(
IF(VLOOKUP($C597,'Employee information'!$B:$M,COLUMNS('Employee information'!$B:$M),0)=66,
IF($E$2="Fortnightly",
ROUND(
ROUND((((TRUNC($AN597/2,0)+0.99))*VLOOKUP((TRUNC($AN597/2,0)+0.99),'Tax scales - NAT 3539'!$A$127:$C$154,2,1)-VLOOKUP((TRUNC($AN597/2,0)+0.99),'Tax scales - NAT 3539'!$A$127:$C$154,3,1)),0)
*2,
0),
IF(AND($E$2="Monthly",ROUND($AN597-TRUNC($AN597),2)=0.33),
ROUND(
ROUND(((TRUNC(($AN597+0.01)*3/13,0)+0.99)*VLOOKUP((TRUNC(($AN597+0.01)*3/13,0)+0.99),'Tax scales - NAT 3539'!$A$127:$C$154,2,1)-VLOOKUP((TRUNC(($AN597+0.01)*3/13,0)+0.99),'Tax scales - NAT 3539'!$A$127:$C$154,3,1)),0)
*13/3,
0),
IF($E$2="Monthly",
ROUND(
ROUND(((TRUNC($AN597*3/13,0)+0.99)*VLOOKUP((TRUNC($AN597*3/13,0)+0.99),'Tax scales - NAT 3539'!$A$127:$C$154,2,1)-VLOOKUP((TRUNC($AN597*3/13,0)+0.99),'Tax scales - NAT 3539'!$A$127:$C$154,3,1)),0)
*13/3,
0),
""))),
""),
"")</f>
        <v>74</v>
      </c>
      <c r="AZ597" s="118">
        <f>IFERROR(
HLOOKUP(VLOOKUP($C597,'Employee information'!$B:$M,COLUMNS('Employee information'!$B:$M),0),'PAYG worksheet'!$AO$590:$AY$609,COUNTA($C$591:$C597)+1,0),
0)</f>
        <v>74</v>
      </c>
      <c r="BA597" s="118"/>
      <c r="BB597" s="118">
        <f t="shared" si="635"/>
        <v>1033.6923076923078</v>
      </c>
      <c r="BC597" s="119">
        <f>IFERROR(
IF(OR($AE597=1,$AE597=""),SUM($P597,$AA597,$AC597,$AK597)*VLOOKUP($C597,'Employee information'!$B:$Q,COLUMNS('Employee information'!$B:$H),0),
IF($AE597=0,SUM($P597,$AA597,$AK597)*VLOOKUP($C597,'Employee information'!$B:$Q,COLUMNS('Employee information'!$B:$H),0),
0)),
0)</f>
        <v>105.23076923076924</v>
      </c>
      <c r="BE597" s="114">
        <f t="shared" si="620"/>
        <v>23261.538461538472</v>
      </c>
      <c r="BF597" s="114">
        <f t="shared" si="621"/>
        <v>23261.538461538472</v>
      </c>
      <c r="BG597" s="114">
        <f t="shared" si="622"/>
        <v>0</v>
      </c>
      <c r="BH597" s="114">
        <f t="shared" si="623"/>
        <v>0</v>
      </c>
      <c r="BI597" s="114">
        <f t="shared" si="624"/>
        <v>1554</v>
      </c>
      <c r="BJ597" s="114">
        <f t="shared" si="625"/>
        <v>0</v>
      </c>
      <c r="BK597" s="114">
        <f t="shared" si="626"/>
        <v>0</v>
      </c>
      <c r="BL597" s="114">
        <f t="shared" si="636"/>
        <v>0</v>
      </c>
      <c r="BM597" s="114">
        <f t="shared" si="627"/>
        <v>2209.8461538461543</v>
      </c>
    </row>
    <row r="598" spans="1:65" x14ac:dyDescent="0.25">
      <c r="A598" s="228">
        <f t="shared" si="615"/>
        <v>21</v>
      </c>
      <c r="C598" s="278"/>
      <c r="E598" s="103">
        <f>IF($C598="",0,
IF(AND($E$2="Monthly",$A598&gt;12),0,
IF($E$2="Monthly",VLOOKUP($C598,'Employee information'!$B:$AM,COLUMNS('Employee information'!$B:S),0),
IF($E$2="Fortnightly",VLOOKUP($C598,'Employee information'!$B:$AM,COLUMNS('Employee information'!$B:R),0),
0))))</f>
        <v>0</v>
      </c>
      <c r="F598" s="106"/>
      <c r="G598" s="106"/>
      <c r="H598" s="106"/>
      <c r="I598" s="106"/>
      <c r="J598" s="103">
        <f>IF($E$2="Monthly",
IF(AND($E$2="Monthly",$H598&lt;&gt;""),$H598,
IF(AND($E$2="Monthly",$E598=0),SUM($F598:$G598),
$E598)),
IF($E$2="Fortnightly",
IF(AND($E$2="Fortnightly",$H598&lt;&gt;""),$H598,
IF(AND($E$2="Fortnightly",$F598&lt;&gt;"",$E598&lt;&gt;0),$F598,
IF(AND($E$2="Fortnightly",$E598=0),SUM($F598:$G598),
$E598)))))</f>
        <v>0</v>
      </c>
      <c r="L598" s="113">
        <f>IF(AND($E$2="Monthly",$A598&gt;12),"",
IFERROR($J598*VLOOKUP($C598,'Employee information'!$B:$AI,COLUMNS('Employee information'!$B:$P),0),0))</f>
        <v>0</v>
      </c>
      <c r="M598" s="114">
        <f t="shared" si="629"/>
        <v>0</v>
      </c>
      <c r="O598" s="103">
        <f t="shared" si="630"/>
        <v>0</v>
      </c>
      <c r="P598" s="113">
        <f>IFERROR(
IF(AND($E$2="Monthly",$A598&gt;12),0,
$O598*VLOOKUP($C598,'Employee information'!$B:$AI,COLUMNS('Employee information'!$B:$P),0)),
0)</f>
        <v>0</v>
      </c>
      <c r="R598" s="114">
        <f t="shared" si="616"/>
        <v>0</v>
      </c>
      <c r="T598" s="103"/>
      <c r="U598" s="103"/>
      <c r="V598" s="282" t="str">
        <f>IF($C598="","",
IF(AND($E$2="Monthly",$A598&gt;12),"",
$T598*VLOOKUP($C598,'Employee information'!$B:$P,COLUMNS('Employee information'!$B:$P),0)))</f>
        <v/>
      </c>
      <c r="W598" s="282" t="str">
        <f>IF($C598="","",
IF(AND($E$2="Monthly",$A598&gt;12),"",
$U598*VLOOKUP($C598,'Employee information'!$B:$P,COLUMNS('Employee information'!$B:$P),0)))</f>
        <v/>
      </c>
      <c r="X598" s="114">
        <f t="shared" si="617"/>
        <v>0</v>
      </c>
      <c r="Y598" s="114">
        <f t="shared" si="618"/>
        <v>0</v>
      </c>
      <c r="AA598" s="118">
        <f>IFERROR(
IF(OR('Basic payroll data'!$D$12="",'Basic payroll data'!$D$12="No"),0,
$T598*VLOOKUP($C598,'Employee information'!$B:$P,COLUMNS('Employee information'!$B:$P),0)*AL_loading_perc),
0)</f>
        <v>0</v>
      </c>
      <c r="AC598" s="118"/>
      <c r="AD598" s="118"/>
      <c r="AE598" s="283" t="str">
        <f t="shared" si="631"/>
        <v/>
      </c>
      <c r="AF598" s="283" t="str">
        <f t="shared" si="632"/>
        <v/>
      </c>
      <c r="AG598" s="118"/>
      <c r="AH598" s="118"/>
      <c r="AI598" s="283" t="str">
        <f t="shared" si="633"/>
        <v/>
      </c>
      <c r="AJ598" s="118"/>
      <c r="AK598" s="118"/>
      <c r="AM598" s="118">
        <f t="shared" si="634"/>
        <v>0</v>
      </c>
      <c r="AN598" s="118">
        <f t="shared" si="619"/>
        <v>0</v>
      </c>
      <c r="AO598" s="118" t="str">
        <f>IFERROR(
IF(VLOOKUP($C598,'Employee information'!$B:$M,COLUMNS('Employee information'!$B:$M),0)=1,
IF($E$2="Fortnightly",
ROUND(
ROUND((((TRUNC($AN598/2,0)+0.99))*VLOOKUP((TRUNC($AN598/2,0)+0.99),'Tax scales - NAT 1004'!$A$12:$C$18,2,1)-VLOOKUP((TRUNC($AN598/2,0)+0.99),'Tax scales - NAT 1004'!$A$12:$C$18,3,1)),0)
*2,
0),
IF(AND($E$2="Monthly",ROUND($AN598-TRUNC($AN598),2)=0.33),
ROUND(
ROUND(((TRUNC(($AN598+0.01)*3/13,0)+0.99)*VLOOKUP((TRUNC(($AN598+0.01)*3/13,0)+0.99),'Tax scales - NAT 1004'!$A$12:$C$18,2,1)-VLOOKUP((TRUNC(($AN598+0.01)*3/13,0)+0.99),'Tax scales - NAT 1004'!$A$12:$C$18,3,1)),0)
*13/3,
0),
IF($E$2="Monthly",
ROUND(
ROUND(((TRUNC($AN598*3/13,0)+0.99)*VLOOKUP((TRUNC($AN598*3/13,0)+0.99),'Tax scales - NAT 1004'!$A$12:$C$18,2,1)-VLOOKUP((TRUNC($AN598*3/13,0)+0.99),'Tax scales - NAT 1004'!$A$12:$C$18,3,1)),0)
*13/3,
0),
""))),
""),
"")</f>
        <v/>
      </c>
      <c r="AP598" s="118" t="str">
        <f>IFERROR(
IF(VLOOKUP($C598,'Employee information'!$B:$M,COLUMNS('Employee information'!$B:$M),0)=2,
IF($E$2="Fortnightly",
ROUND(
ROUND((((TRUNC($AN598/2,0)+0.99))*VLOOKUP((TRUNC($AN598/2,0)+0.99),'Tax scales - NAT 1004'!$A$25:$C$33,2,1)-VLOOKUP((TRUNC($AN598/2,0)+0.99),'Tax scales - NAT 1004'!$A$25:$C$33,3,1)),0)
*2,
0),
IF(AND($E$2="Monthly",ROUND($AN598-TRUNC($AN598),2)=0.33),
ROUND(
ROUND(((TRUNC(($AN598+0.01)*3/13,0)+0.99)*VLOOKUP((TRUNC(($AN598+0.01)*3/13,0)+0.99),'Tax scales - NAT 1004'!$A$25:$C$33,2,1)-VLOOKUP((TRUNC(($AN598+0.01)*3/13,0)+0.99),'Tax scales - NAT 1004'!$A$25:$C$33,3,1)),0)
*13/3,
0),
IF($E$2="Monthly",
ROUND(
ROUND(((TRUNC($AN598*3/13,0)+0.99)*VLOOKUP((TRUNC($AN598*3/13,0)+0.99),'Tax scales - NAT 1004'!$A$25:$C$33,2,1)-VLOOKUP((TRUNC($AN598*3/13,0)+0.99),'Tax scales - NAT 1004'!$A$25:$C$33,3,1)),0)
*13/3,
0),
""))),
""),
"")</f>
        <v/>
      </c>
      <c r="AQ598" s="118" t="str">
        <f>IFERROR(
IF(VLOOKUP($C598,'Employee information'!$B:$M,COLUMNS('Employee information'!$B:$M),0)=3,
IF($E$2="Fortnightly",
ROUND(
ROUND((((TRUNC($AN598/2,0)+0.99))*VLOOKUP((TRUNC($AN598/2,0)+0.99),'Tax scales - NAT 1004'!$A$39:$C$41,2,1)-VLOOKUP((TRUNC($AN598/2,0)+0.99),'Tax scales - NAT 1004'!$A$39:$C$41,3,1)),0)
*2,
0),
IF(AND($E$2="Monthly",ROUND($AN598-TRUNC($AN598),2)=0.33),
ROUND(
ROUND(((TRUNC(($AN598+0.01)*3/13,0)+0.99)*VLOOKUP((TRUNC(($AN598+0.01)*3/13,0)+0.99),'Tax scales - NAT 1004'!$A$39:$C$41,2,1)-VLOOKUP((TRUNC(($AN598+0.01)*3/13,0)+0.99),'Tax scales - NAT 1004'!$A$39:$C$41,3,1)),0)
*13/3,
0),
IF($E$2="Monthly",
ROUND(
ROUND(((TRUNC($AN598*3/13,0)+0.99)*VLOOKUP((TRUNC($AN598*3/13,0)+0.99),'Tax scales - NAT 1004'!$A$39:$C$41,2,1)-VLOOKUP((TRUNC($AN598*3/13,0)+0.99),'Tax scales - NAT 1004'!$A$39:$C$41,3,1)),0)
*13/3,
0),
""))),
""),
"")</f>
        <v/>
      </c>
      <c r="AR598" s="118" t="str">
        <f>IFERROR(
IF(AND(VLOOKUP($C598,'Employee information'!$B:$M,COLUMNS('Employee information'!$B:$M),0)=4,
VLOOKUP($C598,'Employee information'!$B:$J,COLUMNS('Employee information'!$B:$J),0)="Resident"),
TRUNC(TRUNC($AN598)*'Tax scales - NAT 1004'!$B$47),
IF(AND(VLOOKUP($C598,'Employee information'!$B:$M,COLUMNS('Employee information'!$B:$M),0)=4,
VLOOKUP($C598,'Employee information'!$B:$J,COLUMNS('Employee information'!$B:$J),0)="Foreign resident"),
TRUNC(TRUNC($AN598)*'Tax scales - NAT 1004'!$B$48),
"")),
"")</f>
        <v/>
      </c>
      <c r="AS598" s="118" t="str">
        <f>IFERROR(
IF(VLOOKUP($C598,'Employee information'!$B:$M,COLUMNS('Employee information'!$B:$M),0)=5,
IF($E$2="Fortnightly",
ROUND(
ROUND((((TRUNC($AN598/2,0)+0.99))*VLOOKUP((TRUNC($AN598/2,0)+0.99),'Tax scales - NAT 1004'!$A$53:$C$59,2,1)-VLOOKUP((TRUNC($AN598/2,0)+0.99),'Tax scales - NAT 1004'!$A$53:$C$59,3,1)),0)
*2,
0),
IF(AND($E$2="Monthly",ROUND($AN598-TRUNC($AN598),2)=0.33),
ROUND(
ROUND(((TRUNC(($AN598+0.01)*3/13,0)+0.99)*VLOOKUP((TRUNC(($AN598+0.01)*3/13,0)+0.99),'Tax scales - NAT 1004'!$A$53:$C$59,2,1)-VLOOKUP((TRUNC(($AN598+0.01)*3/13,0)+0.99),'Tax scales - NAT 1004'!$A$53:$C$59,3,1)),0)
*13/3,
0),
IF($E$2="Monthly",
ROUND(
ROUND(((TRUNC($AN598*3/13,0)+0.99)*VLOOKUP((TRUNC($AN598*3/13,0)+0.99),'Tax scales - NAT 1004'!$A$53:$C$59,2,1)-VLOOKUP((TRUNC($AN598*3/13,0)+0.99),'Tax scales - NAT 1004'!$A$53:$C$59,3,1)),0)
*13/3,
0),
""))),
""),
"")</f>
        <v/>
      </c>
      <c r="AT598" s="118" t="str">
        <f>IFERROR(
IF(VLOOKUP($C598,'Employee information'!$B:$M,COLUMNS('Employee information'!$B:$M),0)=6,
IF($E$2="Fortnightly",
ROUND(
ROUND((((TRUNC($AN598/2,0)+0.99))*VLOOKUP((TRUNC($AN598/2,0)+0.99),'Tax scales - NAT 1004'!$A$65:$C$73,2,1)-VLOOKUP((TRUNC($AN598/2,0)+0.99),'Tax scales - NAT 1004'!$A$65:$C$73,3,1)),0)
*2,
0),
IF(AND($E$2="Monthly",ROUND($AN598-TRUNC($AN598),2)=0.33),
ROUND(
ROUND(((TRUNC(($AN598+0.01)*3/13,0)+0.99)*VLOOKUP((TRUNC(($AN598+0.01)*3/13,0)+0.99),'Tax scales - NAT 1004'!$A$65:$C$73,2,1)-VLOOKUP((TRUNC(($AN598+0.01)*3/13,0)+0.99),'Tax scales - NAT 1004'!$A$65:$C$73,3,1)),0)
*13/3,
0),
IF($E$2="Monthly",
ROUND(
ROUND(((TRUNC($AN598*3/13,0)+0.99)*VLOOKUP((TRUNC($AN598*3/13,0)+0.99),'Tax scales - NAT 1004'!$A$65:$C$73,2,1)-VLOOKUP((TRUNC($AN598*3/13,0)+0.99),'Tax scales - NAT 1004'!$A$65:$C$73,3,1)),0)
*13/3,
0),
""))),
""),
"")</f>
        <v/>
      </c>
      <c r="AU598" s="118" t="str">
        <f>IFERROR(
IF(VLOOKUP($C598,'Employee information'!$B:$M,COLUMNS('Employee information'!$B:$M),0)=11,
IF($E$2="Fortnightly",
ROUND(
ROUND((((TRUNC($AN598/2,0)+0.99))*VLOOKUP((TRUNC($AN598/2,0)+0.99),'Tax scales - NAT 3539'!$A$14:$C$38,2,1)-VLOOKUP((TRUNC($AN598/2,0)+0.99),'Tax scales - NAT 3539'!$A$14:$C$38,3,1)),0)
*2,
0),
IF(AND($E$2="Monthly",ROUND($AN598-TRUNC($AN598),2)=0.33),
ROUND(
ROUND(((TRUNC(($AN598+0.01)*3/13,0)+0.99)*VLOOKUP((TRUNC(($AN598+0.01)*3/13,0)+0.99),'Tax scales - NAT 3539'!$A$14:$C$38,2,1)-VLOOKUP((TRUNC(($AN598+0.01)*3/13,0)+0.99),'Tax scales - NAT 3539'!$A$14:$C$38,3,1)),0)
*13/3,
0),
IF($E$2="Monthly",
ROUND(
ROUND(((TRUNC($AN598*3/13,0)+0.99)*VLOOKUP((TRUNC($AN598*3/13,0)+0.99),'Tax scales - NAT 3539'!$A$14:$C$38,2,1)-VLOOKUP((TRUNC($AN598*3/13,0)+0.99),'Tax scales - NAT 3539'!$A$14:$C$38,3,1)),0)
*13/3,
0),
""))),
""),
"")</f>
        <v/>
      </c>
      <c r="AV598" s="118" t="str">
        <f>IFERROR(
IF(VLOOKUP($C598,'Employee information'!$B:$M,COLUMNS('Employee information'!$B:$M),0)=22,
IF($E$2="Fortnightly",
ROUND(
ROUND((((TRUNC($AN598/2,0)+0.99))*VLOOKUP((TRUNC($AN598/2,0)+0.99),'Tax scales - NAT 3539'!$A$43:$C$69,2,1)-VLOOKUP((TRUNC($AN598/2,0)+0.99),'Tax scales - NAT 3539'!$A$43:$C$69,3,1)),0)
*2,
0),
IF(AND($E$2="Monthly",ROUND($AN598-TRUNC($AN598),2)=0.33),
ROUND(
ROUND(((TRUNC(($AN598+0.01)*3/13,0)+0.99)*VLOOKUP((TRUNC(($AN598+0.01)*3/13,0)+0.99),'Tax scales - NAT 3539'!$A$43:$C$69,2,1)-VLOOKUP((TRUNC(($AN598+0.01)*3/13,0)+0.99),'Tax scales - NAT 3539'!$A$43:$C$69,3,1)),0)
*13/3,
0),
IF($E$2="Monthly",
ROUND(
ROUND(((TRUNC($AN598*3/13,0)+0.99)*VLOOKUP((TRUNC($AN598*3/13,0)+0.99),'Tax scales - NAT 3539'!$A$43:$C$69,2,1)-VLOOKUP((TRUNC($AN598*3/13,0)+0.99),'Tax scales - NAT 3539'!$A$43:$C$69,3,1)),0)
*13/3,
0),
""))),
""),
"")</f>
        <v/>
      </c>
      <c r="AW598" s="118" t="str">
        <f>IFERROR(
IF(VLOOKUP($C598,'Employee information'!$B:$M,COLUMNS('Employee information'!$B:$M),0)=33,
IF($E$2="Fortnightly",
ROUND(
ROUND((((TRUNC($AN598/2,0)+0.99))*VLOOKUP((TRUNC($AN598/2,0)+0.99),'Tax scales - NAT 3539'!$A$74:$C$94,2,1)-VLOOKUP((TRUNC($AN598/2,0)+0.99),'Tax scales - NAT 3539'!$A$74:$C$94,3,1)),0)
*2,
0),
IF(AND($E$2="Monthly",ROUND($AN598-TRUNC($AN598),2)=0.33),
ROUND(
ROUND(((TRUNC(($AN598+0.01)*3/13,0)+0.99)*VLOOKUP((TRUNC(($AN598+0.01)*3/13,0)+0.99),'Tax scales - NAT 3539'!$A$74:$C$94,2,1)-VLOOKUP((TRUNC(($AN598+0.01)*3/13,0)+0.99),'Tax scales - NAT 3539'!$A$74:$C$94,3,1)),0)
*13/3,
0),
IF($E$2="Monthly",
ROUND(
ROUND(((TRUNC($AN598*3/13,0)+0.99)*VLOOKUP((TRUNC($AN598*3/13,0)+0.99),'Tax scales - NAT 3539'!$A$74:$C$94,2,1)-VLOOKUP((TRUNC($AN598*3/13,0)+0.99),'Tax scales - NAT 3539'!$A$74:$C$94,3,1)),0)
*13/3,
0),
""))),
""),
"")</f>
        <v/>
      </c>
      <c r="AX598" s="118" t="str">
        <f>IFERROR(
IF(VLOOKUP($C598,'Employee information'!$B:$M,COLUMNS('Employee information'!$B:$M),0)=55,
IF($E$2="Fortnightly",
ROUND(
ROUND((((TRUNC($AN598/2,0)+0.99))*VLOOKUP((TRUNC($AN598/2,0)+0.99),'Tax scales - NAT 3539'!$A$99:$C$123,2,1)-VLOOKUP((TRUNC($AN598/2,0)+0.99),'Tax scales - NAT 3539'!$A$99:$C$123,3,1)),0)
*2,
0),
IF(AND($E$2="Monthly",ROUND($AN598-TRUNC($AN598),2)=0.33),
ROUND(
ROUND(((TRUNC(($AN598+0.01)*3/13,0)+0.99)*VLOOKUP((TRUNC(($AN598+0.01)*3/13,0)+0.99),'Tax scales - NAT 3539'!$A$99:$C$123,2,1)-VLOOKUP((TRUNC(($AN598+0.01)*3/13,0)+0.99),'Tax scales - NAT 3539'!$A$99:$C$123,3,1)),0)
*13/3,
0),
IF($E$2="Monthly",
ROUND(
ROUND(((TRUNC($AN598*3/13,0)+0.99)*VLOOKUP((TRUNC($AN598*3/13,0)+0.99),'Tax scales - NAT 3539'!$A$99:$C$123,2,1)-VLOOKUP((TRUNC($AN598*3/13,0)+0.99),'Tax scales - NAT 3539'!$A$99:$C$123,3,1)),0)
*13/3,
0),
""))),
""),
"")</f>
        <v/>
      </c>
      <c r="AY598" s="118" t="str">
        <f>IFERROR(
IF(VLOOKUP($C598,'Employee information'!$B:$M,COLUMNS('Employee information'!$B:$M),0)=66,
IF($E$2="Fortnightly",
ROUND(
ROUND((((TRUNC($AN598/2,0)+0.99))*VLOOKUP((TRUNC($AN598/2,0)+0.99),'Tax scales - NAT 3539'!$A$127:$C$154,2,1)-VLOOKUP((TRUNC($AN598/2,0)+0.99),'Tax scales - NAT 3539'!$A$127:$C$154,3,1)),0)
*2,
0),
IF(AND($E$2="Monthly",ROUND($AN598-TRUNC($AN598),2)=0.33),
ROUND(
ROUND(((TRUNC(($AN598+0.01)*3/13,0)+0.99)*VLOOKUP((TRUNC(($AN598+0.01)*3/13,0)+0.99),'Tax scales - NAT 3539'!$A$127:$C$154,2,1)-VLOOKUP((TRUNC(($AN598+0.01)*3/13,0)+0.99),'Tax scales - NAT 3539'!$A$127:$C$154,3,1)),0)
*13/3,
0),
IF($E$2="Monthly",
ROUND(
ROUND(((TRUNC($AN598*3/13,0)+0.99)*VLOOKUP((TRUNC($AN598*3/13,0)+0.99),'Tax scales - NAT 3539'!$A$127:$C$154,2,1)-VLOOKUP((TRUNC($AN598*3/13,0)+0.99),'Tax scales - NAT 3539'!$A$127:$C$154,3,1)),0)
*13/3,
0),
""))),
""),
"")</f>
        <v/>
      </c>
      <c r="AZ598" s="118">
        <f>IFERROR(
HLOOKUP(VLOOKUP($C598,'Employee information'!$B:$M,COLUMNS('Employee information'!$B:$M),0),'PAYG worksheet'!$AO$590:$AY$609,COUNTA($C$591:$C598)+1,0),
0)</f>
        <v>0</v>
      </c>
      <c r="BA598" s="118"/>
      <c r="BB598" s="118">
        <f t="shared" si="635"/>
        <v>0</v>
      </c>
      <c r="BC598" s="119">
        <f>IFERROR(
IF(OR($AE598=1,$AE598=""),SUM($P598,$AA598,$AC598,$AK598)*VLOOKUP($C598,'Employee information'!$B:$Q,COLUMNS('Employee information'!$B:$H),0),
IF($AE598=0,SUM($P598,$AA598,$AK598)*VLOOKUP($C598,'Employee information'!$B:$Q,COLUMNS('Employee information'!$B:$H),0),
0)),
0)</f>
        <v>0</v>
      </c>
      <c r="BE598" s="114">
        <f t="shared" si="620"/>
        <v>0</v>
      </c>
      <c r="BF598" s="114">
        <f t="shared" si="621"/>
        <v>0</v>
      </c>
      <c r="BG598" s="114">
        <f t="shared" si="622"/>
        <v>0</v>
      </c>
      <c r="BH598" s="114">
        <f t="shared" si="623"/>
        <v>0</v>
      </c>
      <c r="BI598" s="114">
        <f t="shared" si="624"/>
        <v>0</v>
      </c>
      <c r="BJ598" s="114">
        <f t="shared" si="625"/>
        <v>0</v>
      </c>
      <c r="BK598" s="114">
        <f t="shared" si="626"/>
        <v>0</v>
      </c>
      <c r="BL598" s="114">
        <f t="shared" si="636"/>
        <v>0</v>
      </c>
      <c r="BM598" s="114">
        <f t="shared" si="627"/>
        <v>0</v>
      </c>
    </row>
    <row r="599" spans="1:65" x14ac:dyDescent="0.25">
      <c r="A599" s="228">
        <f t="shared" si="615"/>
        <v>21</v>
      </c>
      <c r="C599" s="278"/>
      <c r="E599" s="103">
        <f>IF($C599="",0,
IF(AND($E$2="Monthly",$A599&gt;12),0,
IF($E$2="Monthly",VLOOKUP($C599,'Employee information'!$B:$AM,COLUMNS('Employee information'!$B:S),0),
IF($E$2="Fortnightly",VLOOKUP($C599,'Employee information'!$B:$AM,COLUMNS('Employee information'!$B:R),0),
0))))</f>
        <v>0</v>
      </c>
      <c r="F599" s="106"/>
      <c r="G599" s="106"/>
      <c r="H599" s="106"/>
      <c r="I599" s="106"/>
      <c r="J599" s="103">
        <f t="shared" si="628"/>
        <v>0</v>
      </c>
      <c r="L599" s="113">
        <f>IF(AND($E$2="Monthly",$A599&gt;12),"",
IFERROR($J599*VLOOKUP($C599,'Employee information'!$B:$AI,COLUMNS('Employee information'!$B:$P),0),0))</f>
        <v>0</v>
      </c>
      <c r="M599" s="114">
        <f t="shared" si="629"/>
        <v>0</v>
      </c>
      <c r="O599" s="103">
        <f t="shared" si="630"/>
        <v>0</v>
      </c>
      <c r="P599" s="113">
        <f>IFERROR(
IF(AND($E$2="Monthly",$A599&gt;12),0,
$O599*VLOOKUP($C599,'Employee information'!$B:$AI,COLUMNS('Employee information'!$B:$P),0)),
0)</f>
        <v>0</v>
      </c>
      <c r="R599" s="114">
        <f t="shared" si="616"/>
        <v>0</v>
      </c>
      <c r="T599" s="103"/>
      <c r="U599" s="103"/>
      <c r="V599" s="282" t="str">
        <f>IF($C599="","",
IF(AND($E$2="Monthly",$A599&gt;12),"",
$T599*VLOOKUP($C599,'Employee information'!$B:$P,COLUMNS('Employee information'!$B:$P),0)))</f>
        <v/>
      </c>
      <c r="W599" s="282" t="str">
        <f>IF($C599="","",
IF(AND($E$2="Monthly",$A599&gt;12),"",
$U599*VLOOKUP($C599,'Employee information'!$B:$P,COLUMNS('Employee information'!$B:$P),0)))</f>
        <v/>
      </c>
      <c r="X599" s="114">
        <f t="shared" si="617"/>
        <v>0</v>
      </c>
      <c r="Y599" s="114">
        <f t="shared" si="618"/>
        <v>0</v>
      </c>
      <c r="AA599" s="118">
        <f>IFERROR(
IF(OR('Basic payroll data'!$D$12="",'Basic payroll data'!$D$12="No"),0,
$T599*VLOOKUP($C599,'Employee information'!$B:$P,COLUMNS('Employee information'!$B:$P),0)*AL_loading_perc),
0)</f>
        <v>0</v>
      </c>
      <c r="AC599" s="118"/>
      <c r="AD599" s="118"/>
      <c r="AE599" s="283" t="str">
        <f t="shared" si="631"/>
        <v/>
      </c>
      <c r="AF599" s="283" t="str">
        <f t="shared" si="632"/>
        <v/>
      </c>
      <c r="AG599" s="118"/>
      <c r="AH599" s="118"/>
      <c r="AI599" s="283" t="str">
        <f t="shared" si="633"/>
        <v/>
      </c>
      <c r="AJ599" s="118"/>
      <c r="AK599" s="118"/>
      <c r="AM599" s="118">
        <f t="shared" si="634"/>
        <v>0</v>
      </c>
      <c r="AN599" s="118">
        <f t="shared" si="619"/>
        <v>0</v>
      </c>
      <c r="AO599" s="118" t="str">
        <f>IFERROR(
IF(VLOOKUP($C599,'Employee information'!$B:$M,COLUMNS('Employee information'!$B:$M),0)=1,
IF($E$2="Fortnightly",
ROUND(
ROUND((((TRUNC($AN599/2,0)+0.99))*VLOOKUP((TRUNC($AN599/2,0)+0.99),'Tax scales - NAT 1004'!$A$12:$C$18,2,1)-VLOOKUP((TRUNC($AN599/2,0)+0.99),'Tax scales - NAT 1004'!$A$12:$C$18,3,1)),0)
*2,
0),
IF(AND($E$2="Monthly",ROUND($AN599-TRUNC($AN599),2)=0.33),
ROUND(
ROUND(((TRUNC(($AN599+0.01)*3/13,0)+0.99)*VLOOKUP((TRUNC(($AN599+0.01)*3/13,0)+0.99),'Tax scales - NAT 1004'!$A$12:$C$18,2,1)-VLOOKUP((TRUNC(($AN599+0.01)*3/13,0)+0.99),'Tax scales - NAT 1004'!$A$12:$C$18,3,1)),0)
*13/3,
0),
IF($E$2="Monthly",
ROUND(
ROUND(((TRUNC($AN599*3/13,0)+0.99)*VLOOKUP((TRUNC($AN599*3/13,0)+0.99),'Tax scales - NAT 1004'!$A$12:$C$18,2,1)-VLOOKUP((TRUNC($AN599*3/13,0)+0.99),'Tax scales - NAT 1004'!$A$12:$C$18,3,1)),0)
*13/3,
0),
""))),
""),
"")</f>
        <v/>
      </c>
      <c r="AP599" s="118" t="str">
        <f>IFERROR(
IF(VLOOKUP($C599,'Employee information'!$B:$M,COLUMNS('Employee information'!$B:$M),0)=2,
IF($E$2="Fortnightly",
ROUND(
ROUND((((TRUNC($AN599/2,0)+0.99))*VLOOKUP((TRUNC($AN599/2,0)+0.99),'Tax scales - NAT 1004'!$A$25:$C$33,2,1)-VLOOKUP((TRUNC($AN599/2,0)+0.99),'Tax scales - NAT 1004'!$A$25:$C$33,3,1)),0)
*2,
0),
IF(AND($E$2="Monthly",ROUND($AN599-TRUNC($AN599),2)=0.33),
ROUND(
ROUND(((TRUNC(($AN599+0.01)*3/13,0)+0.99)*VLOOKUP((TRUNC(($AN599+0.01)*3/13,0)+0.99),'Tax scales - NAT 1004'!$A$25:$C$33,2,1)-VLOOKUP((TRUNC(($AN599+0.01)*3/13,0)+0.99),'Tax scales - NAT 1004'!$A$25:$C$33,3,1)),0)
*13/3,
0),
IF($E$2="Monthly",
ROUND(
ROUND(((TRUNC($AN599*3/13,0)+0.99)*VLOOKUP((TRUNC($AN599*3/13,0)+0.99),'Tax scales - NAT 1004'!$A$25:$C$33,2,1)-VLOOKUP((TRUNC($AN599*3/13,0)+0.99),'Tax scales - NAT 1004'!$A$25:$C$33,3,1)),0)
*13/3,
0),
""))),
""),
"")</f>
        <v/>
      </c>
      <c r="AQ599" s="118" t="str">
        <f>IFERROR(
IF(VLOOKUP($C599,'Employee information'!$B:$M,COLUMNS('Employee information'!$B:$M),0)=3,
IF($E$2="Fortnightly",
ROUND(
ROUND((((TRUNC($AN599/2,0)+0.99))*VLOOKUP((TRUNC($AN599/2,0)+0.99),'Tax scales - NAT 1004'!$A$39:$C$41,2,1)-VLOOKUP((TRUNC($AN599/2,0)+0.99),'Tax scales - NAT 1004'!$A$39:$C$41,3,1)),0)
*2,
0),
IF(AND($E$2="Monthly",ROUND($AN599-TRUNC($AN599),2)=0.33),
ROUND(
ROUND(((TRUNC(($AN599+0.01)*3/13,0)+0.99)*VLOOKUP((TRUNC(($AN599+0.01)*3/13,0)+0.99),'Tax scales - NAT 1004'!$A$39:$C$41,2,1)-VLOOKUP((TRUNC(($AN599+0.01)*3/13,0)+0.99),'Tax scales - NAT 1004'!$A$39:$C$41,3,1)),0)
*13/3,
0),
IF($E$2="Monthly",
ROUND(
ROUND(((TRUNC($AN599*3/13,0)+0.99)*VLOOKUP((TRUNC($AN599*3/13,0)+0.99),'Tax scales - NAT 1004'!$A$39:$C$41,2,1)-VLOOKUP((TRUNC($AN599*3/13,0)+0.99),'Tax scales - NAT 1004'!$A$39:$C$41,3,1)),0)
*13/3,
0),
""))),
""),
"")</f>
        <v/>
      </c>
      <c r="AR599" s="118" t="str">
        <f>IFERROR(
IF(AND(VLOOKUP($C599,'Employee information'!$B:$M,COLUMNS('Employee information'!$B:$M),0)=4,
VLOOKUP($C599,'Employee information'!$B:$J,COLUMNS('Employee information'!$B:$J),0)="Resident"),
TRUNC(TRUNC($AN599)*'Tax scales - NAT 1004'!$B$47),
IF(AND(VLOOKUP($C599,'Employee information'!$B:$M,COLUMNS('Employee information'!$B:$M),0)=4,
VLOOKUP($C599,'Employee information'!$B:$J,COLUMNS('Employee information'!$B:$J),0)="Foreign resident"),
TRUNC(TRUNC($AN599)*'Tax scales - NAT 1004'!$B$48),
"")),
"")</f>
        <v/>
      </c>
      <c r="AS599" s="118" t="str">
        <f>IFERROR(
IF(VLOOKUP($C599,'Employee information'!$B:$M,COLUMNS('Employee information'!$B:$M),0)=5,
IF($E$2="Fortnightly",
ROUND(
ROUND((((TRUNC($AN599/2,0)+0.99))*VLOOKUP((TRUNC($AN599/2,0)+0.99),'Tax scales - NAT 1004'!$A$53:$C$59,2,1)-VLOOKUP((TRUNC($AN599/2,0)+0.99),'Tax scales - NAT 1004'!$A$53:$C$59,3,1)),0)
*2,
0),
IF(AND($E$2="Monthly",ROUND($AN599-TRUNC($AN599),2)=0.33),
ROUND(
ROUND(((TRUNC(($AN599+0.01)*3/13,0)+0.99)*VLOOKUP((TRUNC(($AN599+0.01)*3/13,0)+0.99),'Tax scales - NAT 1004'!$A$53:$C$59,2,1)-VLOOKUP((TRUNC(($AN599+0.01)*3/13,0)+0.99),'Tax scales - NAT 1004'!$A$53:$C$59,3,1)),0)
*13/3,
0),
IF($E$2="Monthly",
ROUND(
ROUND(((TRUNC($AN599*3/13,0)+0.99)*VLOOKUP((TRUNC($AN599*3/13,0)+0.99),'Tax scales - NAT 1004'!$A$53:$C$59,2,1)-VLOOKUP((TRUNC($AN599*3/13,0)+0.99),'Tax scales - NAT 1004'!$A$53:$C$59,3,1)),0)
*13/3,
0),
""))),
""),
"")</f>
        <v/>
      </c>
      <c r="AT599" s="118" t="str">
        <f>IFERROR(
IF(VLOOKUP($C599,'Employee information'!$B:$M,COLUMNS('Employee information'!$B:$M),0)=6,
IF($E$2="Fortnightly",
ROUND(
ROUND((((TRUNC($AN599/2,0)+0.99))*VLOOKUP((TRUNC($AN599/2,0)+0.99),'Tax scales - NAT 1004'!$A$65:$C$73,2,1)-VLOOKUP((TRUNC($AN599/2,0)+0.99),'Tax scales - NAT 1004'!$A$65:$C$73,3,1)),0)
*2,
0),
IF(AND($E$2="Monthly",ROUND($AN599-TRUNC($AN599),2)=0.33),
ROUND(
ROUND(((TRUNC(($AN599+0.01)*3/13,0)+0.99)*VLOOKUP((TRUNC(($AN599+0.01)*3/13,0)+0.99),'Tax scales - NAT 1004'!$A$65:$C$73,2,1)-VLOOKUP((TRUNC(($AN599+0.01)*3/13,0)+0.99),'Tax scales - NAT 1004'!$A$65:$C$73,3,1)),0)
*13/3,
0),
IF($E$2="Monthly",
ROUND(
ROUND(((TRUNC($AN599*3/13,0)+0.99)*VLOOKUP((TRUNC($AN599*3/13,0)+0.99),'Tax scales - NAT 1004'!$A$65:$C$73,2,1)-VLOOKUP((TRUNC($AN599*3/13,0)+0.99),'Tax scales - NAT 1004'!$A$65:$C$73,3,1)),0)
*13/3,
0),
""))),
""),
"")</f>
        <v/>
      </c>
      <c r="AU599" s="118" t="str">
        <f>IFERROR(
IF(VLOOKUP($C599,'Employee information'!$B:$M,COLUMNS('Employee information'!$B:$M),0)=11,
IF($E$2="Fortnightly",
ROUND(
ROUND((((TRUNC($AN599/2,0)+0.99))*VLOOKUP((TRUNC($AN599/2,0)+0.99),'Tax scales - NAT 3539'!$A$14:$C$38,2,1)-VLOOKUP((TRUNC($AN599/2,0)+0.99),'Tax scales - NAT 3539'!$A$14:$C$38,3,1)),0)
*2,
0),
IF(AND($E$2="Monthly",ROUND($AN599-TRUNC($AN599),2)=0.33),
ROUND(
ROUND(((TRUNC(($AN599+0.01)*3/13,0)+0.99)*VLOOKUP((TRUNC(($AN599+0.01)*3/13,0)+0.99),'Tax scales - NAT 3539'!$A$14:$C$38,2,1)-VLOOKUP((TRUNC(($AN599+0.01)*3/13,0)+0.99),'Tax scales - NAT 3539'!$A$14:$C$38,3,1)),0)
*13/3,
0),
IF($E$2="Monthly",
ROUND(
ROUND(((TRUNC($AN599*3/13,0)+0.99)*VLOOKUP((TRUNC($AN599*3/13,0)+0.99),'Tax scales - NAT 3539'!$A$14:$C$38,2,1)-VLOOKUP((TRUNC($AN599*3/13,0)+0.99),'Tax scales - NAT 3539'!$A$14:$C$38,3,1)),0)
*13/3,
0),
""))),
""),
"")</f>
        <v/>
      </c>
      <c r="AV599" s="118" t="str">
        <f>IFERROR(
IF(VLOOKUP($C599,'Employee information'!$B:$M,COLUMNS('Employee information'!$B:$M),0)=22,
IF($E$2="Fortnightly",
ROUND(
ROUND((((TRUNC($AN599/2,0)+0.99))*VLOOKUP((TRUNC($AN599/2,0)+0.99),'Tax scales - NAT 3539'!$A$43:$C$69,2,1)-VLOOKUP((TRUNC($AN599/2,0)+0.99),'Tax scales - NAT 3539'!$A$43:$C$69,3,1)),0)
*2,
0),
IF(AND($E$2="Monthly",ROUND($AN599-TRUNC($AN599),2)=0.33),
ROUND(
ROUND(((TRUNC(($AN599+0.01)*3/13,0)+0.99)*VLOOKUP((TRUNC(($AN599+0.01)*3/13,0)+0.99),'Tax scales - NAT 3539'!$A$43:$C$69,2,1)-VLOOKUP((TRUNC(($AN599+0.01)*3/13,0)+0.99),'Tax scales - NAT 3539'!$A$43:$C$69,3,1)),0)
*13/3,
0),
IF($E$2="Monthly",
ROUND(
ROUND(((TRUNC($AN599*3/13,0)+0.99)*VLOOKUP((TRUNC($AN599*3/13,0)+0.99),'Tax scales - NAT 3539'!$A$43:$C$69,2,1)-VLOOKUP((TRUNC($AN599*3/13,0)+0.99),'Tax scales - NAT 3539'!$A$43:$C$69,3,1)),0)
*13/3,
0),
""))),
""),
"")</f>
        <v/>
      </c>
      <c r="AW599" s="118" t="str">
        <f>IFERROR(
IF(VLOOKUP($C599,'Employee information'!$B:$M,COLUMNS('Employee information'!$B:$M),0)=33,
IF($E$2="Fortnightly",
ROUND(
ROUND((((TRUNC($AN599/2,0)+0.99))*VLOOKUP((TRUNC($AN599/2,0)+0.99),'Tax scales - NAT 3539'!$A$74:$C$94,2,1)-VLOOKUP((TRUNC($AN599/2,0)+0.99),'Tax scales - NAT 3539'!$A$74:$C$94,3,1)),0)
*2,
0),
IF(AND($E$2="Monthly",ROUND($AN599-TRUNC($AN599),2)=0.33),
ROUND(
ROUND(((TRUNC(($AN599+0.01)*3/13,0)+0.99)*VLOOKUP((TRUNC(($AN599+0.01)*3/13,0)+0.99),'Tax scales - NAT 3539'!$A$74:$C$94,2,1)-VLOOKUP((TRUNC(($AN599+0.01)*3/13,0)+0.99),'Tax scales - NAT 3539'!$A$74:$C$94,3,1)),0)
*13/3,
0),
IF($E$2="Monthly",
ROUND(
ROUND(((TRUNC($AN599*3/13,0)+0.99)*VLOOKUP((TRUNC($AN599*3/13,0)+0.99),'Tax scales - NAT 3539'!$A$74:$C$94,2,1)-VLOOKUP((TRUNC($AN599*3/13,0)+0.99),'Tax scales - NAT 3539'!$A$74:$C$94,3,1)),0)
*13/3,
0),
""))),
""),
"")</f>
        <v/>
      </c>
      <c r="AX599" s="118" t="str">
        <f>IFERROR(
IF(VLOOKUP($C599,'Employee information'!$B:$M,COLUMNS('Employee information'!$B:$M),0)=55,
IF($E$2="Fortnightly",
ROUND(
ROUND((((TRUNC($AN599/2,0)+0.99))*VLOOKUP((TRUNC($AN599/2,0)+0.99),'Tax scales - NAT 3539'!$A$99:$C$123,2,1)-VLOOKUP((TRUNC($AN599/2,0)+0.99),'Tax scales - NAT 3539'!$A$99:$C$123,3,1)),0)
*2,
0),
IF(AND($E$2="Monthly",ROUND($AN599-TRUNC($AN599),2)=0.33),
ROUND(
ROUND(((TRUNC(($AN599+0.01)*3/13,0)+0.99)*VLOOKUP((TRUNC(($AN599+0.01)*3/13,0)+0.99),'Tax scales - NAT 3539'!$A$99:$C$123,2,1)-VLOOKUP((TRUNC(($AN599+0.01)*3/13,0)+0.99),'Tax scales - NAT 3539'!$A$99:$C$123,3,1)),0)
*13/3,
0),
IF($E$2="Monthly",
ROUND(
ROUND(((TRUNC($AN599*3/13,0)+0.99)*VLOOKUP((TRUNC($AN599*3/13,0)+0.99),'Tax scales - NAT 3539'!$A$99:$C$123,2,1)-VLOOKUP((TRUNC($AN599*3/13,0)+0.99),'Tax scales - NAT 3539'!$A$99:$C$123,3,1)),0)
*13/3,
0),
""))),
""),
"")</f>
        <v/>
      </c>
      <c r="AY599" s="118" t="str">
        <f>IFERROR(
IF(VLOOKUP($C599,'Employee information'!$B:$M,COLUMNS('Employee information'!$B:$M),0)=66,
IF($E$2="Fortnightly",
ROUND(
ROUND((((TRUNC($AN599/2,0)+0.99))*VLOOKUP((TRUNC($AN599/2,0)+0.99),'Tax scales - NAT 3539'!$A$127:$C$154,2,1)-VLOOKUP((TRUNC($AN599/2,0)+0.99),'Tax scales - NAT 3539'!$A$127:$C$154,3,1)),0)
*2,
0),
IF(AND($E$2="Monthly",ROUND($AN599-TRUNC($AN599),2)=0.33),
ROUND(
ROUND(((TRUNC(($AN599+0.01)*3/13,0)+0.99)*VLOOKUP((TRUNC(($AN599+0.01)*3/13,0)+0.99),'Tax scales - NAT 3539'!$A$127:$C$154,2,1)-VLOOKUP((TRUNC(($AN599+0.01)*3/13,0)+0.99),'Tax scales - NAT 3539'!$A$127:$C$154,3,1)),0)
*13/3,
0),
IF($E$2="Monthly",
ROUND(
ROUND(((TRUNC($AN599*3/13,0)+0.99)*VLOOKUP((TRUNC($AN599*3/13,0)+0.99),'Tax scales - NAT 3539'!$A$127:$C$154,2,1)-VLOOKUP((TRUNC($AN599*3/13,0)+0.99),'Tax scales - NAT 3539'!$A$127:$C$154,3,1)),0)
*13/3,
0),
""))),
""),
"")</f>
        <v/>
      </c>
      <c r="AZ599" s="118">
        <f>IFERROR(
HLOOKUP(VLOOKUP($C599,'Employee information'!$B:$M,COLUMNS('Employee information'!$B:$M),0),'PAYG worksheet'!$AO$590:$AY$609,COUNTA($C$591:$C599)+1,0),
0)</f>
        <v>0</v>
      </c>
      <c r="BA599" s="118"/>
      <c r="BB599" s="118">
        <f t="shared" si="635"/>
        <v>0</v>
      </c>
      <c r="BC599" s="119">
        <f>IFERROR(
IF(OR($AE599=1,$AE599=""),SUM($P599,$AA599,$AC599,$AK599)*VLOOKUP($C599,'Employee information'!$B:$Q,COLUMNS('Employee information'!$B:$H),0),
IF($AE599=0,SUM($P599,$AA599,$AK599)*VLOOKUP($C599,'Employee information'!$B:$Q,COLUMNS('Employee information'!$B:$H),0),
0)),
0)</f>
        <v>0</v>
      </c>
      <c r="BE599" s="114">
        <f t="shared" si="620"/>
        <v>0</v>
      </c>
      <c r="BF599" s="114">
        <f t="shared" si="621"/>
        <v>0</v>
      </c>
      <c r="BG599" s="114">
        <f t="shared" si="622"/>
        <v>0</v>
      </c>
      <c r="BH599" s="114">
        <f t="shared" si="623"/>
        <v>0</v>
      </c>
      <c r="BI599" s="114">
        <f t="shared" si="624"/>
        <v>0</v>
      </c>
      <c r="BJ599" s="114">
        <f t="shared" si="625"/>
        <v>0</v>
      </c>
      <c r="BK599" s="114">
        <f t="shared" si="626"/>
        <v>0</v>
      </c>
      <c r="BL599" s="114">
        <f t="shared" si="636"/>
        <v>0</v>
      </c>
      <c r="BM599" s="114">
        <f t="shared" si="627"/>
        <v>0</v>
      </c>
    </row>
    <row r="600" spans="1:65" x14ac:dyDescent="0.25">
      <c r="A600" s="228">
        <f t="shared" si="615"/>
        <v>21</v>
      </c>
      <c r="C600" s="278"/>
      <c r="E600" s="103">
        <f>IF($C600="",0,
IF(AND($E$2="Monthly",$A600&gt;12),0,
IF($E$2="Monthly",VLOOKUP($C600,'Employee information'!$B:$AM,COLUMNS('Employee information'!$B:S),0),
IF($E$2="Fortnightly",VLOOKUP($C600,'Employee information'!$B:$AM,COLUMNS('Employee information'!$B:R),0),
0))))</f>
        <v>0</v>
      </c>
      <c r="F600" s="106"/>
      <c r="G600" s="106"/>
      <c r="H600" s="106"/>
      <c r="I600" s="106"/>
      <c r="J600" s="103">
        <f t="shared" si="628"/>
        <v>0</v>
      </c>
      <c r="L600" s="113">
        <f>IF(AND($E$2="Monthly",$A600&gt;12),"",
IFERROR($J600*VLOOKUP($C600,'Employee information'!$B:$AI,COLUMNS('Employee information'!$B:$P),0),0))</f>
        <v>0</v>
      </c>
      <c r="M600" s="114">
        <f t="shared" si="629"/>
        <v>0</v>
      </c>
      <c r="O600" s="103">
        <f>IF($E$2="Monthly",
IF(AND($E$2="Monthly",$H600&lt;&gt;""),$H600,
IF(AND($E$2="Monthly",$E600=0),$F600,
$E600)),
IF($E$2="Fortnightly",
IF(AND($E$2="Fortnightly",$H600&lt;&gt;""),$H600,
IF(AND($E$2="Fortnightly",$F600&lt;&gt;"",$E600&lt;&gt;0),$F600,
IF(AND($E$2="Fortnightly",$E600=0),$F600,
$E600)))))</f>
        <v>0</v>
      </c>
      <c r="P600" s="113">
        <f>IFERROR(
IF(AND($E$2="Monthly",$A600&gt;12),0,
$O600*VLOOKUP($C600,'Employee information'!$B:$AI,COLUMNS('Employee information'!$B:$P),0)),
0)</f>
        <v>0</v>
      </c>
      <c r="R600" s="114">
        <f t="shared" si="616"/>
        <v>0</v>
      </c>
      <c r="T600" s="103"/>
      <c r="U600" s="103"/>
      <c r="V600" s="282" t="str">
        <f>IF($C600="","",
IF(AND($E$2="Monthly",$A600&gt;12),"",
$T600*VLOOKUP($C600,'Employee information'!$B:$P,COLUMNS('Employee information'!$B:$P),0)))</f>
        <v/>
      </c>
      <c r="W600" s="282" t="str">
        <f>IF($C600="","",
IF(AND($E$2="Monthly",$A600&gt;12),"",
$U600*VLOOKUP($C600,'Employee information'!$B:$P,COLUMNS('Employee information'!$B:$P),0)))</f>
        <v/>
      </c>
      <c r="X600" s="114">
        <f t="shared" si="617"/>
        <v>0</v>
      </c>
      <c r="Y600" s="114">
        <f t="shared" si="618"/>
        <v>0</v>
      </c>
      <c r="AA600" s="118">
        <f>IFERROR(
IF(OR('Basic payroll data'!$D$12="",'Basic payroll data'!$D$12="No"),0,
$T600*VLOOKUP($C600,'Employee information'!$B:$P,COLUMNS('Employee information'!$B:$P),0)*AL_loading_perc),
0)</f>
        <v>0</v>
      </c>
      <c r="AC600" s="118"/>
      <c r="AD600" s="118"/>
      <c r="AE600" s="283" t="str">
        <f t="shared" si="631"/>
        <v/>
      </c>
      <c r="AF600" s="283" t="str">
        <f t="shared" si="632"/>
        <v/>
      </c>
      <c r="AG600" s="118"/>
      <c r="AH600" s="118"/>
      <c r="AI600" s="283" t="str">
        <f t="shared" si="633"/>
        <v/>
      </c>
      <c r="AJ600" s="118"/>
      <c r="AK600" s="118"/>
      <c r="AM600" s="118">
        <f t="shared" si="634"/>
        <v>0</v>
      </c>
      <c r="AN600" s="118">
        <f t="shared" si="619"/>
        <v>0</v>
      </c>
      <c r="AO600" s="118" t="str">
        <f>IFERROR(
IF(VLOOKUP($C600,'Employee information'!$B:$M,COLUMNS('Employee information'!$B:$M),0)=1,
IF($E$2="Fortnightly",
ROUND(
ROUND((((TRUNC($AN600/2,0)+0.99))*VLOOKUP((TRUNC($AN600/2,0)+0.99),'Tax scales - NAT 1004'!$A$12:$C$18,2,1)-VLOOKUP((TRUNC($AN600/2,0)+0.99),'Tax scales - NAT 1004'!$A$12:$C$18,3,1)),0)
*2,
0),
IF(AND($E$2="Monthly",ROUND($AN600-TRUNC($AN600),2)=0.33),
ROUND(
ROUND(((TRUNC(($AN600+0.01)*3/13,0)+0.99)*VLOOKUP((TRUNC(($AN600+0.01)*3/13,0)+0.99),'Tax scales - NAT 1004'!$A$12:$C$18,2,1)-VLOOKUP((TRUNC(($AN600+0.01)*3/13,0)+0.99),'Tax scales - NAT 1004'!$A$12:$C$18,3,1)),0)
*13/3,
0),
IF($E$2="Monthly",
ROUND(
ROUND(((TRUNC($AN600*3/13,0)+0.99)*VLOOKUP((TRUNC($AN600*3/13,0)+0.99),'Tax scales - NAT 1004'!$A$12:$C$18,2,1)-VLOOKUP((TRUNC($AN600*3/13,0)+0.99),'Tax scales - NAT 1004'!$A$12:$C$18,3,1)),0)
*13/3,
0),
""))),
""),
"")</f>
        <v/>
      </c>
      <c r="AP600" s="118" t="str">
        <f>IFERROR(
IF(VLOOKUP($C600,'Employee information'!$B:$M,COLUMNS('Employee information'!$B:$M),0)=2,
IF($E$2="Fortnightly",
ROUND(
ROUND((((TRUNC($AN600/2,0)+0.99))*VLOOKUP((TRUNC($AN600/2,0)+0.99),'Tax scales - NAT 1004'!$A$25:$C$33,2,1)-VLOOKUP((TRUNC($AN600/2,0)+0.99),'Tax scales - NAT 1004'!$A$25:$C$33,3,1)),0)
*2,
0),
IF(AND($E$2="Monthly",ROUND($AN600-TRUNC($AN600),2)=0.33),
ROUND(
ROUND(((TRUNC(($AN600+0.01)*3/13,0)+0.99)*VLOOKUP((TRUNC(($AN600+0.01)*3/13,0)+0.99),'Tax scales - NAT 1004'!$A$25:$C$33,2,1)-VLOOKUP((TRUNC(($AN600+0.01)*3/13,0)+0.99),'Tax scales - NAT 1004'!$A$25:$C$33,3,1)),0)
*13/3,
0),
IF($E$2="Monthly",
ROUND(
ROUND(((TRUNC($AN600*3/13,0)+0.99)*VLOOKUP((TRUNC($AN600*3/13,0)+0.99),'Tax scales - NAT 1004'!$A$25:$C$33,2,1)-VLOOKUP((TRUNC($AN600*3/13,0)+0.99),'Tax scales - NAT 1004'!$A$25:$C$33,3,1)),0)
*13/3,
0),
""))),
""),
"")</f>
        <v/>
      </c>
      <c r="AQ600" s="118" t="str">
        <f>IFERROR(
IF(VLOOKUP($C600,'Employee information'!$B:$M,COLUMNS('Employee information'!$B:$M),0)=3,
IF($E$2="Fortnightly",
ROUND(
ROUND((((TRUNC($AN600/2,0)+0.99))*VLOOKUP((TRUNC($AN600/2,0)+0.99),'Tax scales - NAT 1004'!$A$39:$C$41,2,1)-VLOOKUP((TRUNC($AN600/2,0)+0.99),'Tax scales - NAT 1004'!$A$39:$C$41,3,1)),0)
*2,
0),
IF(AND($E$2="Monthly",ROUND($AN600-TRUNC($AN600),2)=0.33),
ROUND(
ROUND(((TRUNC(($AN600+0.01)*3/13,0)+0.99)*VLOOKUP((TRUNC(($AN600+0.01)*3/13,0)+0.99),'Tax scales - NAT 1004'!$A$39:$C$41,2,1)-VLOOKUP((TRUNC(($AN600+0.01)*3/13,0)+0.99),'Tax scales - NAT 1004'!$A$39:$C$41,3,1)),0)
*13/3,
0),
IF($E$2="Monthly",
ROUND(
ROUND(((TRUNC($AN600*3/13,0)+0.99)*VLOOKUP((TRUNC($AN600*3/13,0)+0.99),'Tax scales - NAT 1004'!$A$39:$C$41,2,1)-VLOOKUP((TRUNC($AN600*3/13,0)+0.99),'Tax scales - NAT 1004'!$A$39:$C$41,3,1)),0)
*13/3,
0),
""))),
""),
"")</f>
        <v/>
      </c>
      <c r="AR600" s="118" t="str">
        <f>IFERROR(
IF(AND(VLOOKUP($C600,'Employee information'!$B:$M,COLUMNS('Employee information'!$B:$M),0)=4,
VLOOKUP($C600,'Employee information'!$B:$J,COLUMNS('Employee information'!$B:$J),0)="Resident"),
TRUNC(TRUNC($AN600)*'Tax scales - NAT 1004'!$B$47),
IF(AND(VLOOKUP($C600,'Employee information'!$B:$M,COLUMNS('Employee information'!$B:$M),0)=4,
VLOOKUP($C600,'Employee information'!$B:$J,COLUMNS('Employee information'!$B:$J),0)="Foreign resident"),
TRUNC(TRUNC($AN600)*'Tax scales - NAT 1004'!$B$48),
"")),
"")</f>
        <v/>
      </c>
      <c r="AS600" s="118" t="str">
        <f>IFERROR(
IF(VLOOKUP($C600,'Employee information'!$B:$M,COLUMNS('Employee information'!$B:$M),0)=5,
IF($E$2="Fortnightly",
ROUND(
ROUND((((TRUNC($AN600/2,0)+0.99))*VLOOKUP((TRUNC($AN600/2,0)+0.99),'Tax scales - NAT 1004'!$A$53:$C$59,2,1)-VLOOKUP((TRUNC($AN600/2,0)+0.99),'Tax scales - NAT 1004'!$A$53:$C$59,3,1)),0)
*2,
0),
IF(AND($E$2="Monthly",ROUND($AN600-TRUNC($AN600),2)=0.33),
ROUND(
ROUND(((TRUNC(($AN600+0.01)*3/13,0)+0.99)*VLOOKUP((TRUNC(($AN600+0.01)*3/13,0)+0.99),'Tax scales - NAT 1004'!$A$53:$C$59,2,1)-VLOOKUP((TRUNC(($AN600+0.01)*3/13,0)+0.99),'Tax scales - NAT 1004'!$A$53:$C$59,3,1)),0)
*13/3,
0),
IF($E$2="Monthly",
ROUND(
ROUND(((TRUNC($AN600*3/13,0)+0.99)*VLOOKUP((TRUNC($AN600*3/13,0)+0.99),'Tax scales - NAT 1004'!$A$53:$C$59,2,1)-VLOOKUP((TRUNC($AN600*3/13,0)+0.99),'Tax scales - NAT 1004'!$A$53:$C$59,3,1)),0)
*13/3,
0),
""))),
""),
"")</f>
        <v/>
      </c>
      <c r="AT600" s="118" t="str">
        <f>IFERROR(
IF(VLOOKUP($C600,'Employee information'!$B:$M,COLUMNS('Employee information'!$B:$M),0)=6,
IF($E$2="Fortnightly",
ROUND(
ROUND((((TRUNC($AN600/2,0)+0.99))*VLOOKUP((TRUNC($AN600/2,0)+0.99),'Tax scales - NAT 1004'!$A$65:$C$73,2,1)-VLOOKUP((TRUNC($AN600/2,0)+0.99),'Tax scales - NAT 1004'!$A$65:$C$73,3,1)),0)
*2,
0),
IF(AND($E$2="Monthly",ROUND($AN600-TRUNC($AN600),2)=0.33),
ROUND(
ROUND(((TRUNC(($AN600+0.01)*3/13,0)+0.99)*VLOOKUP((TRUNC(($AN600+0.01)*3/13,0)+0.99),'Tax scales - NAT 1004'!$A$65:$C$73,2,1)-VLOOKUP((TRUNC(($AN600+0.01)*3/13,0)+0.99),'Tax scales - NAT 1004'!$A$65:$C$73,3,1)),0)
*13/3,
0),
IF($E$2="Monthly",
ROUND(
ROUND(((TRUNC($AN600*3/13,0)+0.99)*VLOOKUP((TRUNC($AN600*3/13,0)+0.99),'Tax scales - NAT 1004'!$A$65:$C$73,2,1)-VLOOKUP((TRUNC($AN600*3/13,0)+0.99),'Tax scales - NAT 1004'!$A$65:$C$73,3,1)),0)
*13/3,
0),
""))),
""),
"")</f>
        <v/>
      </c>
      <c r="AU600" s="118" t="str">
        <f>IFERROR(
IF(VLOOKUP($C600,'Employee information'!$B:$M,COLUMNS('Employee information'!$B:$M),0)=11,
IF($E$2="Fortnightly",
ROUND(
ROUND((((TRUNC($AN600/2,0)+0.99))*VLOOKUP((TRUNC($AN600/2,0)+0.99),'Tax scales - NAT 3539'!$A$14:$C$38,2,1)-VLOOKUP((TRUNC($AN600/2,0)+0.99),'Tax scales - NAT 3539'!$A$14:$C$38,3,1)),0)
*2,
0),
IF(AND($E$2="Monthly",ROUND($AN600-TRUNC($AN600),2)=0.33),
ROUND(
ROUND(((TRUNC(($AN600+0.01)*3/13,0)+0.99)*VLOOKUP((TRUNC(($AN600+0.01)*3/13,0)+0.99),'Tax scales - NAT 3539'!$A$14:$C$38,2,1)-VLOOKUP((TRUNC(($AN600+0.01)*3/13,0)+0.99),'Tax scales - NAT 3539'!$A$14:$C$38,3,1)),0)
*13/3,
0),
IF($E$2="Monthly",
ROUND(
ROUND(((TRUNC($AN600*3/13,0)+0.99)*VLOOKUP((TRUNC($AN600*3/13,0)+0.99),'Tax scales - NAT 3539'!$A$14:$C$38,2,1)-VLOOKUP((TRUNC($AN600*3/13,0)+0.99),'Tax scales - NAT 3539'!$A$14:$C$38,3,1)),0)
*13/3,
0),
""))),
""),
"")</f>
        <v/>
      </c>
      <c r="AV600" s="118" t="str">
        <f>IFERROR(
IF(VLOOKUP($C600,'Employee information'!$B:$M,COLUMNS('Employee information'!$B:$M),0)=22,
IF($E$2="Fortnightly",
ROUND(
ROUND((((TRUNC($AN600/2,0)+0.99))*VLOOKUP((TRUNC($AN600/2,0)+0.99),'Tax scales - NAT 3539'!$A$43:$C$69,2,1)-VLOOKUP((TRUNC($AN600/2,0)+0.99),'Tax scales - NAT 3539'!$A$43:$C$69,3,1)),0)
*2,
0),
IF(AND($E$2="Monthly",ROUND($AN600-TRUNC($AN600),2)=0.33),
ROUND(
ROUND(((TRUNC(($AN600+0.01)*3/13,0)+0.99)*VLOOKUP((TRUNC(($AN600+0.01)*3/13,0)+0.99),'Tax scales - NAT 3539'!$A$43:$C$69,2,1)-VLOOKUP((TRUNC(($AN600+0.01)*3/13,0)+0.99),'Tax scales - NAT 3539'!$A$43:$C$69,3,1)),0)
*13/3,
0),
IF($E$2="Monthly",
ROUND(
ROUND(((TRUNC($AN600*3/13,0)+0.99)*VLOOKUP((TRUNC($AN600*3/13,0)+0.99),'Tax scales - NAT 3539'!$A$43:$C$69,2,1)-VLOOKUP((TRUNC($AN600*3/13,0)+0.99),'Tax scales - NAT 3539'!$A$43:$C$69,3,1)),0)
*13/3,
0),
""))),
""),
"")</f>
        <v/>
      </c>
      <c r="AW600" s="118" t="str">
        <f>IFERROR(
IF(VLOOKUP($C600,'Employee information'!$B:$M,COLUMNS('Employee information'!$B:$M),0)=33,
IF($E$2="Fortnightly",
ROUND(
ROUND((((TRUNC($AN600/2,0)+0.99))*VLOOKUP((TRUNC($AN600/2,0)+0.99),'Tax scales - NAT 3539'!$A$74:$C$94,2,1)-VLOOKUP((TRUNC($AN600/2,0)+0.99),'Tax scales - NAT 3539'!$A$74:$C$94,3,1)),0)
*2,
0),
IF(AND($E$2="Monthly",ROUND($AN600-TRUNC($AN600),2)=0.33),
ROUND(
ROUND(((TRUNC(($AN600+0.01)*3/13,0)+0.99)*VLOOKUP((TRUNC(($AN600+0.01)*3/13,0)+0.99),'Tax scales - NAT 3539'!$A$74:$C$94,2,1)-VLOOKUP((TRUNC(($AN600+0.01)*3/13,0)+0.99),'Tax scales - NAT 3539'!$A$74:$C$94,3,1)),0)
*13/3,
0),
IF($E$2="Monthly",
ROUND(
ROUND(((TRUNC($AN600*3/13,0)+0.99)*VLOOKUP((TRUNC($AN600*3/13,0)+0.99),'Tax scales - NAT 3539'!$A$74:$C$94,2,1)-VLOOKUP((TRUNC($AN600*3/13,0)+0.99),'Tax scales - NAT 3539'!$A$74:$C$94,3,1)),0)
*13/3,
0),
""))),
""),
"")</f>
        <v/>
      </c>
      <c r="AX600" s="118" t="str">
        <f>IFERROR(
IF(VLOOKUP($C600,'Employee information'!$B:$M,COLUMNS('Employee information'!$B:$M),0)=55,
IF($E$2="Fortnightly",
ROUND(
ROUND((((TRUNC($AN600/2,0)+0.99))*VLOOKUP((TRUNC($AN600/2,0)+0.99),'Tax scales - NAT 3539'!$A$99:$C$123,2,1)-VLOOKUP((TRUNC($AN600/2,0)+0.99),'Tax scales - NAT 3539'!$A$99:$C$123,3,1)),0)
*2,
0),
IF(AND($E$2="Monthly",ROUND($AN600-TRUNC($AN600),2)=0.33),
ROUND(
ROUND(((TRUNC(($AN600+0.01)*3/13,0)+0.99)*VLOOKUP((TRUNC(($AN600+0.01)*3/13,0)+0.99),'Tax scales - NAT 3539'!$A$99:$C$123,2,1)-VLOOKUP((TRUNC(($AN600+0.01)*3/13,0)+0.99),'Tax scales - NAT 3539'!$A$99:$C$123,3,1)),0)
*13/3,
0),
IF($E$2="Monthly",
ROUND(
ROUND(((TRUNC($AN600*3/13,0)+0.99)*VLOOKUP((TRUNC($AN600*3/13,0)+0.99),'Tax scales - NAT 3539'!$A$99:$C$123,2,1)-VLOOKUP((TRUNC($AN600*3/13,0)+0.99),'Tax scales - NAT 3539'!$A$99:$C$123,3,1)),0)
*13/3,
0),
""))),
""),
"")</f>
        <v/>
      </c>
      <c r="AY600" s="118" t="str">
        <f>IFERROR(
IF(VLOOKUP($C600,'Employee information'!$B:$M,COLUMNS('Employee information'!$B:$M),0)=66,
IF($E$2="Fortnightly",
ROUND(
ROUND((((TRUNC($AN600/2,0)+0.99))*VLOOKUP((TRUNC($AN600/2,0)+0.99),'Tax scales - NAT 3539'!$A$127:$C$154,2,1)-VLOOKUP((TRUNC($AN600/2,0)+0.99),'Tax scales - NAT 3539'!$A$127:$C$154,3,1)),0)
*2,
0),
IF(AND($E$2="Monthly",ROUND($AN600-TRUNC($AN600),2)=0.33),
ROUND(
ROUND(((TRUNC(($AN600+0.01)*3/13,0)+0.99)*VLOOKUP((TRUNC(($AN600+0.01)*3/13,0)+0.99),'Tax scales - NAT 3539'!$A$127:$C$154,2,1)-VLOOKUP((TRUNC(($AN600+0.01)*3/13,0)+0.99),'Tax scales - NAT 3539'!$A$127:$C$154,3,1)),0)
*13/3,
0),
IF($E$2="Monthly",
ROUND(
ROUND(((TRUNC($AN600*3/13,0)+0.99)*VLOOKUP((TRUNC($AN600*3/13,0)+0.99),'Tax scales - NAT 3539'!$A$127:$C$154,2,1)-VLOOKUP((TRUNC($AN600*3/13,0)+0.99),'Tax scales - NAT 3539'!$A$127:$C$154,3,1)),0)
*13/3,
0),
""))),
""),
"")</f>
        <v/>
      </c>
      <c r="AZ600" s="118">
        <f>IFERROR(
HLOOKUP(VLOOKUP($C600,'Employee information'!$B:$M,COLUMNS('Employee information'!$B:$M),0),'PAYG worksheet'!$AO$590:$AY$609,COUNTA($C$591:$C600)+1,0),
0)</f>
        <v>0</v>
      </c>
      <c r="BA600" s="118"/>
      <c r="BB600" s="118">
        <f t="shared" si="635"/>
        <v>0</v>
      </c>
      <c r="BC600" s="119">
        <f>IFERROR(
IF(OR($AE600=1,$AE600=""),SUM($P600,$AA600,$AC600,$AK600)*VLOOKUP($C600,'Employee information'!$B:$Q,COLUMNS('Employee information'!$B:$H),0),
IF($AE600=0,SUM($P600,$AA600,$AK600)*VLOOKUP($C600,'Employee information'!$B:$Q,COLUMNS('Employee information'!$B:$H),0),
0)),
0)</f>
        <v>0</v>
      </c>
      <c r="BE600" s="114">
        <f t="shared" si="620"/>
        <v>0</v>
      </c>
      <c r="BF600" s="114">
        <f t="shared" si="621"/>
        <v>0</v>
      </c>
      <c r="BG600" s="114">
        <f t="shared" si="622"/>
        <v>0</v>
      </c>
      <c r="BH600" s="114">
        <f t="shared" si="623"/>
        <v>0</v>
      </c>
      <c r="BI600" s="114">
        <f t="shared" si="624"/>
        <v>0</v>
      </c>
      <c r="BJ600" s="114">
        <f t="shared" si="625"/>
        <v>0</v>
      </c>
      <c r="BK600" s="114">
        <f t="shared" si="626"/>
        <v>0</v>
      </c>
      <c r="BL600" s="114">
        <f t="shared" si="636"/>
        <v>0</v>
      </c>
      <c r="BM600" s="114">
        <f t="shared" si="627"/>
        <v>0</v>
      </c>
    </row>
    <row r="601" spans="1:65" x14ac:dyDescent="0.25">
      <c r="A601" s="228">
        <f t="shared" si="615"/>
        <v>21</v>
      </c>
      <c r="C601" s="278"/>
      <c r="E601" s="103">
        <f>IF($C601="",0,
IF(AND($E$2="Monthly",$A601&gt;12),0,
IF($E$2="Monthly",VLOOKUP($C601,'Employee information'!$B:$AM,COLUMNS('Employee information'!$B:S),0),
IF($E$2="Fortnightly",VLOOKUP($C601,'Employee information'!$B:$AM,COLUMNS('Employee information'!$B:R),0),
0))))</f>
        <v>0</v>
      </c>
      <c r="F601" s="106"/>
      <c r="G601" s="106"/>
      <c r="H601" s="106"/>
      <c r="I601" s="106"/>
      <c r="J601" s="103">
        <f t="shared" si="628"/>
        <v>0</v>
      </c>
      <c r="L601" s="113">
        <f>IF(AND($E$2="Monthly",$A601&gt;12),"",
IFERROR($J601*VLOOKUP($C601,'Employee information'!$B:$AI,COLUMNS('Employee information'!$B:$P),0),0))</f>
        <v>0</v>
      </c>
      <c r="M601" s="114">
        <f t="shared" si="629"/>
        <v>0</v>
      </c>
      <c r="O601" s="103">
        <f t="shared" si="630"/>
        <v>0</v>
      </c>
      <c r="P601" s="113">
        <f>IFERROR(
IF(AND($E$2="Monthly",$A601&gt;12),0,
$O601*VLOOKUP($C601,'Employee information'!$B:$AI,COLUMNS('Employee information'!$B:$P),0)),
0)</f>
        <v>0</v>
      </c>
      <c r="R601" s="114">
        <f t="shared" si="616"/>
        <v>0</v>
      </c>
      <c r="T601" s="103"/>
      <c r="U601" s="103"/>
      <c r="V601" s="282" t="str">
        <f>IF($C601="","",
IF(AND($E$2="Monthly",$A601&gt;12),"",
$T601*VLOOKUP($C601,'Employee information'!$B:$P,COLUMNS('Employee information'!$B:$P),0)))</f>
        <v/>
      </c>
      <c r="W601" s="282" t="str">
        <f>IF($C601="","",
IF(AND($E$2="Monthly",$A601&gt;12),"",
$U601*VLOOKUP($C601,'Employee information'!$B:$P,COLUMNS('Employee information'!$B:$P),0)))</f>
        <v/>
      </c>
      <c r="X601" s="114">
        <f t="shared" si="617"/>
        <v>0</v>
      </c>
      <c r="Y601" s="114">
        <f t="shared" si="618"/>
        <v>0</v>
      </c>
      <c r="AA601" s="118">
        <f>IFERROR(
IF(OR('Basic payroll data'!$D$12="",'Basic payroll data'!$D$12="No"),0,
$T601*VLOOKUP($C601,'Employee information'!$B:$P,COLUMNS('Employee information'!$B:$P),0)*AL_loading_perc),
0)</f>
        <v>0</v>
      </c>
      <c r="AC601" s="118"/>
      <c r="AD601" s="118"/>
      <c r="AE601" s="283" t="str">
        <f t="shared" si="631"/>
        <v/>
      </c>
      <c r="AF601" s="283" t="str">
        <f t="shared" si="632"/>
        <v/>
      </c>
      <c r="AG601" s="118"/>
      <c r="AH601" s="118"/>
      <c r="AI601" s="283" t="str">
        <f t="shared" si="633"/>
        <v/>
      </c>
      <c r="AJ601" s="118"/>
      <c r="AK601" s="118"/>
      <c r="AM601" s="118">
        <f t="shared" si="634"/>
        <v>0</v>
      </c>
      <c r="AN601" s="118">
        <f t="shared" si="619"/>
        <v>0</v>
      </c>
      <c r="AO601" s="118" t="str">
        <f>IFERROR(
IF(VLOOKUP($C601,'Employee information'!$B:$M,COLUMNS('Employee information'!$B:$M),0)=1,
IF($E$2="Fortnightly",
ROUND(
ROUND((((TRUNC($AN601/2,0)+0.99))*VLOOKUP((TRUNC($AN601/2,0)+0.99),'Tax scales - NAT 1004'!$A$12:$C$18,2,1)-VLOOKUP((TRUNC($AN601/2,0)+0.99),'Tax scales - NAT 1004'!$A$12:$C$18,3,1)),0)
*2,
0),
IF(AND($E$2="Monthly",ROUND($AN601-TRUNC($AN601),2)=0.33),
ROUND(
ROUND(((TRUNC(($AN601+0.01)*3/13,0)+0.99)*VLOOKUP((TRUNC(($AN601+0.01)*3/13,0)+0.99),'Tax scales - NAT 1004'!$A$12:$C$18,2,1)-VLOOKUP((TRUNC(($AN601+0.01)*3/13,0)+0.99),'Tax scales - NAT 1004'!$A$12:$C$18,3,1)),0)
*13/3,
0),
IF($E$2="Monthly",
ROUND(
ROUND(((TRUNC($AN601*3/13,0)+0.99)*VLOOKUP((TRUNC($AN601*3/13,0)+0.99),'Tax scales - NAT 1004'!$A$12:$C$18,2,1)-VLOOKUP((TRUNC($AN601*3/13,0)+0.99),'Tax scales - NAT 1004'!$A$12:$C$18,3,1)),0)
*13/3,
0),
""))),
""),
"")</f>
        <v/>
      </c>
      <c r="AP601" s="118" t="str">
        <f>IFERROR(
IF(VLOOKUP($C601,'Employee information'!$B:$M,COLUMNS('Employee information'!$B:$M),0)=2,
IF($E$2="Fortnightly",
ROUND(
ROUND((((TRUNC($AN601/2,0)+0.99))*VLOOKUP((TRUNC($AN601/2,0)+0.99),'Tax scales - NAT 1004'!$A$25:$C$33,2,1)-VLOOKUP((TRUNC($AN601/2,0)+0.99),'Tax scales - NAT 1004'!$A$25:$C$33,3,1)),0)
*2,
0),
IF(AND($E$2="Monthly",ROUND($AN601-TRUNC($AN601),2)=0.33),
ROUND(
ROUND(((TRUNC(($AN601+0.01)*3/13,0)+0.99)*VLOOKUP((TRUNC(($AN601+0.01)*3/13,0)+0.99),'Tax scales - NAT 1004'!$A$25:$C$33,2,1)-VLOOKUP((TRUNC(($AN601+0.01)*3/13,0)+0.99),'Tax scales - NAT 1004'!$A$25:$C$33,3,1)),0)
*13/3,
0),
IF($E$2="Monthly",
ROUND(
ROUND(((TRUNC($AN601*3/13,0)+0.99)*VLOOKUP((TRUNC($AN601*3/13,0)+0.99),'Tax scales - NAT 1004'!$A$25:$C$33,2,1)-VLOOKUP((TRUNC($AN601*3/13,0)+0.99),'Tax scales - NAT 1004'!$A$25:$C$33,3,1)),0)
*13/3,
0),
""))),
""),
"")</f>
        <v/>
      </c>
      <c r="AQ601" s="118" t="str">
        <f>IFERROR(
IF(VLOOKUP($C601,'Employee information'!$B:$M,COLUMNS('Employee information'!$B:$M),0)=3,
IF($E$2="Fortnightly",
ROUND(
ROUND((((TRUNC($AN601/2,0)+0.99))*VLOOKUP((TRUNC($AN601/2,0)+0.99),'Tax scales - NAT 1004'!$A$39:$C$41,2,1)-VLOOKUP((TRUNC($AN601/2,0)+0.99),'Tax scales - NAT 1004'!$A$39:$C$41,3,1)),0)
*2,
0),
IF(AND($E$2="Monthly",ROUND($AN601-TRUNC($AN601),2)=0.33),
ROUND(
ROUND(((TRUNC(($AN601+0.01)*3/13,0)+0.99)*VLOOKUP((TRUNC(($AN601+0.01)*3/13,0)+0.99),'Tax scales - NAT 1004'!$A$39:$C$41,2,1)-VLOOKUP((TRUNC(($AN601+0.01)*3/13,0)+0.99),'Tax scales - NAT 1004'!$A$39:$C$41,3,1)),0)
*13/3,
0),
IF($E$2="Monthly",
ROUND(
ROUND(((TRUNC($AN601*3/13,0)+0.99)*VLOOKUP((TRUNC($AN601*3/13,0)+0.99),'Tax scales - NAT 1004'!$A$39:$C$41,2,1)-VLOOKUP((TRUNC($AN601*3/13,0)+0.99),'Tax scales - NAT 1004'!$A$39:$C$41,3,1)),0)
*13/3,
0),
""))),
""),
"")</f>
        <v/>
      </c>
      <c r="AR601" s="118" t="str">
        <f>IFERROR(
IF(AND(VLOOKUP($C601,'Employee information'!$B:$M,COLUMNS('Employee information'!$B:$M),0)=4,
VLOOKUP($C601,'Employee information'!$B:$J,COLUMNS('Employee information'!$B:$J),0)="Resident"),
TRUNC(TRUNC($AN601)*'Tax scales - NAT 1004'!$B$47),
IF(AND(VLOOKUP($C601,'Employee information'!$B:$M,COLUMNS('Employee information'!$B:$M),0)=4,
VLOOKUP($C601,'Employee information'!$B:$J,COLUMNS('Employee information'!$B:$J),0)="Foreign resident"),
TRUNC(TRUNC($AN601)*'Tax scales - NAT 1004'!$B$48),
"")),
"")</f>
        <v/>
      </c>
      <c r="AS601" s="118" t="str">
        <f>IFERROR(
IF(VLOOKUP($C601,'Employee information'!$B:$M,COLUMNS('Employee information'!$B:$M),0)=5,
IF($E$2="Fortnightly",
ROUND(
ROUND((((TRUNC($AN601/2,0)+0.99))*VLOOKUP((TRUNC($AN601/2,0)+0.99),'Tax scales - NAT 1004'!$A$53:$C$59,2,1)-VLOOKUP((TRUNC($AN601/2,0)+0.99),'Tax scales - NAT 1004'!$A$53:$C$59,3,1)),0)
*2,
0),
IF(AND($E$2="Monthly",ROUND($AN601-TRUNC($AN601),2)=0.33),
ROUND(
ROUND(((TRUNC(($AN601+0.01)*3/13,0)+0.99)*VLOOKUP((TRUNC(($AN601+0.01)*3/13,0)+0.99),'Tax scales - NAT 1004'!$A$53:$C$59,2,1)-VLOOKUP((TRUNC(($AN601+0.01)*3/13,0)+0.99),'Tax scales - NAT 1004'!$A$53:$C$59,3,1)),0)
*13/3,
0),
IF($E$2="Monthly",
ROUND(
ROUND(((TRUNC($AN601*3/13,0)+0.99)*VLOOKUP((TRUNC($AN601*3/13,0)+0.99),'Tax scales - NAT 1004'!$A$53:$C$59,2,1)-VLOOKUP((TRUNC($AN601*3/13,0)+0.99),'Tax scales - NAT 1004'!$A$53:$C$59,3,1)),0)
*13/3,
0),
""))),
""),
"")</f>
        <v/>
      </c>
      <c r="AT601" s="118" t="str">
        <f>IFERROR(
IF(VLOOKUP($C601,'Employee information'!$B:$M,COLUMNS('Employee information'!$B:$M),0)=6,
IF($E$2="Fortnightly",
ROUND(
ROUND((((TRUNC($AN601/2,0)+0.99))*VLOOKUP((TRUNC($AN601/2,0)+0.99),'Tax scales - NAT 1004'!$A$65:$C$73,2,1)-VLOOKUP((TRUNC($AN601/2,0)+0.99),'Tax scales - NAT 1004'!$A$65:$C$73,3,1)),0)
*2,
0),
IF(AND($E$2="Monthly",ROUND($AN601-TRUNC($AN601),2)=0.33),
ROUND(
ROUND(((TRUNC(($AN601+0.01)*3/13,0)+0.99)*VLOOKUP((TRUNC(($AN601+0.01)*3/13,0)+0.99),'Tax scales - NAT 1004'!$A$65:$C$73,2,1)-VLOOKUP((TRUNC(($AN601+0.01)*3/13,0)+0.99),'Tax scales - NAT 1004'!$A$65:$C$73,3,1)),0)
*13/3,
0),
IF($E$2="Monthly",
ROUND(
ROUND(((TRUNC($AN601*3/13,0)+0.99)*VLOOKUP((TRUNC($AN601*3/13,0)+0.99),'Tax scales - NAT 1004'!$A$65:$C$73,2,1)-VLOOKUP((TRUNC($AN601*3/13,0)+0.99),'Tax scales - NAT 1004'!$A$65:$C$73,3,1)),0)
*13/3,
0),
""))),
""),
"")</f>
        <v/>
      </c>
      <c r="AU601" s="118" t="str">
        <f>IFERROR(
IF(VLOOKUP($C601,'Employee information'!$B:$M,COLUMNS('Employee information'!$B:$M),0)=11,
IF($E$2="Fortnightly",
ROUND(
ROUND((((TRUNC($AN601/2,0)+0.99))*VLOOKUP((TRUNC($AN601/2,0)+0.99),'Tax scales - NAT 3539'!$A$14:$C$38,2,1)-VLOOKUP((TRUNC($AN601/2,0)+0.99),'Tax scales - NAT 3539'!$A$14:$C$38,3,1)),0)
*2,
0),
IF(AND($E$2="Monthly",ROUND($AN601-TRUNC($AN601),2)=0.33),
ROUND(
ROUND(((TRUNC(($AN601+0.01)*3/13,0)+0.99)*VLOOKUP((TRUNC(($AN601+0.01)*3/13,0)+0.99),'Tax scales - NAT 3539'!$A$14:$C$38,2,1)-VLOOKUP((TRUNC(($AN601+0.01)*3/13,0)+0.99),'Tax scales - NAT 3539'!$A$14:$C$38,3,1)),0)
*13/3,
0),
IF($E$2="Monthly",
ROUND(
ROUND(((TRUNC($AN601*3/13,0)+0.99)*VLOOKUP((TRUNC($AN601*3/13,0)+0.99),'Tax scales - NAT 3539'!$A$14:$C$38,2,1)-VLOOKUP((TRUNC($AN601*3/13,0)+0.99),'Tax scales - NAT 3539'!$A$14:$C$38,3,1)),0)
*13/3,
0),
""))),
""),
"")</f>
        <v/>
      </c>
      <c r="AV601" s="118" t="str">
        <f>IFERROR(
IF(VLOOKUP($C601,'Employee information'!$B:$M,COLUMNS('Employee information'!$B:$M),0)=22,
IF($E$2="Fortnightly",
ROUND(
ROUND((((TRUNC($AN601/2,0)+0.99))*VLOOKUP((TRUNC($AN601/2,0)+0.99),'Tax scales - NAT 3539'!$A$43:$C$69,2,1)-VLOOKUP((TRUNC($AN601/2,0)+0.99),'Tax scales - NAT 3539'!$A$43:$C$69,3,1)),0)
*2,
0),
IF(AND($E$2="Monthly",ROUND($AN601-TRUNC($AN601),2)=0.33),
ROUND(
ROUND(((TRUNC(($AN601+0.01)*3/13,0)+0.99)*VLOOKUP((TRUNC(($AN601+0.01)*3/13,0)+0.99),'Tax scales - NAT 3539'!$A$43:$C$69,2,1)-VLOOKUP((TRUNC(($AN601+0.01)*3/13,0)+0.99),'Tax scales - NAT 3539'!$A$43:$C$69,3,1)),0)
*13/3,
0),
IF($E$2="Monthly",
ROUND(
ROUND(((TRUNC($AN601*3/13,0)+0.99)*VLOOKUP((TRUNC($AN601*3/13,0)+0.99),'Tax scales - NAT 3539'!$A$43:$C$69,2,1)-VLOOKUP((TRUNC($AN601*3/13,0)+0.99),'Tax scales - NAT 3539'!$A$43:$C$69,3,1)),0)
*13/3,
0),
""))),
""),
"")</f>
        <v/>
      </c>
      <c r="AW601" s="118" t="str">
        <f>IFERROR(
IF(VLOOKUP($C601,'Employee information'!$B:$M,COLUMNS('Employee information'!$B:$M),0)=33,
IF($E$2="Fortnightly",
ROUND(
ROUND((((TRUNC($AN601/2,0)+0.99))*VLOOKUP((TRUNC($AN601/2,0)+0.99),'Tax scales - NAT 3539'!$A$74:$C$94,2,1)-VLOOKUP((TRUNC($AN601/2,0)+0.99),'Tax scales - NAT 3539'!$A$74:$C$94,3,1)),0)
*2,
0),
IF(AND($E$2="Monthly",ROUND($AN601-TRUNC($AN601),2)=0.33),
ROUND(
ROUND(((TRUNC(($AN601+0.01)*3/13,0)+0.99)*VLOOKUP((TRUNC(($AN601+0.01)*3/13,0)+0.99),'Tax scales - NAT 3539'!$A$74:$C$94,2,1)-VLOOKUP((TRUNC(($AN601+0.01)*3/13,0)+0.99),'Tax scales - NAT 3539'!$A$74:$C$94,3,1)),0)
*13/3,
0),
IF($E$2="Monthly",
ROUND(
ROUND(((TRUNC($AN601*3/13,0)+0.99)*VLOOKUP((TRUNC($AN601*3/13,0)+0.99),'Tax scales - NAT 3539'!$A$74:$C$94,2,1)-VLOOKUP((TRUNC($AN601*3/13,0)+0.99),'Tax scales - NAT 3539'!$A$74:$C$94,3,1)),0)
*13/3,
0),
""))),
""),
"")</f>
        <v/>
      </c>
      <c r="AX601" s="118" t="str">
        <f>IFERROR(
IF(VLOOKUP($C601,'Employee information'!$B:$M,COLUMNS('Employee information'!$B:$M),0)=55,
IF($E$2="Fortnightly",
ROUND(
ROUND((((TRUNC($AN601/2,0)+0.99))*VLOOKUP((TRUNC($AN601/2,0)+0.99),'Tax scales - NAT 3539'!$A$99:$C$123,2,1)-VLOOKUP((TRUNC($AN601/2,0)+0.99),'Tax scales - NAT 3539'!$A$99:$C$123,3,1)),0)
*2,
0),
IF(AND($E$2="Monthly",ROUND($AN601-TRUNC($AN601),2)=0.33),
ROUND(
ROUND(((TRUNC(($AN601+0.01)*3/13,0)+0.99)*VLOOKUP((TRUNC(($AN601+0.01)*3/13,0)+0.99),'Tax scales - NAT 3539'!$A$99:$C$123,2,1)-VLOOKUP((TRUNC(($AN601+0.01)*3/13,0)+0.99),'Tax scales - NAT 3539'!$A$99:$C$123,3,1)),0)
*13/3,
0),
IF($E$2="Monthly",
ROUND(
ROUND(((TRUNC($AN601*3/13,0)+0.99)*VLOOKUP((TRUNC($AN601*3/13,0)+0.99),'Tax scales - NAT 3539'!$A$99:$C$123,2,1)-VLOOKUP((TRUNC($AN601*3/13,0)+0.99),'Tax scales - NAT 3539'!$A$99:$C$123,3,1)),0)
*13/3,
0),
""))),
""),
"")</f>
        <v/>
      </c>
      <c r="AY601" s="118" t="str">
        <f>IFERROR(
IF(VLOOKUP($C601,'Employee information'!$B:$M,COLUMNS('Employee information'!$B:$M),0)=66,
IF($E$2="Fortnightly",
ROUND(
ROUND((((TRUNC($AN601/2,0)+0.99))*VLOOKUP((TRUNC($AN601/2,0)+0.99),'Tax scales - NAT 3539'!$A$127:$C$154,2,1)-VLOOKUP((TRUNC($AN601/2,0)+0.99),'Tax scales - NAT 3539'!$A$127:$C$154,3,1)),0)
*2,
0),
IF(AND($E$2="Monthly",ROUND($AN601-TRUNC($AN601),2)=0.33),
ROUND(
ROUND(((TRUNC(($AN601+0.01)*3/13,0)+0.99)*VLOOKUP((TRUNC(($AN601+0.01)*3/13,0)+0.99),'Tax scales - NAT 3539'!$A$127:$C$154,2,1)-VLOOKUP((TRUNC(($AN601+0.01)*3/13,0)+0.99),'Tax scales - NAT 3539'!$A$127:$C$154,3,1)),0)
*13/3,
0),
IF($E$2="Monthly",
ROUND(
ROUND(((TRUNC($AN601*3/13,0)+0.99)*VLOOKUP((TRUNC($AN601*3/13,0)+0.99),'Tax scales - NAT 3539'!$A$127:$C$154,2,1)-VLOOKUP((TRUNC($AN601*3/13,0)+0.99),'Tax scales - NAT 3539'!$A$127:$C$154,3,1)),0)
*13/3,
0),
""))),
""),
"")</f>
        <v/>
      </c>
      <c r="AZ601" s="118">
        <f>IFERROR(
HLOOKUP(VLOOKUP($C601,'Employee information'!$B:$M,COLUMNS('Employee information'!$B:$M),0),'PAYG worksheet'!$AO$590:$AY$609,COUNTA($C$591:$C601)+1,0),
0)</f>
        <v>0</v>
      </c>
      <c r="BA601" s="118"/>
      <c r="BB601" s="118">
        <f t="shared" si="635"/>
        <v>0</v>
      </c>
      <c r="BC601" s="119">
        <f>IFERROR(
IF(OR($AE601=1,$AE601=""),SUM($P601,$AA601,$AC601,$AK601)*VLOOKUP($C601,'Employee information'!$B:$Q,COLUMNS('Employee information'!$B:$H),0),
IF($AE601=0,SUM($P601,$AA601,$AK601)*VLOOKUP($C601,'Employee information'!$B:$Q,COLUMNS('Employee information'!$B:$H),0),
0)),
0)</f>
        <v>0</v>
      </c>
      <c r="BE601" s="114">
        <f t="shared" si="620"/>
        <v>0</v>
      </c>
      <c r="BF601" s="114">
        <f t="shared" si="621"/>
        <v>0</v>
      </c>
      <c r="BG601" s="114">
        <f t="shared" si="622"/>
        <v>0</v>
      </c>
      <c r="BH601" s="114">
        <f t="shared" si="623"/>
        <v>0</v>
      </c>
      <c r="BI601" s="114">
        <f t="shared" si="624"/>
        <v>0</v>
      </c>
      <c r="BJ601" s="114">
        <f t="shared" si="625"/>
        <v>0</v>
      </c>
      <c r="BK601" s="114">
        <f t="shared" si="626"/>
        <v>0</v>
      </c>
      <c r="BL601" s="114">
        <f t="shared" si="636"/>
        <v>0</v>
      </c>
      <c r="BM601" s="114">
        <f t="shared" si="627"/>
        <v>0</v>
      </c>
    </row>
    <row r="602" spans="1:65" x14ac:dyDescent="0.25">
      <c r="A602" s="228">
        <f t="shared" si="615"/>
        <v>21</v>
      </c>
      <c r="C602" s="278"/>
      <c r="E602" s="103">
        <f>IF($C602="",0,
IF(AND($E$2="Monthly",$A602&gt;12),0,
IF($E$2="Monthly",VLOOKUP($C602,'Employee information'!$B:$AM,COLUMNS('Employee information'!$B:S),0),
IF($E$2="Fortnightly",VLOOKUP($C602,'Employee information'!$B:$AM,COLUMNS('Employee information'!$B:R),0),
0))))</f>
        <v>0</v>
      </c>
      <c r="F602" s="106"/>
      <c r="G602" s="106"/>
      <c r="H602" s="106"/>
      <c r="I602" s="106"/>
      <c r="J602" s="103">
        <f t="shared" si="628"/>
        <v>0</v>
      </c>
      <c r="L602" s="113">
        <f>IF(AND($E$2="Monthly",$A602&gt;12),"",
IFERROR($J602*VLOOKUP($C602,'Employee information'!$B:$AI,COLUMNS('Employee information'!$B:$P),0),0))</f>
        <v>0</v>
      </c>
      <c r="M602" s="114">
        <f t="shared" si="629"/>
        <v>0</v>
      </c>
      <c r="O602" s="103">
        <f t="shared" si="630"/>
        <v>0</v>
      </c>
      <c r="P602" s="113">
        <f>IFERROR(
IF(AND($E$2="Monthly",$A602&gt;12),0,
$O602*VLOOKUP($C602,'Employee information'!$B:$AI,COLUMNS('Employee information'!$B:$P),0)),
0)</f>
        <v>0</v>
      </c>
      <c r="R602" s="114">
        <f t="shared" si="616"/>
        <v>0</v>
      </c>
      <c r="T602" s="103"/>
      <c r="U602" s="103"/>
      <c r="V602" s="282" t="str">
        <f>IF($C602="","",
IF(AND($E$2="Monthly",$A602&gt;12),"",
$T602*VLOOKUP($C602,'Employee information'!$B:$P,COLUMNS('Employee information'!$B:$P),0)))</f>
        <v/>
      </c>
      <c r="W602" s="282" t="str">
        <f>IF($C602="","",
IF(AND($E$2="Monthly",$A602&gt;12),"",
$U602*VLOOKUP($C602,'Employee information'!$B:$P,COLUMNS('Employee information'!$B:$P),0)))</f>
        <v/>
      </c>
      <c r="X602" s="114">
        <f t="shared" si="617"/>
        <v>0</v>
      </c>
      <c r="Y602" s="114">
        <f t="shared" si="618"/>
        <v>0</v>
      </c>
      <c r="AA602" s="118">
        <f>IFERROR(
IF(OR('Basic payroll data'!$D$12="",'Basic payroll data'!$D$12="No"),0,
$T602*VLOOKUP($C602,'Employee information'!$B:$P,COLUMNS('Employee information'!$B:$P),0)*AL_loading_perc),
0)</f>
        <v>0</v>
      </c>
      <c r="AC602" s="118"/>
      <c r="AD602" s="118"/>
      <c r="AE602" s="283" t="str">
        <f t="shared" si="631"/>
        <v/>
      </c>
      <c r="AF602" s="283" t="str">
        <f t="shared" si="632"/>
        <v/>
      </c>
      <c r="AG602" s="118"/>
      <c r="AH602" s="118"/>
      <c r="AI602" s="283" t="str">
        <f t="shared" si="633"/>
        <v/>
      </c>
      <c r="AJ602" s="118"/>
      <c r="AK602" s="118"/>
      <c r="AM602" s="118">
        <f t="shared" si="634"/>
        <v>0</v>
      </c>
      <c r="AN602" s="118">
        <f t="shared" si="619"/>
        <v>0</v>
      </c>
      <c r="AO602" s="118" t="str">
        <f>IFERROR(
IF(VLOOKUP($C602,'Employee information'!$B:$M,COLUMNS('Employee information'!$B:$M),0)=1,
IF($E$2="Fortnightly",
ROUND(
ROUND((((TRUNC($AN602/2,0)+0.99))*VLOOKUP((TRUNC($AN602/2,0)+0.99),'Tax scales - NAT 1004'!$A$12:$C$18,2,1)-VLOOKUP((TRUNC($AN602/2,0)+0.99),'Tax scales - NAT 1004'!$A$12:$C$18,3,1)),0)
*2,
0),
IF(AND($E$2="Monthly",ROUND($AN602-TRUNC($AN602),2)=0.33),
ROUND(
ROUND(((TRUNC(($AN602+0.01)*3/13,0)+0.99)*VLOOKUP((TRUNC(($AN602+0.01)*3/13,0)+0.99),'Tax scales - NAT 1004'!$A$12:$C$18,2,1)-VLOOKUP((TRUNC(($AN602+0.01)*3/13,0)+0.99),'Tax scales - NAT 1004'!$A$12:$C$18,3,1)),0)
*13/3,
0),
IF($E$2="Monthly",
ROUND(
ROUND(((TRUNC($AN602*3/13,0)+0.99)*VLOOKUP((TRUNC($AN602*3/13,0)+0.99),'Tax scales - NAT 1004'!$A$12:$C$18,2,1)-VLOOKUP((TRUNC($AN602*3/13,0)+0.99),'Tax scales - NAT 1004'!$A$12:$C$18,3,1)),0)
*13/3,
0),
""))),
""),
"")</f>
        <v/>
      </c>
      <c r="AP602" s="118" t="str">
        <f>IFERROR(
IF(VLOOKUP($C602,'Employee information'!$B:$M,COLUMNS('Employee information'!$B:$M),0)=2,
IF($E$2="Fortnightly",
ROUND(
ROUND((((TRUNC($AN602/2,0)+0.99))*VLOOKUP((TRUNC($AN602/2,0)+0.99),'Tax scales - NAT 1004'!$A$25:$C$33,2,1)-VLOOKUP((TRUNC($AN602/2,0)+0.99),'Tax scales - NAT 1004'!$A$25:$C$33,3,1)),0)
*2,
0),
IF(AND($E$2="Monthly",ROUND($AN602-TRUNC($AN602),2)=0.33),
ROUND(
ROUND(((TRUNC(($AN602+0.01)*3/13,0)+0.99)*VLOOKUP((TRUNC(($AN602+0.01)*3/13,0)+0.99),'Tax scales - NAT 1004'!$A$25:$C$33,2,1)-VLOOKUP((TRUNC(($AN602+0.01)*3/13,0)+0.99),'Tax scales - NAT 1004'!$A$25:$C$33,3,1)),0)
*13/3,
0),
IF($E$2="Monthly",
ROUND(
ROUND(((TRUNC($AN602*3/13,0)+0.99)*VLOOKUP((TRUNC($AN602*3/13,0)+0.99),'Tax scales - NAT 1004'!$A$25:$C$33,2,1)-VLOOKUP((TRUNC($AN602*3/13,0)+0.99),'Tax scales - NAT 1004'!$A$25:$C$33,3,1)),0)
*13/3,
0),
""))),
""),
"")</f>
        <v/>
      </c>
      <c r="AQ602" s="118" t="str">
        <f>IFERROR(
IF(VLOOKUP($C602,'Employee information'!$B:$M,COLUMNS('Employee information'!$B:$M),0)=3,
IF($E$2="Fortnightly",
ROUND(
ROUND((((TRUNC($AN602/2,0)+0.99))*VLOOKUP((TRUNC($AN602/2,0)+0.99),'Tax scales - NAT 1004'!$A$39:$C$41,2,1)-VLOOKUP((TRUNC($AN602/2,0)+0.99),'Tax scales - NAT 1004'!$A$39:$C$41,3,1)),0)
*2,
0),
IF(AND($E$2="Monthly",ROUND($AN602-TRUNC($AN602),2)=0.33),
ROUND(
ROUND(((TRUNC(($AN602+0.01)*3/13,0)+0.99)*VLOOKUP((TRUNC(($AN602+0.01)*3/13,0)+0.99),'Tax scales - NAT 1004'!$A$39:$C$41,2,1)-VLOOKUP((TRUNC(($AN602+0.01)*3/13,0)+0.99),'Tax scales - NAT 1004'!$A$39:$C$41,3,1)),0)
*13/3,
0),
IF($E$2="Monthly",
ROUND(
ROUND(((TRUNC($AN602*3/13,0)+0.99)*VLOOKUP((TRUNC($AN602*3/13,0)+0.99),'Tax scales - NAT 1004'!$A$39:$C$41,2,1)-VLOOKUP((TRUNC($AN602*3/13,0)+0.99),'Tax scales - NAT 1004'!$A$39:$C$41,3,1)),0)
*13/3,
0),
""))),
""),
"")</f>
        <v/>
      </c>
      <c r="AR602" s="118" t="str">
        <f>IFERROR(
IF(AND(VLOOKUP($C602,'Employee information'!$B:$M,COLUMNS('Employee information'!$B:$M),0)=4,
VLOOKUP($C602,'Employee information'!$B:$J,COLUMNS('Employee information'!$B:$J),0)="Resident"),
TRUNC(TRUNC($AN602)*'Tax scales - NAT 1004'!$B$47),
IF(AND(VLOOKUP($C602,'Employee information'!$B:$M,COLUMNS('Employee information'!$B:$M),0)=4,
VLOOKUP($C602,'Employee information'!$B:$J,COLUMNS('Employee information'!$B:$J),0)="Foreign resident"),
TRUNC(TRUNC($AN602)*'Tax scales - NAT 1004'!$B$48),
"")),
"")</f>
        <v/>
      </c>
      <c r="AS602" s="118" t="str">
        <f>IFERROR(
IF(VLOOKUP($C602,'Employee information'!$B:$M,COLUMNS('Employee information'!$B:$M),0)=5,
IF($E$2="Fortnightly",
ROUND(
ROUND((((TRUNC($AN602/2,0)+0.99))*VLOOKUP((TRUNC($AN602/2,0)+0.99),'Tax scales - NAT 1004'!$A$53:$C$59,2,1)-VLOOKUP((TRUNC($AN602/2,0)+0.99),'Tax scales - NAT 1004'!$A$53:$C$59,3,1)),0)
*2,
0),
IF(AND($E$2="Monthly",ROUND($AN602-TRUNC($AN602),2)=0.33),
ROUND(
ROUND(((TRUNC(($AN602+0.01)*3/13,0)+0.99)*VLOOKUP((TRUNC(($AN602+0.01)*3/13,0)+0.99),'Tax scales - NAT 1004'!$A$53:$C$59,2,1)-VLOOKUP((TRUNC(($AN602+0.01)*3/13,0)+0.99),'Tax scales - NAT 1004'!$A$53:$C$59,3,1)),0)
*13/3,
0),
IF($E$2="Monthly",
ROUND(
ROUND(((TRUNC($AN602*3/13,0)+0.99)*VLOOKUP((TRUNC($AN602*3/13,0)+0.99),'Tax scales - NAT 1004'!$A$53:$C$59,2,1)-VLOOKUP((TRUNC($AN602*3/13,0)+0.99),'Tax scales - NAT 1004'!$A$53:$C$59,3,1)),0)
*13/3,
0),
""))),
""),
"")</f>
        <v/>
      </c>
      <c r="AT602" s="118" t="str">
        <f>IFERROR(
IF(VLOOKUP($C602,'Employee information'!$B:$M,COLUMNS('Employee information'!$B:$M),0)=6,
IF($E$2="Fortnightly",
ROUND(
ROUND((((TRUNC($AN602/2,0)+0.99))*VLOOKUP((TRUNC($AN602/2,0)+0.99),'Tax scales - NAT 1004'!$A$65:$C$73,2,1)-VLOOKUP((TRUNC($AN602/2,0)+0.99),'Tax scales - NAT 1004'!$A$65:$C$73,3,1)),0)
*2,
0),
IF(AND($E$2="Monthly",ROUND($AN602-TRUNC($AN602),2)=0.33),
ROUND(
ROUND(((TRUNC(($AN602+0.01)*3/13,0)+0.99)*VLOOKUP((TRUNC(($AN602+0.01)*3/13,0)+0.99),'Tax scales - NAT 1004'!$A$65:$C$73,2,1)-VLOOKUP((TRUNC(($AN602+0.01)*3/13,0)+0.99),'Tax scales - NAT 1004'!$A$65:$C$73,3,1)),0)
*13/3,
0),
IF($E$2="Monthly",
ROUND(
ROUND(((TRUNC($AN602*3/13,0)+0.99)*VLOOKUP((TRUNC($AN602*3/13,0)+0.99),'Tax scales - NAT 1004'!$A$65:$C$73,2,1)-VLOOKUP((TRUNC($AN602*3/13,0)+0.99),'Tax scales - NAT 1004'!$A$65:$C$73,3,1)),0)
*13/3,
0),
""))),
""),
"")</f>
        <v/>
      </c>
      <c r="AU602" s="118" t="str">
        <f>IFERROR(
IF(VLOOKUP($C602,'Employee information'!$B:$M,COLUMNS('Employee information'!$B:$M),0)=11,
IF($E$2="Fortnightly",
ROUND(
ROUND((((TRUNC($AN602/2,0)+0.99))*VLOOKUP((TRUNC($AN602/2,0)+0.99),'Tax scales - NAT 3539'!$A$14:$C$38,2,1)-VLOOKUP((TRUNC($AN602/2,0)+0.99),'Tax scales - NAT 3539'!$A$14:$C$38,3,1)),0)
*2,
0),
IF(AND($E$2="Monthly",ROUND($AN602-TRUNC($AN602),2)=0.33),
ROUND(
ROUND(((TRUNC(($AN602+0.01)*3/13,0)+0.99)*VLOOKUP((TRUNC(($AN602+0.01)*3/13,0)+0.99),'Tax scales - NAT 3539'!$A$14:$C$38,2,1)-VLOOKUP((TRUNC(($AN602+0.01)*3/13,0)+0.99),'Tax scales - NAT 3539'!$A$14:$C$38,3,1)),0)
*13/3,
0),
IF($E$2="Monthly",
ROUND(
ROUND(((TRUNC($AN602*3/13,0)+0.99)*VLOOKUP((TRUNC($AN602*3/13,0)+0.99),'Tax scales - NAT 3539'!$A$14:$C$38,2,1)-VLOOKUP((TRUNC($AN602*3/13,0)+0.99),'Tax scales - NAT 3539'!$A$14:$C$38,3,1)),0)
*13/3,
0),
""))),
""),
"")</f>
        <v/>
      </c>
      <c r="AV602" s="118" t="str">
        <f>IFERROR(
IF(VLOOKUP($C602,'Employee information'!$B:$M,COLUMNS('Employee information'!$B:$M),0)=22,
IF($E$2="Fortnightly",
ROUND(
ROUND((((TRUNC($AN602/2,0)+0.99))*VLOOKUP((TRUNC($AN602/2,0)+0.99),'Tax scales - NAT 3539'!$A$43:$C$69,2,1)-VLOOKUP((TRUNC($AN602/2,0)+0.99),'Tax scales - NAT 3539'!$A$43:$C$69,3,1)),0)
*2,
0),
IF(AND($E$2="Monthly",ROUND($AN602-TRUNC($AN602),2)=0.33),
ROUND(
ROUND(((TRUNC(($AN602+0.01)*3/13,0)+0.99)*VLOOKUP((TRUNC(($AN602+0.01)*3/13,0)+0.99),'Tax scales - NAT 3539'!$A$43:$C$69,2,1)-VLOOKUP((TRUNC(($AN602+0.01)*3/13,0)+0.99),'Tax scales - NAT 3539'!$A$43:$C$69,3,1)),0)
*13/3,
0),
IF($E$2="Monthly",
ROUND(
ROUND(((TRUNC($AN602*3/13,0)+0.99)*VLOOKUP((TRUNC($AN602*3/13,0)+0.99),'Tax scales - NAT 3539'!$A$43:$C$69,2,1)-VLOOKUP((TRUNC($AN602*3/13,0)+0.99),'Tax scales - NAT 3539'!$A$43:$C$69,3,1)),0)
*13/3,
0),
""))),
""),
"")</f>
        <v/>
      </c>
      <c r="AW602" s="118" t="str">
        <f>IFERROR(
IF(VLOOKUP($C602,'Employee information'!$B:$M,COLUMNS('Employee information'!$B:$M),0)=33,
IF($E$2="Fortnightly",
ROUND(
ROUND((((TRUNC($AN602/2,0)+0.99))*VLOOKUP((TRUNC($AN602/2,0)+0.99),'Tax scales - NAT 3539'!$A$74:$C$94,2,1)-VLOOKUP((TRUNC($AN602/2,0)+0.99),'Tax scales - NAT 3539'!$A$74:$C$94,3,1)),0)
*2,
0),
IF(AND($E$2="Monthly",ROUND($AN602-TRUNC($AN602),2)=0.33),
ROUND(
ROUND(((TRUNC(($AN602+0.01)*3/13,0)+0.99)*VLOOKUP((TRUNC(($AN602+0.01)*3/13,0)+0.99),'Tax scales - NAT 3539'!$A$74:$C$94,2,1)-VLOOKUP((TRUNC(($AN602+0.01)*3/13,0)+0.99),'Tax scales - NAT 3539'!$A$74:$C$94,3,1)),0)
*13/3,
0),
IF($E$2="Monthly",
ROUND(
ROUND(((TRUNC($AN602*3/13,0)+0.99)*VLOOKUP((TRUNC($AN602*3/13,0)+0.99),'Tax scales - NAT 3539'!$A$74:$C$94,2,1)-VLOOKUP((TRUNC($AN602*3/13,0)+0.99),'Tax scales - NAT 3539'!$A$74:$C$94,3,1)),0)
*13/3,
0),
""))),
""),
"")</f>
        <v/>
      </c>
      <c r="AX602" s="118" t="str">
        <f>IFERROR(
IF(VLOOKUP($C602,'Employee information'!$B:$M,COLUMNS('Employee information'!$B:$M),0)=55,
IF($E$2="Fortnightly",
ROUND(
ROUND((((TRUNC($AN602/2,0)+0.99))*VLOOKUP((TRUNC($AN602/2,0)+0.99),'Tax scales - NAT 3539'!$A$99:$C$123,2,1)-VLOOKUP((TRUNC($AN602/2,0)+0.99),'Tax scales - NAT 3539'!$A$99:$C$123,3,1)),0)
*2,
0),
IF(AND($E$2="Monthly",ROUND($AN602-TRUNC($AN602),2)=0.33),
ROUND(
ROUND(((TRUNC(($AN602+0.01)*3/13,0)+0.99)*VLOOKUP((TRUNC(($AN602+0.01)*3/13,0)+0.99),'Tax scales - NAT 3539'!$A$99:$C$123,2,1)-VLOOKUP((TRUNC(($AN602+0.01)*3/13,0)+0.99),'Tax scales - NAT 3539'!$A$99:$C$123,3,1)),0)
*13/3,
0),
IF($E$2="Monthly",
ROUND(
ROUND(((TRUNC($AN602*3/13,0)+0.99)*VLOOKUP((TRUNC($AN602*3/13,0)+0.99),'Tax scales - NAT 3539'!$A$99:$C$123,2,1)-VLOOKUP((TRUNC($AN602*3/13,0)+0.99),'Tax scales - NAT 3539'!$A$99:$C$123,3,1)),0)
*13/3,
0),
""))),
""),
"")</f>
        <v/>
      </c>
      <c r="AY602" s="118" t="str">
        <f>IFERROR(
IF(VLOOKUP($C602,'Employee information'!$B:$M,COLUMNS('Employee information'!$B:$M),0)=66,
IF($E$2="Fortnightly",
ROUND(
ROUND((((TRUNC($AN602/2,0)+0.99))*VLOOKUP((TRUNC($AN602/2,0)+0.99),'Tax scales - NAT 3539'!$A$127:$C$154,2,1)-VLOOKUP((TRUNC($AN602/2,0)+0.99),'Tax scales - NAT 3539'!$A$127:$C$154,3,1)),0)
*2,
0),
IF(AND($E$2="Monthly",ROUND($AN602-TRUNC($AN602),2)=0.33),
ROUND(
ROUND(((TRUNC(($AN602+0.01)*3/13,0)+0.99)*VLOOKUP((TRUNC(($AN602+0.01)*3/13,0)+0.99),'Tax scales - NAT 3539'!$A$127:$C$154,2,1)-VLOOKUP((TRUNC(($AN602+0.01)*3/13,0)+0.99),'Tax scales - NAT 3539'!$A$127:$C$154,3,1)),0)
*13/3,
0),
IF($E$2="Monthly",
ROUND(
ROUND(((TRUNC($AN602*3/13,0)+0.99)*VLOOKUP((TRUNC($AN602*3/13,0)+0.99),'Tax scales - NAT 3539'!$A$127:$C$154,2,1)-VLOOKUP((TRUNC($AN602*3/13,0)+0.99),'Tax scales - NAT 3539'!$A$127:$C$154,3,1)),0)
*13/3,
0),
""))),
""),
"")</f>
        <v/>
      </c>
      <c r="AZ602" s="118">
        <f>IFERROR(
HLOOKUP(VLOOKUP($C602,'Employee information'!$B:$M,COLUMNS('Employee information'!$B:$M),0),'PAYG worksheet'!$AO$590:$AY$609,COUNTA($C$591:$C602)+1,0),
0)</f>
        <v>0</v>
      </c>
      <c r="BA602" s="118"/>
      <c r="BB602" s="118">
        <f t="shared" si="635"/>
        <v>0</v>
      </c>
      <c r="BC602" s="119">
        <f>IFERROR(
IF(OR($AE602=1,$AE602=""),SUM($P602,$AA602,$AC602,$AK602)*VLOOKUP($C602,'Employee information'!$B:$Q,COLUMNS('Employee information'!$B:$H),0),
IF($AE602=0,SUM($P602,$AA602,$AK602)*VLOOKUP($C602,'Employee information'!$B:$Q,COLUMNS('Employee information'!$B:$H),0),
0)),
0)</f>
        <v>0</v>
      </c>
      <c r="BE602" s="114">
        <f t="shared" si="620"/>
        <v>0</v>
      </c>
      <c r="BF602" s="114">
        <f t="shared" si="621"/>
        <v>0</v>
      </c>
      <c r="BG602" s="114">
        <f t="shared" si="622"/>
        <v>0</v>
      </c>
      <c r="BH602" s="114">
        <f t="shared" si="623"/>
        <v>0</v>
      </c>
      <c r="BI602" s="114">
        <f t="shared" si="624"/>
        <v>0</v>
      </c>
      <c r="BJ602" s="114">
        <f t="shared" si="625"/>
        <v>0</v>
      </c>
      <c r="BK602" s="114">
        <f t="shared" si="626"/>
        <v>0</v>
      </c>
      <c r="BL602" s="114">
        <f t="shared" si="636"/>
        <v>0</v>
      </c>
      <c r="BM602" s="114">
        <f t="shared" si="627"/>
        <v>0</v>
      </c>
    </row>
    <row r="603" spans="1:65" x14ac:dyDescent="0.25">
      <c r="A603" s="228">
        <f t="shared" si="615"/>
        <v>21</v>
      </c>
      <c r="C603" s="278"/>
      <c r="E603" s="103">
        <f>IF($C603="",0,
IF(AND($E$2="Monthly",$A603&gt;12),0,
IF($E$2="Monthly",VLOOKUP($C603,'Employee information'!$B:$AM,COLUMNS('Employee information'!$B:S),0),
IF($E$2="Fortnightly",VLOOKUP($C603,'Employee information'!$B:$AM,COLUMNS('Employee information'!$B:R),0),
0))))</f>
        <v>0</v>
      </c>
      <c r="F603" s="106"/>
      <c r="G603" s="106"/>
      <c r="H603" s="106"/>
      <c r="I603" s="106"/>
      <c r="J603" s="103">
        <f t="shared" si="628"/>
        <v>0</v>
      </c>
      <c r="L603" s="113">
        <f>IF(AND($E$2="Monthly",$A603&gt;12),"",
IFERROR($J603*VLOOKUP($C603,'Employee information'!$B:$AI,COLUMNS('Employee information'!$B:$P),0),0))</f>
        <v>0</v>
      </c>
      <c r="M603" s="114">
        <f t="shared" si="629"/>
        <v>0</v>
      </c>
      <c r="O603" s="103">
        <f t="shared" si="630"/>
        <v>0</v>
      </c>
      <c r="P603" s="113">
        <f>IFERROR(
IF(AND($E$2="Monthly",$A603&gt;12),0,
$O603*VLOOKUP($C603,'Employee information'!$B:$AI,COLUMNS('Employee information'!$B:$P),0)),
0)</f>
        <v>0</v>
      </c>
      <c r="R603" s="114">
        <f t="shared" si="616"/>
        <v>0</v>
      </c>
      <c r="T603" s="103"/>
      <c r="U603" s="103"/>
      <c r="V603" s="282" t="str">
        <f>IF($C603="","",
IF(AND($E$2="Monthly",$A603&gt;12),"",
$T603*VLOOKUP($C603,'Employee information'!$B:$P,COLUMNS('Employee information'!$B:$P),0)))</f>
        <v/>
      </c>
      <c r="W603" s="282" t="str">
        <f>IF($C603="","",
IF(AND($E$2="Monthly",$A603&gt;12),"",
$U603*VLOOKUP($C603,'Employee information'!$B:$P,COLUMNS('Employee information'!$B:$P),0)))</f>
        <v/>
      </c>
      <c r="X603" s="114">
        <f t="shared" si="617"/>
        <v>0</v>
      </c>
      <c r="Y603" s="114">
        <f t="shared" si="618"/>
        <v>0</v>
      </c>
      <c r="AA603" s="118">
        <f>IFERROR(
IF(OR('Basic payroll data'!$D$12="",'Basic payroll data'!$D$12="No"),0,
$T603*VLOOKUP($C603,'Employee information'!$B:$P,COLUMNS('Employee information'!$B:$P),0)*AL_loading_perc),
0)</f>
        <v>0</v>
      </c>
      <c r="AC603" s="118"/>
      <c r="AD603" s="118"/>
      <c r="AE603" s="283" t="str">
        <f t="shared" si="631"/>
        <v/>
      </c>
      <c r="AF603" s="283" t="str">
        <f t="shared" si="632"/>
        <v/>
      </c>
      <c r="AG603" s="118"/>
      <c r="AH603" s="118"/>
      <c r="AI603" s="283" t="str">
        <f t="shared" si="633"/>
        <v/>
      </c>
      <c r="AJ603" s="118"/>
      <c r="AK603" s="118"/>
      <c r="AM603" s="118">
        <f t="shared" si="634"/>
        <v>0</v>
      </c>
      <c r="AN603" s="118">
        <f t="shared" si="619"/>
        <v>0</v>
      </c>
      <c r="AO603" s="118" t="str">
        <f>IFERROR(
IF(VLOOKUP($C603,'Employee information'!$B:$M,COLUMNS('Employee information'!$B:$M),0)=1,
IF($E$2="Fortnightly",
ROUND(
ROUND((((TRUNC($AN603/2,0)+0.99))*VLOOKUP((TRUNC($AN603/2,0)+0.99),'Tax scales - NAT 1004'!$A$12:$C$18,2,1)-VLOOKUP((TRUNC($AN603/2,0)+0.99),'Tax scales - NAT 1004'!$A$12:$C$18,3,1)),0)
*2,
0),
IF(AND($E$2="Monthly",ROUND($AN603-TRUNC($AN603),2)=0.33),
ROUND(
ROUND(((TRUNC(($AN603+0.01)*3/13,0)+0.99)*VLOOKUP((TRUNC(($AN603+0.01)*3/13,0)+0.99),'Tax scales - NAT 1004'!$A$12:$C$18,2,1)-VLOOKUP((TRUNC(($AN603+0.01)*3/13,0)+0.99),'Tax scales - NAT 1004'!$A$12:$C$18,3,1)),0)
*13/3,
0),
IF($E$2="Monthly",
ROUND(
ROUND(((TRUNC($AN603*3/13,0)+0.99)*VLOOKUP((TRUNC($AN603*3/13,0)+0.99),'Tax scales - NAT 1004'!$A$12:$C$18,2,1)-VLOOKUP((TRUNC($AN603*3/13,0)+0.99),'Tax scales - NAT 1004'!$A$12:$C$18,3,1)),0)
*13/3,
0),
""))),
""),
"")</f>
        <v/>
      </c>
      <c r="AP603" s="118" t="str">
        <f>IFERROR(
IF(VLOOKUP($C603,'Employee information'!$B:$M,COLUMNS('Employee information'!$B:$M),0)=2,
IF($E$2="Fortnightly",
ROUND(
ROUND((((TRUNC($AN603/2,0)+0.99))*VLOOKUP((TRUNC($AN603/2,0)+0.99),'Tax scales - NAT 1004'!$A$25:$C$33,2,1)-VLOOKUP((TRUNC($AN603/2,0)+0.99),'Tax scales - NAT 1004'!$A$25:$C$33,3,1)),0)
*2,
0),
IF(AND($E$2="Monthly",ROUND($AN603-TRUNC($AN603),2)=0.33),
ROUND(
ROUND(((TRUNC(($AN603+0.01)*3/13,0)+0.99)*VLOOKUP((TRUNC(($AN603+0.01)*3/13,0)+0.99),'Tax scales - NAT 1004'!$A$25:$C$33,2,1)-VLOOKUP((TRUNC(($AN603+0.01)*3/13,0)+0.99),'Tax scales - NAT 1004'!$A$25:$C$33,3,1)),0)
*13/3,
0),
IF($E$2="Monthly",
ROUND(
ROUND(((TRUNC($AN603*3/13,0)+0.99)*VLOOKUP((TRUNC($AN603*3/13,0)+0.99),'Tax scales - NAT 1004'!$A$25:$C$33,2,1)-VLOOKUP((TRUNC($AN603*3/13,0)+0.99),'Tax scales - NAT 1004'!$A$25:$C$33,3,1)),0)
*13/3,
0),
""))),
""),
"")</f>
        <v/>
      </c>
      <c r="AQ603" s="118" t="str">
        <f>IFERROR(
IF(VLOOKUP($C603,'Employee information'!$B:$M,COLUMNS('Employee information'!$B:$M),0)=3,
IF($E$2="Fortnightly",
ROUND(
ROUND((((TRUNC($AN603/2,0)+0.99))*VLOOKUP((TRUNC($AN603/2,0)+0.99),'Tax scales - NAT 1004'!$A$39:$C$41,2,1)-VLOOKUP((TRUNC($AN603/2,0)+0.99),'Tax scales - NAT 1004'!$A$39:$C$41,3,1)),0)
*2,
0),
IF(AND($E$2="Monthly",ROUND($AN603-TRUNC($AN603),2)=0.33),
ROUND(
ROUND(((TRUNC(($AN603+0.01)*3/13,0)+0.99)*VLOOKUP((TRUNC(($AN603+0.01)*3/13,0)+0.99),'Tax scales - NAT 1004'!$A$39:$C$41,2,1)-VLOOKUP((TRUNC(($AN603+0.01)*3/13,0)+0.99),'Tax scales - NAT 1004'!$A$39:$C$41,3,1)),0)
*13/3,
0),
IF($E$2="Monthly",
ROUND(
ROUND(((TRUNC($AN603*3/13,0)+0.99)*VLOOKUP((TRUNC($AN603*3/13,0)+0.99),'Tax scales - NAT 1004'!$A$39:$C$41,2,1)-VLOOKUP((TRUNC($AN603*3/13,0)+0.99),'Tax scales - NAT 1004'!$A$39:$C$41,3,1)),0)
*13/3,
0),
""))),
""),
"")</f>
        <v/>
      </c>
      <c r="AR603" s="118" t="str">
        <f>IFERROR(
IF(AND(VLOOKUP($C603,'Employee information'!$B:$M,COLUMNS('Employee information'!$B:$M),0)=4,
VLOOKUP($C603,'Employee information'!$B:$J,COLUMNS('Employee information'!$B:$J),0)="Resident"),
TRUNC(TRUNC($AN603)*'Tax scales - NAT 1004'!$B$47),
IF(AND(VLOOKUP($C603,'Employee information'!$B:$M,COLUMNS('Employee information'!$B:$M),0)=4,
VLOOKUP($C603,'Employee information'!$B:$J,COLUMNS('Employee information'!$B:$J),0)="Foreign resident"),
TRUNC(TRUNC($AN603)*'Tax scales - NAT 1004'!$B$48),
"")),
"")</f>
        <v/>
      </c>
      <c r="AS603" s="118" t="str">
        <f>IFERROR(
IF(VLOOKUP($C603,'Employee information'!$B:$M,COLUMNS('Employee information'!$B:$M),0)=5,
IF($E$2="Fortnightly",
ROUND(
ROUND((((TRUNC($AN603/2,0)+0.99))*VLOOKUP((TRUNC($AN603/2,0)+0.99),'Tax scales - NAT 1004'!$A$53:$C$59,2,1)-VLOOKUP((TRUNC($AN603/2,0)+0.99),'Tax scales - NAT 1004'!$A$53:$C$59,3,1)),0)
*2,
0),
IF(AND($E$2="Monthly",ROUND($AN603-TRUNC($AN603),2)=0.33),
ROUND(
ROUND(((TRUNC(($AN603+0.01)*3/13,0)+0.99)*VLOOKUP((TRUNC(($AN603+0.01)*3/13,0)+0.99),'Tax scales - NAT 1004'!$A$53:$C$59,2,1)-VLOOKUP((TRUNC(($AN603+0.01)*3/13,0)+0.99),'Tax scales - NAT 1004'!$A$53:$C$59,3,1)),0)
*13/3,
0),
IF($E$2="Monthly",
ROUND(
ROUND(((TRUNC($AN603*3/13,0)+0.99)*VLOOKUP((TRUNC($AN603*3/13,0)+0.99),'Tax scales - NAT 1004'!$A$53:$C$59,2,1)-VLOOKUP((TRUNC($AN603*3/13,0)+0.99),'Tax scales - NAT 1004'!$A$53:$C$59,3,1)),0)
*13/3,
0),
""))),
""),
"")</f>
        <v/>
      </c>
      <c r="AT603" s="118" t="str">
        <f>IFERROR(
IF(VLOOKUP($C603,'Employee information'!$B:$M,COLUMNS('Employee information'!$B:$M),0)=6,
IF($E$2="Fortnightly",
ROUND(
ROUND((((TRUNC($AN603/2,0)+0.99))*VLOOKUP((TRUNC($AN603/2,0)+0.99),'Tax scales - NAT 1004'!$A$65:$C$73,2,1)-VLOOKUP((TRUNC($AN603/2,0)+0.99),'Tax scales - NAT 1004'!$A$65:$C$73,3,1)),0)
*2,
0),
IF(AND($E$2="Monthly",ROUND($AN603-TRUNC($AN603),2)=0.33),
ROUND(
ROUND(((TRUNC(($AN603+0.01)*3/13,0)+0.99)*VLOOKUP((TRUNC(($AN603+0.01)*3/13,0)+0.99),'Tax scales - NAT 1004'!$A$65:$C$73,2,1)-VLOOKUP((TRUNC(($AN603+0.01)*3/13,0)+0.99),'Tax scales - NAT 1004'!$A$65:$C$73,3,1)),0)
*13/3,
0),
IF($E$2="Monthly",
ROUND(
ROUND(((TRUNC($AN603*3/13,0)+0.99)*VLOOKUP((TRUNC($AN603*3/13,0)+0.99),'Tax scales - NAT 1004'!$A$65:$C$73,2,1)-VLOOKUP((TRUNC($AN603*3/13,0)+0.99),'Tax scales - NAT 1004'!$A$65:$C$73,3,1)),0)
*13/3,
0),
""))),
""),
"")</f>
        <v/>
      </c>
      <c r="AU603" s="118" t="str">
        <f>IFERROR(
IF(VLOOKUP($C603,'Employee information'!$B:$M,COLUMNS('Employee information'!$B:$M),0)=11,
IF($E$2="Fortnightly",
ROUND(
ROUND((((TRUNC($AN603/2,0)+0.99))*VLOOKUP((TRUNC($AN603/2,0)+0.99),'Tax scales - NAT 3539'!$A$14:$C$38,2,1)-VLOOKUP((TRUNC($AN603/2,0)+0.99),'Tax scales - NAT 3539'!$A$14:$C$38,3,1)),0)
*2,
0),
IF(AND($E$2="Monthly",ROUND($AN603-TRUNC($AN603),2)=0.33),
ROUND(
ROUND(((TRUNC(($AN603+0.01)*3/13,0)+0.99)*VLOOKUP((TRUNC(($AN603+0.01)*3/13,0)+0.99),'Tax scales - NAT 3539'!$A$14:$C$38,2,1)-VLOOKUP((TRUNC(($AN603+0.01)*3/13,0)+0.99),'Tax scales - NAT 3539'!$A$14:$C$38,3,1)),0)
*13/3,
0),
IF($E$2="Monthly",
ROUND(
ROUND(((TRUNC($AN603*3/13,0)+0.99)*VLOOKUP((TRUNC($AN603*3/13,0)+0.99),'Tax scales - NAT 3539'!$A$14:$C$38,2,1)-VLOOKUP((TRUNC($AN603*3/13,0)+0.99),'Tax scales - NAT 3539'!$A$14:$C$38,3,1)),0)
*13/3,
0),
""))),
""),
"")</f>
        <v/>
      </c>
      <c r="AV603" s="118" t="str">
        <f>IFERROR(
IF(VLOOKUP($C603,'Employee information'!$B:$M,COLUMNS('Employee information'!$B:$M),0)=22,
IF($E$2="Fortnightly",
ROUND(
ROUND((((TRUNC($AN603/2,0)+0.99))*VLOOKUP((TRUNC($AN603/2,0)+0.99),'Tax scales - NAT 3539'!$A$43:$C$69,2,1)-VLOOKUP((TRUNC($AN603/2,0)+0.99),'Tax scales - NAT 3539'!$A$43:$C$69,3,1)),0)
*2,
0),
IF(AND($E$2="Monthly",ROUND($AN603-TRUNC($AN603),2)=0.33),
ROUND(
ROUND(((TRUNC(($AN603+0.01)*3/13,0)+0.99)*VLOOKUP((TRUNC(($AN603+0.01)*3/13,0)+0.99),'Tax scales - NAT 3539'!$A$43:$C$69,2,1)-VLOOKUP((TRUNC(($AN603+0.01)*3/13,0)+0.99),'Tax scales - NAT 3539'!$A$43:$C$69,3,1)),0)
*13/3,
0),
IF($E$2="Monthly",
ROUND(
ROUND(((TRUNC($AN603*3/13,0)+0.99)*VLOOKUP((TRUNC($AN603*3/13,0)+0.99),'Tax scales - NAT 3539'!$A$43:$C$69,2,1)-VLOOKUP((TRUNC($AN603*3/13,0)+0.99),'Tax scales - NAT 3539'!$A$43:$C$69,3,1)),0)
*13/3,
0),
""))),
""),
"")</f>
        <v/>
      </c>
      <c r="AW603" s="118" t="str">
        <f>IFERROR(
IF(VLOOKUP($C603,'Employee information'!$B:$M,COLUMNS('Employee information'!$B:$M),0)=33,
IF($E$2="Fortnightly",
ROUND(
ROUND((((TRUNC($AN603/2,0)+0.99))*VLOOKUP((TRUNC($AN603/2,0)+0.99),'Tax scales - NAT 3539'!$A$74:$C$94,2,1)-VLOOKUP((TRUNC($AN603/2,0)+0.99),'Tax scales - NAT 3539'!$A$74:$C$94,3,1)),0)
*2,
0),
IF(AND($E$2="Monthly",ROUND($AN603-TRUNC($AN603),2)=0.33),
ROUND(
ROUND(((TRUNC(($AN603+0.01)*3/13,0)+0.99)*VLOOKUP((TRUNC(($AN603+0.01)*3/13,0)+0.99),'Tax scales - NAT 3539'!$A$74:$C$94,2,1)-VLOOKUP((TRUNC(($AN603+0.01)*3/13,0)+0.99),'Tax scales - NAT 3539'!$A$74:$C$94,3,1)),0)
*13/3,
0),
IF($E$2="Monthly",
ROUND(
ROUND(((TRUNC($AN603*3/13,0)+0.99)*VLOOKUP((TRUNC($AN603*3/13,0)+0.99),'Tax scales - NAT 3539'!$A$74:$C$94,2,1)-VLOOKUP((TRUNC($AN603*3/13,0)+0.99),'Tax scales - NAT 3539'!$A$74:$C$94,3,1)),0)
*13/3,
0),
""))),
""),
"")</f>
        <v/>
      </c>
      <c r="AX603" s="118" t="str">
        <f>IFERROR(
IF(VLOOKUP($C603,'Employee information'!$B:$M,COLUMNS('Employee information'!$B:$M),0)=55,
IF($E$2="Fortnightly",
ROUND(
ROUND((((TRUNC($AN603/2,0)+0.99))*VLOOKUP((TRUNC($AN603/2,0)+0.99),'Tax scales - NAT 3539'!$A$99:$C$123,2,1)-VLOOKUP((TRUNC($AN603/2,0)+0.99),'Tax scales - NAT 3539'!$A$99:$C$123,3,1)),0)
*2,
0),
IF(AND($E$2="Monthly",ROUND($AN603-TRUNC($AN603),2)=0.33),
ROUND(
ROUND(((TRUNC(($AN603+0.01)*3/13,0)+0.99)*VLOOKUP((TRUNC(($AN603+0.01)*3/13,0)+0.99),'Tax scales - NAT 3539'!$A$99:$C$123,2,1)-VLOOKUP((TRUNC(($AN603+0.01)*3/13,0)+0.99),'Tax scales - NAT 3539'!$A$99:$C$123,3,1)),0)
*13/3,
0),
IF($E$2="Monthly",
ROUND(
ROUND(((TRUNC($AN603*3/13,0)+0.99)*VLOOKUP((TRUNC($AN603*3/13,0)+0.99),'Tax scales - NAT 3539'!$A$99:$C$123,2,1)-VLOOKUP((TRUNC($AN603*3/13,0)+0.99),'Tax scales - NAT 3539'!$A$99:$C$123,3,1)),0)
*13/3,
0),
""))),
""),
"")</f>
        <v/>
      </c>
      <c r="AY603" s="118" t="str">
        <f>IFERROR(
IF(VLOOKUP($C603,'Employee information'!$B:$M,COLUMNS('Employee information'!$B:$M),0)=66,
IF($E$2="Fortnightly",
ROUND(
ROUND((((TRUNC($AN603/2,0)+0.99))*VLOOKUP((TRUNC($AN603/2,0)+0.99),'Tax scales - NAT 3539'!$A$127:$C$154,2,1)-VLOOKUP((TRUNC($AN603/2,0)+0.99),'Tax scales - NAT 3539'!$A$127:$C$154,3,1)),0)
*2,
0),
IF(AND($E$2="Monthly",ROUND($AN603-TRUNC($AN603),2)=0.33),
ROUND(
ROUND(((TRUNC(($AN603+0.01)*3/13,0)+0.99)*VLOOKUP((TRUNC(($AN603+0.01)*3/13,0)+0.99),'Tax scales - NAT 3539'!$A$127:$C$154,2,1)-VLOOKUP((TRUNC(($AN603+0.01)*3/13,0)+0.99),'Tax scales - NAT 3539'!$A$127:$C$154,3,1)),0)
*13/3,
0),
IF($E$2="Monthly",
ROUND(
ROUND(((TRUNC($AN603*3/13,0)+0.99)*VLOOKUP((TRUNC($AN603*3/13,0)+0.99),'Tax scales - NAT 3539'!$A$127:$C$154,2,1)-VLOOKUP((TRUNC($AN603*3/13,0)+0.99),'Tax scales - NAT 3539'!$A$127:$C$154,3,1)),0)
*13/3,
0),
""))),
""),
"")</f>
        <v/>
      </c>
      <c r="AZ603" s="118">
        <f>IFERROR(
HLOOKUP(VLOOKUP($C603,'Employee information'!$B:$M,COLUMNS('Employee information'!$B:$M),0),'PAYG worksheet'!$AO$590:$AY$609,COUNTA($C$591:$C603)+1,0),
0)</f>
        <v>0</v>
      </c>
      <c r="BA603" s="118"/>
      <c r="BB603" s="118">
        <f t="shared" si="635"/>
        <v>0</v>
      </c>
      <c r="BC603" s="119">
        <f>IFERROR(
IF(OR($AE603=1,$AE603=""),SUM($P603,$AA603,$AC603,$AK603)*VLOOKUP($C603,'Employee information'!$B:$Q,COLUMNS('Employee information'!$B:$H),0),
IF($AE603=0,SUM($P603,$AA603,$AK603)*VLOOKUP($C603,'Employee information'!$B:$Q,COLUMNS('Employee information'!$B:$H),0),
0)),
0)</f>
        <v>0</v>
      </c>
      <c r="BE603" s="114">
        <f t="shared" si="620"/>
        <v>0</v>
      </c>
      <c r="BF603" s="114">
        <f t="shared" si="621"/>
        <v>0</v>
      </c>
      <c r="BG603" s="114">
        <f t="shared" si="622"/>
        <v>0</v>
      </c>
      <c r="BH603" s="114">
        <f t="shared" si="623"/>
        <v>0</v>
      </c>
      <c r="BI603" s="114">
        <f t="shared" si="624"/>
        <v>0</v>
      </c>
      <c r="BJ603" s="114">
        <f t="shared" si="625"/>
        <v>0</v>
      </c>
      <c r="BK603" s="114">
        <f t="shared" si="626"/>
        <v>0</v>
      </c>
      <c r="BL603" s="114">
        <f t="shared" si="636"/>
        <v>0</v>
      </c>
      <c r="BM603" s="114">
        <f t="shared" si="627"/>
        <v>0</v>
      </c>
    </row>
    <row r="604" spans="1:65" x14ac:dyDescent="0.25">
      <c r="A604" s="228">
        <f t="shared" si="615"/>
        <v>21</v>
      </c>
      <c r="C604" s="278"/>
      <c r="E604" s="103">
        <f>IF($C604="",0,
IF(AND($E$2="Monthly",$A604&gt;12),0,
IF($E$2="Monthly",VLOOKUP($C604,'Employee information'!$B:$AM,COLUMNS('Employee information'!$B:S),0),
IF($E$2="Fortnightly",VLOOKUP($C604,'Employee information'!$B:$AM,COLUMNS('Employee information'!$B:R),0),
0))))</f>
        <v>0</v>
      </c>
      <c r="F604" s="106"/>
      <c r="G604" s="106"/>
      <c r="H604" s="106"/>
      <c r="I604" s="106"/>
      <c r="J604" s="103">
        <f t="shared" si="628"/>
        <v>0</v>
      </c>
      <c r="L604" s="113">
        <f>IF(AND($E$2="Monthly",$A604&gt;12),"",
IFERROR($J604*VLOOKUP($C604,'Employee information'!$B:$AI,COLUMNS('Employee information'!$B:$P),0),0))</f>
        <v>0</v>
      </c>
      <c r="M604" s="114">
        <f t="shared" si="629"/>
        <v>0</v>
      </c>
      <c r="O604" s="103">
        <f t="shared" si="630"/>
        <v>0</v>
      </c>
      <c r="P604" s="113">
        <f>IFERROR(
IF(AND($E$2="Monthly",$A604&gt;12),0,
$O604*VLOOKUP($C604,'Employee information'!$B:$AI,COLUMNS('Employee information'!$B:$P),0)),
0)</f>
        <v>0</v>
      </c>
      <c r="R604" s="114">
        <f t="shared" si="616"/>
        <v>0</v>
      </c>
      <c r="T604" s="103"/>
      <c r="U604" s="103"/>
      <c r="V604" s="282" t="str">
        <f>IF($C604="","",
IF(AND($E$2="Monthly",$A604&gt;12),"",
$T604*VLOOKUP($C604,'Employee information'!$B:$P,COLUMNS('Employee information'!$B:$P),0)))</f>
        <v/>
      </c>
      <c r="W604" s="282" t="str">
        <f>IF($C604="","",
IF(AND($E$2="Monthly",$A604&gt;12),"",
$U604*VLOOKUP($C604,'Employee information'!$B:$P,COLUMNS('Employee information'!$B:$P),0)))</f>
        <v/>
      </c>
      <c r="X604" s="114">
        <f t="shared" si="617"/>
        <v>0</v>
      </c>
      <c r="Y604" s="114">
        <f t="shared" si="618"/>
        <v>0</v>
      </c>
      <c r="AA604" s="118">
        <f>IFERROR(
IF(OR('Basic payroll data'!$D$12="",'Basic payroll data'!$D$12="No"),0,
$T604*VLOOKUP($C604,'Employee information'!$B:$P,COLUMNS('Employee information'!$B:$P),0)*AL_loading_perc),
0)</f>
        <v>0</v>
      </c>
      <c r="AC604" s="118"/>
      <c r="AD604" s="118"/>
      <c r="AE604" s="283" t="str">
        <f t="shared" si="631"/>
        <v/>
      </c>
      <c r="AF604" s="283" t="str">
        <f t="shared" si="632"/>
        <v/>
      </c>
      <c r="AG604" s="118"/>
      <c r="AH604" s="118"/>
      <c r="AI604" s="283" t="str">
        <f t="shared" si="633"/>
        <v/>
      </c>
      <c r="AJ604" s="118"/>
      <c r="AK604" s="118"/>
      <c r="AM604" s="118">
        <f t="shared" si="634"/>
        <v>0</v>
      </c>
      <c r="AN604" s="118">
        <f t="shared" si="619"/>
        <v>0</v>
      </c>
      <c r="AO604" s="118" t="str">
        <f>IFERROR(
IF(VLOOKUP($C604,'Employee information'!$B:$M,COLUMNS('Employee information'!$B:$M),0)=1,
IF($E$2="Fortnightly",
ROUND(
ROUND((((TRUNC($AN604/2,0)+0.99))*VLOOKUP((TRUNC($AN604/2,0)+0.99),'Tax scales - NAT 1004'!$A$12:$C$18,2,1)-VLOOKUP((TRUNC($AN604/2,0)+0.99),'Tax scales - NAT 1004'!$A$12:$C$18,3,1)),0)
*2,
0),
IF(AND($E$2="Monthly",ROUND($AN604-TRUNC($AN604),2)=0.33),
ROUND(
ROUND(((TRUNC(($AN604+0.01)*3/13,0)+0.99)*VLOOKUP((TRUNC(($AN604+0.01)*3/13,0)+0.99),'Tax scales - NAT 1004'!$A$12:$C$18,2,1)-VLOOKUP((TRUNC(($AN604+0.01)*3/13,0)+0.99),'Tax scales - NAT 1004'!$A$12:$C$18,3,1)),0)
*13/3,
0),
IF($E$2="Monthly",
ROUND(
ROUND(((TRUNC($AN604*3/13,0)+0.99)*VLOOKUP((TRUNC($AN604*3/13,0)+0.99),'Tax scales - NAT 1004'!$A$12:$C$18,2,1)-VLOOKUP((TRUNC($AN604*3/13,0)+0.99),'Tax scales - NAT 1004'!$A$12:$C$18,3,1)),0)
*13/3,
0),
""))),
""),
"")</f>
        <v/>
      </c>
      <c r="AP604" s="118" t="str">
        <f>IFERROR(
IF(VLOOKUP($C604,'Employee information'!$B:$M,COLUMNS('Employee information'!$B:$M),0)=2,
IF($E$2="Fortnightly",
ROUND(
ROUND((((TRUNC($AN604/2,0)+0.99))*VLOOKUP((TRUNC($AN604/2,0)+0.99),'Tax scales - NAT 1004'!$A$25:$C$33,2,1)-VLOOKUP((TRUNC($AN604/2,0)+0.99),'Tax scales - NAT 1004'!$A$25:$C$33,3,1)),0)
*2,
0),
IF(AND($E$2="Monthly",ROUND($AN604-TRUNC($AN604),2)=0.33),
ROUND(
ROUND(((TRUNC(($AN604+0.01)*3/13,0)+0.99)*VLOOKUP((TRUNC(($AN604+0.01)*3/13,0)+0.99),'Tax scales - NAT 1004'!$A$25:$C$33,2,1)-VLOOKUP((TRUNC(($AN604+0.01)*3/13,0)+0.99),'Tax scales - NAT 1004'!$A$25:$C$33,3,1)),0)
*13/3,
0),
IF($E$2="Monthly",
ROUND(
ROUND(((TRUNC($AN604*3/13,0)+0.99)*VLOOKUP((TRUNC($AN604*3/13,0)+0.99),'Tax scales - NAT 1004'!$A$25:$C$33,2,1)-VLOOKUP((TRUNC($AN604*3/13,0)+0.99),'Tax scales - NAT 1004'!$A$25:$C$33,3,1)),0)
*13/3,
0),
""))),
""),
"")</f>
        <v/>
      </c>
      <c r="AQ604" s="118" t="str">
        <f>IFERROR(
IF(VLOOKUP($C604,'Employee information'!$B:$M,COLUMNS('Employee information'!$B:$M),0)=3,
IF($E$2="Fortnightly",
ROUND(
ROUND((((TRUNC($AN604/2,0)+0.99))*VLOOKUP((TRUNC($AN604/2,0)+0.99),'Tax scales - NAT 1004'!$A$39:$C$41,2,1)-VLOOKUP((TRUNC($AN604/2,0)+0.99),'Tax scales - NAT 1004'!$A$39:$C$41,3,1)),0)
*2,
0),
IF(AND($E$2="Monthly",ROUND($AN604-TRUNC($AN604),2)=0.33),
ROUND(
ROUND(((TRUNC(($AN604+0.01)*3/13,0)+0.99)*VLOOKUP((TRUNC(($AN604+0.01)*3/13,0)+0.99),'Tax scales - NAT 1004'!$A$39:$C$41,2,1)-VLOOKUP((TRUNC(($AN604+0.01)*3/13,0)+0.99),'Tax scales - NAT 1004'!$A$39:$C$41,3,1)),0)
*13/3,
0),
IF($E$2="Monthly",
ROUND(
ROUND(((TRUNC($AN604*3/13,0)+0.99)*VLOOKUP((TRUNC($AN604*3/13,0)+0.99),'Tax scales - NAT 1004'!$A$39:$C$41,2,1)-VLOOKUP((TRUNC($AN604*3/13,0)+0.99),'Tax scales - NAT 1004'!$A$39:$C$41,3,1)),0)
*13/3,
0),
""))),
""),
"")</f>
        <v/>
      </c>
      <c r="AR604" s="118" t="str">
        <f>IFERROR(
IF(AND(VLOOKUP($C604,'Employee information'!$B:$M,COLUMNS('Employee information'!$B:$M),0)=4,
VLOOKUP($C604,'Employee information'!$B:$J,COLUMNS('Employee information'!$B:$J),0)="Resident"),
TRUNC(TRUNC($AN604)*'Tax scales - NAT 1004'!$B$47),
IF(AND(VLOOKUP($C604,'Employee information'!$B:$M,COLUMNS('Employee information'!$B:$M),0)=4,
VLOOKUP($C604,'Employee information'!$B:$J,COLUMNS('Employee information'!$B:$J),0)="Foreign resident"),
TRUNC(TRUNC($AN604)*'Tax scales - NAT 1004'!$B$48),
"")),
"")</f>
        <v/>
      </c>
      <c r="AS604" s="118" t="str">
        <f>IFERROR(
IF(VLOOKUP($C604,'Employee information'!$B:$M,COLUMNS('Employee information'!$B:$M),0)=5,
IF($E$2="Fortnightly",
ROUND(
ROUND((((TRUNC($AN604/2,0)+0.99))*VLOOKUP((TRUNC($AN604/2,0)+0.99),'Tax scales - NAT 1004'!$A$53:$C$59,2,1)-VLOOKUP((TRUNC($AN604/2,0)+0.99),'Tax scales - NAT 1004'!$A$53:$C$59,3,1)),0)
*2,
0),
IF(AND($E$2="Monthly",ROUND($AN604-TRUNC($AN604),2)=0.33),
ROUND(
ROUND(((TRUNC(($AN604+0.01)*3/13,0)+0.99)*VLOOKUP((TRUNC(($AN604+0.01)*3/13,0)+0.99),'Tax scales - NAT 1004'!$A$53:$C$59,2,1)-VLOOKUP((TRUNC(($AN604+0.01)*3/13,0)+0.99),'Tax scales - NAT 1004'!$A$53:$C$59,3,1)),0)
*13/3,
0),
IF($E$2="Monthly",
ROUND(
ROUND(((TRUNC($AN604*3/13,0)+0.99)*VLOOKUP((TRUNC($AN604*3/13,0)+0.99),'Tax scales - NAT 1004'!$A$53:$C$59,2,1)-VLOOKUP((TRUNC($AN604*3/13,0)+0.99),'Tax scales - NAT 1004'!$A$53:$C$59,3,1)),0)
*13/3,
0),
""))),
""),
"")</f>
        <v/>
      </c>
      <c r="AT604" s="118" t="str">
        <f>IFERROR(
IF(VLOOKUP($C604,'Employee information'!$B:$M,COLUMNS('Employee information'!$B:$M),0)=6,
IF($E$2="Fortnightly",
ROUND(
ROUND((((TRUNC($AN604/2,0)+0.99))*VLOOKUP((TRUNC($AN604/2,0)+0.99),'Tax scales - NAT 1004'!$A$65:$C$73,2,1)-VLOOKUP((TRUNC($AN604/2,0)+0.99),'Tax scales - NAT 1004'!$A$65:$C$73,3,1)),0)
*2,
0),
IF(AND($E$2="Monthly",ROUND($AN604-TRUNC($AN604),2)=0.33),
ROUND(
ROUND(((TRUNC(($AN604+0.01)*3/13,0)+0.99)*VLOOKUP((TRUNC(($AN604+0.01)*3/13,0)+0.99),'Tax scales - NAT 1004'!$A$65:$C$73,2,1)-VLOOKUP((TRUNC(($AN604+0.01)*3/13,0)+0.99),'Tax scales - NAT 1004'!$A$65:$C$73,3,1)),0)
*13/3,
0),
IF($E$2="Monthly",
ROUND(
ROUND(((TRUNC($AN604*3/13,0)+0.99)*VLOOKUP((TRUNC($AN604*3/13,0)+0.99),'Tax scales - NAT 1004'!$A$65:$C$73,2,1)-VLOOKUP((TRUNC($AN604*3/13,0)+0.99),'Tax scales - NAT 1004'!$A$65:$C$73,3,1)),0)
*13/3,
0),
""))),
""),
"")</f>
        <v/>
      </c>
      <c r="AU604" s="118" t="str">
        <f>IFERROR(
IF(VLOOKUP($C604,'Employee information'!$B:$M,COLUMNS('Employee information'!$B:$M),0)=11,
IF($E$2="Fortnightly",
ROUND(
ROUND((((TRUNC($AN604/2,0)+0.99))*VLOOKUP((TRUNC($AN604/2,0)+0.99),'Tax scales - NAT 3539'!$A$14:$C$38,2,1)-VLOOKUP((TRUNC($AN604/2,0)+0.99),'Tax scales - NAT 3539'!$A$14:$C$38,3,1)),0)
*2,
0),
IF(AND($E$2="Monthly",ROUND($AN604-TRUNC($AN604),2)=0.33),
ROUND(
ROUND(((TRUNC(($AN604+0.01)*3/13,0)+0.99)*VLOOKUP((TRUNC(($AN604+0.01)*3/13,0)+0.99),'Tax scales - NAT 3539'!$A$14:$C$38,2,1)-VLOOKUP((TRUNC(($AN604+0.01)*3/13,0)+0.99),'Tax scales - NAT 3539'!$A$14:$C$38,3,1)),0)
*13/3,
0),
IF($E$2="Monthly",
ROUND(
ROUND(((TRUNC($AN604*3/13,0)+0.99)*VLOOKUP((TRUNC($AN604*3/13,0)+0.99),'Tax scales - NAT 3539'!$A$14:$C$38,2,1)-VLOOKUP((TRUNC($AN604*3/13,0)+0.99),'Tax scales - NAT 3539'!$A$14:$C$38,3,1)),0)
*13/3,
0),
""))),
""),
"")</f>
        <v/>
      </c>
      <c r="AV604" s="118" t="str">
        <f>IFERROR(
IF(VLOOKUP($C604,'Employee information'!$B:$M,COLUMNS('Employee information'!$B:$M),0)=22,
IF($E$2="Fortnightly",
ROUND(
ROUND((((TRUNC($AN604/2,0)+0.99))*VLOOKUP((TRUNC($AN604/2,0)+0.99),'Tax scales - NAT 3539'!$A$43:$C$69,2,1)-VLOOKUP((TRUNC($AN604/2,0)+0.99),'Tax scales - NAT 3539'!$A$43:$C$69,3,1)),0)
*2,
0),
IF(AND($E$2="Monthly",ROUND($AN604-TRUNC($AN604),2)=0.33),
ROUND(
ROUND(((TRUNC(($AN604+0.01)*3/13,0)+0.99)*VLOOKUP((TRUNC(($AN604+0.01)*3/13,0)+0.99),'Tax scales - NAT 3539'!$A$43:$C$69,2,1)-VLOOKUP((TRUNC(($AN604+0.01)*3/13,0)+0.99),'Tax scales - NAT 3539'!$A$43:$C$69,3,1)),0)
*13/3,
0),
IF($E$2="Monthly",
ROUND(
ROUND(((TRUNC($AN604*3/13,0)+0.99)*VLOOKUP((TRUNC($AN604*3/13,0)+0.99),'Tax scales - NAT 3539'!$A$43:$C$69,2,1)-VLOOKUP((TRUNC($AN604*3/13,0)+0.99),'Tax scales - NAT 3539'!$A$43:$C$69,3,1)),0)
*13/3,
0),
""))),
""),
"")</f>
        <v/>
      </c>
      <c r="AW604" s="118" t="str">
        <f>IFERROR(
IF(VLOOKUP($C604,'Employee information'!$B:$M,COLUMNS('Employee information'!$B:$M),0)=33,
IF($E$2="Fortnightly",
ROUND(
ROUND((((TRUNC($AN604/2,0)+0.99))*VLOOKUP((TRUNC($AN604/2,0)+0.99),'Tax scales - NAT 3539'!$A$74:$C$94,2,1)-VLOOKUP((TRUNC($AN604/2,0)+0.99),'Tax scales - NAT 3539'!$A$74:$C$94,3,1)),0)
*2,
0),
IF(AND($E$2="Monthly",ROUND($AN604-TRUNC($AN604),2)=0.33),
ROUND(
ROUND(((TRUNC(($AN604+0.01)*3/13,0)+0.99)*VLOOKUP((TRUNC(($AN604+0.01)*3/13,0)+0.99),'Tax scales - NAT 3539'!$A$74:$C$94,2,1)-VLOOKUP((TRUNC(($AN604+0.01)*3/13,0)+0.99),'Tax scales - NAT 3539'!$A$74:$C$94,3,1)),0)
*13/3,
0),
IF($E$2="Monthly",
ROUND(
ROUND(((TRUNC($AN604*3/13,0)+0.99)*VLOOKUP((TRUNC($AN604*3/13,0)+0.99),'Tax scales - NAT 3539'!$A$74:$C$94,2,1)-VLOOKUP((TRUNC($AN604*3/13,0)+0.99),'Tax scales - NAT 3539'!$A$74:$C$94,3,1)),0)
*13/3,
0),
""))),
""),
"")</f>
        <v/>
      </c>
      <c r="AX604" s="118" t="str">
        <f>IFERROR(
IF(VLOOKUP($C604,'Employee information'!$B:$M,COLUMNS('Employee information'!$B:$M),0)=55,
IF($E$2="Fortnightly",
ROUND(
ROUND((((TRUNC($AN604/2,0)+0.99))*VLOOKUP((TRUNC($AN604/2,0)+0.99),'Tax scales - NAT 3539'!$A$99:$C$123,2,1)-VLOOKUP((TRUNC($AN604/2,0)+0.99),'Tax scales - NAT 3539'!$A$99:$C$123,3,1)),0)
*2,
0),
IF(AND($E$2="Monthly",ROUND($AN604-TRUNC($AN604),2)=0.33),
ROUND(
ROUND(((TRUNC(($AN604+0.01)*3/13,0)+0.99)*VLOOKUP((TRUNC(($AN604+0.01)*3/13,0)+0.99),'Tax scales - NAT 3539'!$A$99:$C$123,2,1)-VLOOKUP((TRUNC(($AN604+0.01)*3/13,0)+0.99),'Tax scales - NAT 3539'!$A$99:$C$123,3,1)),0)
*13/3,
0),
IF($E$2="Monthly",
ROUND(
ROUND(((TRUNC($AN604*3/13,0)+0.99)*VLOOKUP((TRUNC($AN604*3/13,0)+0.99),'Tax scales - NAT 3539'!$A$99:$C$123,2,1)-VLOOKUP((TRUNC($AN604*3/13,0)+0.99),'Tax scales - NAT 3539'!$A$99:$C$123,3,1)),0)
*13/3,
0),
""))),
""),
"")</f>
        <v/>
      </c>
      <c r="AY604" s="118" t="str">
        <f>IFERROR(
IF(VLOOKUP($C604,'Employee information'!$B:$M,COLUMNS('Employee information'!$B:$M),0)=66,
IF($E$2="Fortnightly",
ROUND(
ROUND((((TRUNC($AN604/2,0)+0.99))*VLOOKUP((TRUNC($AN604/2,0)+0.99),'Tax scales - NAT 3539'!$A$127:$C$154,2,1)-VLOOKUP((TRUNC($AN604/2,0)+0.99),'Tax scales - NAT 3539'!$A$127:$C$154,3,1)),0)
*2,
0),
IF(AND($E$2="Monthly",ROUND($AN604-TRUNC($AN604),2)=0.33),
ROUND(
ROUND(((TRUNC(($AN604+0.01)*3/13,0)+0.99)*VLOOKUP((TRUNC(($AN604+0.01)*3/13,0)+0.99),'Tax scales - NAT 3539'!$A$127:$C$154,2,1)-VLOOKUP((TRUNC(($AN604+0.01)*3/13,0)+0.99),'Tax scales - NAT 3539'!$A$127:$C$154,3,1)),0)
*13/3,
0),
IF($E$2="Monthly",
ROUND(
ROUND(((TRUNC($AN604*3/13,0)+0.99)*VLOOKUP((TRUNC($AN604*3/13,0)+0.99),'Tax scales - NAT 3539'!$A$127:$C$154,2,1)-VLOOKUP((TRUNC($AN604*3/13,0)+0.99),'Tax scales - NAT 3539'!$A$127:$C$154,3,1)),0)
*13/3,
0),
""))),
""),
"")</f>
        <v/>
      </c>
      <c r="AZ604" s="118">
        <f>IFERROR(
HLOOKUP(VLOOKUP($C604,'Employee information'!$B:$M,COLUMNS('Employee information'!$B:$M),0),'PAYG worksheet'!$AO$590:$AY$609,COUNTA($C$591:$C604)+1,0),
0)</f>
        <v>0</v>
      </c>
      <c r="BA604" s="118"/>
      <c r="BB604" s="118">
        <f t="shared" si="635"/>
        <v>0</v>
      </c>
      <c r="BC604" s="119">
        <f>IFERROR(
IF(OR($AE604=1,$AE604=""),SUM($P604,$AA604,$AC604,$AK604)*VLOOKUP($C604,'Employee information'!$B:$Q,COLUMNS('Employee information'!$B:$H),0),
IF($AE604=0,SUM($P604,$AA604,$AK604)*VLOOKUP($C604,'Employee information'!$B:$Q,COLUMNS('Employee information'!$B:$H),0),
0)),
0)</f>
        <v>0</v>
      </c>
      <c r="BE604" s="114">
        <f t="shared" si="620"/>
        <v>0</v>
      </c>
      <c r="BF604" s="114">
        <f t="shared" si="621"/>
        <v>0</v>
      </c>
      <c r="BG604" s="114">
        <f t="shared" si="622"/>
        <v>0</v>
      </c>
      <c r="BH604" s="114">
        <f t="shared" si="623"/>
        <v>0</v>
      </c>
      <c r="BI604" s="114">
        <f t="shared" si="624"/>
        <v>0</v>
      </c>
      <c r="BJ604" s="114">
        <f t="shared" si="625"/>
        <v>0</v>
      </c>
      <c r="BK604" s="114">
        <f t="shared" si="626"/>
        <v>0</v>
      </c>
      <c r="BL604" s="114">
        <f t="shared" si="636"/>
        <v>0</v>
      </c>
      <c r="BM604" s="114">
        <f t="shared" si="627"/>
        <v>0</v>
      </c>
    </row>
    <row r="605" spans="1:65" x14ac:dyDescent="0.25">
      <c r="A605" s="228">
        <f t="shared" si="615"/>
        <v>21</v>
      </c>
      <c r="C605" s="278"/>
      <c r="E605" s="103">
        <f>IF($C605="",0,
IF(AND($E$2="Monthly",$A605&gt;12),0,
IF($E$2="Monthly",VLOOKUP($C605,'Employee information'!$B:$AM,COLUMNS('Employee information'!$B:S),0),
IF($E$2="Fortnightly",VLOOKUP($C605,'Employee information'!$B:$AM,COLUMNS('Employee information'!$B:R),0),
0))))</f>
        <v>0</v>
      </c>
      <c r="F605" s="106"/>
      <c r="G605" s="106"/>
      <c r="H605" s="106"/>
      <c r="I605" s="106"/>
      <c r="J605" s="103">
        <f t="shared" si="628"/>
        <v>0</v>
      </c>
      <c r="L605" s="113">
        <f>IF(AND($E$2="Monthly",$A605&gt;12),"",
IFERROR($J605*VLOOKUP($C605,'Employee information'!$B:$AI,COLUMNS('Employee information'!$B:$P),0),0))</f>
        <v>0</v>
      </c>
      <c r="M605" s="114">
        <f t="shared" si="629"/>
        <v>0</v>
      </c>
      <c r="O605" s="103">
        <f t="shared" si="630"/>
        <v>0</v>
      </c>
      <c r="P605" s="113">
        <f>IFERROR(
IF(AND($E$2="Monthly",$A605&gt;12),0,
$O605*VLOOKUP($C605,'Employee information'!$B:$AI,COLUMNS('Employee information'!$B:$P),0)),
0)</f>
        <v>0</v>
      </c>
      <c r="R605" s="114">
        <f t="shared" si="616"/>
        <v>0</v>
      </c>
      <c r="T605" s="103"/>
      <c r="U605" s="103"/>
      <c r="V605" s="282" t="str">
        <f>IF($C605="","",
IF(AND($E$2="Monthly",$A605&gt;12),"",
$T605*VLOOKUP($C605,'Employee information'!$B:$P,COLUMNS('Employee information'!$B:$P),0)))</f>
        <v/>
      </c>
      <c r="W605" s="282" t="str">
        <f>IF($C605="","",
IF(AND($E$2="Monthly",$A605&gt;12),"",
$U605*VLOOKUP($C605,'Employee information'!$B:$P,COLUMNS('Employee information'!$B:$P),0)))</f>
        <v/>
      </c>
      <c r="X605" s="114">
        <f t="shared" si="617"/>
        <v>0</v>
      </c>
      <c r="Y605" s="114">
        <f t="shared" si="618"/>
        <v>0</v>
      </c>
      <c r="AA605" s="118">
        <f>IFERROR(
IF(OR('Basic payroll data'!$D$12="",'Basic payroll data'!$D$12="No"),0,
$T605*VLOOKUP($C605,'Employee information'!$B:$P,COLUMNS('Employee information'!$B:$P),0)*AL_loading_perc),
0)</f>
        <v>0</v>
      </c>
      <c r="AC605" s="118"/>
      <c r="AD605" s="118"/>
      <c r="AE605" s="283" t="str">
        <f t="shared" si="631"/>
        <v/>
      </c>
      <c r="AF605" s="283" t="str">
        <f t="shared" si="632"/>
        <v/>
      </c>
      <c r="AG605" s="118"/>
      <c r="AH605" s="118"/>
      <c r="AI605" s="283" t="str">
        <f t="shared" si="633"/>
        <v/>
      </c>
      <c r="AJ605" s="118"/>
      <c r="AK605" s="118"/>
      <c r="AM605" s="118">
        <f t="shared" si="634"/>
        <v>0</v>
      </c>
      <c r="AN605" s="118">
        <f t="shared" si="619"/>
        <v>0</v>
      </c>
      <c r="AO605" s="118" t="str">
        <f>IFERROR(
IF(VLOOKUP($C605,'Employee information'!$B:$M,COLUMNS('Employee information'!$B:$M),0)=1,
IF($E$2="Fortnightly",
ROUND(
ROUND((((TRUNC($AN605/2,0)+0.99))*VLOOKUP((TRUNC($AN605/2,0)+0.99),'Tax scales - NAT 1004'!$A$12:$C$18,2,1)-VLOOKUP((TRUNC($AN605/2,0)+0.99),'Tax scales - NAT 1004'!$A$12:$C$18,3,1)),0)
*2,
0),
IF(AND($E$2="Monthly",ROUND($AN605-TRUNC($AN605),2)=0.33),
ROUND(
ROUND(((TRUNC(($AN605+0.01)*3/13,0)+0.99)*VLOOKUP((TRUNC(($AN605+0.01)*3/13,0)+0.99),'Tax scales - NAT 1004'!$A$12:$C$18,2,1)-VLOOKUP((TRUNC(($AN605+0.01)*3/13,0)+0.99),'Tax scales - NAT 1004'!$A$12:$C$18,3,1)),0)
*13/3,
0),
IF($E$2="Monthly",
ROUND(
ROUND(((TRUNC($AN605*3/13,0)+0.99)*VLOOKUP((TRUNC($AN605*3/13,0)+0.99),'Tax scales - NAT 1004'!$A$12:$C$18,2,1)-VLOOKUP((TRUNC($AN605*3/13,0)+0.99),'Tax scales - NAT 1004'!$A$12:$C$18,3,1)),0)
*13/3,
0),
""))),
""),
"")</f>
        <v/>
      </c>
      <c r="AP605" s="118" t="str">
        <f>IFERROR(
IF(VLOOKUP($C605,'Employee information'!$B:$M,COLUMNS('Employee information'!$B:$M),0)=2,
IF($E$2="Fortnightly",
ROUND(
ROUND((((TRUNC($AN605/2,0)+0.99))*VLOOKUP((TRUNC($AN605/2,0)+0.99),'Tax scales - NAT 1004'!$A$25:$C$33,2,1)-VLOOKUP((TRUNC($AN605/2,0)+0.99),'Tax scales - NAT 1004'!$A$25:$C$33,3,1)),0)
*2,
0),
IF(AND($E$2="Monthly",ROUND($AN605-TRUNC($AN605),2)=0.33),
ROUND(
ROUND(((TRUNC(($AN605+0.01)*3/13,0)+0.99)*VLOOKUP((TRUNC(($AN605+0.01)*3/13,0)+0.99),'Tax scales - NAT 1004'!$A$25:$C$33,2,1)-VLOOKUP((TRUNC(($AN605+0.01)*3/13,0)+0.99),'Tax scales - NAT 1004'!$A$25:$C$33,3,1)),0)
*13/3,
0),
IF($E$2="Monthly",
ROUND(
ROUND(((TRUNC($AN605*3/13,0)+0.99)*VLOOKUP((TRUNC($AN605*3/13,0)+0.99),'Tax scales - NAT 1004'!$A$25:$C$33,2,1)-VLOOKUP((TRUNC($AN605*3/13,0)+0.99),'Tax scales - NAT 1004'!$A$25:$C$33,3,1)),0)
*13/3,
0),
""))),
""),
"")</f>
        <v/>
      </c>
      <c r="AQ605" s="118" t="str">
        <f>IFERROR(
IF(VLOOKUP($C605,'Employee information'!$B:$M,COLUMNS('Employee information'!$B:$M),0)=3,
IF($E$2="Fortnightly",
ROUND(
ROUND((((TRUNC($AN605/2,0)+0.99))*VLOOKUP((TRUNC($AN605/2,0)+0.99),'Tax scales - NAT 1004'!$A$39:$C$41,2,1)-VLOOKUP((TRUNC($AN605/2,0)+0.99),'Tax scales - NAT 1004'!$A$39:$C$41,3,1)),0)
*2,
0),
IF(AND($E$2="Monthly",ROUND($AN605-TRUNC($AN605),2)=0.33),
ROUND(
ROUND(((TRUNC(($AN605+0.01)*3/13,0)+0.99)*VLOOKUP((TRUNC(($AN605+0.01)*3/13,0)+0.99),'Tax scales - NAT 1004'!$A$39:$C$41,2,1)-VLOOKUP((TRUNC(($AN605+0.01)*3/13,0)+0.99),'Tax scales - NAT 1004'!$A$39:$C$41,3,1)),0)
*13/3,
0),
IF($E$2="Monthly",
ROUND(
ROUND(((TRUNC($AN605*3/13,0)+0.99)*VLOOKUP((TRUNC($AN605*3/13,0)+0.99),'Tax scales - NAT 1004'!$A$39:$C$41,2,1)-VLOOKUP((TRUNC($AN605*3/13,0)+0.99),'Tax scales - NAT 1004'!$A$39:$C$41,3,1)),0)
*13/3,
0),
""))),
""),
"")</f>
        <v/>
      </c>
      <c r="AR605" s="118" t="str">
        <f>IFERROR(
IF(AND(VLOOKUP($C605,'Employee information'!$B:$M,COLUMNS('Employee information'!$B:$M),0)=4,
VLOOKUP($C605,'Employee information'!$B:$J,COLUMNS('Employee information'!$B:$J),0)="Resident"),
TRUNC(TRUNC($AN605)*'Tax scales - NAT 1004'!$B$47),
IF(AND(VLOOKUP($C605,'Employee information'!$B:$M,COLUMNS('Employee information'!$B:$M),0)=4,
VLOOKUP($C605,'Employee information'!$B:$J,COLUMNS('Employee information'!$B:$J),0)="Foreign resident"),
TRUNC(TRUNC($AN605)*'Tax scales - NAT 1004'!$B$48),
"")),
"")</f>
        <v/>
      </c>
      <c r="AS605" s="118" t="str">
        <f>IFERROR(
IF(VLOOKUP($C605,'Employee information'!$B:$M,COLUMNS('Employee information'!$B:$M),0)=5,
IF($E$2="Fortnightly",
ROUND(
ROUND((((TRUNC($AN605/2,0)+0.99))*VLOOKUP((TRUNC($AN605/2,0)+0.99),'Tax scales - NAT 1004'!$A$53:$C$59,2,1)-VLOOKUP((TRUNC($AN605/2,0)+0.99),'Tax scales - NAT 1004'!$A$53:$C$59,3,1)),0)
*2,
0),
IF(AND($E$2="Monthly",ROUND($AN605-TRUNC($AN605),2)=0.33),
ROUND(
ROUND(((TRUNC(($AN605+0.01)*3/13,0)+0.99)*VLOOKUP((TRUNC(($AN605+0.01)*3/13,0)+0.99),'Tax scales - NAT 1004'!$A$53:$C$59,2,1)-VLOOKUP((TRUNC(($AN605+0.01)*3/13,0)+0.99),'Tax scales - NAT 1004'!$A$53:$C$59,3,1)),0)
*13/3,
0),
IF($E$2="Monthly",
ROUND(
ROUND(((TRUNC($AN605*3/13,0)+0.99)*VLOOKUP((TRUNC($AN605*3/13,0)+0.99),'Tax scales - NAT 1004'!$A$53:$C$59,2,1)-VLOOKUP((TRUNC($AN605*3/13,0)+0.99),'Tax scales - NAT 1004'!$A$53:$C$59,3,1)),0)
*13/3,
0),
""))),
""),
"")</f>
        <v/>
      </c>
      <c r="AT605" s="118" t="str">
        <f>IFERROR(
IF(VLOOKUP($C605,'Employee information'!$B:$M,COLUMNS('Employee information'!$B:$M),0)=6,
IF($E$2="Fortnightly",
ROUND(
ROUND((((TRUNC($AN605/2,0)+0.99))*VLOOKUP((TRUNC($AN605/2,0)+0.99),'Tax scales - NAT 1004'!$A$65:$C$73,2,1)-VLOOKUP((TRUNC($AN605/2,0)+0.99),'Tax scales - NAT 1004'!$A$65:$C$73,3,1)),0)
*2,
0),
IF(AND($E$2="Monthly",ROUND($AN605-TRUNC($AN605),2)=0.33),
ROUND(
ROUND(((TRUNC(($AN605+0.01)*3/13,0)+0.99)*VLOOKUP((TRUNC(($AN605+0.01)*3/13,0)+0.99),'Tax scales - NAT 1004'!$A$65:$C$73,2,1)-VLOOKUP((TRUNC(($AN605+0.01)*3/13,0)+0.99),'Tax scales - NAT 1004'!$A$65:$C$73,3,1)),0)
*13/3,
0),
IF($E$2="Monthly",
ROUND(
ROUND(((TRUNC($AN605*3/13,0)+0.99)*VLOOKUP((TRUNC($AN605*3/13,0)+0.99),'Tax scales - NAT 1004'!$A$65:$C$73,2,1)-VLOOKUP((TRUNC($AN605*3/13,0)+0.99),'Tax scales - NAT 1004'!$A$65:$C$73,3,1)),0)
*13/3,
0),
""))),
""),
"")</f>
        <v/>
      </c>
      <c r="AU605" s="118" t="str">
        <f>IFERROR(
IF(VLOOKUP($C605,'Employee information'!$B:$M,COLUMNS('Employee information'!$B:$M),0)=11,
IF($E$2="Fortnightly",
ROUND(
ROUND((((TRUNC($AN605/2,0)+0.99))*VLOOKUP((TRUNC($AN605/2,0)+0.99),'Tax scales - NAT 3539'!$A$14:$C$38,2,1)-VLOOKUP((TRUNC($AN605/2,0)+0.99),'Tax scales - NAT 3539'!$A$14:$C$38,3,1)),0)
*2,
0),
IF(AND($E$2="Monthly",ROUND($AN605-TRUNC($AN605),2)=0.33),
ROUND(
ROUND(((TRUNC(($AN605+0.01)*3/13,0)+0.99)*VLOOKUP((TRUNC(($AN605+0.01)*3/13,0)+0.99),'Tax scales - NAT 3539'!$A$14:$C$38,2,1)-VLOOKUP((TRUNC(($AN605+0.01)*3/13,0)+0.99),'Tax scales - NAT 3539'!$A$14:$C$38,3,1)),0)
*13/3,
0),
IF($E$2="Monthly",
ROUND(
ROUND(((TRUNC($AN605*3/13,0)+0.99)*VLOOKUP((TRUNC($AN605*3/13,0)+0.99),'Tax scales - NAT 3539'!$A$14:$C$38,2,1)-VLOOKUP((TRUNC($AN605*3/13,0)+0.99),'Tax scales - NAT 3539'!$A$14:$C$38,3,1)),0)
*13/3,
0),
""))),
""),
"")</f>
        <v/>
      </c>
      <c r="AV605" s="118" t="str">
        <f>IFERROR(
IF(VLOOKUP($C605,'Employee information'!$B:$M,COLUMNS('Employee information'!$B:$M),0)=22,
IF($E$2="Fortnightly",
ROUND(
ROUND((((TRUNC($AN605/2,0)+0.99))*VLOOKUP((TRUNC($AN605/2,0)+0.99),'Tax scales - NAT 3539'!$A$43:$C$69,2,1)-VLOOKUP((TRUNC($AN605/2,0)+0.99),'Tax scales - NAT 3539'!$A$43:$C$69,3,1)),0)
*2,
0),
IF(AND($E$2="Monthly",ROUND($AN605-TRUNC($AN605),2)=0.33),
ROUND(
ROUND(((TRUNC(($AN605+0.01)*3/13,0)+0.99)*VLOOKUP((TRUNC(($AN605+0.01)*3/13,0)+0.99),'Tax scales - NAT 3539'!$A$43:$C$69,2,1)-VLOOKUP((TRUNC(($AN605+0.01)*3/13,0)+0.99),'Tax scales - NAT 3539'!$A$43:$C$69,3,1)),0)
*13/3,
0),
IF($E$2="Monthly",
ROUND(
ROUND(((TRUNC($AN605*3/13,0)+0.99)*VLOOKUP((TRUNC($AN605*3/13,0)+0.99),'Tax scales - NAT 3539'!$A$43:$C$69,2,1)-VLOOKUP((TRUNC($AN605*3/13,0)+0.99),'Tax scales - NAT 3539'!$A$43:$C$69,3,1)),0)
*13/3,
0),
""))),
""),
"")</f>
        <v/>
      </c>
      <c r="AW605" s="118" t="str">
        <f>IFERROR(
IF(VLOOKUP($C605,'Employee information'!$B:$M,COLUMNS('Employee information'!$B:$M),0)=33,
IF($E$2="Fortnightly",
ROUND(
ROUND((((TRUNC($AN605/2,0)+0.99))*VLOOKUP((TRUNC($AN605/2,0)+0.99),'Tax scales - NAT 3539'!$A$74:$C$94,2,1)-VLOOKUP((TRUNC($AN605/2,0)+0.99),'Tax scales - NAT 3539'!$A$74:$C$94,3,1)),0)
*2,
0),
IF(AND($E$2="Monthly",ROUND($AN605-TRUNC($AN605),2)=0.33),
ROUND(
ROUND(((TRUNC(($AN605+0.01)*3/13,0)+0.99)*VLOOKUP((TRUNC(($AN605+0.01)*3/13,0)+0.99),'Tax scales - NAT 3539'!$A$74:$C$94,2,1)-VLOOKUP((TRUNC(($AN605+0.01)*3/13,0)+0.99),'Tax scales - NAT 3539'!$A$74:$C$94,3,1)),0)
*13/3,
0),
IF($E$2="Monthly",
ROUND(
ROUND(((TRUNC($AN605*3/13,0)+0.99)*VLOOKUP((TRUNC($AN605*3/13,0)+0.99),'Tax scales - NAT 3539'!$A$74:$C$94,2,1)-VLOOKUP((TRUNC($AN605*3/13,0)+0.99),'Tax scales - NAT 3539'!$A$74:$C$94,3,1)),0)
*13/3,
0),
""))),
""),
"")</f>
        <v/>
      </c>
      <c r="AX605" s="118" t="str">
        <f>IFERROR(
IF(VLOOKUP($C605,'Employee information'!$B:$M,COLUMNS('Employee information'!$B:$M),0)=55,
IF($E$2="Fortnightly",
ROUND(
ROUND((((TRUNC($AN605/2,0)+0.99))*VLOOKUP((TRUNC($AN605/2,0)+0.99),'Tax scales - NAT 3539'!$A$99:$C$123,2,1)-VLOOKUP((TRUNC($AN605/2,0)+0.99),'Tax scales - NAT 3539'!$A$99:$C$123,3,1)),0)
*2,
0),
IF(AND($E$2="Monthly",ROUND($AN605-TRUNC($AN605),2)=0.33),
ROUND(
ROUND(((TRUNC(($AN605+0.01)*3/13,0)+0.99)*VLOOKUP((TRUNC(($AN605+0.01)*3/13,0)+0.99),'Tax scales - NAT 3539'!$A$99:$C$123,2,1)-VLOOKUP((TRUNC(($AN605+0.01)*3/13,0)+0.99),'Tax scales - NAT 3539'!$A$99:$C$123,3,1)),0)
*13/3,
0),
IF($E$2="Monthly",
ROUND(
ROUND(((TRUNC($AN605*3/13,0)+0.99)*VLOOKUP((TRUNC($AN605*3/13,0)+0.99),'Tax scales - NAT 3539'!$A$99:$C$123,2,1)-VLOOKUP((TRUNC($AN605*3/13,0)+0.99),'Tax scales - NAT 3539'!$A$99:$C$123,3,1)),0)
*13/3,
0),
""))),
""),
"")</f>
        <v/>
      </c>
      <c r="AY605" s="118" t="str">
        <f>IFERROR(
IF(VLOOKUP($C605,'Employee information'!$B:$M,COLUMNS('Employee information'!$B:$M),0)=66,
IF($E$2="Fortnightly",
ROUND(
ROUND((((TRUNC($AN605/2,0)+0.99))*VLOOKUP((TRUNC($AN605/2,0)+0.99),'Tax scales - NAT 3539'!$A$127:$C$154,2,1)-VLOOKUP((TRUNC($AN605/2,0)+0.99),'Tax scales - NAT 3539'!$A$127:$C$154,3,1)),0)
*2,
0),
IF(AND($E$2="Monthly",ROUND($AN605-TRUNC($AN605),2)=0.33),
ROUND(
ROUND(((TRUNC(($AN605+0.01)*3/13,0)+0.99)*VLOOKUP((TRUNC(($AN605+0.01)*3/13,0)+0.99),'Tax scales - NAT 3539'!$A$127:$C$154,2,1)-VLOOKUP((TRUNC(($AN605+0.01)*3/13,0)+0.99),'Tax scales - NAT 3539'!$A$127:$C$154,3,1)),0)
*13/3,
0),
IF($E$2="Monthly",
ROUND(
ROUND(((TRUNC($AN605*3/13,0)+0.99)*VLOOKUP((TRUNC($AN605*3/13,0)+0.99),'Tax scales - NAT 3539'!$A$127:$C$154,2,1)-VLOOKUP((TRUNC($AN605*3/13,0)+0.99),'Tax scales - NAT 3539'!$A$127:$C$154,3,1)),0)
*13/3,
0),
""))),
""),
"")</f>
        <v/>
      </c>
      <c r="AZ605" s="118">
        <f>IFERROR(
HLOOKUP(VLOOKUP($C605,'Employee information'!$B:$M,COLUMNS('Employee information'!$B:$M),0),'PAYG worksheet'!$AO$590:$AY$609,COUNTA($C$591:$C605)+1,0),
0)</f>
        <v>0</v>
      </c>
      <c r="BA605" s="118"/>
      <c r="BB605" s="118">
        <f t="shared" si="635"/>
        <v>0</v>
      </c>
      <c r="BC605" s="119">
        <f>IFERROR(
IF(OR($AE605=1,$AE605=""),SUM($P605,$AA605,$AC605,$AK605)*VLOOKUP($C605,'Employee information'!$B:$Q,COLUMNS('Employee information'!$B:$H),0),
IF($AE605=0,SUM($P605,$AA605,$AK605)*VLOOKUP($C605,'Employee information'!$B:$Q,COLUMNS('Employee information'!$B:$H),0),
0)),
0)</f>
        <v>0</v>
      </c>
      <c r="BE605" s="114">
        <f t="shared" si="620"/>
        <v>0</v>
      </c>
      <c r="BF605" s="114">
        <f t="shared" si="621"/>
        <v>0</v>
      </c>
      <c r="BG605" s="114">
        <f t="shared" si="622"/>
        <v>0</v>
      </c>
      <c r="BH605" s="114">
        <f t="shared" si="623"/>
        <v>0</v>
      </c>
      <c r="BI605" s="114">
        <f t="shared" si="624"/>
        <v>0</v>
      </c>
      <c r="BJ605" s="114">
        <f t="shared" si="625"/>
        <v>0</v>
      </c>
      <c r="BK605" s="114">
        <f t="shared" si="626"/>
        <v>0</v>
      </c>
      <c r="BL605" s="114">
        <f t="shared" si="636"/>
        <v>0</v>
      </c>
      <c r="BM605" s="114">
        <f t="shared" si="627"/>
        <v>0</v>
      </c>
    </row>
    <row r="606" spans="1:65" x14ac:dyDescent="0.25">
      <c r="A606" s="228">
        <f t="shared" si="615"/>
        <v>21</v>
      </c>
      <c r="C606" s="278"/>
      <c r="E606" s="103">
        <f>IF($C606="",0,
IF(AND($E$2="Monthly",$A606&gt;12),0,
IF($E$2="Monthly",VLOOKUP($C606,'Employee information'!$B:$AM,COLUMNS('Employee information'!$B:S),0),
IF($E$2="Fortnightly",VLOOKUP($C606,'Employee information'!$B:$AM,COLUMNS('Employee information'!$B:R),0),
0))))</f>
        <v>0</v>
      </c>
      <c r="F606" s="106"/>
      <c r="G606" s="106"/>
      <c r="H606" s="106"/>
      <c r="I606" s="106"/>
      <c r="J606" s="103">
        <f t="shared" si="628"/>
        <v>0</v>
      </c>
      <c r="L606" s="113">
        <f>IF(AND($E$2="Monthly",$A606&gt;12),"",
IFERROR($J606*VLOOKUP($C606,'Employee information'!$B:$AI,COLUMNS('Employee information'!$B:$P),0),0))</f>
        <v>0</v>
      </c>
      <c r="M606" s="114">
        <f t="shared" si="629"/>
        <v>0</v>
      </c>
      <c r="O606" s="103">
        <f t="shared" si="630"/>
        <v>0</v>
      </c>
      <c r="P606" s="113">
        <f>IFERROR(
IF(AND($E$2="Monthly",$A606&gt;12),0,
$O606*VLOOKUP($C606,'Employee information'!$B:$AI,COLUMNS('Employee information'!$B:$P),0)),
0)</f>
        <v>0</v>
      </c>
      <c r="R606" s="114">
        <f t="shared" si="616"/>
        <v>0</v>
      </c>
      <c r="T606" s="103"/>
      <c r="U606" s="103"/>
      <c r="V606" s="282" t="str">
        <f>IF($C606="","",
IF(AND($E$2="Monthly",$A606&gt;12),"",
$T606*VLOOKUP($C606,'Employee information'!$B:$P,COLUMNS('Employee information'!$B:$P),0)))</f>
        <v/>
      </c>
      <c r="W606" s="282" t="str">
        <f>IF($C606="","",
IF(AND($E$2="Monthly",$A606&gt;12),"",
$U606*VLOOKUP($C606,'Employee information'!$B:$P,COLUMNS('Employee information'!$B:$P),0)))</f>
        <v/>
      </c>
      <c r="X606" s="114">
        <f t="shared" si="617"/>
        <v>0</v>
      </c>
      <c r="Y606" s="114">
        <f t="shared" si="618"/>
        <v>0</v>
      </c>
      <c r="AA606" s="118">
        <f>IFERROR(
IF(OR('Basic payroll data'!$D$12="",'Basic payroll data'!$D$12="No"),0,
$T606*VLOOKUP($C606,'Employee information'!$B:$P,COLUMNS('Employee information'!$B:$P),0)*AL_loading_perc),
0)</f>
        <v>0</v>
      </c>
      <c r="AC606" s="118"/>
      <c r="AD606" s="118"/>
      <c r="AE606" s="283" t="str">
        <f t="shared" si="631"/>
        <v/>
      </c>
      <c r="AF606" s="283" t="str">
        <f t="shared" si="632"/>
        <v/>
      </c>
      <c r="AG606" s="118"/>
      <c r="AH606" s="118"/>
      <c r="AI606" s="283" t="str">
        <f t="shared" si="633"/>
        <v/>
      </c>
      <c r="AJ606" s="118"/>
      <c r="AK606" s="118"/>
      <c r="AM606" s="118">
        <f t="shared" si="634"/>
        <v>0</v>
      </c>
      <c r="AN606" s="118">
        <f t="shared" si="619"/>
        <v>0</v>
      </c>
      <c r="AO606" s="118" t="str">
        <f>IFERROR(
IF(VLOOKUP($C606,'Employee information'!$B:$M,COLUMNS('Employee information'!$B:$M),0)=1,
IF($E$2="Fortnightly",
ROUND(
ROUND((((TRUNC($AN606/2,0)+0.99))*VLOOKUP((TRUNC($AN606/2,0)+0.99),'Tax scales - NAT 1004'!$A$12:$C$18,2,1)-VLOOKUP((TRUNC($AN606/2,0)+0.99),'Tax scales - NAT 1004'!$A$12:$C$18,3,1)),0)
*2,
0),
IF(AND($E$2="Monthly",ROUND($AN606-TRUNC($AN606),2)=0.33),
ROUND(
ROUND(((TRUNC(($AN606+0.01)*3/13,0)+0.99)*VLOOKUP((TRUNC(($AN606+0.01)*3/13,0)+0.99),'Tax scales - NAT 1004'!$A$12:$C$18,2,1)-VLOOKUP((TRUNC(($AN606+0.01)*3/13,0)+0.99),'Tax scales - NAT 1004'!$A$12:$C$18,3,1)),0)
*13/3,
0),
IF($E$2="Monthly",
ROUND(
ROUND(((TRUNC($AN606*3/13,0)+0.99)*VLOOKUP((TRUNC($AN606*3/13,0)+0.99),'Tax scales - NAT 1004'!$A$12:$C$18,2,1)-VLOOKUP((TRUNC($AN606*3/13,0)+0.99),'Tax scales - NAT 1004'!$A$12:$C$18,3,1)),0)
*13/3,
0),
""))),
""),
"")</f>
        <v/>
      </c>
      <c r="AP606" s="118" t="str">
        <f>IFERROR(
IF(VLOOKUP($C606,'Employee information'!$B:$M,COLUMNS('Employee information'!$B:$M),0)=2,
IF($E$2="Fortnightly",
ROUND(
ROUND((((TRUNC($AN606/2,0)+0.99))*VLOOKUP((TRUNC($AN606/2,0)+0.99),'Tax scales - NAT 1004'!$A$25:$C$33,2,1)-VLOOKUP((TRUNC($AN606/2,0)+0.99),'Tax scales - NAT 1004'!$A$25:$C$33,3,1)),0)
*2,
0),
IF(AND($E$2="Monthly",ROUND($AN606-TRUNC($AN606),2)=0.33),
ROUND(
ROUND(((TRUNC(($AN606+0.01)*3/13,0)+0.99)*VLOOKUP((TRUNC(($AN606+0.01)*3/13,0)+0.99),'Tax scales - NAT 1004'!$A$25:$C$33,2,1)-VLOOKUP((TRUNC(($AN606+0.01)*3/13,0)+0.99),'Tax scales - NAT 1004'!$A$25:$C$33,3,1)),0)
*13/3,
0),
IF($E$2="Monthly",
ROUND(
ROUND(((TRUNC($AN606*3/13,0)+0.99)*VLOOKUP((TRUNC($AN606*3/13,0)+0.99),'Tax scales - NAT 1004'!$A$25:$C$33,2,1)-VLOOKUP((TRUNC($AN606*3/13,0)+0.99),'Tax scales - NAT 1004'!$A$25:$C$33,3,1)),0)
*13/3,
0),
""))),
""),
"")</f>
        <v/>
      </c>
      <c r="AQ606" s="118" t="str">
        <f>IFERROR(
IF(VLOOKUP($C606,'Employee information'!$B:$M,COLUMNS('Employee information'!$B:$M),0)=3,
IF($E$2="Fortnightly",
ROUND(
ROUND((((TRUNC($AN606/2,0)+0.99))*VLOOKUP((TRUNC($AN606/2,0)+0.99),'Tax scales - NAT 1004'!$A$39:$C$41,2,1)-VLOOKUP((TRUNC($AN606/2,0)+0.99),'Tax scales - NAT 1004'!$A$39:$C$41,3,1)),0)
*2,
0),
IF(AND($E$2="Monthly",ROUND($AN606-TRUNC($AN606),2)=0.33),
ROUND(
ROUND(((TRUNC(($AN606+0.01)*3/13,0)+0.99)*VLOOKUP((TRUNC(($AN606+0.01)*3/13,0)+0.99),'Tax scales - NAT 1004'!$A$39:$C$41,2,1)-VLOOKUP((TRUNC(($AN606+0.01)*3/13,0)+0.99),'Tax scales - NAT 1004'!$A$39:$C$41,3,1)),0)
*13/3,
0),
IF($E$2="Monthly",
ROUND(
ROUND(((TRUNC($AN606*3/13,0)+0.99)*VLOOKUP((TRUNC($AN606*3/13,0)+0.99),'Tax scales - NAT 1004'!$A$39:$C$41,2,1)-VLOOKUP((TRUNC($AN606*3/13,0)+0.99),'Tax scales - NAT 1004'!$A$39:$C$41,3,1)),0)
*13/3,
0),
""))),
""),
"")</f>
        <v/>
      </c>
      <c r="AR606" s="118" t="str">
        <f>IFERROR(
IF(AND(VLOOKUP($C606,'Employee information'!$B:$M,COLUMNS('Employee information'!$B:$M),0)=4,
VLOOKUP($C606,'Employee information'!$B:$J,COLUMNS('Employee information'!$B:$J),0)="Resident"),
TRUNC(TRUNC($AN606)*'Tax scales - NAT 1004'!$B$47),
IF(AND(VLOOKUP($C606,'Employee information'!$B:$M,COLUMNS('Employee information'!$B:$M),0)=4,
VLOOKUP($C606,'Employee information'!$B:$J,COLUMNS('Employee information'!$B:$J),0)="Foreign resident"),
TRUNC(TRUNC($AN606)*'Tax scales - NAT 1004'!$B$48),
"")),
"")</f>
        <v/>
      </c>
      <c r="AS606" s="118" t="str">
        <f>IFERROR(
IF(VLOOKUP($C606,'Employee information'!$B:$M,COLUMNS('Employee information'!$B:$M),0)=5,
IF($E$2="Fortnightly",
ROUND(
ROUND((((TRUNC($AN606/2,0)+0.99))*VLOOKUP((TRUNC($AN606/2,0)+0.99),'Tax scales - NAT 1004'!$A$53:$C$59,2,1)-VLOOKUP((TRUNC($AN606/2,0)+0.99),'Tax scales - NAT 1004'!$A$53:$C$59,3,1)),0)
*2,
0),
IF(AND($E$2="Monthly",ROUND($AN606-TRUNC($AN606),2)=0.33),
ROUND(
ROUND(((TRUNC(($AN606+0.01)*3/13,0)+0.99)*VLOOKUP((TRUNC(($AN606+0.01)*3/13,0)+0.99),'Tax scales - NAT 1004'!$A$53:$C$59,2,1)-VLOOKUP((TRUNC(($AN606+0.01)*3/13,0)+0.99),'Tax scales - NAT 1004'!$A$53:$C$59,3,1)),0)
*13/3,
0),
IF($E$2="Monthly",
ROUND(
ROUND(((TRUNC($AN606*3/13,0)+0.99)*VLOOKUP((TRUNC($AN606*3/13,0)+0.99),'Tax scales - NAT 1004'!$A$53:$C$59,2,1)-VLOOKUP((TRUNC($AN606*3/13,0)+0.99),'Tax scales - NAT 1004'!$A$53:$C$59,3,1)),0)
*13/3,
0),
""))),
""),
"")</f>
        <v/>
      </c>
      <c r="AT606" s="118" t="str">
        <f>IFERROR(
IF(VLOOKUP($C606,'Employee information'!$B:$M,COLUMNS('Employee information'!$B:$M),0)=6,
IF($E$2="Fortnightly",
ROUND(
ROUND((((TRUNC($AN606/2,0)+0.99))*VLOOKUP((TRUNC($AN606/2,0)+0.99),'Tax scales - NAT 1004'!$A$65:$C$73,2,1)-VLOOKUP((TRUNC($AN606/2,0)+0.99),'Tax scales - NAT 1004'!$A$65:$C$73,3,1)),0)
*2,
0),
IF(AND($E$2="Monthly",ROUND($AN606-TRUNC($AN606),2)=0.33),
ROUND(
ROUND(((TRUNC(($AN606+0.01)*3/13,0)+0.99)*VLOOKUP((TRUNC(($AN606+0.01)*3/13,0)+0.99),'Tax scales - NAT 1004'!$A$65:$C$73,2,1)-VLOOKUP((TRUNC(($AN606+0.01)*3/13,0)+0.99),'Tax scales - NAT 1004'!$A$65:$C$73,3,1)),0)
*13/3,
0),
IF($E$2="Monthly",
ROUND(
ROUND(((TRUNC($AN606*3/13,0)+0.99)*VLOOKUP((TRUNC($AN606*3/13,0)+0.99),'Tax scales - NAT 1004'!$A$65:$C$73,2,1)-VLOOKUP((TRUNC($AN606*3/13,0)+0.99),'Tax scales - NAT 1004'!$A$65:$C$73,3,1)),0)
*13/3,
0),
""))),
""),
"")</f>
        <v/>
      </c>
      <c r="AU606" s="118" t="str">
        <f>IFERROR(
IF(VLOOKUP($C606,'Employee information'!$B:$M,COLUMNS('Employee information'!$B:$M),0)=11,
IF($E$2="Fortnightly",
ROUND(
ROUND((((TRUNC($AN606/2,0)+0.99))*VLOOKUP((TRUNC($AN606/2,0)+0.99),'Tax scales - NAT 3539'!$A$14:$C$38,2,1)-VLOOKUP((TRUNC($AN606/2,0)+0.99),'Tax scales - NAT 3539'!$A$14:$C$38,3,1)),0)
*2,
0),
IF(AND($E$2="Monthly",ROUND($AN606-TRUNC($AN606),2)=0.33),
ROUND(
ROUND(((TRUNC(($AN606+0.01)*3/13,0)+0.99)*VLOOKUP((TRUNC(($AN606+0.01)*3/13,0)+0.99),'Tax scales - NAT 3539'!$A$14:$C$38,2,1)-VLOOKUP((TRUNC(($AN606+0.01)*3/13,0)+0.99),'Tax scales - NAT 3539'!$A$14:$C$38,3,1)),0)
*13/3,
0),
IF($E$2="Monthly",
ROUND(
ROUND(((TRUNC($AN606*3/13,0)+0.99)*VLOOKUP((TRUNC($AN606*3/13,0)+0.99),'Tax scales - NAT 3539'!$A$14:$C$38,2,1)-VLOOKUP((TRUNC($AN606*3/13,0)+0.99),'Tax scales - NAT 3539'!$A$14:$C$38,3,1)),0)
*13/3,
0),
""))),
""),
"")</f>
        <v/>
      </c>
      <c r="AV606" s="118" t="str">
        <f>IFERROR(
IF(VLOOKUP($C606,'Employee information'!$B:$M,COLUMNS('Employee information'!$B:$M),0)=22,
IF($E$2="Fortnightly",
ROUND(
ROUND((((TRUNC($AN606/2,0)+0.99))*VLOOKUP((TRUNC($AN606/2,0)+0.99),'Tax scales - NAT 3539'!$A$43:$C$69,2,1)-VLOOKUP((TRUNC($AN606/2,0)+0.99),'Tax scales - NAT 3539'!$A$43:$C$69,3,1)),0)
*2,
0),
IF(AND($E$2="Monthly",ROUND($AN606-TRUNC($AN606),2)=0.33),
ROUND(
ROUND(((TRUNC(($AN606+0.01)*3/13,0)+0.99)*VLOOKUP((TRUNC(($AN606+0.01)*3/13,0)+0.99),'Tax scales - NAT 3539'!$A$43:$C$69,2,1)-VLOOKUP((TRUNC(($AN606+0.01)*3/13,0)+0.99),'Tax scales - NAT 3539'!$A$43:$C$69,3,1)),0)
*13/3,
0),
IF($E$2="Monthly",
ROUND(
ROUND(((TRUNC($AN606*3/13,0)+0.99)*VLOOKUP((TRUNC($AN606*3/13,0)+0.99),'Tax scales - NAT 3539'!$A$43:$C$69,2,1)-VLOOKUP((TRUNC($AN606*3/13,0)+0.99),'Tax scales - NAT 3539'!$A$43:$C$69,3,1)),0)
*13/3,
0),
""))),
""),
"")</f>
        <v/>
      </c>
      <c r="AW606" s="118" t="str">
        <f>IFERROR(
IF(VLOOKUP($C606,'Employee information'!$B:$M,COLUMNS('Employee information'!$B:$M),0)=33,
IF($E$2="Fortnightly",
ROUND(
ROUND((((TRUNC($AN606/2,0)+0.99))*VLOOKUP((TRUNC($AN606/2,0)+0.99),'Tax scales - NAT 3539'!$A$74:$C$94,2,1)-VLOOKUP((TRUNC($AN606/2,0)+0.99),'Tax scales - NAT 3539'!$A$74:$C$94,3,1)),0)
*2,
0),
IF(AND($E$2="Monthly",ROUND($AN606-TRUNC($AN606),2)=0.33),
ROUND(
ROUND(((TRUNC(($AN606+0.01)*3/13,0)+0.99)*VLOOKUP((TRUNC(($AN606+0.01)*3/13,0)+0.99),'Tax scales - NAT 3539'!$A$74:$C$94,2,1)-VLOOKUP((TRUNC(($AN606+0.01)*3/13,0)+0.99),'Tax scales - NAT 3539'!$A$74:$C$94,3,1)),0)
*13/3,
0),
IF($E$2="Monthly",
ROUND(
ROUND(((TRUNC($AN606*3/13,0)+0.99)*VLOOKUP((TRUNC($AN606*3/13,0)+0.99),'Tax scales - NAT 3539'!$A$74:$C$94,2,1)-VLOOKUP((TRUNC($AN606*3/13,0)+0.99),'Tax scales - NAT 3539'!$A$74:$C$94,3,1)),0)
*13/3,
0),
""))),
""),
"")</f>
        <v/>
      </c>
      <c r="AX606" s="118" t="str">
        <f>IFERROR(
IF(VLOOKUP($C606,'Employee information'!$B:$M,COLUMNS('Employee information'!$B:$M),0)=55,
IF($E$2="Fortnightly",
ROUND(
ROUND((((TRUNC($AN606/2,0)+0.99))*VLOOKUP((TRUNC($AN606/2,0)+0.99),'Tax scales - NAT 3539'!$A$99:$C$123,2,1)-VLOOKUP((TRUNC($AN606/2,0)+0.99),'Tax scales - NAT 3539'!$A$99:$C$123,3,1)),0)
*2,
0),
IF(AND($E$2="Monthly",ROUND($AN606-TRUNC($AN606),2)=0.33),
ROUND(
ROUND(((TRUNC(($AN606+0.01)*3/13,0)+0.99)*VLOOKUP((TRUNC(($AN606+0.01)*3/13,0)+0.99),'Tax scales - NAT 3539'!$A$99:$C$123,2,1)-VLOOKUP((TRUNC(($AN606+0.01)*3/13,0)+0.99),'Tax scales - NAT 3539'!$A$99:$C$123,3,1)),0)
*13/3,
0),
IF($E$2="Monthly",
ROUND(
ROUND(((TRUNC($AN606*3/13,0)+0.99)*VLOOKUP((TRUNC($AN606*3/13,0)+0.99),'Tax scales - NAT 3539'!$A$99:$C$123,2,1)-VLOOKUP((TRUNC($AN606*3/13,0)+0.99),'Tax scales - NAT 3539'!$A$99:$C$123,3,1)),0)
*13/3,
0),
""))),
""),
"")</f>
        <v/>
      </c>
      <c r="AY606" s="118" t="str">
        <f>IFERROR(
IF(VLOOKUP($C606,'Employee information'!$B:$M,COLUMNS('Employee information'!$B:$M),0)=66,
IF($E$2="Fortnightly",
ROUND(
ROUND((((TRUNC($AN606/2,0)+0.99))*VLOOKUP((TRUNC($AN606/2,0)+0.99),'Tax scales - NAT 3539'!$A$127:$C$154,2,1)-VLOOKUP((TRUNC($AN606/2,0)+0.99),'Tax scales - NAT 3539'!$A$127:$C$154,3,1)),0)
*2,
0),
IF(AND($E$2="Monthly",ROUND($AN606-TRUNC($AN606),2)=0.33),
ROUND(
ROUND(((TRUNC(($AN606+0.01)*3/13,0)+0.99)*VLOOKUP((TRUNC(($AN606+0.01)*3/13,0)+0.99),'Tax scales - NAT 3539'!$A$127:$C$154,2,1)-VLOOKUP((TRUNC(($AN606+0.01)*3/13,0)+0.99),'Tax scales - NAT 3539'!$A$127:$C$154,3,1)),0)
*13/3,
0),
IF($E$2="Monthly",
ROUND(
ROUND(((TRUNC($AN606*3/13,0)+0.99)*VLOOKUP((TRUNC($AN606*3/13,0)+0.99),'Tax scales - NAT 3539'!$A$127:$C$154,2,1)-VLOOKUP((TRUNC($AN606*3/13,0)+0.99),'Tax scales - NAT 3539'!$A$127:$C$154,3,1)),0)
*13/3,
0),
""))),
""),
"")</f>
        <v/>
      </c>
      <c r="AZ606" s="118">
        <f>IFERROR(
HLOOKUP(VLOOKUP($C606,'Employee information'!$B:$M,COLUMNS('Employee information'!$B:$M),0),'PAYG worksheet'!$AO$590:$AY$609,COUNTA($C$591:$C606)+1,0),
0)</f>
        <v>0</v>
      </c>
      <c r="BA606" s="118"/>
      <c r="BB606" s="118">
        <f t="shared" si="635"/>
        <v>0</v>
      </c>
      <c r="BC606" s="119">
        <f>IFERROR(
IF(OR($AE606=1,$AE606=""),SUM($P606,$AA606,$AC606,$AK606)*VLOOKUP($C606,'Employee information'!$B:$Q,COLUMNS('Employee information'!$B:$H),0),
IF($AE606=0,SUM($P606,$AA606,$AK606)*VLOOKUP($C606,'Employee information'!$B:$Q,COLUMNS('Employee information'!$B:$H),0),
0)),
0)</f>
        <v>0</v>
      </c>
      <c r="BE606" s="114">
        <f t="shared" si="620"/>
        <v>0</v>
      </c>
      <c r="BF606" s="114">
        <f t="shared" si="621"/>
        <v>0</v>
      </c>
      <c r="BG606" s="114">
        <f t="shared" si="622"/>
        <v>0</v>
      </c>
      <c r="BH606" s="114">
        <f t="shared" si="623"/>
        <v>0</v>
      </c>
      <c r="BI606" s="114">
        <f t="shared" si="624"/>
        <v>0</v>
      </c>
      <c r="BJ606" s="114">
        <f t="shared" si="625"/>
        <v>0</v>
      </c>
      <c r="BK606" s="114">
        <f t="shared" si="626"/>
        <v>0</v>
      </c>
      <c r="BL606" s="114">
        <f t="shared" si="636"/>
        <v>0</v>
      </c>
      <c r="BM606" s="114">
        <f t="shared" si="627"/>
        <v>0</v>
      </c>
    </row>
    <row r="607" spans="1:65" x14ac:dyDescent="0.25">
      <c r="A607" s="228">
        <f t="shared" si="615"/>
        <v>21</v>
      </c>
      <c r="C607" s="278"/>
      <c r="E607" s="103">
        <f>IF($C607="",0,
IF(AND($E$2="Monthly",$A607&gt;12),0,
IF($E$2="Monthly",VLOOKUP($C607,'Employee information'!$B:$AM,COLUMNS('Employee information'!$B:S),0),
IF($E$2="Fortnightly",VLOOKUP($C607,'Employee information'!$B:$AM,COLUMNS('Employee information'!$B:R),0),
0))))</f>
        <v>0</v>
      </c>
      <c r="F607" s="106"/>
      <c r="G607" s="106"/>
      <c r="H607" s="106"/>
      <c r="I607" s="106"/>
      <c r="J607" s="103">
        <f t="shared" si="628"/>
        <v>0</v>
      </c>
      <c r="L607" s="113">
        <f>IF(AND($E$2="Monthly",$A607&gt;12),"",
IFERROR($J607*VLOOKUP($C607,'Employee information'!$B:$AI,COLUMNS('Employee information'!$B:$P),0),0))</f>
        <v>0</v>
      </c>
      <c r="M607" s="114">
        <f t="shared" si="629"/>
        <v>0</v>
      </c>
      <c r="O607" s="103">
        <f t="shared" si="630"/>
        <v>0</v>
      </c>
      <c r="P607" s="113">
        <f>IFERROR(
IF(AND($E$2="Monthly",$A607&gt;12),0,
$O607*VLOOKUP($C607,'Employee information'!$B:$AI,COLUMNS('Employee information'!$B:$P),0)),
0)</f>
        <v>0</v>
      </c>
      <c r="R607" s="114">
        <f t="shared" si="616"/>
        <v>0</v>
      </c>
      <c r="T607" s="103"/>
      <c r="U607" s="103"/>
      <c r="V607" s="282" t="str">
        <f>IF($C607="","",
IF(AND($E$2="Monthly",$A607&gt;12),"",
$T607*VLOOKUP($C607,'Employee information'!$B:$P,COLUMNS('Employee information'!$B:$P),0)))</f>
        <v/>
      </c>
      <c r="W607" s="282" t="str">
        <f>IF($C607="","",
IF(AND($E$2="Monthly",$A607&gt;12),"",
$U607*VLOOKUP($C607,'Employee information'!$B:$P,COLUMNS('Employee information'!$B:$P),0)))</f>
        <v/>
      </c>
      <c r="X607" s="114">
        <f t="shared" si="617"/>
        <v>0</v>
      </c>
      <c r="Y607" s="114">
        <f t="shared" si="618"/>
        <v>0</v>
      </c>
      <c r="AA607" s="118">
        <f>IFERROR(
IF(OR('Basic payroll data'!$D$12="",'Basic payroll data'!$D$12="No"),0,
$T607*VLOOKUP($C607,'Employee information'!$B:$P,COLUMNS('Employee information'!$B:$P),0)*AL_loading_perc),
0)</f>
        <v>0</v>
      </c>
      <c r="AC607" s="118"/>
      <c r="AD607" s="118"/>
      <c r="AE607" s="283" t="str">
        <f t="shared" si="631"/>
        <v/>
      </c>
      <c r="AF607" s="283" t="str">
        <f t="shared" si="632"/>
        <v/>
      </c>
      <c r="AG607" s="118"/>
      <c r="AH607" s="118"/>
      <c r="AI607" s="283" t="str">
        <f t="shared" si="633"/>
        <v/>
      </c>
      <c r="AJ607" s="118"/>
      <c r="AK607" s="118"/>
      <c r="AM607" s="118">
        <f t="shared" si="634"/>
        <v>0</v>
      </c>
      <c r="AN607" s="118">
        <f t="shared" si="619"/>
        <v>0</v>
      </c>
      <c r="AO607" s="118" t="str">
        <f>IFERROR(
IF(VLOOKUP($C607,'Employee information'!$B:$M,COLUMNS('Employee information'!$B:$M),0)=1,
IF($E$2="Fortnightly",
ROUND(
ROUND((((TRUNC($AN607/2,0)+0.99))*VLOOKUP((TRUNC($AN607/2,0)+0.99),'Tax scales - NAT 1004'!$A$12:$C$18,2,1)-VLOOKUP((TRUNC($AN607/2,0)+0.99),'Tax scales - NAT 1004'!$A$12:$C$18,3,1)),0)
*2,
0),
IF(AND($E$2="Monthly",ROUND($AN607-TRUNC($AN607),2)=0.33),
ROUND(
ROUND(((TRUNC(($AN607+0.01)*3/13,0)+0.99)*VLOOKUP((TRUNC(($AN607+0.01)*3/13,0)+0.99),'Tax scales - NAT 1004'!$A$12:$C$18,2,1)-VLOOKUP((TRUNC(($AN607+0.01)*3/13,0)+0.99),'Tax scales - NAT 1004'!$A$12:$C$18,3,1)),0)
*13/3,
0),
IF($E$2="Monthly",
ROUND(
ROUND(((TRUNC($AN607*3/13,0)+0.99)*VLOOKUP((TRUNC($AN607*3/13,0)+0.99),'Tax scales - NAT 1004'!$A$12:$C$18,2,1)-VLOOKUP((TRUNC($AN607*3/13,0)+0.99),'Tax scales - NAT 1004'!$A$12:$C$18,3,1)),0)
*13/3,
0),
""))),
""),
"")</f>
        <v/>
      </c>
      <c r="AP607" s="118" t="str">
        <f>IFERROR(
IF(VLOOKUP($C607,'Employee information'!$B:$M,COLUMNS('Employee information'!$B:$M),0)=2,
IF($E$2="Fortnightly",
ROUND(
ROUND((((TRUNC($AN607/2,0)+0.99))*VLOOKUP((TRUNC($AN607/2,0)+0.99),'Tax scales - NAT 1004'!$A$25:$C$33,2,1)-VLOOKUP((TRUNC($AN607/2,0)+0.99),'Tax scales - NAT 1004'!$A$25:$C$33,3,1)),0)
*2,
0),
IF(AND($E$2="Monthly",ROUND($AN607-TRUNC($AN607),2)=0.33),
ROUND(
ROUND(((TRUNC(($AN607+0.01)*3/13,0)+0.99)*VLOOKUP((TRUNC(($AN607+0.01)*3/13,0)+0.99),'Tax scales - NAT 1004'!$A$25:$C$33,2,1)-VLOOKUP((TRUNC(($AN607+0.01)*3/13,0)+0.99),'Tax scales - NAT 1004'!$A$25:$C$33,3,1)),0)
*13/3,
0),
IF($E$2="Monthly",
ROUND(
ROUND(((TRUNC($AN607*3/13,0)+0.99)*VLOOKUP((TRUNC($AN607*3/13,0)+0.99),'Tax scales - NAT 1004'!$A$25:$C$33,2,1)-VLOOKUP((TRUNC($AN607*3/13,0)+0.99),'Tax scales - NAT 1004'!$A$25:$C$33,3,1)),0)
*13/3,
0),
""))),
""),
"")</f>
        <v/>
      </c>
      <c r="AQ607" s="118" t="str">
        <f>IFERROR(
IF(VLOOKUP($C607,'Employee information'!$B:$M,COLUMNS('Employee information'!$B:$M),0)=3,
IF($E$2="Fortnightly",
ROUND(
ROUND((((TRUNC($AN607/2,0)+0.99))*VLOOKUP((TRUNC($AN607/2,0)+0.99),'Tax scales - NAT 1004'!$A$39:$C$41,2,1)-VLOOKUP((TRUNC($AN607/2,0)+0.99),'Tax scales - NAT 1004'!$A$39:$C$41,3,1)),0)
*2,
0),
IF(AND($E$2="Monthly",ROUND($AN607-TRUNC($AN607),2)=0.33),
ROUND(
ROUND(((TRUNC(($AN607+0.01)*3/13,0)+0.99)*VLOOKUP((TRUNC(($AN607+0.01)*3/13,0)+0.99),'Tax scales - NAT 1004'!$A$39:$C$41,2,1)-VLOOKUP((TRUNC(($AN607+0.01)*3/13,0)+0.99),'Tax scales - NAT 1004'!$A$39:$C$41,3,1)),0)
*13/3,
0),
IF($E$2="Monthly",
ROUND(
ROUND(((TRUNC($AN607*3/13,0)+0.99)*VLOOKUP((TRUNC($AN607*3/13,0)+0.99),'Tax scales - NAT 1004'!$A$39:$C$41,2,1)-VLOOKUP((TRUNC($AN607*3/13,0)+0.99),'Tax scales - NAT 1004'!$A$39:$C$41,3,1)),0)
*13/3,
0),
""))),
""),
"")</f>
        <v/>
      </c>
      <c r="AR607" s="118" t="str">
        <f>IFERROR(
IF(AND(VLOOKUP($C607,'Employee information'!$B:$M,COLUMNS('Employee information'!$B:$M),0)=4,
VLOOKUP($C607,'Employee information'!$B:$J,COLUMNS('Employee information'!$B:$J),0)="Resident"),
TRUNC(TRUNC($AN607)*'Tax scales - NAT 1004'!$B$47),
IF(AND(VLOOKUP($C607,'Employee information'!$B:$M,COLUMNS('Employee information'!$B:$M),0)=4,
VLOOKUP($C607,'Employee information'!$B:$J,COLUMNS('Employee information'!$B:$J),0)="Foreign resident"),
TRUNC(TRUNC($AN607)*'Tax scales - NAT 1004'!$B$48),
"")),
"")</f>
        <v/>
      </c>
      <c r="AS607" s="118" t="str">
        <f>IFERROR(
IF(VLOOKUP($C607,'Employee information'!$B:$M,COLUMNS('Employee information'!$B:$M),0)=5,
IF($E$2="Fortnightly",
ROUND(
ROUND((((TRUNC($AN607/2,0)+0.99))*VLOOKUP((TRUNC($AN607/2,0)+0.99),'Tax scales - NAT 1004'!$A$53:$C$59,2,1)-VLOOKUP((TRUNC($AN607/2,0)+0.99),'Tax scales - NAT 1004'!$A$53:$C$59,3,1)),0)
*2,
0),
IF(AND($E$2="Monthly",ROUND($AN607-TRUNC($AN607),2)=0.33),
ROUND(
ROUND(((TRUNC(($AN607+0.01)*3/13,0)+0.99)*VLOOKUP((TRUNC(($AN607+0.01)*3/13,0)+0.99),'Tax scales - NAT 1004'!$A$53:$C$59,2,1)-VLOOKUP((TRUNC(($AN607+0.01)*3/13,0)+0.99),'Tax scales - NAT 1004'!$A$53:$C$59,3,1)),0)
*13/3,
0),
IF($E$2="Monthly",
ROUND(
ROUND(((TRUNC($AN607*3/13,0)+0.99)*VLOOKUP((TRUNC($AN607*3/13,0)+0.99),'Tax scales - NAT 1004'!$A$53:$C$59,2,1)-VLOOKUP((TRUNC($AN607*3/13,0)+0.99),'Tax scales - NAT 1004'!$A$53:$C$59,3,1)),0)
*13/3,
0),
""))),
""),
"")</f>
        <v/>
      </c>
      <c r="AT607" s="118" t="str">
        <f>IFERROR(
IF(VLOOKUP($C607,'Employee information'!$B:$M,COLUMNS('Employee information'!$B:$M),0)=6,
IF($E$2="Fortnightly",
ROUND(
ROUND((((TRUNC($AN607/2,0)+0.99))*VLOOKUP((TRUNC($AN607/2,0)+0.99),'Tax scales - NAT 1004'!$A$65:$C$73,2,1)-VLOOKUP((TRUNC($AN607/2,0)+0.99),'Tax scales - NAT 1004'!$A$65:$C$73,3,1)),0)
*2,
0),
IF(AND($E$2="Monthly",ROUND($AN607-TRUNC($AN607),2)=0.33),
ROUND(
ROUND(((TRUNC(($AN607+0.01)*3/13,0)+0.99)*VLOOKUP((TRUNC(($AN607+0.01)*3/13,0)+0.99),'Tax scales - NAT 1004'!$A$65:$C$73,2,1)-VLOOKUP((TRUNC(($AN607+0.01)*3/13,0)+0.99),'Tax scales - NAT 1004'!$A$65:$C$73,3,1)),0)
*13/3,
0),
IF($E$2="Monthly",
ROUND(
ROUND(((TRUNC($AN607*3/13,0)+0.99)*VLOOKUP((TRUNC($AN607*3/13,0)+0.99),'Tax scales - NAT 1004'!$A$65:$C$73,2,1)-VLOOKUP((TRUNC($AN607*3/13,0)+0.99),'Tax scales - NAT 1004'!$A$65:$C$73,3,1)),0)
*13/3,
0),
""))),
""),
"")</f>
        <v/>
      </c>
      <c r="AU607" s="118" t="str">
        <f>IFERROR(
IF(VLOOKUP($C607,'Employee information'!$B:$M,COLUMNS('Employee information'!$B:$M),0)=11,
IF($E$2="Fortnightly",
ROUND(
ROUND((((TRUNC($AN607/2,0)+0.99))*VLOOKUP((TRUNC($AN607/2,0)+0.99),'Tax scales - NAT 3539'!$A$14:$C$38,2,1)-VLOOKUP((TRUNC($AN607/2,0)+0.99),'Tax scales - NAT 3539'!$A$14:$C$38,3,1)),0)
*2,
0),
IF(AND($E$2="Monthly",ROUND($AN607-TRUNC($AN607),2)=0.33),
ROUND(
ROUND(((TRUNC(($AN607+0.01)*3/13,0)+0.99)*VLOOKUP((TRUNC(($AN607+0.01)*3/13,0)+0.99),'Tax scales - NAT 3539'!$A$14:$C$38,2,1)-VLOOKUP((TRUNC(($AN607+0.01)*3/13,0)+0.99),'Tax scales - NAT 3539'!$A$14:$C$38,3,1)),0)
*13/3,
0),
IF($E$2="Monthly",
ROUND(
ROUND(((TRUNC($AN607*3/13,0)+0.99)*VLOOKUP((TRUNC($AN607*3/13,0)+0.99),'Tax scales - NAT 3539'!$A$14:$C$38,2,1)-VLOOKUP((TRUNC($AN607*3/13,0)+0.99),'Tax scales - NAT 3539'!$A$14:$C$38,3,1)),0)
*13/3,
0),
""))),
""),
"")</f>
        <v/>
      </c>
      <c r="AV607" s="118" t="str">
        <f>IFERROR(
IF(VLOOKUP($C607,'Employee information'!$B:$M,COLUMNS('Employee information'!$B:$M),0)=22,
IF($E$2="Fortnightly",
ROUND(
ROUND((((TRUNC($AN607/2,0)+0.99))*VLOOKUP((TRUNC($AN607/2,0)+0.99),'Tax scales - NAT 3539'!$A$43:$C$69,2,1)-VLOOKUP((TRUNC($AN607/2,0)+0.99),'Tax scales - NAT 3539'!$A$43:$C$69,3,1)),0)
*2,
0),
IF(AND($E$2="Monthly",ROUND($AN607-TRUNC($AN607),2)=0.33),
ROUND(
ROUND(((TRUNC(($AN607+0.01)*3/13,0)+0.99)*VLOOKUP((TRUNC(($AN607+0.01)*3/13,0)+0.99),'Tax scales - NAT 3539'!$A$43:$C$69,2,1)-VLOOKUP((TRUNC(($AN607+0.01)*3/13,0)+0.99),'Tax scales - NAT 3539'!$A$43:$C$69,3,1)),0)
*13/3,
0),
IF($E$2="Monthly",
ROUND(
ROUND(((TRUNC($AN607*3/13,0)+0.99)*VLOOKUP((TRUNC($AN607*3/13,0)+0.99),'Tax scales - NAT 3539'!$A$43:$C$69,2,1)-VLOOKUP((TRUNC($AN607*3/13,0)+0.99),'Tax scales - NAT 3539'!$A$43:$C$69,3,1)),0)
*13/3,
0),
""))),
""),
"")</f>
        <v/>
      </c>
      <c r="AW607" s="118" t="str">
        <f>IFERROR(
IF(VLOOKUP($C607,'Employee information'!$B:$M,COLUMNS('Employee information'!$B:$M),0)=33,
IF($E$2="Fortnightly",
ROUND(
ROUND((((TRUNC($AN607/2,0)+0.99))*VLOOKUP((TRUNC($AN607/2,0)+0.99),'Tax scales - NAT 3539'!$A$74:$C$94,2,1)-VLOOKUP((TRUNC($AN607/2,0)+0.99),'Tax scales - NAT 3539'!$A$74:$C$94,3,1)),0)
*2,
0),
IF(AND($E$2="Monthly",ROUND($AN607-TRUNC($AN607),2)=0.33),
ROUND(
ROUND(((TRUNC(($AN607+0.01)*3/13,0)+0.99)*VLOOKUP((TRUNC(($AN607+0.01)*3/13,0)+0.99),'Tax scales - NAT 3539'!$A$74:$C$94,2,1)-VLOOKUP((TRUNC(($AN607+0.01)*3/13,0)+0.99),'Tax scales - NAT 3539'!$A$74:$C$94,3,1)),0)
*13/3,
0),
IF($E$2="Monthly",
ROUND(
ROUND(((TRUNC($AN607*3/13,0)+0.99)*VLOOKUP((TRUNC($AN607*3/13,0)+0.99),'Tax scales - NAT 3539'!$A$74:$C$94,2,1)-VLOOKUP((TRUNC($AN607*3/13,0)+0.99),'Tax scales - NAT 3539'!$A$74:$C$94,3,1)),0)
*13/3,
0),
""))),
""),
"")</f>
        <v/>
      </c>
      <c r="AX607" s="118" t="str">
        <f>IFERROR(
IF(VLOOKUP($C607,'Employee information'!$B:$M,COLUMNS('Employee information'!$B:$M),0)=55,
IF($E$2="Fortnightly",
ROUND(
ROUND((((TRUNC($AN607/2,0)+0.99))*VLOOKUP((TRUNC($AN607/2,0)+0.99),'Tax scales - NAT 3539'!$A$99:$C$123,2,1)-VLOOKUP((TRUNC($AN607/2,0)+0.99),'Tax scales - NAT 3539'!$A$99:$C$123,3,1)),0)
*2,
0),
IF(AND($E$2="Monthly",ROUND($AN607-TRUNC($AN607),2)=0.33),
ROUND(
ROUND(((TRUNC(($AN607+0.01)*3/13,0)+0.99)*VLOOKUP((TRUNC(($AN607+0.01)*3/13,0)+0.99),'Tax scales - NAT 3539'!$A$99:$C$123,2,1)-VLOOKUP((TRUNC(($AN607+0.01)*3/13,0)+0.99),'Tax scales - NAT 3539'!$A$99:$C$123,3,1)),0)
*13/3,
0),
IF($E$2="Monthly",
ROUND(
ROUND(((TRUNC($AN607*3/13,0)+0.99)*VLOOKUP((TRUNC($AN607*3/13,0)+0.99),'Tax scales - NAT 3539'!$A$99:$C$123,2,1)-VLOOKUP((TRUNC($AN607*3/13,0)+0.99),'Tax scales - NAT 3539'!$A$99:$C$123,3,1)),0)
*13/3,
0),
""))),
""),
"")</f>
        <v/>
      </c>
      <c r="AY607" s="118" t="str">
        <f>IFERROR(
IF(VLOOKUP($C607,'Employee information'!$B:$M,COLUMNS('Employee information'!$B:$M),0)=66,
IF($E$2="Fortnightly",
ROUND(
ROUND((((TRUNC($AN607/2,0)+0.99))*VLOOKUP((TRUNC($AN607/2,0)+0.99),'Tax scales - NAT 3539'!$A$127:$C$154,2,1)-VLOOKUP((TRUNC($AN607/2,0)+0.99),'Tax scales - NAT 3539'!$A$127:$C$154,3,1)),0)
*2,
0),
IF(AND($E$2="Monthly",ROUND($AN607-TRUNC($AN607),2)=0.33),
ROUND(
ROUND(((TRUNC(($AN607+0.01)*3/13,0)+0.99)*VLOOKUP((TRUNC(($AN607+0.01)*3/13,0)+0.99),'Tax scales - NAT 3539'!$A$127:$C$154,2,1)-VLOOKUP((TRUNC(($AN607+0.01)*3/13,0)+0.99),'Tax scales - NAT 3539'!$A$127:$C$154,3,1)),0)
*13/3,
0),
IF($E$2="Monthly",
ROUND(
ROUND(((TRUNC($AN607*3/13,0)+0.99)*VLOOKUP((TRUNC($AN607*3/13,0)+0.99),'Tax scales - NAT 3539'!$A$127:$C$154,2,1)-VLOOKUP((TRUNC($AN607*3/13,0)+0.99),'Tax scales - NAT 3539'!$A$127:$C$154,3,1)),0)
*13/3,
0),
""))),
""),
"")</f>
        <v/>
      </c>
      <c r="AZ607" s="118">
        <f>IFERROR(
HLOOKUP(VLOOKUP($C607,'Employee information'!$B:$M,COLUMNS('Employee information'!$B:$M),0),'PAYG worksheet'!$AO$590:$AY$609,COUNTA($C$591:$C607)+1,0),
0)</f>
        <v>0</v>
      </c>
      <c r="BA607" s="118"/>
      <c r="BB607" s="118">
        <f t="shared" si="635"/>
        <v>0</v>
      </c>
      <c r="BC607" s="119">
        <f>IFERROR(
IF(OR($AE607=1,$AE607=""),SUM($P607,$AA607,$AC607,$AK607)*VLOOKUP($C607,'Employee information'!$B:$Q,COLUMNS('Employee information'!$B:$H),0),
IF($AE607=0,SUM($P607,$AA607,$AK607)*VLOOKUP($C607,'Employee information'!$B:$Q,COLUMNS('Employee information'!$B:$H),0),
0)),
0)</f>
        <v>0</v>
      </c>
      <c r="BE607" s="114">
        <f t="shared" si="620"/>
        <v>0</v>
      </c>
      <c r="BF607" s="114">
        <f t="shared" si="621"/>
        <v>0</v>
      </c>
      <c r="BG607" s="114">
        <f t="shared" si="622"/>
        <v>0</v>
      </c>
      <c r="BH607" s="114">
        <f t="shared" si="623"/>
        <v>0</v>
      </c>
      <c r="BI607" s="114">
        <f t="shared" si="624"/>
        <v>0</v>
      </c>
      <c r="BJ607" s="114">
        <f t="shared" si="625"/>
        <v>0</v>
      </c>
      <c r="BK607" s="114">
        <f t="shared" si="626"/>
        <v>0</v>
      </c>
      <c r="BL607" s="114">
        <f t="shared" si="636"/>
        <v>0</v>
      </c>
      <c r="BM607" s="114">
        <f t="shared" si="627"/>
        <v>0</v>
      </c>
    </row>
    <row r="608" spans="1:65" x14ac:dyDescent="0.25">
      <c r="A608" s="228">
        <f t="shared" si="615"/>
        <v>21</v>
      </c>
      <c r="C608" s="278"/>
      <c r="E608" s="103">
        <f>IF($C608="",0,
IF(AND($E$2="Monthly",$A608&gt;12),0,
IF($E$2="Monthly",VLOOKUP($C608,'Employee information'!$B:$AM,COLUMNS('Employee information'!$B:S),0),
IF($E$2="Fortnightly",VLOOKUP($C608,'Employee information'!$B:$AM,COLUMNS('Employee information'!$B:R),0),
0))))</f>
        <v>0</v>
      </c>
      <c r="F608" s="106"/>
      <c r="G608" s="106"/>
      <c r="H608" s="106"/>
      <c r="I608" s="106"/>
      <c r="J608" s="103">
        <f t="shared" si="628"/>
        <v>0</v>
      </c>
      <c r="L608" s="113">
        <f>IF(AND($E$2="Monthly",$A608&gt;12),"",
IFERROR($J608*VLOOKUP($C608,'Employee information'!$B:$AI,COLUMNS('Employee information'!$B:$P),0),0))</f>
        <v>0</v>
      </c>
      <c r="M608" s="114">
        <f t="shared" si="629"/>
        <v>0</v>
      </c>
      <c r="O608" s="103">
        <f t="shared" si="630"/>
        <v>0</v>
      </c>
      <c r="P608" s="113">
        <f>IFERROR(
IF(AND($E$2="Monthly",$A608&gt;12),0,
$O608*VLOOKUP($C608,'Employee information'!$B:$AI,COLUMNS('Employee information'!$B:$P),0)),
0)</f>
        <v>0</v>
      </c>
      <c r="R608" s="114">
        <f t="shared" si="616"/>
        <v>0</v>
      </c>
      <c r="T608" s="103"/>
      <c r="U608" s="103"/>
      <c r="V608" s="282" t="str">
        <f>IF($C608="","",
IF(AND($E$2="Monthly",$A608&gt;12),"",
$T608*VLOOKUP($C608,'Employee information'!$B:$P,COLUMNS('Employee information'!$B:$P),0)))</f>
        <v/>
      </c>
      <c r="W608" s="282" t="str">
        <f>IF($C608="","",
IF(AND($E$2="Monthly",$A608&gt;12),"",
$U608*VLOOKUP($C608,'Employee information'!$B:$P,COLUMNS('Employee information'!$B:$P),0)))</f>
        <v/>
      </c>
      <c r="X608" s="114">
        <f t="shared" si="617"/>
        <v>0</v>
      </c>
      <c r="Y608" s="114">
        <f t="shared" si="618"/>
        <v>0</v>
      </c>
      <c r="AA608" s="118">
        <f>IFERROR(
IF(OR('Basic payroll data'!$D$12="",'Basic payroll data'!$D$12="No"),0,
$T608*VLOOKUP($C608,'Employee information'!$B:$P,COLUMNS('Employee information'!$B:$P),0)*AL_loading_perc),
0)</f>
        <v>0</v>
      </c>
      <c r="AC608" s="118"/>
      <c r="AD608" s="118"/>
      <c r="AE608" s="283" t="str">
        <f t="shared" si="631"/>
        <v/>
      </c>
      <c r="AF608" s="283" t="str">
        <f t="shared" si="632"/>
        <v/>
      </c>
      <c r="AG608" s="118"/>
      <c r="AH608" s="118"/>
      <c r="AI608" s="283" t="str">
        <f t="shared" si="633"/>
        <v/>
      </c>
      <c r="AJ608" s="118"/>
      <c r="AK608" s="118"/>
      <c r="AM608" s="118">
        <f t="shared" si="634"/>
        <v>0</v>
      </c>
      <c r="AN608" s="118">
        <f t="shared" si="619"/>
        <v>0</v>
      </c>
      <c r="AO608" s="118" t="str">
        <f>IFERROR(
IF(VLOOKUP($C608,'Employee information'!$B:$M,COLUMNS('Employee information'!$B:$M),0)=1,
IF($E$2="Fortnightly",
ROUND(
ROUND((((TRUNC($AN608/2,0)+0.99))*VLOOKUP((TRUNC($AN608/2,0)+0.99),'Tax scales - NAT 1004'!$A$12:$C$18,2,1)-VLOOKUP((TRUNC($AN608/2,0)+0.99),'Tax scales - NAT 1004'!$A$12:$C$18,3,1)),0)
*2,
0),
IF(AND($E$2="Monthly",ROUND($AN608-TRUNC($AN608),2)=0.33),
ROUND(
ROUND(((TRUNC(($AN608+0.01)*3/13,0)+0.99)*VLOOKUP((TRUNC(($AN608+0.01)*3/13,0)+0.99),'Tax scales - NAT 1004'!$A$12:$C$18,2,1)-VLOOKUP((TRUNC(($AN608+0.01)*3/13,0)+0.99),'Tax scales - NAT 1004'!$A$12:$C$18,3,1)),0)
*13/3,
0),
IF($E$2="Monthly",
ROUND(
ROUND(((TRUNC($AN608*3/13,0)+0.99)*VLOOKUP((TRUNC($AN608*3/13,0)+0.99),'Tax scales - NAT 1004'!$A$12:$C$18,2,1)-VLOOKUP((TRUNC($AN608*3/13,0)+0.99),'Tax scales - NAT 1004'!$A$12:$C$18,3,1)),0)
*13/3,
0),
""))),
""),
"")</f>
        <v/>
      </c>
      <c r="AP608" s="118" t="str">
        <f>IFERROR(
IF(VLOOKUP($C608,'Employee information'!$B:$M,COLUMNS('Employee information'!$B:$M),0)=2,
IF($E$2="Fortnightly",
ROUND(
ROUND((((TRUNC($AN608/2,0)+0.99))*VLOOKUP((TRUNC($AN608/2,0)+0.99),'Tax scales - NAT 1004'!$A$25:$C$33,2,1)-VLOOKUP((TRUNC($AN608/2,0)+0.99),'Tax scales - NAT 1004'!$A$25:$C$33,3,1)),0)
*2,
0),
IF(AND($E$2="Monthly",ROUND($AN608-TRUNC($AN608),2)=0.33),
ROUND(
ROUND(((TRUNC(($AN608+0.01)*3/13,0)+0.99)*VLOOKUP((TRUNC(($AN608+0.01)*3/13,0)+0.99),'Tax scales - NAT 1004'!$A$25:$C$33,2,1)-VLOOKUP((TRUNC(($AN608+0.01)*3/13,0)+0.99),'Tax scales - NAT 1004'!$A$25:$C$33,3,1)),0)
*13/3,
0),
IF($E$2="Monthly",
ROUND(
ROUND(((TRUNC($AN608*3/13,0)+0.99)*VLOOKUP((TRUNC($AN608*3/13,0)+0.99),'Tax scales - NAT 1004'!$A$25:$C$33,2,1)-VLOOKUP((TRUNC($AN608*3/13,0)+0.99),'Tax scales - NAT 1004'!$A$25:$C$33,3,1)),0)
*13/3,
0),
""))),
""),
"")</f>
        <v/>
      </c>
      <c r="AQ608" s="118" t="str">
        <f>IFERROR(
IF(VLOOKUP($C608,'Employee information'!$B:$M,COLUMNS('Employee information'!$B:$M),0)=3,
IF($E$2="Fortnightly",
ROUND(
ROUND((((TRUNC($AN608/2,0)+0.99))*VLOOKUP((TRUNC($AN608/2,0)+0.99),'Tax scales - NAT 1004'!$A$39:$C$41,2,1)-VLOOKUP((TRUNC($AN608/2,0)+0.99),'Tax scales - NAT 1004'!$A$39:$C$41,3,1)),0)
*2,
0),
IF(AND($E$2="Monthly",ROUND($AN608-TRUNC($AN608),2)=0.33),
ROUND(
ROUND(((TRUNC(($AN608+0.01)*3/13,0)+0.99)*VLOOKUP((TRUNC(($AN608+0.01)*3/13,0)+0.99),'Tax scales - NAT 1004'!$A$39:$C$41,2,1)-VLOOKUP((TRUNC(($AN608+0.01)*3/13,0)+0.99),'Tax scales - NAT 1004'!$A$39:$C$41,3,1)),0)
*13/3,
0),
IF($E$2="Monthly",
ROUND(
ROUND(((TRUNC($AN608*3/13,0)+0.99)*VLOOKUP((TRUNC($AN608*3/13,0)+0.99),'Tax scales - NAT 1004'!$A$39:$C$41,2,1)-VLOOKUP((TRUNC($AN608*3/13,0)+0.99),'Tax scales - NAT 1004'!$A$39:$C$41,3,1)),0)
*13/3,
0),
""))),
""),
"")</f>
        <v/>
      </c>
      <c r="AR608" s="118" t="str">
        <f>IFERROR(
IF(AND(VLOOKUP($C608,'Employee information'!$B:$M,COLUMNS('Employee information'!$B:$M),0)=4,
VLOOKUP($C608,'Employee information'!$B:$J,COLUMNS('Employee information'!$B:$J),0)="Resident"),
TRUNC(TRUNC($AN608)*'Tax scales - NAT 1004'!$B$47),
IF(AND(VLOOKUP($C608,'Employee information'!$B:$M,COLUMNS('Employee information'!$B:$M),0)=4,
VLOOKUP($C608,'Employee information'!$B:$J,COLUMNS('Employee information'!$B:$J),0)="Foreign resident"),
TRUNC(TRUNC($AN608)*'Tax scales - NAT 1004'!$B$48),
"")),
"")</f>
        <v/>
      </c>
      <c r="AS608" s="118" t="str">
        <f>IFERROR(
IF(VLOOKUP($C608,'Employee information'!$B:$M,COLUMNS('Employee information'!$B:$M),0)=5,
IF($E$2="Fortnightly",
ROUND(
ROUND((((TRUNC($AN608/2,0)+0.99))*VLOOKUP((TRUNC($AN608/2,0)+0.99),'Tax scales - NAT 1004'!$A$53:$C$59,2,1)-VLOOKUP((TRUNC($AN608/2,0)+0.99),'Tax scales - NAT 1004'!$A$53:$C$59,3,1)),0)
*2,
0),
IF(AND($E$2="Monthly",ROUND($AN608-TRUNC($AN608),2)=0.33),
ROUND(
ROUND(((TRUNC(($AN608+0.01)*3/13,0)+0.99)*VLOOKUP((TRUNC(($AN608+0.01)*3/13,0)+0.99),'Tax scales - NAT 1004'!$A$53:$C$59,2,1)-VLOOKUP((TRUNC(($AN608+0.01)*3/13,0)+0.99),'Tax scales - NAT 1004'!$A$53:$C$59,3,1)),0)
*13/3,
0),
IF($E$2="Monthly",
ROUND(
ROUND(((TRUNC($AN608*3/13,0)+0.99)*VLOOKUP((TRUNC($AN608*3/13,0)+0.99),'Tax scales - NAT 1004'!$A$53:$C$59,2,1)-VLOOKUP((TRUNC($AN608*3/13,0)+0.99),'Tax scales - NAT 1004'!$A$53:$C$59,3,1)),0)
*13/3,
0),
""))),
""),
"")</f>
        <v/>
      </c>
      <c r="AT608" s="118" t="str">
        <f>IFERROR(
IF(VLOOKUP($C608,'Employee information'!$B:$M,COLUMNS('Employee information'!$B:$M),0)=6,
IF($E$2="Fortnightly",
ROUND(
ROUND((((TRUNC($AN608/2,0)+0.99))*VLOOKUP((TRUNC($AN608/2,0)+0.99),'Tax scales - NAT 1004'!$A$65:$C$73,2,1)-VLOOKUP((TRUNC($AN608/2,0)+0.99),'Tax scales - NAT 1004'!$A$65:$C$73,3,1)),0)
*2,
0),
IF(AND($E$2="Monthly",ROUND($AN608-TRUNC($AN608),2)=0.33),
ROUND(
ROUND(((TRUNC(($AN608+0.01)*3/13,0)+0.99)*VLOOKUP((TRUNC(($AN608+0.01)*3/13,0)+0.99),'Tax scales - NAT 1004'!$A$65:$C$73,2,1)-VLOOKUP((TRUNC(($AN608+0.01)*3/13,0)+0.99),'Tax scales - NAT 1004'!$A$65:$C$73,3,1)),0)
*13/3,
0),
IF($E$2="Monthly",
ROUND(
ROUND(((TRUNC($AN608*3/13,0)+0.99)*VLOOKUP((TRUNC($AN608*3/13,0)+0.99),'Tax scales - NAT 1004'!$A$65:$C$73,2,1)-VLOOKUP((TRUNC($AN608*3/13,0)+0.99),'Tax scales - NAT 1004'!$A$65:$C$73,3,1)),0)
*13/3,
0),
""))),
""),
"")</f>
        <v/>
      </c>
      <c r="AU608" s="118" t="str">
        <f>IFERROR(
IF(VLOOKUP($C608,'Employee information'!$B:$M,COLUMNS('Employee information'!$B:$M),0)=11,
IF($E$2="Fortnightly",
ROUND(
ROUND((((TRUNC($AN608/2,0)+0.99))*VLOOKUP((TRUNC($AN608/2,0)+0.99),'Tax scales - NAT 3539'!$A$14:$C$38,2,1)-VLOOKUP((TRUNC($AN608/2,0)+0.99),'Tax scales - NAT 3539'!$A$14:$C$38,3,1)),0)
*2,
0),
IF(AND($E$2="Monthly",ROUND($AN608-TRUNC($AN608),2)=0.33),
ROUND(
ROUND(((TRUNC(($AN608+0.01)*3/13,0)+0.99)*VLOOKUP((TRUNC(($AN608+0.01)*3/13,0)+0.99),'Tax scales - NAT 3539'!$A$14:$C$38,2,1)-VLOOKUP((TRUNC(($AN608+0.01)*3/13,0)+0.99),'Tax scales - NAT 3539'!$A$14:$C$38,3,1)),0)
*13/3,
0),
IF($E$2="Monthly",
ROUND(
ROUND(((TRUNC($AN608*3/13,0)+0.99)*VLOOKUP((TRUNC($AN608*3/13,0)+0.99),'Tax scales - NAT 3539'!$A$14:$C$38,2,1)-VLOOKUP((TRUNC($AN608*3/13,0)+0.99),'Tax scales - NAT 3539'!$A$14:$C$38,3,1)),0)
*13/3,
0),
""))),
""),
"")</f>
        <v/>
      </c>
      <c r="AV608" s="118" t="str">
        <f>IFERROR(
IF(VLOOKUP($C608,'Employee information'!$B:$M,COLUMNS('Employee information'!$B:$M),0)=22,
IF($E$2="Fortnightly",
ROUND(
ROUND((((TRUNC($AN608/2,0)+0.99))*VLOOKUP((TRUNC($AN608/2,0)+0.99),'Tax scales - NAT 3539'!$A$43:$C$69,2,1)-VLOOKUP((TRUNC($AN608/2,0)+0.99),'Tax scales - NAT 3539'!$A$43:$C$69,3,1)),0)
*2,
0),
IF(AND($E$2="Monthly",ROUND($AN608-TRUNC($AN608),2)=0.33),
ROUND(
ROUND(((TRUNC(($AN608+0.01)*3/13,0)+0.99)*VLOOKUP((TRUNC(($AN608+0.01)*3/13,0)+0.99),'Tax scales - NAT 3539'!$A$43:$C$69,2,1)-VLOOKUP((TRUNC(($AN608+0.01)*3/13,0)+0.99),'Tax scales - NAT 3539'!$A$43:$C$69,3,1)),0)
*13/3,
0),
IF($E$2="Monthly",
ROUND(
ROUND(((TRUNC($AN608*3/13,0)+0.99)*VLOOKUP((TRUNC($AN608*3/13,0)+0.99),'Tax scales - NAT 3539'!$A$43:$C$69,2,1)-VLOOKUP((TRUNC($AN608*3/13,0)+0.99),'Tax scales - NAT 3539'!$A$43:$C$69,3,1)),0)
*13/3,
0),
""))),
""),
"")</f>
        <v/>
      </c>
      <c r="AW608" s="118" t="str">
        <f>IFERROR(
IF(VLOOKUP($C608,'Employee information'!$B:$M,COLUMNS('Employee information'!$B:$M),0)=33,
IF($E$2="Fortnightly",
ROUND(
ROUND((((TRUNC($AN608/2,0)+0.99))*VLOOKUP((TRUNC($AN608/2,0)+0.99),'Tax scales - NAT 3539'!$A$74:$C$94,2,1)-VLOOKUP((TRUNC($AN608/2,0)+0.99),'Tax scales - NAT 3539'!$A$74:$C$94,3,1)),0)
*2,
0),
IF(AND($E$2="Monthly",ROUND($AN608-TRUNC($AN608),2)=0.33),
ROUND(
ROUND(((TRUNC(($AN608+0.01)*3/13,0)+0.99)*VLOOKUP((TRUNC(($AN608+0.01)*3/13,0)+0.99),'Tax scales - NAT 3539'!$A$74:$C$94,2,1)-VLOOKUP((TRUNC(($AN608+0.01)*3/13,0)+0.99),'Tax scales - NAT 3539'!$A$74:$C$94,3,1)),0)
*13/3,
0),
IF($E$2="Monthly",
ROUND(
ROUND(((TRUNC($AN608*3/13,0)+0.99)*VLOOKUP((TRUNC($AN608*3/13,0)+0.99),'Tax scales - NAT 3539'!$A$74:$C$94,2,1)-VLOOKUP((TRUNC($AN608*3/13,0)+0.99),'Tax scales - NAT 3539'!$A$74:$C$94,3,1)),0)
*13/3,
0),
""))),
""),
"")</f>
        <v/>
      </c>
      <c r="AX608" s="118" t="str">
        <f>IFERROR(
IF(VLOOKUP($C608,'Employee information'!$B:$M,COLUMNS('Employee information'!$B:$M),0)=55,
IF($E$2="Fortnightly",
ROUND(
ROUND((((TRUNC($AN608/2,0)+0.99))*VLOOKUP((TRUNC($AN608/2,0)+0.99),'Tax scales - NAT 3539'!$A$99:$C$123,2,1)-VLOOKUP((TRUNC($AN608/2,0)+0.99),'Tax scales - NAT 3539'!$A$99:$C$123,3,1)),0)
*2,
0),
IF(AND($E$2="Monthly",ROUND($AN608-TRUNC($AN608),2)=0.33),
ROUND(
ROUND(((TRUNC(($AN608+0.01)*3/13,0)+0.99)*VLOOKUP((TRUNC(($AN608+0.01)*3/13,0)+0.99),'Tax scales - NAT 3539'!$A$99:$C$123,2,1)-VLOOKUP((TRUNC(($AN608+0.01)*3/13,0)+0.99),'Tax scales - NAT 3539'!$A$99:$C$123,3,1)),0)
*13/3,
0),
IF($E$2="Monthly",
ROUND(
ROUND(((TRUNC($AN608*3/13,0)+0.99)*VLOOKUP((TRUNC($AN608*3/13,0)+0.99),'Tax scales - NAT 3539'!$A$99:$C$123,2,1)-VLOOKUP((TRUNC($AN608*3/13,0)+0.99),'Tax scales - NAT 3539'!$A$99:$C$123,3,1)),0)
*13/3,
0),
""))),
""),
"")</f>
        <v/>
      </c>
      <c r="AY608" s="118" t="str">
        <f>IFERROR(
IF(VLOOKUP($C608,'Employee information'!$B:$M,COLUMNS('Employee information'!$B:$M),0)=66,
IF($E$2="Fortnightly",
ROUND(
ROUND((((TRUNC($AN608/2,0)+0.99))*VLOOKUP((TRUNC($AN608/2,0)+0.99),'Tax scales - NAT 3539'!$A$127:$C$154,2,1)-VLOOKUP((TRUNC($AN608/2,0)+0.99),'Tax scales - NAT 3539'!$A$127:$C$154,3,1)),0)
*2,
0),
IF(AND($E$2="Monthly",ROUND($AN608-TRUNC($AN608),2)=0.33),
ROUND(
ROUND(((TRUNC(($AN608+0.01)*3/13,0)+0.99)*VLOOKUP((TRUNC(($AN608+0.01)*3/13,0)+0.99),'Tax scales - NAT 3539'!$A$127:$C$154,2,1)-VLOOKUP((TRUNC(($AN608+0.01)*3/13,0)+0.99),'Tax scales - NAT 3539'!$A$127:$C$154,3,1)),0)
*13/3,
0),
IF($E$2="Monthly",
ROUND(
ROUND(((TRUNC($AN608*3/13,0)+0.99)*VLOOKUP((TRUNC($AN608*3/13,0)+0.99),'Tax scales - NAT 3539'!$A$127:$C$154,2,1)-VLOOKUP((TRUNC($AN608*3/13,0)+0.99),'Tax scales - NAT 3539'!$A$127:$C$154,3,1)),0)
*13/3,
0),
""))),
""),
"")</f>
        <v/>
      </c>
      <c r="AZ608" s="118">
        <f>IFERROR(
HLOOKUP(VLOOKUP($C608,'Employee information'!$B:$M,COLUMNS('Employee information'!$B:$M),0),'PAYG worksheet'!$AO$590:$AY$609,COUNTA($C$591:$C608)+1,0),
0)</f>
        <v>0</v>
      </c>
      <c r="BA608" s="118"/>
      <c r="BB608" s="118">
        <f t="shared" si="635"/>
        <v>0</v>
      </c>
      <c r="BC608" s="119">
        <f>IFERROR(
IF(OR($AE608=1,$AE608=""),SUM($P608,$AA608,$AC608,$AK608)*VLOOKUP($C608,'Employee information'!$B:$Q,COLUMNS('Employee information'!$B:$H),0),
IF($AE608=0,SUM($P608,$AA608,$AK608)*VLOOKUP($C608,'Employee information'!$B:$Q,COLUMNS('Employee information'!$B:$H),0),
0)),
0)</f>
        <v>0</v>
      </c>
      <c r="BE608" s="114">
        <f t="shared" si="620"/>
        <v>0</v>
      </c>
      <c r="BF608" s="114">
        <f t="shared" si="621"/>
        <v>0</v>
      </c>
      <c r="BG608" s="114">
        <f t="shared" si="622"/>
        <v>0</v>
      </c>
      <c r="BH608" s="114">
        <f t="shared" si="623"/>
        <v>0</v>
      </c>
      <c r="BI608" s="114">
        <f t="shared" si="624"/>
        <v>0</v>
      </c>
      <c r="BJ608" s="114">
        <f t="shared" si="625"/>
        <v>0</v>
      </c>
      <c r="BK608" s="114">
        <f t="shared" si="626"/>
        <v>0</v>
      </c>
      <c r="BL608" s="114">
        <f t="shared" si="636"/>
        <v>0</v>
      </c>
      <c r="BM608" s="114">
        <f t="shared" si="627"/>
        <v>0</v>
      </c>
    </row>
    <row r="609" spans="1:65" x14ac:dyDescent="0.25">
      <c r="A609" s="228">
        <f t="shared" si="615"/>
        <v>21</v>
      </c>
      <c r="C609" s="278"/>
      <c r="E609" s="103">
        <f>IF($C609="",0,
IF(AND($E$2="Monthly",$A609&gt;12),0,
IF($E$2="Monthly",VLOOKUP($C609,'Employee information'!$B:$AM,COLUMNS('Employee information'!$B:S),0),
IF($E$2="Fortnightly",VLOOKUP($C609,'Employee information'!$B:$AM,COLUMNS('Employee information'!$B:R),0),
0))))</f>
        <v>0</v>
      </c>
      <c r="F609" s="106"/>
      <c r="G609" s="106"/>
      <c r="H609" s="106"/>
      <c r="I609" s="106"/>
      <c r="J609" s="103">
        <f t="shared" si="628"/>
        <v>0</v>
      </c>
      <c r="L609" s="113">
        <f>IF(AND($E$2="Monthly",$A609&gt;12),"",
IFERROR($J609*VLOOKUP($C609,'Employee information'!$B:$AI,COLUMNS('Employee information'!$B:$P),0),0))</f>
        <v>0</v>
      </c>
      <c r="M609" s="114">
        <f t="shared" si="629"/>
        <v>0</v>
      </c>
      <c r="O609" s="103">
        <f t="shared" si="630"/>
        <v>0</v>
      </c>
      <c r="P609" s="113">
        <f>IFERROR(
IF(AND($E$2="Monthly",$A609&gt;12),0,
$O609*VLOOKUP($C609,'Employee information'!$B:$AI,COLUMNS('Employee information'!$B:$P),0)),
0)</f>
        <v>0</v>
      </c>
      <c r="R609" s="114">
        <f t="shared" si="616"/>
        <v>0</v>
      </c>
      <c r="T609" s="103"/>
      <c r="U609" s="103"/>
      <c r="V609" s="282" t="str">
        <f>IF($C609="","",
IF(AND($E$2="Monthly",$A609&gt;12),"",
$T609*VLOOKUP($C609,'Employee information'!$B:$P,COLUMNS('Employee information'!$B:$P),0)))</f>
        <v/>
      </c>
      <c r="W609" s="282" t="str">
        <f>IF($C609="","",
IF(AND($E$2="Monthly",$A609&gt;12),"",
$U609*VLOOKUP($C609,'Employee information'!$B:$P,COLUMNS('Employee information'!$B:$P),0)))</f>
        <v/>
      </c>
      <c r="X609" s="114">
        <f t="shared" si="617"/>
        <v>0</v>
      </c>
      <c r="Y609" s="114">
        <f t="shared" si="618"/>
        <v>0</v>
      </c>
      <c r="AA609" s="118">
        <f>IFERROR(
IF(OR('Basic payroll data'!$D$12="",'Basic payroll data'!$D$12="No"),0,
$T609*VLOOKUP($C609,'Employee information'!$B:$P,COLUMNS('Employee information'!$B:$P),0)*AL_loading_perc),
0)</f>
        <v>0</v>
      </c>
      <c r="AC609" s="118"/>
      <c r="AD609" s="118"/>
      <c r="AE609" s="283" t="str">
        <f t="shared" si="631"/>
        <v/>
      </c>
      <c r="AF609" s="283" t="str">
        <f t="shared" si="632"/>
        <v/>
      </c>
      <c r="AG609" s="118"/>
      <c r="AH609" s="118"/>
      <c r="AI609" s="283" t="str">
        <f t="shared" si="633"/>
        <v/>
      </c>
      <c r="AJ609" s="118"/>
      <c r="AK609" s="118"/>
      <c r="AM609" s="118">
        <f t="shared" si="634"/>
        <v>0</v>
      </c>
      <c r="AN609" s="118">
        <f t="shared" si="619"/>
        <v>0</v>
      </c>
      <c r="AO609" s="118" t="str">
        <f>IFERROR(
IF(VLOOKUP($C609,'Employee information'!$B:$M,COLUMNS('Employee information'!$B:$M),0)=1,
IF($E$2="Fortnightly",
ROUND(
ROUND((((TRUNC($AN609/2,0)+0.99))*VLOOKUP((TRUNC($AN609/2,0)+0.99),'Tax scales - NAT 1004'!$A$12:$C$18,2,1)-VLOOKUP((TRUNC($AN609/2,0)+0.99),'Tax scales - NAT 1004'!$A$12:$C$18,3,1)),0)
*2,
0),
IF(AND($E$2="Monthly",ROUND($AN609-TRUNC($AN609),2)=0.33),
ROUND(
ROUND(((TRUNC(($AN609+0.01)*3/13,0)+0.99)*VLOOKUP((TRUNC(($AN609+0.01)*3/13,0)+0.99),'Tax scales - NAT 1004'!$A$12:$C$18,2,1)-VLOOKUP((TRUNC(($AN609+0.01)*3/13,0)+0.99),'Tax scales - NAT 1004'!$A$12:$C$18,3,1)),0)
*13/3,
0),
IF($E$2="Monthly",
ROUND(
ROUND(((TRUNC($AN609*3/13,0)+0.99)*VLOOKUP((TRUNC($AN609*3/13,0)+0.99),'Tax scales - NAT 1004'!$A$12:$C$18,2,1)-VLOOKUP((TRUNC($AN609*3/13,0)+0.99),'Tax scales - NAT 1004'!$A$12:$C$18,3,1)),0)
*13/3,
0),
""))),
""),
"")</f>
        <v/>
      </c>
      <c r="AP609" s="118" t="str">
        <f>IFERROR(
IF(VLOOKUP($C609,'Employee information'!$B:$M,COLUMNS('Employee information'!$B:$M),0)=2,
IF($E$2="Fortnightly",
ROUND(
ROUND((((TRUNC($AN609/2,0)+0.99))*VLOOKUP((TRUNC($AN609/2,0)+0.99),'Tax scales - NAT 1004'!$A$25:$C$33,2,1)-VLOOKUP((TRUNC($AN609/2,0)+0.99),'Tax scales - NAT 1004'!$A$25:$C$33,3,1)),0)
*2,
0),
IF(AND($E$2="Monthly",ROUND($AN609-TRUNC($AN609),2)=0.33),
ROUND(
ROUND(((TRUNC(($AN609+0.01)*3/13,0)+0.99)*VLOOKUP((TRUNC(($AN609+0.01)*3/13,0)+0.99),'Tax scales - NAT 1004'!$A$25:$C$33,2,1)-VLOOKUP((TRUNC(($AN609+0.01)*3/13,0)+0.99),'Tax scales - NAT 1004'!$A$25:$C$33,3,1)),0)
*13/3,
0),
IF($E$2="Monthly",
ROUND(
ROUND(((TRUNC($AN609*3/13,0)+0.99)*VLOOKUP((TRUNC($AN609*3/13,0)+0.99),'Tax scales - NAT 1004'!$A$25:$C$33,2,1)-VLOOKUP((TRUNC($AN609*3/13,0)+0.99),'Tax scales - NAT 1004'!$A$25:$C$33,3,1)),0)
*13/3,
0),
""))),
""),
"")</f>
        <v/>
      </c>
      <c r="AQ609" s="118" t="str">
        <f>IFERROR(
IF(VLOOKUP($C609,'Employee information'!$B:$M,COLUMNS('Employee information'!$B:$M),0)=3,
IF($E$2="Fortnightly",
ROUND(
ROUND((((TRUNC($AN609/2,0)+0.99))*VLOOKUP((TRUNC($AN609/2,0)+0.99),'Tax scales - NAT 1004'!$A$39:$C$41,2,1)-VLOOKUP((TRUNC($AN609/2,0)+0.99),'Tax scales - NAT 1004'!$A$39:$C$41,3,1)),0)
*2,
0),
IF(AND($E$2="Monthly",ROUND($AN609-TRUNC($AN609),2)=0.33),
ROUND(
ROUND(((TRUNC(($AN609+0.01)*3/13,0)+0.99)*VLOOKUP((TRUNC(($AN609+0.01)*3/13,0)+0.99),'Tax scales - NAT 1004'!$A$39:$C$41,2,1)-VLOOKUP((TRUNC(($AN609+0.01)*3/13,0)+0.99),'Tax scales - NAT 1004'!$A$39:$C$41,3,1)),0)
*13/3,
0),
IF($E$2="Monthly",
ROUND(
ROUND(((TRUNC($AN609*3/13,0)+0.99)*VLOOKUP((TRUNC($AN609*3/13,0)+0.99),'Tax scales - NAT 1004'!$A$39:$C$41,2,1)-VLOOKUP((TRUNC($AN609*3/13,0)+0.99),'Tax scales - NAT 1004'!$A$39:$C$41,3,1)),0)
*13/3,
0),
""))),
""),
"")</f>
        <v/>
      </c>
      <c r="AR609" s="118" t="str">
        <f>IFERROR(
IF(AND(VLOOKUP($C609,'Employee information'!$B:$M,COLUMNS('Employee information'!$B:$M),0)=4,
VLOOKUP($C609,'Employee information'!$B:$J,COLUMNS('Employee information'!$B:$J),0)="Resident"),
TRUNC(TRUNC($AN609)*'Tax scales - NAT 1004'!$B$47),
IF(AND(VLOOKUP($C609,'Employee information'!$B:$M,COLUMNS('Employee information'!$B:$M),0)=4,
VLOOKUP($C609,'Employee information'!$B:$J,COLUMNS('Employee information'!$B:$J),0)="Foreign resident"),
TRUNC(TRUNC($AN609)*'Tax scales - NAT 1004'!$B$48),
"")),
"")</f>
        <v/>
      </c>
      <c r="AS609" s="118" t="str">
        <f>IFERROR(
IF(VLOOKUP($C609,'Employee information'!$B:$M,COLUMNS('Employee information'!$B:$M),0)=5,
IF($E$2="Fortnightly",
ROUND(
ROUND((((TRUNC($AN609/2,0)+0.99))*VLOOKUP((TRUNC($AN609/2,0)+0.99),'Tax scales - NAT 1004'!$A$53:$C$59,2,1)-VLOOKUP((TRUNC($AN609/2,0)+0.99),'Tax scales - NAT 1004'!$A$53:$C$59,3,1)),0)
*2,
0),
IF(AND($E$2="Monthly",ROUND($AN609-TRUNC($AN609),2)=0.33),
ROUND(
ROUND(((TRUNC(($AN609+0.01)*3/13,0)+0.99)*VLOOKUP((TRUNC(($AN609+0.01)*3/13,0)+0.99),'Tax scales - NAT 1004'!$A$53:$C$59,2,1)-VLOOKUP((TRUNC(($AN609+0.01)*3/13,0)+0.99),'Tax scales - NAT 1004'!$A$53:$C$59,3,1)),0)
*13/3,
0),
IF($E$2="Monthly",
ROUND(
ROUND(((TRUNC($AN609*3/13,0)+0.99)*VLOOKUP((TRUNC($AN609*3/13,0)+0.99),'Tax scales - NAT 1004'!$A$53:$C$59,2,1)-VLOOKUP((TRUNC($AN609*3/13,0)+0.99),'Tax scales - NAT 1004'!$A$53:$C$59,3,1)),0)
*13/3,
0),
""))),
""),
"")</f>
        <v/>
      </c>
      <c r="AT609" s="118" t="str">
        <f>IFERROR(
IF(VLOOKUP($C609,'Employee information'!$B:$M,COLUMNS('Employee information'!$B:$M),0)=6,
IF($E$2="Fortnightly",
ROUND(
ROUND((((TRUNC($AN609/2,0)+0.99))*VLOOKUP((TRUNC($AN609/2,0)+0.99),'Tax scales - NAT 1004'!$A$65:$C$73,2,1)-VLOOKUP((TRUNC($AN609/2,0)+0.99),'Tax scales - NAT 1004'!$A$65:$C$73,3,1)),0)
*2,
0),
IF(AND($E$2="Monthly",ROUND($AN609-TRUNC($AN609),2)=0.33),
ROUND(
ROUND(((TRUNC(($AN609+0.01)*3/13,0)+0.99)*VLOOKUP((TRUNC(($AN609+0.01)*3/13,0)+0.99),'Tax scales - NAT 1004'!$A$65:$C$73,2,1)-VLOOKUP((TRUNC(($AN609+0.01)*3/13,0)+0.99),'Tax scales - NAT 1004'!$A$65:$C$73,3,1)),0)
*13/3,
0),
IF($E$2="Monthly",
ROUND(
ROUND(((TRUNC($AN609*3/13,0)+0.99)*VLOOKUP((TRUNC($AN609*3/13,0)+0.99),'Tax scales - NAT 1004'!$A$65:$C$73,2,1)-VLOOKUP((TRUNC($AN609*3/13,0)+0.99),'Tax scales - NAT 1004'!$A$65:$C$73,3,1)),0)
*13/3,
0),
""))),
""),
"")</f>
        <v/>
      </c>
      <c r="AU609" s="118" t="str">
        <f>IFERROR(
IF(VLOOKUP($C609,'Employee information'!$B:$M,COLUMNS('Employee information'!$B:$M),0)=11,
IF($E$2="Fortnightly",
ROUND(
ROUND((((TRUNC($AN609/2,0)+0.99))*VLOOKUP((TRUNC($AN609/2,0)+0.99),'Tax scales - NAT 3539'!$A$14:$C$38,2,1)-VLOOKUP((TRUNC($AN609/2,0)+0.99),'Tax scales - NAT 3539'!$A$14:$C$38,3,1)),0)
*2,
0),
IF(AND($E$2="Monthly",ROUND($AN609-TRUNC($AN609),2)=0.33),
ROUND(
ROUND(((TRUNC(($AN609+0.01)*3/13,0)+0.99)*VLOOKUP((TRUNC(($AN609+0.01)*3/13,0)+0.99),'Tax scales - NAT 3539'!$A$14:$C$38,2,1)-VLOOKUP((TRUNC(($AN609+0.01)*3/13,0)+0.99),'Tax scales - NAT 3539'!$A$14:$C$38,3,1)),0)
*13/3,
0),
IF($E$2="Monthly",
ROUND(
ROUND(((TRUNC($AN609*3/13,0)+0.99)*VLOOKUP((TRUNC($AN609*3/13,0)+0.99),'Tax scales - NAT 3539'!$A$14:$C$38,2,1)-VLOOKUP((TRUNC($AN609*3/13,0)+0.99),'Tax scales - NAT 3539'!$A$14:$C$38,3,1)),0)
*13/3,
0),
""))),
""),
"")</f>
        <v/>
      </c>
      <c r="AV609" s="118" t="str">
        <f>IFERROR(
IF(VLOOKUP($C609,'Employee information'!$B:$M,COLUMNS('Employee information'!$B:$M),0)=22,
IF($E$2="Fortnightly",
ROUND(
ROUND((((TRUNC($AN609/2,0)+0.99))*VLOOKUP((TRUNC($AN609/2,0)+0.99),'Tax scales - NAT 3539'!$A$43:$C$69,2,1)-VLOOKUP((TRUNC($AN609/2,0)+0.99),'Tax scales - NAT 3539'!$A$43:$C$69,3,1)),0)
*2,
0),
IF(AND($E$2="Monthly",ROUND($AN609-TRUNC($AN609),2)=0.33),
ROUND(
ROUND(((TRUNC(($AN609+0.01)*3/13,0)+0.99)*VLOOKUP((TRUNC(($AN609+0.01)*3/13,0)+0.99),'Tax scales - NAT 3539'!$A$43:$C$69,2,1)-VLOOKUP((TRUNC(($AN609+0.01)*3/13,0)+0.99),'Tax scales - NAT 3539'!$A$43:$C$69,3,1)),0)
*13/3,
0),
IF($E$2="Monthly",
ROUND(
ROUND(((TRUNC($AN609*3/13,0)+0.99)*VLOOKUP((TRUNC($AN609*3/13,0)+0.99),'Tax scales - NAT 3539'!$A$43:$C$69,2,1)-VLOOKUP((TRUNC($AN609*3/13,0)+0.99),'Tax scales - NAT 3539'!$A$43:$C$69,3,1)),0)
*13/3,
0),
""))),
""),
"")</f>
        <v/>
      </c>
      <c r="AW609" s="118" t="str">
        <f>IFERROR(
IF(VLOOKUP($C609,'Employee information'!$B:$M,COLUMNS('Employee information'!$B:$M),0)=33,
IF($E$2="Fortnightly",
ROUND(
ROUND((((TRUNC($AN609/2,0)+0.99))*VLOOKUP((TRUNC($AN609/2,0)+0.99),'Tax scales - NAT 3539'!$A$74:$C$94,2,1)-VLOOKUP((TRUNC($AN609/2,0)+0.99),'Tax scales - NAT 3539'!$A$74:$C$94,3,1)),0)
*2,
0),
IF(AND($E$2="Monthly",ROUND($AN609-TRUNC($AN609),2)=0.33),
ROUND(
ROUND(((TRUNC(($AN609+0.01)*3/13,0)+0.99)*VLOOKUP((TRUNC(($AN609+0.01)*3/13,0)+0.99),'Tax scales - NAT 3539'!$A$74:$C$94,2,1)-VLOOKUP((TRUNC(($AN609+0.01)*3/13,0)+0.99),'Tax scales - NAT 3539'!$A$74:$C$94,3,1)),0)
*13/3,
0),
IF($E$2="Monthly",
ROUND(
ROUND(((TRUNC($AN609*3/13,0)+0.99)*VLOOKUP((TRUNC($AN609*3/13,0)+0.99),'Tax scales - NAT 3539'!$A$74:$C$94,2,1)-VLOOKUP((TRUNC($AN609*3/13,0)+0.99),'Tax scales - NAT 3539'!$A$74:$C$94,3,1)),0)
*13/3,
0),
""))),
""),
"")</f>
        <v/>
      </c>
      <c r="AX609" s="118" t="str">
        <f>IFERROR(
IF(VLOOKUP($C609,'Employee information'!$B:$M,COLUMNS('Employee information'!$B:$M),0)=55,
IF($E$2="Fortnightly",
ROUND(
ROUND((((TRUNC($AN609/2,0)+0.99))*VLOOKUP((TRUNC($AN609/2,0)+0.99),'Tax scales - NAT 3539'!$A$99:$C$123,2,1)-VLOOKUP((TRUNC($AN609/2,0)+0.99),'Tax scales - NAT 3539'!$A$99:$C$123,3,1)),0)
*2,
0),
IF(AND($E$2="Monthly",ROUND($AN609-TRUNC($AN609),2)=0.33),
ROUND(
ROUND(((TRUNC(($AN609+0.01)*3/13,0)+0.99)*VLOOKUP((TRUNC(($AN609+0.01)*3/13,0)+0.99),'Tax scales - NAT 3539'!$A$99:$C$123,2,1)-VLOOKUP((TRUNC(($AN609+0.01)*3/13,0)+0.99),'Tax scales - NAT 3539'!$A$99:$C$123,3,1)),0)
*13/3,
0),
IF($E$2="Monthly",
ROUND(
ROUND(((TRUNC($AN609*3/13,0)+0.99)*VLOOKUP((TRUNC($AN609*3/13,0)+0.99),'Tax scales - NAT 3539'!$A$99:$C$123,2,1)-VLOOKUP((TRUNC($AN609*3/13,0)+0.99),'Tax scales - NAT 3539'!$A$99:$C$123,3,1)),0)
*13/3,
0),
""))),
""),
"")</f>
        <v/>
      </c>
      <c r="AY609" s="118" t="str">
        <f>IFERROR(
IF(VLOOKUP($C609,'Employee information'!$B:$M,COLUMNS('Employee information'!$B:$M),0)=66,
IF($E$2="Fortnightly",
ROUND(
ROUND((((TRUNC($AN609/2,0)+0.99))*VLOOKUP((TRUNC($AN609/2,0)+0.99),'Tax scales - NAT 3539'!$A$127:$C$154,2,1)-VLOOKUP((TRUNC($AN609/2,0)+0.99),'Tax scales - NAT 3539'!$A$127:$C$154,3,1)),0)
*2,
0),
IF(AND($E$2="Monthly",ROUND($AN609-TRUNC($AN609),2)=0.33),
ROUND(
ROUND(((TRUNC(($AN609+0.01)*3/13,0)+0.99)*VLOOKUP((TRUNC(($AN609+0.01)*3/13,0)+0.99),'Tax scales - NAT 3539'!$A$127:$C$154,2,1)-VLOOKUP((TRUNC(($AN609+0.01)*3/13,0)+0.99),'Tax scales - NAT 3539'!$A$127:$C$154,3,1)),0)
*13/3,
0),
IF($E$2="Monthly",
ROUND(
ROUND(((TRUNC($AN609*3/13,0)+0.99)*VLOOKUP((TRUNC($AN609*3/13,0)+0.99),'Tax scales - NAT 3539'!$A$127:$C$154,2,1)-VLOOKUP((TRUNC($AN609*3/13,0)+0.99),'Tax scales - NAT 3539'!$A$127:$C$154,3,1)),0)
*13/3,
0),
""))),
""),
"")</f>
        <v/>
      </c>
      <c r="AZ609" s="118">
        <f>IFERROR(
HLOOKUP(VLOOKUP($C609,'Employee information'!$B:$M,COLUMNS('Employee information'!$B:$M),0),'PAYG worksheet'!$AO$590:$AY$609,COUNTA($C$591:$C609)+1,0),
0)</f>
        <v>0</v>
      </c>
      <c r="BA609" s="118"/>
      <c r="BB609" s="118">
        <f t="shared" si="635"/>
        <v>0</v>
      </c>
      <c r="BC609" s="119">
        <f>IFERROR(
IF(OR($AE609=1,$AE609=""),SUM($P609,$AA609,$AC609,$AK609)*VLOOKUP($C609,'Employee information'!$B:$Q,COLUMNS('Employee information'!$B:$H),0),
IF($AE609=0,SUM($P609,$AA609,$AK609)*VLOOKUP($C609,'Employee information'!$B:$Q,COLUMNS('Employee information'!$B:$H),0),
0)),
0)</f>
        <v>0</v>
      </c>
      <c r="BE609" s="114">
        <f t="shared" si="620"/>
        <v>0</v>
      </c>
      <c r="BF609" s="114">
        <f t="shared" si="621"/>
        <v>0</v>
      </c>
      <c r="BG609" s="114">
        <f t="shared" si="622"/>
        <v>0</v>
      </c>
      <c r="BH609" s="114">
        <f t="shared" si="623"/>
        <v>0</v>
      </c>
      <c r="BI609" s="114">
        <f t="shared" si="624"/>
        <v>0</v>
      </c>
      <c r="BJ609" s="114">
        <f t="shared" si="625"/>
        <v>0</v>
      </c>
      <c r="BK609" s="114">
        <f t="shared" si="626"/>
        <v>0</v>
      </c>
      <c r="BL609" s="114">
        <f t="shared" si="636"/>
        <v>0</v>
      </c>
      <c r="BM609" s="114">
        <f t="shared" si="627"/>
        <v>0</v>
      </c>
    </row>
    <row r="610" spans="1:65" x14ac:dyDescent="0.25">
      <c r="C610" s="284" t="s">
        <v>39</v>
      </c>
      <c r="D610" s="223"/>
      <c r="E610" s="111">
        <f>SUM(E591:E609)</f>
        <v>345</v>
      </c>
      <c r="F610" s="112">
        <f t="shared" ref="F610:H610" si="637">SUM(F591:F609)</f>
        <v>0</v>
      </c>
      <c r="G610" s="112">
        <f t="shared" si="637"/>
        <v>0</v>
      </c>
      <c r="H610" s="112">
        <f t="shared" si="637"/>
        <v>0</v>
      </c>
      <c r="I610" s="112"/>
      <c r="J610" s="111">
        <f t="shared" ref="J610" si="638">SUM(J591:J609)</f>
        <v>345</v>
      </c>
      <c r="K610" s="223"/>
      <c r="L610" s="115">
        <f>SUM(L591:L609)</f>
        <v>19122.576396206536</v>
      </c>
      <c r="M610" s="115">
        <f>SUM(M591:M609)</f>
        <v>404089.48893572181</v>
      </c>
      <c r="N610" s="223"/>
      <c r="O610" s="116">
        <f>SUM(O591:O609)</f>
        <v>345</v>
      </c>
      <c r="P610" s="117">
        <f>SUM(P591:P609)</f>
        <v>19122.576396206536</v>
      </c>
      <c r="R610" s="117">
        <f>SUM(R591:R609)</f>
        <v>404089.48893572181</v>
      </c>
      <c r="S610" s="223"/>
      <c r="T610" s="116">
        <f>SUM(T591:T609)</f>
        <v>0</v>
      </c>
      <c r="U610" s="116">
        <f t="shared" ref="U610:Y610" si="639">SUM(U591:U609)</f>
        <v>0</v>
      </c>
      <c r="V610" s="285">
        <f t="shared" si="639"/>
        <v>0</v>
      </c>
      <c r="W610" s="285">
        <f t="shared" si="639"/>
        <v>0</v>
      </c>
      <c r="X610" s="285">
        <f t="shared" si="639"/>
        <v>1538.4615384615386</v>
      </c>
      <c r="Y610" s="285">
        <f t="shared" si="639"/>
        <v>801.28205128205127</v>
      </c>
      <c r="Z610" s="223"/>
      <c r="AA610" s="117">
        <f t="shared" ref="AA610" si="640">SUM(AA591:AA609)</f>
        <v>0</v>
      </c>
      <c r="AC610" s="117">
        <f t="shared" ref="AC610" si="641">SUM(AC591:AC609)</f>
        <v>0</v>
      </c>
      <c r="AD610" s="117"/>
      <c r="AE610" s="117"/>
      <c r="AF610" s="117"/>
      <c r="AG610" s="117">
        <f t="shared" ref="AG610" si="642">SUM(AG591:AG609)</f>
        <v>0</v>
      </c>
      <c r="AH610" s="117"/>
      <c r="AI610" s="117"/>
      <c r="AJ610" s="117">
        <f>SUM(AJ591:AJ609)</f>
        <v>0</v>
      </c>
      <c r="AK610" s="117">
        <f>SUM(AK591:AK609)</f>
        <v>0</v>
      </c>
      <c r="AM610" s="117">
        <f t="shared" ref="AM610:AN610" si="643">SUM(AM591:AM609)</f>
        <v>19122.576396206536</v>
      </c>
      <c r="AN610" s="117">
        <f t="shared" si="643"/>
        <v>19122.576396206536</v>
      </c>
      <c r="AO610" s="117"/>
      <c r="AP610" s="117"/>
      <c r="AQ610" s="117"/>
      <c r="AR610" s="117"/>
      <c r="AS610" s="117"/>
      <c r="AT610" s="117"/>
      <c r="AU610" s="117"/>
      <c r="AV610" s="117"/>
      <c r="AW610" s="117"/>
      <c r="AX610" s="117"/>
      <c r="AY610" s="117"/>
      <c r="AZ610" s="117">
        <f>SUM(AZ591:AZ609)</f>
        <v>7481</v>
      </c>
      <c r="BA610" s="117">
        <f>SUM(BA591:BA609)</f>
        <v>0</v>
      </c>
      <c r="BB610" s="117">
        <f>SUM(BB591:BB609)</f>
        <v>11641.576396206534</v>
      </c>
      <c r="BC610" s="117">
        <f t="shared" ref="BC610" si="644">SUM(BC591:BC609)</f>
        <v>1816.6447576396208</v>
      </c>
      <c r="BD610" s="136"/>
      <c r="BE610" s="117">
        <f t="shared" ref="BE610:BM610" si="645">SUM(BE591:BE609)</f>
        <v>404329.48893572181</v>
      </c>
      <c r="BF610" s="117">
        <f t="shared" si="645"/>
        <v>404189.48893572181</v>
      </c>
      <c r="BG610" s="117">
        <f t="shared" si="645"/>
        <v>0</v>
      </c>
      <c r="BH610" s="117">
        <f t="shared" si="645"/>
        <v>140</v>
      </c>
      <c r="BI610" s="117">
        <f t="shared" si="645"/>
        <v>157915</v>
      </c>
      <c r="BJ610" s="117">
        <f t="shared" si="645"/>
        <v>0</v>
      </c>
      <c r="BK610" s="117">
        <f t="shared" si="645"/>
        <v>0</v>
      </c>
      <c r="BL610" s="117">
        <f t="shared" si="645"/>
        <v>100</v>
      </c>
      <c r="BM610" s="117">
        <f t="shared" si="645"/>
        <v>38398.00144889357</v>
      </c>
    </row>
    <row r="612" spans="1:65" x14ac:dyDescent="0.25">
      <c r="B612" s="228">
        <v>22</v>
      </c>
      <c r="C612" s="230" t="s">
        <v>2</v>
      </c>
      <c r="E612" s="232">
        <v>44116</v>
      </c>
      <c r="F612" s="148" t="s">
        <v>91</v>
      </c>
      <c r="L612" s="286"/>
      <c r="T612" s="127"/>
      <c r="U612" s="127"/>
      <c r="V612" s="127"/>
      <c r="W612" s="127"/>
      <c r="X612" s="127"/>
      <c r="Y612" s="127"/>
    </row>
    <row r="613" spans="1:65" x14ac:dyDescent="0.25">
      <c r="C613" s="230" t="s">
        <v>3</v>
      </c>
      <c r="E613" s="232">
        <v>44127</v>
      </c>
      <c r="F613" s="148" t="s">
        <v>90</v>
      </c>
      <c r="G613" s="229"/>
      <c r="H613" s="229"/>
      <c r="I613" s="229"/>
      <c r="J613" s="229"/>
      <c r="L613" s="164"/>
      <c r="T613" s="127"/>
      <c r="U613" s="127"/>
      <c r="V613" s="127"/>
      <c r="W613" s="127"/>
      <c r="X613" s="127"/>
      <c r="Y613" s="127"/>
    </row>
    <row r="614" spans="1:65" x14ac:dyDescent="0.25">
      <c r="C614" s="233"/>
    </row>
    <row r="615" spans="1:65" ht="34.5" customHeight="1" x14ac:dyDescent="0.25">
      <c r="C615" s="234"/>
      <c r="D615" s="235"/>
      <c r="E615" s="441" t="s">
        <v>4</v>
      </c>
      <c r="F615" s="442"/>
      <c r="G615" s="442"/>
      <c r="H615" s="442"/>
      <c r="I615" s="442"/>
      <c r="J615" s="443"/>
      <c r="L615" s="444" t="s">
        <v>253</v>
      </c>
      <c r="M615" s="445"/>
      <c r="N615" s="235"/>
      <c r="O615" s="444" t="s">
        <v>148</v>
      </c>
      <c r="P615" s="445"/>
      <c r="R615" s="235"/>
      <c r="T615" s="446" t="s">
        <v>269</v>
      </c>
      <c r="U615" s="447"/>
      <c r="V615" s="447"/>
      <c r="W615" s="447"/>
      <c r="X615" s="447"/>
      <c r="Y615" s="447"/>
      <c r="Z615" s="447"/>
      <c r="AA615" s="447"/>
      <c r="AC615" s="438" t="s">
        <v>274</v>
      </c>
      <c r="AD615" s="438"/>
      <c r="AE615" s="438"/>
      <c r="AF615" s="438"/>
      <c r="AG615" s="438"/>
      <c r="AH615" s="438"/>
      <c r="AI615" s="438"/>
      <c r="AJ615" s="438"/>
      <c r="AK615" s="438"/>
      <c r="AM615" s="439" t="s">
        <v>270</v>
      </c>
      <c r="AN615" s="439"/>
      <c r="AO615" s="439"/>
      <c r="AP615" s="439"/>
      <c r="AQ615" s="439"/>
      <c r="AR615" s="439"/>
      <c r="AS615" s="439"/>
      <c r="AT615" s="439"/>
      <c r="AU615" s="439"/>
      <c r="AV615" s="439"/>
      <c r="AW615" s="439"/>
      <c r="AX615" s="439"/>
      <c r="AY615" s="439"/>
      <c r="AZ615" s="439"/>
      <c r="BA615" s="439"/>
      <c r="BB615" s="439"/>
      <c r="BC615" s="440"/>
      <c r="BE615" s="439" t="s">
        <v>246</v>
      </c>
      <c r="BF615" s="439"/>
      <c r="BG615" s="439"/>
      <c r="BH615" s="439"/>
      <c r="BI615" s="439"/>
      <c r="BJ615" s="439"/>
      <c r="BK615" s="439"/>
      <c r="BL615" s="439"/>
      <c r="BM615" s="439"/>
    </row>
    <row r="616" spans="1:65" x14ac:dyDescent="0.25">
      <c r="C616" s="236"/>
      <c r="E616" s="229"/>
      <c r="F616" s="229"/>
      <c r="G616" s="229"/>
      <c r="H616" s="229"/>
      <c r="I616" s="229"/>
      <c r="J616" s="229"/>
      <c r="L616" s="164"/>
      <c r="O616" s="229"/>
      <c r="P616" s="164"/>
      <c r="T616" s="127"/>
      <c r="U616" s="127"/>
      <c r="V616" s="127"/>
      <c r="W616" s="127"/>
      <c r="X616" s="127"/>
      <c r="Y616" s="127"/>
      <c r="AA616" s="229"/>
      <c r="AC616" s="229"/>
      <c r="AD616" s="229"/>
      <c r="AE616" s="229"/>
      <c r="AF616" s="229"/>
      <c r="AG616" s="229"/>
      <c r="AH616" s="229"/>
      <c r="AI616" s="229"/>
      <c r="AJ616" s="229"/>
      <c r="AK616" s="127"/>
      <c r="AM616" s="229"/>
      <c r="AN616" s="229"/>
      <c r="AO616" s="229"/>
      <c r="AP616" s="229"/>
      <c r="AQ616" s="229"/>
      <c r="AR616" s="229"/>
      <c r="AS616" s="229"/>
      <c r="AT616" s="229"/>
      <c r="AU616" s="229"/>
      <c r="AV616" s="229"/>
      <c r="AW616" s="229"/>
      <c r="AX616" s="229"/>
      <c r="AY616" s="229"/>
      <c r="AZ616" s="229"/>
      <c r="BA616" s="229"/>
      <c r="BB616" s="229"/>
      <c r="BC616" s="229"/>
    </row>
    <row r="617" spans="1:65" ht="60" x14ac:dyDescent="0.25">
      <c r="C617" s="238" t="s">
        <v>5</v>
      </c>
      <c r="D617" s="239"/>
      <c r="E617" s="240" t="s">
        <v>268</v>
      </c>
      <c r="F617" s="241" t="s">
        <v>271</v>
      </c>
      <c r="G617" s="242" t="s">
        <v>267</v>
      </c>
      <c r="H617" s="243" t="s">
        <v>266</v>
      </c>
      <c r="I617" s="242" t="s">
        <v>265</v>
      </c>
      <c r="J617" s="244" t="s">
        <v>6</v>
      </c>
      <c r="L617" s="245" t="s">
        <v>7</v>
      </c>
      <c r="M617" s="246" t="s">
        <v>254</v>
      </c>
      <c r="N617" s="247"/>
      <c r="O617" s="248" t="s">
        <v>272</v>
      </c>
      <c r="P617" s="249" t="s">
        <v>200</v>
      </c>
      <c r="R617" s="250" t="s">
        <v>151</v>
      </c>
      <c r="T617" s="251" t="s">
        <v>8</v>
      </c>
      <c r="U617" s="252" t="s">
        <v>9</v>
      </c>
      <c r="V617" s="252" t="s">
        <v>120</v>
      </c>
      <c r="W617" s="252" t="s">
        <v>121</v>
      </c>
      <c r="X617" s="253" t="s">
        <v>118</v>
      </c>
      <c r="Y617" s="254" t="s">
        <v>119</v>
      </c>
      <c r="AA617" s="255" t="s">
        <v>84</v>
      </c>
      <c r="AC617" s="256" t="s">
        <v>142</v>
      </c>
      <c r="AD617" s="256" t="s">
        <v>138</v>
      </c>
      <c r="AE617" s="257" t="s">
        <v>147</v>
      </c>
      <c r="AF617" s="257" t="s">
        <v>149</v>
      </c>
      <c r="AG617" s="256" t="s">
        <v>305</v>
      </c>
      <c r="AH617" s="256" t="s">
        <v>306</v>
      </c>
      <c r="AI617" s="257" t="s">
        <v>150</v>
      </c>
      <c r="AJ617" s="258" t="s">
        <v>250</v>
      </c>
      <c r="AK617" s="259" t="s">
        <v>373</v>
      </c>
      <c r="AM617" s="260" t="s">
        <v>256</v>
      </c>
      <c r="AN617" s="261" t="s">
        <v>372</v>
      </c>
      <c r="AO617" s="253" t="s">
        <v>170</v>
      </c>
      <c r="AP617" s="253" t="s">
        <v>171</v>
      </c>
      <c r="AQ617" s="253" t="s">
        <v>172</v>
      </c>
      <c r="AR617" s="253" t="s">
        <v>173</v>
      </c>
      <c r="AS617" s="253" t="s">
        <v>174</v>
      </c>
      <c r="AT617" s="253" t="s">
        <v>175</v>
      </c>
      <c r="AU617" s="262" t="s">
        <v>210</v>
      </c>
      <c r="AV617" s="262" t="s">
        <v>211</v>
      </c>
      <c r="AW617" s="262" t="s">
        <v>212</v>
      </c>
      <c r="AX617" s="262" t="s">
        <v>213</v>
      </c>
      <c r="AY617" s="263" t="s">
        <v>214</v>
      </c>
      <c r="AZ617" s="264" t="s">
        <v>111</v>
      </c>
      <c r="BA617" s="265" t="s">
        <v>199</v>
      </c>
      <c r="BB617" s="252" t="s">
        <v>223</v>
      </c>
      <c r="BC617" s="260" t="s">
        <v>112</v>
      </c>
      <c r="BE617" s="260" t="s">
        <v>257</v>
      </c>
      <c r="BF617" s="266" t="s">
        <v>255</v>
      </c>
      <c r="BG617" s="262" t="s">
        <v>247</v>
      </c>
      <c r="BH617" s="262" t="s">
        <v>248</v>
      </c>
      <c r="BI617" s="260" t="s">
        <v>249</v>
      </c>
      <c r="BJ617" s="253" t="s">
        <v>199</v>
      </c>
      <c r="BK617" s="262" t="s">
        <v>251</v>
      </c>
      <c r="BL617" s="259" t="s">
        <v>373</v>
      </c>
      <c r="BM617" s="260" t="s">
        <v>252</v>
      </c>
    </row>
    <row r="618" spans="1:65" x14ac:dyDescent="0.25">
      <c r="T618" s="120"/>
      <c r="U618" s="120"/>
      <c r="V618" s="120"/>
      <c r="W618" s="120"/>
      <c r="X618" s="120"/>
      <c r="Y618" s="120"/>
      <c r="AM618" s="267" t="s">
        <v>322</v>
      </c>
      <c r="AN618" s="237"/>
      <c r="AO618" s="237"/>
      <c r="AP618" s="237"/>
      <c r="AQ618" s="237"/>
      <c r="AR618" s="237"/>
      <c r="AS618" s="237"/>
      <c r="AT618" s="237"/>
      <c r="AU618" s="237"/>
      <c r="AV618" s="237"/>
      <c r="AW618" s="237"/>
      <c r="AX618" s="237"/>
      <c r="AY618" s="237"/>
      <c r="AZ618" s="436" t="s">
        <v>320</v>
      </c>
      <c r="BA618" s="437"/>
      <c r="BB618" s="237"/>
      <c r="BC618" s="267" t="s">
        <v>321</v>
      </c>
    </row>
    <row r="619" spans="1:65" x14ac:dyDescent="0.25">
      <c r="A619" s="228">
        <f t="shared" ref="A619:A638" si="646">IF($E$613="","",$B$612)</f>
        <v>22</v>
      </c>
      <c r="C619" s="268"/>
      <c r="D619" s="239"/>
      <c r="E619" s="269"/>
      <c r="F619" s="270"/>
      <c r="G619" s="271"/>
      <c r="H619" s="272"/>
      <c r="I619" s="271"/>
      <c r="J619" s="273"/>
      <c r="O619" s="274"/>
      <c r="P619" s="247"/>
      <c r="T619" s="271"/>
      <c r="U619" s="271"/>
      <c r="V619" s="275"/>
      <c r="W619" s="269"/>
      <c r="X619" s="269"/>
      <c r="Y619" s="269"/>
      <c r="AA619" s="271"/>
      <c r="AC619" s="271"/>
      <c r="AD619" s="271"/>
      <c r="AE619" s="271"/>
      <c r="AF619" s="271"/>
      <c r="AG619" s="271"/>
      <c r="AH619" s="271"/>
      <c r="AI619" s="271"/>
      <c r="AJ619" s="271"/>
      <c r="AK619" s="275"/>
      <c r="AM619" s="271"/>
      <c r="AN619" s="271"/>
      <c r="AO619" s="276">
        <v>1</v>
      </c>
      <c r="AP619" s="276">
        <v>2</v>
      </c>
      <c r="AQ619" s="276">
        <v>3</v>
      </c>
      <c r="AR619" s="277">
        <v>4</v>
      </c>
      <c r="AS619" s="276">
        <v>5</v>
      </c>
      <c r="AT619" s="276">
        <v>6</v>
      </c>
      <c r="AU619" s="276">
        <v>11</v>
      </c>
      <c r="AV619" s="276">
        <v>22</v>
      </c>
      <c r="AW619" s="276">
        <v>33</v>
      </c>
      <c r="AX619" s="276">
        <v>55</v>
      </c>
      <c r="AY619" s="276">
        <v>66</v>
      </c>
      <c r="AZ619" s="271"/>
      <c r="BA619" s="271"/>
      <c r="BB619" s="271"/>
      <c r="BC619" s="273"/>
    </row>
    <row r="620" spans="1:65" x14ac:dyDescent="0.25">
      <c r="A620" s="228">
        <f t="shared" si="646"/>
        <v>22</v>
      </c>
      <c r="C620" s="278" t="s">
        <v>12</v>
      </c>
      <c r="E620" s="103">
        <f>IF($C620="",0,
IF(AND($E$2="Monthly",$A620&gt;12),0,
IF($E$2="Monthly",VLOOKUP($C620,'Employee information'!$B:$AM,COLUMNS('Employee information'!$B:S),0),
IF($E$2="Fortnightly",VLOOKUP($C620,'Employee information'!$B:$AM,COLUMNS('Employee information'!$B:R),0),
0))))</f>
        <v>75</v>
      </c>
      <c r="F620" s="279"/>
      <c r="G620" s="106"/>
      <c r="H620" s="280"/>
      <c r="I620" s="106"/>
      <c r="J620" s="103">
        <f>IF($E$2="Monthly",
IF(AND($E$2="Monthly",$H620&lt;&gt;""),$H620,
IF(AND($E$2="Monthly",$E620=0),SUM($F620:$G620),
$E620)),
IF($E$2="Fortnightly",
IF(AND($E$2="Fortnightly",$H620&lt;&gt;""),$H620,
IF(AND($E$2="Fortnightly",$F620&lt;&gt;"",$E620&lt;&gt;0),$F620,
IF(AND($E$2="Fortnightly",$E620=0),SUM($F620:$G620),
$E620)))))</f>
        <v>75</v>
      </c>
      <c r="L620" s="113">
        <f>IF(AND($E$2="Monthly",$A620&gt;12),"",
IFERROR($J620*VLOOKUP($C620,'Employee information'!$B:$AI,COLUMNS('Employee information'!$B:$P),0),0))</f>
        <v>3697.576396206533</v>
      </c>
      <c r="M620" s="114">
        <f>IF(AND($E$2="Monthly",$A620&gt;12),"",
SUMIFS($L:$L,$C:$C,$C620,$A:$A,"&lt;="&amp;$A620)
)</f>
        <v>81346.680716543749</v>
      </c>
      <c r="O620" s="103">
        <f>IF($E$2="Monthly",
IF(AND($E$2="Monthly",$H620&lt;&gt;""),$H620,
IF(AND($E$2="Monthly",$E620=0),$F620,
$E620)),
IF($E$2="Fortnightly",
IF(AND($E$2="Fortnightly",$H620&lt;&gt;""),$H620,
IF(AND($E$2="Fortnightly",$F620&lt;&gt;"",$E620&lt;&gt;0),$F620,
IF(AND($E$2="Fortnightly",$E620=0),$F620,
$E620)))))</f>
        <v>75</v>
      </c>
      <c r="P620" s="113">
        <f>IFERROR(
IF(AND($E$2="Monthly",$A620&gt;12),0,
$O620*VLOOKUP($C620,'Employee information'!$B:$AI,COLUMNS('Employee information'!$B:$P),0)),
0)</f>
        <v>3697.576396206533</v>
      </c>
      <c r="R620" s="114">
        <f t="shared" ref="R620:R638" si="647">IF(AND($E$2="Monthly",$A620&gt;12),"",
SUMIFS($P:$P,$C:$C,$C620,$A:$A,"&lt;="&amp;$A620)
)</f>
        <v>81346.680716543749</v>
      </c>
      <c r="T620" s="281"/>
      <c r="U620" s="103"/>
      <c r="V620" s="282">
        <f>IF($C620="","",
IF(AND($E$2="Monthly",$A620&gt;12),"",
$T620*VLOOKUP($C620,'Employee information'!$B:$P,COLUMNS('Employee information'!$B:$P),0)))</f>
        <v>0</v>
      </c>
      <c r="W620" s="282">
        <f>IF($C620="","",
IF(AND($E$2="Monthly",$A620&gt;12),"",
$U620*VLOOKUP($C620,'Employee information'!$B:$P,COLUMNS('Employee information'!$B:$P),0)))</f>
        <v>0</v>
      </c>
      <c r="X620" s="114">
        <f t="shared" ref="X620:X638" si="648">IF(AND($E$2="Monthly",$A620&gt;12),"",
SUMIFS($V:$V,$C:$C,$C620,$A:$A,"&lt;="&amp;$A620)
)</f>
        <v>0</v>
      </c>
      <c r="Y620" s="114">
        <f t="shared" ref="Y620:Y638" si="649">IF(AND($E$2="Monthly",$A620&gt;12),"",
SUMIFS($W:$W,$C:$C,$C620,$A:$A,"&lt;="&amp;$A620)
)</f>
        <v>0</v>
      </c>
      <c r="AA620" s="118">
        <f>IFERROR(
IF(OR('Basic payroll data'!$D$12="",'Basic payroll data'!$D$12="No"),0,
$T620*VLOOKUP($C620,'Employee information'!$B:$P,COLUMNS('Employee information'!$B:$P),0)*AL_loading_perc),
0)</f>
        <v>0</v>
      </c>
      <c r="AC620" s="118"/>
      <c r="AD620" s="118"/>
      <c r="AE620" s="283" t="str">
        <f>IF(LEFT($AD620,6)="Is OTE",1,
IF(LEFT($AD620,10)="Is not OTE",0,
""))</f>
        <v/>
      </c>
      <c r="AF620" s="283" t="str">
        <f>IF(RIGHT($AD620,12)="tax withheld",1,
IF(RIGHT($AD620,16)="tax not withheld",0,
""))</f>
        <v/>
      </c>
      <c r="AG620" s="118"/>
      <c r="AH620" s="118"/>
      <c r="AI620" s="283" t="str">
        <f>IF($AH620="FBT",0,
IF($AH620="Not FBT",1,
""))</f>
        <v/>
      </c>
      <c r="AJ620" s="118"/>
      <c r="AK620" s="118"/>
      <c r="AM620" s="118">
        <f>SUM($L620,$AA620,$AC620,$AG620,$AK620)-$AJ620</f>
        <v>3697.576396206533</v>
      </c>
      <c r="AN620" s="118">
        <f t="shared" ref="AN620:AN638" si="650">IF(AND(OR($AF620=1,$AF620=""),OR($AI620=1,$AI620="")),SUM($L620,$AA620,$AC620,$AG620,$AK620)-$AJ620,
IF(AND(OR($AF620=1,$AF620=""),$AI620=0),SUM($L620,$AA620,$AC620,$AK620)-$AJ620,
IF(AND($AF620=0,OR($AI620=1,$AI620="")),SUM($L620,$AA620,$AG620,$AK620)-$AJ620,
IF(AND($AF620=0,$AI620=0),SUM($L620,$AA620,$AK620)-$AJ620,
""))))</f>
        <v>3697.576396206533</v>
      </c>
      <c r="AO620" s="118" t="str">
        <f>IFERROR(
IF(VLOOKUP($C620,'Employee information'!$B:$M,COLUMNS('Employee information'!$B:$M),0)=1,
IF($E$2="Fortnightly",
ROUND(
ROUND((((TRUNC($AN620/2,0)+0.99))*VLOOKUP((TRUNC($AN620/2,0)+0.99),'Tax scales - NAT 1004'!$A$12:$C$18,2,1)-VLOOKUP((TRUNC($AN620/2,0)+0.99),'Tax scales - NAT 1004'!$A$12:$C$18,3,1)),0)
*2,
0),
IF(AND($E$2="Monthly",ROUND($AN620-TRUNC($AN620),2)=0.33),
ROUND(
ROUND(((TRUNC(($AN620+0.01)*3/13,0)+0.99)*VLOOKUP((TRUNC(($AN620+0.01)*3/13,0)+0.99),'Tax scales - NAT 1004'!$A$12:$C$18,2,1)-VLOOKUP((TRUNC(($AN620+0.01)*3/13,0)+0.99),'Tax scales - NAT 1004'!$A$12:$C$18,3,1)),0)
*13/3,
0),
IF($E$2="Monthly",
ROUND(
ROUND(((TRUNC($AN620*3/13,0)+0.99)*VLOOKUP((TRUNC($AN620*3/13,0)+0.99),'Tax scales - NAT 1004'!$A$12:$C$18,2,1)-VLOOKUP((TRUNC($AN620*3/13,0)+0.99),'Tax scales - NAT 1004'!$A$12:$C$18,3,1)),0)
*13/3,
0),
""))),
""),
"")</f>
        <v/>
      </c>
      <c r="AP620" s="118" t="str">
        <f>IFERROR(
IF(VLOOKUP($C620,'Employee information'!$B:$M,COLUMNS('Employee information'!$B:$M),0)=2,
IF($E$2="Fortnightly",
ROUND(
ROUND((((TRUNC($AN620/2,0)+0.99))*VLOOKUP((TRUNC($AN620/2,0)+0.99),'Tax scales - NAT 1004'!$A$25:$C$33,2,1)-VLOOKUP((TRUNC($AN620/2,0)+0.99),'Tax scales - NAT 1004'!$A$25:$C$33,3,1)),0)
*2,
0),
IF(AND($E$2="Monthly",ROUND($AN620-TRUNC($AN620),2)=0.33),
ROUND(
ROUND(((TRUNC(($AN620+0.01)*3/13,0)+0.99)*VLOOKUP((TRUNC(($AN620+0.01)*3/13,0)+0.99),'Tax scales - NAT 1004'!$A$25:$C$33,2,1)-VLOOKUP((TRUNC(($AN620+0.01)*3/13,0)+0.99),'Tax scales - NAT 1004'!$A$25:$C$33,3,1)),0)
*13/3,
0),
IF($E$2="Monthly",
ROUND(
ROUND(((TRUNC($AN620*3/13,0)+0.99)*VLOOKUP((TRUNC($AN620*3/13,0)+0.99),'Tax scales - NAT 1004'!$A$25:$C$33,2,1)-VLOOKUP((TRUNC($AN620*3/13,0)+0.99),'Tax scales - NAT 1004'!$A$25:$C$33,3,1)),0)
*13/3,
0),
""))),
""),
"")</f>
        <v/>
      </c>
      <c r="AQ620" s="118" t="str">
        <f>IFERROR(
IF(VLOOKUP($C620,'Employee information'!$B:$M,COLUMNS('Employee information'!$B:$M),0)=3,
IF($E$2="Fortnightly",
ROUND(
ROUND((((TRUNC($AN620/2,0)+0.99))*VLOOKUP((TRUNC($AN620/2,0)+0.99),'Tax scales - NAT 1004'!$A$39:$C$41,2,1)-VLOOKUP((TRUNC($AN620/2,0)+0.99),'Tax scales - NAT 1004'!$A$39:$C$41,3,1)),0)
*2,
0),
IF(AND($E$2="Monthly",ROUND($AN620-TRUNC($AN620),2)=0.33),
ROUND(
ROUND(((TRUNC(($AN620+0.01)*3/13,0)+0.99)*VLOOKUP((TRUNC(($AN620+0.01)*3/13,0)+0.99),'Tax scales - NAT 1004'!$A$39:$C$41,2,1)-VLOOKUP((TRUNC(($AN620+0.01)*3/13,0)+0.99),'Tax scales - NAT 1004'!$A$39:$C$41,3,1)),0)
*13/3,
0),
IF($E$2="Monthly",
ROUND(
ROUND(((TRUNC($AN620*3/13,0)+0.99)*VLOOKUP((TRUNC($AN620*3/13,0)+0.99),'Tax scales - NAT 1004'!$A$39:$C$41,2,1)-VLOOKUP((TRUNC($AN620*3/13,0)+0.99),'Tax scales - NAT 1004'!$A$39:$C$41,3,1)),0)
*13/3,
0),
""))),
""),
"")</f>
        <v/>
      </c>
      <c r="AR620" s="118" t="str">
        <f>IFERROR(
IF(AND(VLOOKUP($C620,'Employee information'!$B:$M,COLUMNS('Employee information'!$B:$M),0)=4,
VLOOKUP($C620,'Employee information'!$B:$J,COLUMNS('Employee information'!$B:$J),0)="Resident"),
TRUNC(TRUNC($AN620)*'Tax scales - NAT 1004'!$B$47),
IF(AND(VLOOKUP($C620,'Employee information'!$B:$M,COLUMNS('Employee information'!$B:$M),0)=4,
VLOOKUP($C620,'Employee information'!$B:$J,COLUMNS('Employee information'!$B:$J),0)="Foreign resident"),
TRUNC(TRUNC($AN620)*'Tax scales - NAT 1004'!$B$48),
"")),
"")</f>
        <v/>
      </c>
      <c r="AS620" s="118" t="str">
        <f>IFERROR(
IF(VLOOKUP($C620,'Employee information'!$B:$M,COLUMNS('Employee information'!$B:$M),0)=5,
IF($E$2="Fortnightly",
ROUND(
ROUND((((TRUNC($AN620/2,0)+0.99))*VLOOKUP((TRUNC($AN620/2,0)+0.99),'Tax scales - NAT 1004'!$A$53:$C$59,2,1)-VLOOKUP((TRUNC($AN620/2,0)+0.99),'Tax scales - NAT 1004'!$A$53:$C$59,3,1)),0)
*2,
0),
IF(AND($E$2="Monthly",ROUND($AN620-TRUNC($AN620),2)=0.33),
ROUND(
ROUND(((TRUNC(($AN620+0.01)*3/13,0)+0.99)*VLOOKUP((TRUNC(($AN620+0.01)*3/13,0)+0.99),'Tax scales - NAT 1004'!$A$53:$C$59,2,1)-VLOOKUP((TRUNC(($AN620+0.01)*3/13,0)+0.99),'Tax scales - NAT 1004'!$A$53:$C$59,3,1)),0)
*13/3,
0),
IF($E$2="Monthly",
ROUND(
ROUND(((TRUNC($AN620*3/13,0)+0.99)*VLOOKUP((TRUNC($AN620*3/13,0)+0.99),'Tax scales - NAT 1004'!$A$53:$C$59,2,1)-VLOOKUP((TRUNC($AN620*3/13,0)+0.99),'Tax scales - NAT 1004'!$A$53:$C$59,3,1)),0)
*13/3,
0),
""))),
""),
"")</f>
        <v/>
      </c>
      <c r="AT620" s="118" t="str">
        <f>IFERROR(
IF(VLOOKUP($C620,'Employee information'!$B:$M,COLUMNS('Employee information'!$B:$M),0)=6,
IF($E$2="Fortnightly",
ROUND(
ROUND((((TRUNC($AN620/2,0)+0.99))*VLOOKUP((TRUNC($AN620/2,0)+0.99),'Tax scales - NAT 1004'!$A$65:$C$73,2,1)-VLOOKUP((TRUNC($AN620/2,0)+0.99),'Tax scales - NAT 1004'!$A$65:$C$73,3,1)),0)
*2,
0),
IF(AND($E$2="Monthly",ROUND($AN620-TRUNC($AN620),2)=0.33),
ROUND(
ROUND(((TRUNC(($AN620+0.01)*3/13,0)+0.99)*VLOOKUP((TRUNC(($AN620+0.01)*3/13,0)+0.99),'Tax scales - NAT 1004'!$A$65:$C$73,2,1)-VLOOKUP((TRUNC(($AN620+0.01)*3/13,0)+0.99),'Tax scales - NAT 1004'!$A$65:$C$73,3,1)),0)
*13/3,
0),
IF($E$2="Monthly",
ROUND(
ROUND(((TRUNC($AN620*3/13,0)+0.99)*VLOOKUP((TRUNC($AN620*3/13,0)+0.99),'Tax scales - NAT 1004'!$A$65:$C$73,2,1)-VLOOKUP((TRUNC($AN620*3/13,0)+0.99),'Tax scales - NAT 1004'!$A$65:$C$73,3,1)),0)
*13/3,
0),
""))),
""),
"")</f>
        <v/>
      </c>
      <c r="AU620" s="118">
        <f>IFERROR(
IF(VLOOKUP($C620,'Employee information'!$B:$M,COLUMNS('Employee information'!$B:$M),0)=11,
IF($E$2="Fortnightly",
ROUND(
ROUND((((TRUNC($AN620/2,0)+0.99))*VLOOKUP((TRUNC($AN620/2,0)+0.99),'Tax scales - NAT 3539'!$A$14:$C$38,2,1)-VLOOKUP((TRUNC($AN620/2,0)+0.99),'Tax scales - NAT 3539'!$A$14:$C$38,3,1)),0)
*2,
0),
IF(AND($E$2="Monthly",ROUND($AN620-TRUNC($AN620),2)=0.33),
ROUND(
ROUND(((TRUNC(($AN620+0.01)*3/13,0)+0.99)*VLOOKUP((TRUNC(($AN620+0.01)*3/13,0)+0.99),'Tax scales - NAT 3539'!$A$14:$C$38,2,1)-VLOOKUP((TRUNC(($AN620+0.01)*3/13,0)+0.99),'Tax scales - NAT 3539'!$A$14:$C$38,3,1)),0)
*13/3,
0),
IF($E$2="Monthly",
ROUND(
ROUND(((TRUNC($AN620*3/13,0)+0.99)*VLOOKUP((TRUNC($AN620*3/13,0)+0.99),'Tax scales - NAT 3539'!$A$14:$C$38,2,1)-VLOOKUP((TRUNC($AN620*3/13,0)+0.99),'Tax scales - NAT 3539'!$A$14:$C$38,3,1)),0)
*13/3,
0),
""))),
""),
"")</f>
        <v>1448</v>
      </c>
      <c r="AV620" s="118" t="str">
        <f>IFERROR(
IF(VLOOKUP($C620,'Employee information'!$B:$M,COLUMNS('Employee information'!$B:$M),0)=22,
IF($E$2="Fortnightly",
ROUND(
ROUND((((TRUNC($AN620/2,0)+0.99))*VLOOKUP((TRUNC($AN620/2,0)+0.99),'Tax scales - NAT 3539'!$A$43:$C$69,2,1)-VLOOKUP((TRUNC($AN620/2,0)+0.99),'Tax scales - NAT 3539'!$A$43:$C$69,3,1)),0)
*2,
0),
IF(AND($E$2="Monthly",ROUND($AN620-TRUNC($AN620),2)=0.33),
ROUND(
ROUND(((TRUNC(($AN620+0.01)*3/13,0)+0.99)*VLOOKUP((TRUNC(($AN620+0.01)*3/13,0)+0.99),'Tax scales - NAT 3539'!$A$43:$C$69,2,1)-VLOOKUP((TRUNC(($AN620+0.01)*3/13,0)+0.99),'Tax scales - NAT 3539'!$A$43:$C$69,3,1)),0)
*13/3,
0),
IF($E$2="Monthly",
ROUND(
ROUND(((TRUNC($AN620*3/13,0)+0.99)*VLOOKUP((TRUNC($AN620*3/13,0)+0.99),'Tax scales - NAT 3539'!$A$43:$C$69,2,1)-VLOOKUP((TRUNC($AN620*3/13,0)+0.99),'Tax scales - NAT 3539'!$A$43:$C$69,3,1)),0)
*13/3,
0),
""))),
""),
"")</f>
        <v/>
      </c>
      <c r="AW620" s="118" t="str">
        <f>IFERROR(
IF(VLOOKUP($C620,'Employee information'!$B:$M,COLUMNS('Employee information'!$B:$M),0)=33,
IF($E$2="Fortnightly",
ROUND(
ROUND((((TRUNC($AN620/2,0)+0.99))*VLOOKUP((TRUNC($AN620/2,0)+0.99),'Tax scales - NAT 3539'!$A$74:$C$94,2,1)-VLOOKUP((TRUNC($AN620/2,0)+0.99),'Tax scales - NAT 3539'!$A$74:$C$94,3,1)),0)
*2,
0),
IF(AND($E$2="Monthly",ROUND($AN620-TRUNC($AN620),2)=0.33),
ROUND(
ROUND(((TRUNC(($AN620+0.01)*3/13,0)+0.99)*VLOOKUP((TRUNC(($AN620+0.01)*3/13,0)+0.99),'Tax scales - NAT 3539'!$A$74:$C$94,2,1)-VLOOKUP((TRUNC(($AN620+0.01)*3/13,0)+0.99),'Tax scales - NAT 3539'!$A$74:$C$94,3,1)),0)
*13/3,
0),
IF($E$2="Monthly",
ROUND(
ROUND(((TRUNC($AN620*3/13,0)+0.99)*VLOOKUP((TRUNC($AN620*3/13,0)+0.99),'Tax scales - NAT 3539'!$A$74:$C$94,2,1)-VLOOKUP((TRUNC($AN620*3/13,0)+0.99),'Tax scales - NAT 3539'!$A$74:$C$94,3,1)),0)
*13/3,
0),
""))),
""),
"")</f>
        <v/>
      </c>
      <c r="AX620" s="118" t="str">
        <f>IFERROR(
IF(VLOOKUP($C620,'Employee information'!$B:$M,COLUMNS('Employee information'!$B:$M),0)=55,
IF($E$2="Fortnightly",
ROUND(
ROUND((((TRUNC($AN620/2,0)+0.99))*VLOOKUP((TRUNC($AN620/2,0)+0.99),'Tax scales - NAT 3539'!$A$99:$C$123,2,1)-VLOOKUP((TRUNC($AN620/2,0)+0.99),'Tax scales - NAT 3539'!$A$99:$C$123,3,1)),0)
*2,
0),
IF(AND($E$2="Monthly",ROUND($AN620-TRUNC($AN620),2)=0.33),
ROUND(
ROUND(((TRUNC(($AN620+0.01)*3/13,0)+0.99)*VLOOKUP((TRUNC(($AN620+0.01)*3/13,0)+0.99),'Tax scales - NAT 3539'!$A$99:$C$123,2,1)-VLOOKUP((TRUNC(($AN620+0.01)*3/13,0)+0.99),'Tax scales - NAT 3539'!$A$99:$C$123,3,1)),0)
*13/3,
0),
IF($E$2="Monthly",
ROUND(
ROUND(((TRUNC($AN620*3/13,0)+0.99)*VLOOKUP((TRUNC($AN620*3/13,0)+0.99),'Tax scales - NAT 3539'!$A$99:$C$123,2,1)-VLOOKUP((TRUNC($AN620*3/13,0)+0.99),'Tax scales - NAT 3539'!$A$99:$C$123,3,1)),0)
*13/3,
0),
""))),
""),
"")</f>
        <v/>
      </c>
      <c r="AY620" s="118" t="str">
        <f>IFERROR(
IF(VLOOKUP($C620,'Employee information'!$B:$M,COLUMNS('Employee information'!$B:$M),0)=66,
IF($E$2="Fortnightly",
ROUND(
ROUND((((TRUNC($AN620/2,0)+0.99))*VLOOKUP((TRUNC($AN620/2,0)+0.99),'Tax scales - NAT 3539'!$A$127:$C$154,2,1)-VLOOKUP((TRUNC($AN620/2,0)+0.99),'Tax scales - NAT 3539'!$A$127:$C$154,3,1)),0)
*2,
0),
IF(AND($E$2="Monthly",ROUND($AN620-TRUNC($AN620),2)=0.33),
ROUND(
ROUND(((TRUNC(($AN620+0.01)*3/13,0)+0.99)*VLOOKUP((TRUNC(($AN620+0.01)*3/13,0)+0.99),'Tax scales - NAT 3539'!$A$127:$C$154,2,1)-VLOOKUP((TRUNC(($AN620+0.01)*3/13,0)+0.99),'Tax scales - NAT 3539'!$A$127:$C$154,3,1)),0)
*13/3,
0),
IF($E$2="Monthly",
ROUND(
ROUND(((TRUNC($AN620*3/13,0)+0.99)*VLOOKUP((TRUNC($AN620*3/13,0)+0.99),'Tax scales - NAT 3539'!$A$127:$C$154,2,1)-VLOOKUP((TRUNC($AN620*3/13,0)+0.99),'Tax scales - NAT 3539'!$A$127:$C$154,3,1)),0)
*13/3,
0),
""))),
""),
"")</f>
        <v/>
      </c>
      <c r="AZ620" s="118">
        <f>IFERROR(
HLOOKUP(VLOOKUP($C620,'Employee information'!$B:$M,COLUMNS('Employee information'!$B:$M),0),'PAYG worksheet'!$AO$619:$AY$638,COUNTA($C$620:$C620)+1,0),
0)</f>
        <v>1448</v>
      </c>
      <c r="BA620" s="118"/>
      <c r="BB620" s="118">
        <f>IFERROR($AM620-$AZ620-$BA620,"")</f>
        <v>2249.576396206533</v>
      </c>
      <c r="BC620" s="119">
        <f>IFERROR(
IF(OR($AE620=1,$AE620=""),SUM($P620,$AA620,$AC620,$AK620)*VLOOKUP($C620,'Employee information'!$B:$Q,COLUMNS('Employee information'!$B:$H),0),
IF($AE620=0,SUM($P620,$AA620,$AK620)*VLOOKUP($C620,'Employee information'!$B:$Q,COLUMNS('Employee information'!$B:$H),0),
0)),
0)</f>
        <v>351.26975763962065</v>
      </c>
      <c r="BE620" s="114">
        <f t="shared" ref="BE620:BE638" si="651">IF(AND($E$2="Monthly",$A620&gt;12),"",
SUMIFS($AM:$AM,$C:$C,$C620,$A:$A,"&lt;="&amp;$A620)
)</f>
        <v>81346.680716543749</v>
      </c>
      <c r="BF620" s="114">
        <f t="shared" ref="BF620:BF638" si="652">IF(AND($E$2="Monthly",$A620&gt;12),"",
SUMIFS($AN:$AN,$C:$C,$C620,$A:$A,"&lt;="&amp;$A620)
)</f>
        <v>81346.680716543749</v>
      </c>
      <c r="BG620" s="114">
        <f t="shared" ref="BG620:BG638" si="653">IF(AND($E$2="Monthly",$A620&gt;12),"",
SUMIFS($AC:$AC,$C:$C,$C620,$A:$A,"&lt;="&amp;$A620)
)</f>
        <v>0</v>
      </c>
      <c r="BH620" s="114">
        <f t="shared" ref="BH620:BH638" si="654">IF(AND($E$2="Monthly",$A620&gt;12),"",
SUMIFS($AG:$AG,$C:$C,$C620,$A:$A,"&lt;="&amp;$A620)
)</f>
        <v>0</v>
      </c>
      <c r="BI620" s="114">
        <f t="shared" ref="BI620:BI638" si="655">IF(AND($E$2="Monthly",$A620&gt;12),"",
SUMIFS($AZ:$AZ,$C:$C,$C620,$A:$A,"&lt;="&amp;$A620)
)</f>
        <v>31856</v>
      </c>
      <c r="BJ620" s="114">
        <f t="shared" ref="BJ620:BJ638" si="656">IF(AND($E$2="Monthly",$A620&gt;12),"",
SUMIFS($BA:$BA,$C:$C,$C620,$A:$A,"&lt;="&amp;$A620)
)</f>
        <v>0</v>
      </c>
      <c r="BK620" s="114">
        <f t="shared" ref="BK620:BK638" si="657">IF(AND($E$2="Monthly",$A620&gt;12),"",
SUMIFS($AJ:$AJ,$C:$C,$C620,$A:$A,"&lt;="&amp;$A620)
)</f>
        <v>0</v>
      </c>
      <c r="BL620" s="114">
        <f>IF(AND($E$2="Monthly",$A620&gt;12),"",
SUMIFS($AK:$AK,$C:$C,$C620,$A:$A,"&lt;="&amp;$A620)
)</f>
        <v>0</v>
      </c>
      <c r="BM620" s="114">
        <f t="shared" ref="BM620:BM638" si="658">IF(AND($E$2="Monthly",$A620&gt;12),"",
SUMIFS($BC:$BC,$C:$C,$C620,$A:$A,"&lt;="&amp;$A620)
)</f>
        <v>7727.9346680716526</v>
      </c>
    </row>
    <row r="621" spans="1:65" x14ac:dyDescent="0.25">
      <c r="A621" s="228">
        <f t="shared" si="646"/>
        <v>22</v>
      </c>
      <c r="C621" s="278" t="s">
        <v>13</v>
      </c>
      <c r="E621" s="103">
        <f>IF($C621="",0,
IF(AND($E$2="Monthly",$A621&gt;12),0,
IF($E$2="Monthly",VLOOKUP($C621,'Employee information'!$B:$AM,COLUMNS('Employee information'!$B:S),0),
IF($E$2="Fortnightly",VLOOKUP($C621,'Employee information'!$B:$AM,COLUMNS('Employee information'!$B:R),0),
0))))</f>
        <v>0</v>
      </c>
      <c r="F621" s="106"/>
      <c r="G621" s="106"/>
      <c r="H621" s="106"/>
      <c r="I621" s="106"/>
      <c r="J621" s="103">
        <f t="shared" ref="J621:J638" si="659">IF($E$2="Monthly",
IF(AND($E$2="Monthly",$H621&lt;&gt;""),$H621,
IF(AND($E$2="Monthly",$E621=0),SUM($F621:$G621),
$E621)),
IF($E$2="Fortnightly",
IF(AND($E$2="Fortnightly",$H621&lt;&gt;""),$H621,
IF(AND($E$2="Fortnightly",$F621&lt;&gt;"",$E621&lt;&gt;0),$F621,
IF(AND($E$2="Fortnightly",$E621=0),SUM($F621:$G621),
$E621)))))</f>
        <v>0</v>
      </c>
      <c r="L621" s="113">
        <f>IF(AND($E$2="Monthly",$A621&gt;12),"",
IFERROR($J621*VLOOKUP($C621,'Employee information'!$B:$AI,COLUMNS('Employee information'!$B:$P),0),0))</f>
        <v>0</v>
      </c>
      <c r="M621" s="114">
        <f t="shared" ref="M621:M638" si="660">IF(AND($E$2="Monthly",$A621&gt;12),"",
SUMIFS($L:$L,$C:$C,$C621,$A:$A,"&lt;="&amp;$A621)
)</f>
        <v>1615.3846153846152</v>
      </c>
      <c r="O621" s="103">
        <f t="shared" ref="O621:O638" si="661">IF($E$2="Monthly",
IF(AND($E$2="Monthly",$H621&lt;&gt;""),$H621,
IF(AND($E$2="Monthly",$E621=0),$F621,
$E621)),
IF($E$2="Fortnightly",
IF(AND($E$2="Fortnightly",$H621&lt;&gt;""),$H621,
IF(AND($E$2="Fortnightly",$F621&lt;&gt;"",$E621&lt;&gt;0),$F621,
IF(AND($E$2="Fortnightly",$E621=0),$F621,
$E621)))))</f>
        <v>0</v>
      </c>
      <c r="P621" s="113">
        <f>IFERROR(
IF(AND($E$2="Monthly",$A621&gt;12),0,
$O621*VLOOKUP($C621,'Employee information'!$B:$AI,COLUMNS('Employee information'!$B:$P),0)),
0)</f>
        <v>0</v>
      </c>
      <c r="R621" s="114">
        <f t="shared" si="647"/>
        <v>1615.3846153846152</v>
      </c>
      <c r="T621" s="103"/>
      <c r="U621" s="103"/>
      <c r="V621" s="282">
        <f>IF($C621="","",
IF(AND($E$2="Monthly",$A621&gt;12),"",
$T621*VLOOKUP($C621,'Employee information'!$B:$P,COLUMNS('Employee information'!$B:$P),0)))</f>
        <v>0</v>
      </c>
      <c r="W621" s="282">
        <f>IF($C621="","",
IF(AND($E$2="Monthly",$A621&gt;12),"",
$U621*VLOOKUP($C621,'Employee information'!$B:$P,COLUMNS('Employee information'!$B:$P),0)))</f>
        <v>0</v>
      </c>
      <c r="X621" s="114">
        <f t="shared" si="648"/>
        <v>0</v>
      </c>
      <c r="Y621" s="114">
        <f t="shared" si="649"/>
        <v>288.46153846153845</v>
      </c>
      <c r="AA621" s="118">
        <f>IFERROR(
IF(OR('Basic payroll data'!$D$12="",'Basic payroll data'!$D$12="No"),0,
$T621*VLOOKUP($C621,'Employee information'!$B:$P,COLUMNS('Employee information'!$B:$P),0)*AL_loading_perc),
0)</f>
        <v>0</v>
      </c>
      <c r="AC621" s="118"/>
      <c r="AD621" s="118"/>
      <c r="AE621" s="283" t="str">
        <f t="shared" ref="AE621:AE638" si="662">IF(LEFT($AD621,6)="Is OTE",1,
IF(LEFT($AD621,10)="Is not OTE",0,
""))</f>
        <v/>
      </c>
      <c r="AF621" s="283" t="str">
        <f t="shared" ref="AF621:AF638" si="663">IF(RIGHT($AD621,12)="tax withheld",1,
IF(RIGHT($AD621,16)="tax not withheld",0,
""))</f>
        <v/>
      </c>
      <c r="AG621" s="118"/>
      <c r="AH621" s="118"/>
      <c r="AI621" s="283" t="str">
        <f t="shared" ref="AI621:AI638" si="664">IF($AH621="FBT",0,
IF($AH621="Not FBT",1,
""))</f>
        <v/>
      </c>
      <c r="AJ621" s="118"/>
      <c r="AK621" s="118"/>
      <c r="AM621" s="118">
        <f t="shared" ref="AM621:AM638" si="665">SUM($L621,$AA621,$AC621,$AG621,$AK621)-$AJ621</f>
        <v>0</v>
      </c>
      <c r="AN621" s="118">
        <f t="shared" si="650"/>
        <v>0</v>
      </c>
      <c r="AO621" s="118" t="str">
        <f>IFERROR(
IF(VLOOKUP($C621,'Employee information'!$B:$M,COLUMNS('Employee information'!$B:$M),0)=1,
IF($E$2="Fortnightly",
ROUND(
ROUND((((TRUNC($AN621/2,0)+0.99))*VLOOKUP((TRUNC($AN621/2,0)+0.99),'Tax scales - NAT 1004'!$A$12:$C$18,2,1)-VLOOKUP((TRUNC($AN621/2,0)+0.99),'Tax scales - NAT 1004'!$A$12:$C$18,3,1)),0)
*2,
0),
IF(AND($E$2="Monthly",ROUND($AN621-TRUNC($AN621),2)=0.33),
ROUND(
ROUND(((TRUNC(($AN621+0.01)*3/13,0)+0.99)*VLOOKUP((TRUNC(($AN621+0.01)*3/13,0)+0.99),'Tax scales - NAT 1004'!$A$12:$C$18,2,1)-VLOOKUP((TRUNC(($AN621+0.01)*3/13,0)+0.99),'Tax scales - NAT 1004'!$A$12:$C$18,3,1)),0)
*13/3,
0),
IF($E$2="Monthly",
ROUND(
ROUND(((TRUNC($AN621*3/13,0)+0.99)*VLOOKUP((TRUNC($AN621*3/13,0)+0.99),'Tax scales - NAT 1004'!$A$12:$C$18,2,1)-VLOOKUP((TRUNC($AN621*3/13,0)+0.99),'Tax scales - NAT 1004'!$A$12:$C$18,3,1)),0)
*13/3,
0),
""))),
""),
"")</f>
        <v/>
      </c>
      <c r="AP621" s="118" t="str">
        <f>IFERROR(
IF(VLOOKUP($C621,'Employee information'!$B:$M,COLUMNS('Employee information'!$B:$M),0)=2,
IF($E$2="Fortnightly",
ROUND(
ROUND((((TRUNC($AN621/2,0)+0.99))*VLOOKUP((TRUNC($AN621/2,0)+0.99),'Tax scales - NAT 1004'!$A$25:$C$33,2,1)-VLOOKUP((TRUNC($AN621/2,0)+0.99),'Tax scales - NAT 1004'!$A$25:$C$33,3,1)),0)
*2,
0),
IF(AND($E$2="Monthly",ROUND($AN621-TRUNC($AN621),2)=0.33),
ROUND(
ROUND(((TRUNC(($AN621+0.01)*3/13,0)+0.99)*VLOOKUP((TRUNC(($AN621+0.01)*3/13,0)+0.99),'Tax scales - NAT 1004'!$A$25:$C$33,2,1)-VLOOKUP((TRUNC(($AN621+0.01)*3/13,0)+0.99),'Tax scales - NAT 1004'!$A$25:$C$33,3,1)),0)
*13/3,
0),
IF($E$2="Monthly",
ROUND(
ROUND(((TRUNC($AN621*3/13,0)+0.99)*VLOOKUP((TRUNC($AN621*3/13,0)+0.99),'Tax scales - NAT 1004'!$A$25:$C$33,2,1)-VLOOKUP((TRUNC($AN621*3/13,0)+0.99),'Tax scales - NAT 1004'!$A$25:$C$33,3,1)),0)
*13/3,
0),
""))),
""),
"")</f>
        <v/>
      </c>
      <c r="AQ621" s="118" t="str">
        <f>IFERROR(
IF(VLOOKUP($C621,'Employee information'!$B:$M,COLUMNS('Employee information'!$B:$M),0)=3,
IF($E$2="Fortnightly",
ROUND(
ROUND((((TRUNC($AN621/2,0)+0.99))*VLOOKUP((TRUNC($AN621/2,0)+0.99),'Tax scales - NAT 1004'!$A$39:$C$41,2,1)-VLOOKUP((TRUNC($AN621/2,0)+0.99),'Tax scales - NAT 1004'!$A$39:$C$41,3,1)),0)
*2,
0),
IF(AND($E$2="Monthly",ROUND($AN621-TRUNC($AN621),2)=0.33),
ROUND(
ROUND(((TRUNC(($AN621+0.01)*3/13,0)+0.99)*VLOOKUP((TRUNC(($AN621+0.01)*3/13,0)+0.99),'Tax scales - NAT 1004'!$A$39:$C$41,2,1)-VLOOKUP((TRUNC(($AN621+0.01)*3/13,0)+0.99),'Tax scales - NAT 1004'!$A$39:$C$41,3,1)),0)
*13/3,
0),
IF($E$2="Monthly",
ROUND(
ROUND(((TRUNC($AN621*3/13,0)+0.99)*VLOOKUP((TRUNC($AN621*3/13,0)+0.99),'Tax scales - NAT 1004'!$A$39:$C$41,2,1)-VLOOKUP((TRUNC($AN621*3/13,0)+0.99),'Tax scales - NAT 1004'!$A$39:$C$41,3,1)),0)
*13/3,
0),
""))),
""),
"")</f>
        <v/>
      </c>
      <c r="AR621" s="118" t="str">
        <f>IFERROR(
IF(AND(VLOOKUP($C621,'Employee information'!$B:$M,COLUMNS('Employee information'!$B:$M),0)=4,
VLOOKUP($C621,'Employee information'!$B:$J,COLUMNS('Employee information'!$B:$J),0)="Resident"),
TRUNC(TRUNC($AN621)*'Tax scales - NAT 1004'!$B$47),
IF(AND(VLOOKUP($C621,'Employee information'!$B:$M,COLUMNS('Employee information'!$B:$M),0)=4,
VLOOKUP($C621,'Employee information'!$B:$J,COLUMNS('Employee information'!$B:$J),0)="Foreign resident"),
TRUNC(TRUNC($AN621)*'Tax scales - NAT 1004'!$B$48),
"")),
"")</f>
        <v/>
      </c>
      <c r="AS621" s="118" t="str">
        <f>IFERROR(
IF(VLOOKUP($C621,'Employee information'!$B:$M,COLUMNS('Employee information'!$B:$M),0)=5,
IF($E$2="Fortnightly",
ROUND(
ROUND((((TRUNC($AN621/2,0)+0.99))*VLOOKUP((TRUNC($AN621/2,0)+0.99),'Tax scales - NAT 1004'!$A$53:$C$59,2,1)-VLOOKUP((TRUNC($AN621/2,0)+0.99),'Tax scales - NAT 1004'!$A$53:$C$59,3,1)),0)
*2,
0),
IF(AND($E$2="Monthly",ROUND($AN621-TRUNC($AN621),2)=0.33),
ROUND(
ROUND(((TRUNC(($AN621+0.01)*3/13,0)+0.99)*VLOOKUP((TRUNC(($AN621+0.01)*3/13,0)+0.99),'Tax scales - NAT 1004'!$A$53:$C$59,2,1)-VLOOKUP((TRUNC(($AN621+0.01)*3/13,0)+0.99),'Tax scales - NAT 1004'!$A$53:$C$59,3,1)),0)
*13/3,
0),
IF($E$2="Monthly",
ROUND(
ROUND(((TRUNC($AN621*3/13,0)+0.99)*VLOOKUP((TRUNC($AN621*3/13,0)+0.99),'Tax scales - NAT 1004'!$A$53:$C$59,2,1)-VLOOKUP((TRUNC($AN621*3/13,0)+0.99),'Tax scales - NAT 1004'!$A$53:$C$59,3,1)),0)
*13/3,
0),
""))),
""),
"")</f>
        <v/>
      </c>
      <c r="AT621" s="118" t="str">
        <f>IFERROR(
IF(VLOOKUP($C621,'Employee information'!$B:$M,COLUMNS('Employee information'!$B:$M),0)=6,
IF($E$2="Fortnightly",
ROUND(
ROUND((((TRUNC($AN621/2,0)+0.99))*VLOOKUP((TRUNC($AN621/2,0)+0.99),'Tax scales - NAT 1004'!$A$65:$C$73,2,1)-VLOOKUP((TRUNC($AN621/2,0)+0.99),'Tax scales - NAT 1004'!$A$65:$C$73,3,1)),0)
*2,
0),
IF(AND($E$2="Monthly",ROUND($AN621-TRUNC($AN621),2)=0.33),
ROUND(
ROUND(((TRUNC(($AN621+0.01)*3/13,0)+0.99)*VLOOKUP((TRUNC(($AN621+0.01)*3/13,0)+0.99),'Tax scales - NAT 1004'!$A$65:$C$73,2,1)-VLOOKUP((TRUNC(($AN621+0.01)*3/13,0)+0.99),'Tax scales - NAT 1004'!$A$65:$C$73,3,1)),0)
*13/3,
0),
IF($E$2="Monthly",
ROUND(
ROUND(((TRUNC($AN621*3/13,0)+0.99)*VLOOKUP((TRUNC($AN621*3/13,0)+0.99),'Tax scales - NAT 1004'!$A$65:$C$73,2,1)-VLOOKUP((TRUNC($AN621*3/13,0)+0.99),'Tax scales - NAT 1004'!$A$65:$C$73,3,1)),0)
*13/3,
0),
""))),
""),
"")</f>
        <v/>
      </c>
      <c r="AU621" s="118">
        <f>IFERROR(
IF(VLOOKUP($C621,'Employee information'!$B:$M,COLUMNS('Employee information'!$B:$M),0)=11,
IF($E$2="Fortnightly",
ROUND(
ROUND((((TRUNC($AN621/2,0)+0.99))*VLOOKUP((TRUNC($AN621/2,0)+0.99),'Tax scales - NAT 3539'!$A$14:$C$38,2,1)-VLOOKUP((TRUNC($AN621/2,0)+0.99),'Tax scales - NAT 3539'!$A$14:$C$38,3,1)),0)
*2,
0),
IF(AND($E$2="Monthly",ROUND($AN621-TRUNC($AN621),2)=0.33),
ROUND(
ROUND(((TRUNC(($AN621+0.01)*3/13,0)+0.99)*VLOOKUP((TRUNC(($AN621+0.01)*3/13,0)+0.99),'Tax scales - NAT 3539'!$A$14:$C$38,2,1)-VLOOKUP((TRUNC(($AN621+0.01)*3/13,0)+0.99),'Tax scales - NAT 3539'!$A$14:$C$38,3,1)),0)
*13/3,
0),
IF($E$2="Monthly",
ROUND(
ROUND(((TRUNC($AN621*3/13,0)+0.99)*VLOOKUP((TRUNC($AN621*3/13,0)+0.99),'Tax scales - NAT 3539'!$A$14:$C$38,2,1)-VLOOKUP((TRUNC($AN621*3/13,0)+0.99),'Tax scales - NAT 3539'!$A$14:$C$38,3,1)),0)
*13/3,
0),
""))),
""),
"")</f>
        <v>0</v>
      </c>
      <c r="AV621" s="118" t="str">
        <f>IFERROR(
IF(VLOOKUP($C621,'Employee information'!$B:$M,COLUMNS('Employee information'!$B:$M),0)=22,
IF($E$2="Fortnightly",
ROUND(
ROUND((((TRUNC($AN621/2,0)+0.99))*VLOOKUP((TRUNC($AN621/2,0)+0.99),'Tax scales - NAT 3539'!$A$43:$C$69,2,1)-VLOOKUP((TRUNC($AN621/2,0)+0.99),'Tax scales - NAT 3539'!$A$43:$C$69,3,1)),0)
*2,
0),
IF(AND($E$2="Monthly",ROUND($AN621-TRUNC($AN621),2)=0.33),
ROUND(
ROUND(((TRUNC(($AN621+0.01)*3/13,0)+0.99)*VLOOKUP((TRUNC(($AN621+0.01)*3/13,0)+0.99),'Tax scales - NAT 3539'!$A$43:$C$69,2,1)-VLOOKUP((TRUNC(($AN621+0.01)*3/13,0)+0.99),'Tax scales - NAT 3539'!$A$43:$C$69,3,1)),0)
*13/3,
0),
IF($E$2="Monthly",
ROUND(
ROUND(((TRUNC($AN621*3/13,0)+0.99)*VLOOKUP((TRUNC($AN621*3/13,0)+0.99),'Tax scales - NAT 3539'!$A$43:$C$69,2,1)-VLOOKUP((TRUNC($AN621*3/13,0)+0.99),'Tax scales - NAT 3539'!$A$43:$C$69,3,1)),0)
*13/3,
0),
""))),
""),
"")</f>
        <v/>
      </c>
      <c r="AW621" s="118" t="str">
        <f>IFERROR(
IF(VLOOKUP($C621,'Employee information'!$B:$M,COLUMNS('Employee information'!$B:$M),0)=33,
IF($E$2="Fortnightly",
ROUND(
ROUND((((TRUNC($AN621/2,0)+0.99))*VLOOKUP((TRUNC($AN621/2,0)+0.99),'Tax scales - NAT 3539'!$A$74:$C$94,2,1)-VLOOKUP((TRUNC($AN621/2,0)+0.99),'Tax scales - NAT 3539'!$A$74:$C$94,3,1)),0)
*2,
0),
IF(AND($E$2="Monthly",ROUND($AN621-TRUNC($AN621),2)=0.33),
ROUND(
ROUND(((TRUNC(($AN621+0.01)*3/13,0)+0.99)*VLOOKUP((TRUNC(($AN621+0.01)*3/13,0)+0.99),'Tax scales - NAT 3539'!$A$74:$C$94,2,1)-VLOOKUP((TRUNC(($AN621+0.01)*3/13,0)+0.99),'Tax scales - NAT 3539'!$A$74:$C$94,3,1)),0)
*13/3,
0),
IF($E$2="Monthly",
ROUND(
ROUND(((TRUNC($AN621*3/13,0)+0.99)*VLOOKUP((TRUNC($AN621*3/13,0)+0.99),'Tax scales - NAT 3539'!$A$74:$C$94,2,1)-VLOOKUP((TRUNC($AN621*3/13,0)+0.99),'Tax scales - NAT 3539'!$A$74:$C$94,3,1)),0)
*13/3,
0),
""))),
""),
"")</f>
        <v/>
      </c>
      <c r="AX621" s="118" t="str">
        <f>IFERROR(
IF(VLOOKUP($C621,'Employee information'!$B:$M,COLUMNS('Employee information'!$B:$M),0)=55,
IF($E$2="Fortnightly",
ROUND(
ROUND((((TRUNC($AN621/2,0)+0.99))*VLOOKUP((TRUNC($AN621/2,0)+0.99),'Tax scales - NAT 3539'!$A$99:$C$123,2,1)-VLOOKUP((TRUNC($AN621/2,0)+0.99),'Tax scales - NAT 3539'!$A$99:$C$123,3,1)),0)
*2,
0),
IF(AND($E$2="Monthly",ROUND($AN621-TRUNC($AN621),2)=0.33),
ROUND(
ROUND(((TRUNC(($AN621+0.01)*3/13,0)+0.99)*VLOOKUP((TRUNC(($AN621+0.01)*3/13,0)+0.99),'Tax scales - NAT 3539'!$A$99:$C$123,2,1)-VLOOKUP((TRUNC(($AN621+0.01)*3/13,0)+0.99),'Tax scales - NAT 3539'!$A$99:$C$123,3,1)),0)
*13/3,
0),
IF($E$2="Monthly",
ROUND(
ROUND(((TRUNC($AN621*3/13,0)+0.99)*VLOOKUP((TRUNC($AN621*3/13,0)+0.99),'Tax scales - NAT 3539'!$A$99:$C$123,2,1)-VLOOKUP((TRUNC($AN621*3/13,0)+0.99),'Tax scales - NAT 3539'!$A$99:$C$123,3,1)),0)
*13/3,
0),
""))),
""),
"")</f>
        <v/>
      </c>
      <c r="AY621" s="118" t="str">
        <f>IFERROR(
IF(VLOOKUP($C621,'Employee information'!$B:$M,COLUMNS('Employee information'!$B:$M),0)=66,
IF($E$2="Fortnightly",
ROUND(
ROUND((((TRUNC($AN621/2,0)+0.99))*VLOOKUP((TRUNC($AN621/2,0)+0.99),'Tax scales - NAT 3539'!$A$127:$C$154,2,1)-VLOOKUP((TRUNC($AN621/2,0)+0.99),'Tax scales - NAT 3539'!$A$127:$C$154,3,1)),0)
*2,
0),
IF(AND($E$2="Monthly",ROUND($AN621-TRUNC($AN621),2)=0.33),
ROUND(
ROUND(((TRUNC(($AN621+0.01)*3/13,0)+0.99)*VLOOKUP((TRUNC(($AN621+0.01)*3/13,0)+0.99),'Tax scales - NAT 3539'!$A$127:$C$154,2,1)-VLOOKUP((TRUNC(($AN621+0.01)*3/13,0)+0.99),'Tax scales - NAT 3539'!$A$127:$C$154,3,1)),0)
*13/3,
0),
IF($E$2="Monthly",
ROUND(
ROUND(((TRUNC($AN621*3/13,0)+0.99)*VLOOKUP((TRUNC($AN621*3/13,0)+0.99),'Tax scales - NAT 3539'!$A$127:$C$154,2,1)-VLOOKUP((TRUNC($AN621*3/13,0)+0.99),'Tax scales - NAT 3539'!$A$127:$C$154,3,1)),0)
*13/3,
0),
""))),
""),
"")</f>
        <v/>
      </c>
      <c r="AZ621" s="118">
        <f>IFERROR(
HLOOKUP(VLOOKUP($C621,'Employee information'!$B:$M,COLUMNS('Employee information'!$B:$M),0),'PAYG worksheet'!$AO$619:$AY$638,COUNTA($C$620:$C621)+1,0),
0)</f>
        <v>0</v>
      </c>
      <c r="BA621" s="118"/>
      <c r="BB621" s="118">
        <f t="shared" ref="BB621:BB638" si="666">IFERROR($AM621-$AZ621-$BA621,"")</f>
        <v>0</v>
      </c>
      <c r="BC621" s="119">
        <f>IFERROR(
IF(OR($AE621=1,$AE621=""),SUM($P621,$AA621,$AC621,$AK621)*VLOOKUP($C621,'Employee information'!$B:$Q,COLUMNS('Employee information'!$B:$H),0),
IF($AE621=0,SUM($P621,$AA621,$AK621)*VLOOKUP($C621,'Employee information'!$B:$Q,COLUMNS('Employee information'!$B:$H),0),
0)),
0)</f>
        <v>0</v>
      </c>
      <c r="BE621" s="114">
        <f t="shared" si="651"/>
        <v>1615.3846153846152</v>
      </c>
      <c r="BF621" s="114">
        <f t="shared" si="652"/>
        <v>1615.3846153846152</v>
      </c>
      <c r="BG621" s="114">
        <f t="shared" si="653"/>
        <v>0</v>
      </c>
      <c r="BH621" s="114">
        <f t="shared" si="654"/>
        <v>0</v>
      </c>
      <c r="BI621" s="114">
        <f t="shared" si="655"/>
        <v>474</v>
      </c>
      <c r="BJ621" s="114">
        <f t="shared" si="656"/>
        <v>0</v>
      </c>
      <c r="BK621" s="114">
        <f t="shared" si="657"/>
        <v>0</v>
      </c>
      <c r="BL621" s="114">
        <f t="shared" ref="BL621:BL638" si="667">IF(AND($E$2="Monthly",$A621&gt;12),"",
SUMIFS($AK:$AK,$C:$C,$C621,$A:$A,"&lt;="&amp;$A621)
)</f>
        <v>0</v>
      </c>
      <c r="BM621" s="114">
        <f t="shared" si="658"/>
        <v>153.46153846153845</v>
      </c>
    </row>
    <row r="622" spans="1:65" x14ac:dyDescent="0.25">
      <c r="A622" s="228">
        <f t="shared" si="646"/>
        <v>22</v>
      </c>
      <c r="C622" s="278" t="s">
        <v>14</v>
      </c>
      <c r="E622" s="103">
        <f>IF($C622="",0,
IF(AND($E$2="Monthly",$A622&gt;12),0,
IF($E$2="Monthly",VLOOKUP($C622,'Employee information'!$B:$AM,COLUMNS('Employee information'!$B:S),0),
IF($E$2="Fortnightly",VLOOKUP($C622,'Employee information'!$B:$AM,COLUMNS('Employee information'!$B:R),0),
0))))</f>
        <v>0</v>
      </c>
      <c r="F622" s="106"/>
      <c r="G622" s="106"/>
      <c r="H622" s="106"/>
      <c r="I622" s="106"/>
      <c r="J622" s="103">
        <f t="shared" si="659"/>
        <v>0</v>
      </c>
      <c r="L622" s="113">
        <f>IF(AND($E$2="Monthly",$A622&gt;12),"",
IFERROR($J622*VLOOKUP($C622,'Employee information'!$B:$AI,COLUMNS('Employee information'!$B:$P),0),0))</f>
        <v>0</v>
      </c>
      <c r="M622" s="114">
        <f t="shared" si="660"/>
        <v>900</v>
      </c>
      <c r="O622" s="103">
        <f t="shared" si="661"/>
        <v>0</v>
      </c>
      <c r="P622" s="113">
        <f>IFERROR(
IF(AND($E$2="Monthly",$A622&gt;12),0,
$O622*VLOOKUP($C622,'Employee information'!$B:$AI,COLUMNS('Employee information'!$B:$P),0)),
0)</f>
        <v>0</v>
      </c>
      <c r="R622" s="114">
        <f t="shared" si="647"/>
        <v>900</v>
      </c>
      <c r="T622" s="103"/>
      <c r="U622" s="103"/>
      <c r="V622" s="282">
        <f>IF($C622="","",
IF(AND($E$2="Monthly",$A622&gt;12),"",
$T622*VLOOKUP($C622,'Employee information'!$B:$P,COLUMNS('Employee information'!$B:$P),0)))</f>
        <v>0</v>
      </c>
      <c r="W622" s="282">
        <f>IF($C622="","",
IF(AND($E$2="Monthly",$A622&gt;12),"",
$U622*VLOOKUP($C622,'Employee information'!$B:$P,COLUMNS('Employee information'!$B:$P),0)))</f>
        <v>0</v>
      </c>
      <c r="X622" s="114">
        <f t="shared" si="648"/>
        <v>0</v>
      </c>
      <c r="Y622" s="114">
        <f t="shared" si="649"/>
        <v>0</v>
      </c>
      <c r="AA622" s="118">
        <f>IFERROR(
IF(OR('Basic payroll data'!$D$12="",'Basic payroll data'!$D$12="No"),0,
$T622*VLOOKUP($C622,'Employee information'!$B:$P,COLUMNS('Employee information'!$B:$P),0)*AL_loading_perc),
0)</f>
        <v>0</v>
      </c>
      <c r="AC622" s="118"/>
      <c r="AD622" s="118"/>
      <c r="AE622" s="283" t="str">
        <f t="shared" si="662"/>
        <v/>
      </c>
      <c r="AF622" s="283" t="str">
        <f t="shared" si="663"/>
        <v/>
      </c>
      <c r="AG622" s="118"/>
      <c r="AH622" s="118"/>
      <c r="AI622" s="283" t="str">
        <f t="shared" si="664"/>
        <v/>
      </c>
      <c r="AJ622" s="118"/>
      <c r="AK622" s="118"/>
      <c r="AM622" s="118">
        <f t="shared" si="665"/>
        <v>0</v>
      </c>
      <c r="AN622" s="118">
        <f t="shared" si="650"/>
        <v>0</v>
      </c>
      <c r="AO622" s="118" t="str">
        <f>IFERROR(
IF(VLOOKUP($C622,'Employee information'!$B:$M,COLUMNS('Employee information'!$B:$M),0)=1,
IF($E$2="Fortnightly",
ROUND(
ROUND((((TRUNC($AN622/2,0)+0.99))*VLOOKUP((TRUNC($AN622/2,0)+0.99),'Tax scales - NAT 1004'!$A$12:$C$18,2,1)-VLOOKUP((TRUNC($AN622/2,0)+0.99),'Tax scales - NAT 1004'!$A$12:$C$18,3,1)),0)
*2,
0),
IF(AND($E$2="Monthly",ROUND($AN622-TRUNC($AN622),2)=0.33),
ROUND(
ROUND(((TRUNC(($AN622+0.01)*3/13,0)+0.99)*VLOOKUP((TRUNC(($AN622+0.01)*3/13,0)+0.99),'Tax scales - NAT 1004'!$A$12:$C$18,2,1)-VLOOKUP((TRUNC(($AN622+0.01)*3/13,0)+0.99),'Tax scales - NAT 1004'!$A$12:$C$18,3,1)),0)
*13/3,
0),
IF($E$2="Monthly",
ROUND(
ROUND(((TRUNC($AN622*3/13,0)+0.99)*VLOOKUP((TRUNC($AN622*3/13,0)+0.99),'Tax scales - NAT 1004'!$A$12:$C$18,2,1)-VLOOKUP((TRUNC($AN622*3/13,0)+0.99),'Tax scales - NAT 1004'!$A$12:$C$18,3,1)),0)
*13/3,
0),
""))),
""),
"")</f>
        <v/>
      </c>
      <c r="AP622" s="118" t="str">
        <f>IFERROR(
IF(VLOOKUP($C622,'Employee information'!$B:$M,COLUMNS('Employee information'!$B:$M),0)=2,
IF($E$2="Fortnightly",
ROUND(
ROUND((((TRUNC($AN622/2,0)+0.99))*VLOOKUP((TRUNC($AN622/2,0)+0.99),'Tax scales - NAT 1004'!$A$25:$C$33,2,1)-VLOOKUP((TRUNC($AN622/2,0)+0.99),'Tax scales - NAT 1004'!$A$25:$C$33,3,1)),0)
*2,
0),
IF(AND($E$2="Monthly",ROUND($AN622-TRUNC($AN622),2)=0.33),
ROUND(
ROUND(((TRUNC(($AN622+0.01)*3/13,0)+0.99)*VLOOKUP((TRUNC(($AN622+0.01)*3/13,0)+0.99),'Tax scales - NAT 1004'!$A$25:$C$33,2,1)-VLOOKUP((TRUNC(($AN622+0.01)*3/13,0)+0.99),'Tax scales - NAT 1004'!$A$25:$C$33,3,1)),0)
*13/3,
0),
IF($E$2="Monthly",
ROUND(
ROUND(((TRUNC($AN622*3/13,0)+0.99)*VLOOKUP((TRUNC($AN622*3/13,0)+0.99),'Tax scales - NAT 1004'!$A$25:$C$33,2,1)-VLOOKUP((TRUNC($AN622*3/13,0)+0.99),'Tax scales - NAT 1004'!$A$25:$C$33,3,1)),0)
*13/3,
0),
""))),
""),
"")</f>
        <v/>
      </c>
      <c r="AQ622" s="118" t="str">
        <f>IFERROR(
IF(VLOOKUP($C622,'Employee information'!$B:$M,COLUMNS('Employee information'!$B:$M),0)=3,
IF($E$2="Fortnightly",
ROUND(
ROUND((((TRUNC($AN622/2,0)+0.99))*VLOOKUP((TRUNC($AN622/2,0)+0.99),'Tax scales - NAT 1004'!$A$39:$C$41,2,1)-VLOOKUP((TRUNC($AN622/2,0)+0.99),'Tax scales - NAT 1004'!$A$39:$C$41,3,1)),0)
*2,
0),
IF(AND($E$2="Monthly",ROUND($AN622-TRUNC($AN622),2)=0.33),
ROUND(
ROUND(((TRUNC(($AN622+0.01)*3/13,0)+0.99)*VLOOKUP((TRUNC(($AN622+0.01)*3/13,0)+0.99),'Tax scales - NAT 1004'!$A$39:$C$41,2,1)-VLOOKUP((TRUNC(($AN622+0.01)*3/13,0)+0.99),'Tax scales - NAT 1004'!$A$39:$C$41,3,1)),0)
*13/3,
0),
IF($E$2="Monthly",
ROUND(
ROUND(((TRUNC($AN622*3/13,0)+0.99)*VLOOKUP((TRUNC($AN622*3/13,0)+0.99),'Tax scales - NAT 1004'!$A$39:$C$41,2,1)-VLOOKUP((TRUNC($AN622*3/13,0)+0.99),'Tax scales - NAT 1004'!$A$39:$C$41,3,1)),0)
*13/3,
0),
""))),
""),
"")</f>
        <v/>
      </c>
      <c r="AR622" s="118" t="str">
        <f>IFERROR(
IF(AND(VLOOKUP($C622,'Employee information'!$B:$M,COLUMNS('Employee information'!$B:$M),0)=4,
VLOOKUP($C622,'Employee information'!$B:$J,COLUMNS('Employee information'!$B:$J),0)="Resident"),
TRUNC(TRUNC($AN622)*'Tax scales - NAT 1004'!$B$47),
IF(AND(VLOOKUP($C622,'Employee information'!$B:$M,COLUMNS('Employee information'!$B:$M),0)=4,
VLOOKUP($C622,'Employee information'!$B:$J,COLUMNS('Employee information'!$B:$J),0)="Foreign resident"),
TRUNC(TRUNC($AN622)*'Tax scales - NAT 1004'!$B$48),
"")),
"")</f>
        <v/>
      </c>
      <c r="AS622" s="118" t="str">
        <f>IFERROR(
IF(VLOOKUP($C622,'Employee information'!$B:$M,COLUMNS('Employee information'!$B:$M),0)=5,
IF($E$2="Fortnightly",
ROUND(
ROUND((((TRUNC($AN622/2,0)+0.99))*VLOOKUP((TRUNC($AN622/2,0)+0.99),'Tax scales - NAT 1004'!$A$53:$C$59,2,1)-VLOOKUP((TRUNC($AN622/2,0)+0.99),'Tax scales - NAT 1004'!$A$53:$C$59,3,1)),0)
*2,
0),
IF(AND($E$2="Monthly",ROUND($AN622-TRUNC($AN622),2)=0.33),
ROUND(
ROUND(((TRUNC(($AN622+0.01)*3/13,0)+0.99)*VLOOKUP((TRUNC(($AN622+0.01)*3/13,0)+0.99),'Tax scales - NAT 1004'!$A$53:$C$59,2,1)-VLOOKUP((TRUNC(($AN622+0.01)*3/13,0)+0.99),'Tax scales - NAT 1004'!$A$53:$C$59,3,1)),0)
*13/3,
0),
IF($E$2="Monthly",
ROUND(
ROUND(((TRUNC($AN622*3/13,0)+0.99)*VLOOKUP((TRUNC($AN622*3/13,0)+0.99),'Tax scales - NAT 1004'!$A$53:$C$59,2,1)-VLOOKUP((TRUNC($AN622*3/13,0)+0.99),'Tax scales - NAT 1004'!$A$53:$C$59,3,1)),0)
*13/3,
0),
""))),
""),
"")</f>
        <v/>
      </c>
      <c r="AT622" s="118" t="str">
        <f>IFERROR(
IF(VLOOKUP($C622,'Employee information'!$B:$M,COLUMNS('Employee information'!$B:$M),0)=6,
IF($E$2="Fortnightly",
ROUND(
ROUND((((TRUNC($AN622/2,0)+0.99))*VLOOKUP((TRUNC($AN622/2,0)+0.99),'Tax scales - NAT 1004'!$A$65:$C$73,2,1)-VLOOKUP((TRUNC($AN622/2,0)+0.99),'Tax scales - NAT 1004'!$A$65:$C$73,3,1)),0)
*2,
0),
IF(AND($E$2="Monthly",ROUND($AN622-TRUNC($AN622),2)=0.33),
ROUND(
ROUND(((TRUNC(($AN622+0.01)*3/13,0)+0.99)*VLOOKUP((TRUNC(($AN622+0.01)*3/13,0)+0.99),'Tax scales - NAT 1004'!$A$65:$C$73,2,1)-VLOOKUP((TRUNC(($AN622+0.01)*3/13,0)+0.99),'Tax scales - NAT 1004'!$A$65:$C$73,3,1)),0)
*13/3,
0),
IF($E$2="Monthly",
ROUND(
ROUND(((TRUNC($AN622*3/13,0)+0.99)*VLOOKUP((TRUNC($AN622*3/13,0)+0.99),'Tax scales - NAT 1004'!$A$65:$C$73,2,1)-VLOOKUP((TRUNC($AN622*3/13,0)+0.99),'Tax scales - NAT 1004'!$A$65:$C$73,3,1)),0)
*13/3,
0),
""))),
""),
"")</f>
        <v/>
      </c>
      <c r="AU622" s="118" t="str">
        <f>IFERROR(
IF(VLOOKUP($C622,'Employee information'!$B:$M,COLUMNS('Employee information'!$B:$M),0)=11,
IF($E$2="Fortnightly",
ROUND(
ROUND((((TRUNC($AN622/2,0)+0.99))*VLOOKUP((TRUNC($AN622/2,0)+0.99),'Tax scales - NAT 3539'!$A$14:$C$38,2,1)-VLOOKUP((TRUNC($AN622/2,0)+0.99),'Tax scales - NAT 3539'!$A$14:$C$38,3,1)),0)
*2,
0),
IF(AND($E$2="Monthly",ROUND($AN622-TRUNC($AN622),2)=0.33),
ROUND(
ROUND(((TRUNC(($AN622+0.01)*3/13,0)+0.99)*VLOOKUP((TRUNC(($AN622+0.01)*3/13,0)+0.99),'Tax scales - NAT 3539'!$A$14:$C$38,2,1)-VLOOKUP((TRUNC(($AN622+0.01)*3/13,0)+0.99),'Tax scales - NAT 3539'!$A$14:$C$38,3,1)),0)
*13/3,
0),
IF($E$2="Monthly",
ROUND(
ROUND(((TRUNC($AN622*3/13,0)+0.99)*VLOOKUP((TRUNC($AN622*3/13,0)+0.99),'Tax scales - NAT 3539'!$A$14:$C$38,2,1)-VLOOKUP((TRUNC($AN622*3/13,0)+0.99),'Tax scales - NAT 3539'!$A$14:$C$38,3,1)),0)
*13/3,
0),
""))),
""),
"")</f>
        <v/>
      </c>
      <c r="AV622" s="118" t="str">
        <f>IFERROR(
IF(VLOOKUP($C622,'Employee information'!$B:$M,COLUMNS('Employee information'!$B:$M),0)=22,
IF($E$2="Fortnightly",
ROUND(
ROUND((((TRUNC($AN622/2,0)+0.99))*VLOOKUP((TRUNC($AN622/2,0)+0.99),'Tax scales - NAT 3539'!$A$43:$C$69,2,1)-VLOOKUP((TRUNC($AN622/2,0)+0.99),'Tax scales - NAT 3539'!$A$43:$C$69,3,1)),0)
*2,
0),
IF(AND($E$2="Monthly",ROUND($AN622-TRUNC($AN622),2)=0.33),
ROUND(
ROUND(((TRUNC(($AN622+0.01)*3/13,0)+0.99)*VLOOKUP((TRUNC(($AN622+0.01)*3/13,0)+0.99),'Tax scales - NAT 3539'!$A$43:$C$69,2,1)-VLOOKUP((TRUNC(($AN622+0.01)*3/13,0)+0.99),'Tax scales - NAT 3539'!$A$43:$C$69,3,1)),0)
*13/3,
0),
IF($E$2="Monthly",
ROUND(
ROUND(((TRUNC($AN622*3/13,0)+0.99)*VLOOKUP((TRUNC($AN622*3/13,0)+0.99),'Tax scales - NAT 3539'!$A$43:$C$69,2,1)-VLOOKUP((TRUNC($AN622*3/13,0)+0.99),'Tax scales - NAT 3539'!$A$43:$C$69,3,1)),0)
*13/3,
0),
""))),
""),
"")</f>
        <v/>
      </c>
      <c r="AW622" s="118">
        <f>IFERROR(
IF(VLOOKUP($C622,'Employee information'!$B:$M,COLUMNS('Employee information'!$B:$M),0)=33,
IF($E$2="Fortnightly",
ROUND(
ROUND((((TRUNC($AN622/2,0)+0.99))*VLOOKUP((TRUNC($AN622/2,0)+0.99),'Tax scales - NAT 3539'!$A$74:$C$94,2,1)-VLOOKUP((TRUNC($AN622/2,0)+0.99),'Tax scales - NAT 3539'!$A$74:$C$94,3,1)),0)
*2,
0),
IF(AND($E$2="Monthly",ROUND($AN622-TRUNC($AN622),2)=0.33),
ROUND(
ROUND(((TRUNC(($AN622+0.01)*3/13,0)+0.99)*VLOOKUP((TRUNC(($AN622+0.01)*3/13,0)+0.99),'Tax scales - NAT 3539'!$A$74:$C$94,2,1)-VLOOKUP((TRUNC(($AN622+0.01)*3/13,0)+0.99),'Tax scales - NAT 3539'!$A$74:$C$94,3,1)),0)
*13/3,
0),
IF($E$2="Monthly",
ROUND(
ROUND(((TRUNC($AN622*3/13,0)+0.99)*VLOOKUP((TRUNC($AN622*3/13,0)+0.99),'Tax scales - NAT 3539'!$A$74:$C$94,2,1)-VLOOKUP((TRUNC($AN622*3/13,0)+0.99),'Tax scales - NAT 3539'!$A$74:$C$94,3,1)),0)
*13/3,
0),
""))),
""),
"")</f>
        <v>0</v>
      </c>
      <c r="AX622" s="118" t="str">
        <f>IFERROR(
IF(VLOOKUP($C622,'Employee information'!$B:$M,COLUMNS('Employee information'!$B:$M),0)=55,
IF($E$2="Fortnightly",
ROUND(
ROUND((((TRUNC($AN622/2,0)+0.99))*VLOOKUP((TRUNC($AN622/2,0)+0.99),'Tax scales - NAT 3539'!$A$99:$C$123,2,1)-VLOOKUP((TRUNC($AN622/2,0)+0.99),'Tax scales - NAT 3539'!$A$99:$C$123,3,1)),0)
*2,
0),
IF(AND($E$2="Monthly",ROUND($AN622-TRUNC($AN622),2)=0.33),
ROUND(
ROUND(((TRUNC(($AN622+0.01)*3/13,0)+0.99)*VLOOKUP((TRUNC(($AN622+0.01)*3/13,0)+0.99),'Tax scales - NAT 3539'!$A$99:$C$123,2,1)-VLOOKUP((TRUNC(($AN622+0.01)*3/13,0)+0.99),'Tax scales - NAT 3539'!$A$99:$C$123,3,1)),0)
*13/3,
0),
IF($E$2="Monthly",
ROUND(
ROUND(((TRUNC($AN622*3/13,0)+0.99)*VLOOKUP((TRUNC($AN622*3/13,0)+0.99),'Tax scales - NAT 3539'!$A$99:$C$123,2,1)-VLOOKUP((TRUNC($AN622*3/13,0)+0.99),'Tax scales - NAT 3539'!$A$99:$C$123,3,1)),0)
*13/3,
0),
""))),
""),
"")</f>
        <v/>
      </c>
      <c r="AY622" s="118" t="str">
        <f>IFERROR(
IF(VLOOKUP($C622,'Employee information'!$B:$M,COLUMNS('Employee information'!$B:$M),0)=66,
IF($E$2="Fortnightly",
ROUND(
ROUND((((TRUNC($AN622/2,0)+0.99))*VLOOKUP((TRUNC($AN622/2,0)+0.99),'Tax scales - NAT 3539'!$A$127:$C$154,2,1)-VLOOKUP((TRUNC($AN622/2,0)+0.99),'Tax scales - NAT 3539'!$A$127:$C$154,3,1)),0)
*2,
0),
IF(AND($E$2="Monthly",ROUND($AN622-TRUNC($AN622),2)=0.33),
ROUND(
ROUND(((TRUNC(($AN622+0.01)*3/13,0)+0.99)*VLOOKUP((TRUNC(($AN622+0.01)*3/13,0)+0.99),'Tax scales - NAT 3539'!$A$127:$C$154,2,1)-VLOOKUP((TRUNC(($AN622+0.01)*3/13,0)+0.99),'Tax scales - NAT 3539'!$A$127:$C$154,3,1)),0)
*13/3,
0),
IF($E$2="Monthly",
ROUND(
ROUND(((TRUNC($AN622*3/13,0)+0.99)*VLOOKUP((TRUNC($AN622*3/13,0)+0.99),'Tax scales - NAT 3539'!$A$127:$C$154,2,1)-VLOOKUP((TRUNC($AN622*3/13,0)+0.99),'Tax scales - NAT 3539'!$A$127:$C$154,3,1)),0)
*13/3,
0),
""))),
""),
"")</f>
        <v/>
      </c>
      <c r="AZ622" s="118">
        <f>IFERROR(
HLOOKUP(VLOOKUP($C622,'Employee information'!$B:$M,COLUMNS('Employee information'!$B:$M),0),'PAYG worksheet'!$AO$619:$AY$638,COUNTA($C$620:$C622)+1,0),
0)</f>
        <v>0</v>
      </c>
      <c r="BA622" s="118"/>
      <c r="BB622" s="118">
        <f t="shared" si="666"/>
        <v>0</v>
      </c>
      <c r="BC622" s="119">
        <f>IFERROR(
IF(OR($AE622=1,$AE622=""),SUM($P622,$AA622,$AC622,$AK622)*VLOOKUP($C622,'Employee information'!$B:$Q,COLUMNS('Employee information'!$B:$H),0),
IF($AE622=0,SUM($P622,$AA622,$AK622)*VLOOKUP($C622,'Employee information'!$B:$Q,COLUMNS('Employee information'!$B:$H),0),
0)),
0)</f>
        <v>0</v>
      </c>
      <c r="BE622" s="114">
        <f t="shared" si="651"/>
        <v>900</v>
      </c>
      <c r="BF622" s="114">
        <f t="shared" si="652"/>
        <v>900</v>
      </c>
      <c r="BG622" s="114">
        <f t="shared" si="653"/>
        <v>0</v>
      </c>
      <c r="BH622" s="114">
        <f t="shared" si="654"/>
        <v>0</v>
      </c>
      <c r="BI622" s="114">
        <f t="shared" si="655"/>
        <v>292</v>
      </c>
      <c r="BJ622" s="114">
        <f t="shared" si="656"/>
        <v>0</v>
      </c>
      <c r="BK622" s="114">
        <f t="shared" si="657"/>
        <v>0</v>
      </c>
      <c r="BL622" s="114">
        <f t="shared" si="667"/>
        <v>0</v>
      </c>
      <c r="BM622" s="114">
        <f t="shared" si="658"/>
        <v>85.5</v>
      </c>
    </row>
    <row r="623" spans="1:65" x14ac:dyDescent="0.25">
      <c r="A623" s="228">
        <f t="shared" si="646"/>
        <v>22</v>
      </c>
      <c r="C623" s="278" t="s">
        <v>15</v>
      </c>
      <c r="E623" s="103">
        <f>IF($C623="",0,
IF(AND($E$2="Monthly",$A623&gt;12),0,
IF($E$2="Monthly",VLOOKUP($C623,'Employee information'!$B:$AM,COLUMNS('Employee information'!$B:S),0),
IF($E$2="Fortnightly",VLOOKUP($C623,'Employee information'!$B:$AM,COLUMNS('Employee information'!$B:R),0),
0))))</f>
        <v>75</v>
      </c>
      <c r="F623" s="106"/>
      <c r="G623" s="106"/>
      <c r="H623" s="106"/>
      <c r="I623" s="106"/>
      <c r="J623" s="103">
        <f t="shared" si="659"/>
        <v>75</v>
      </c>
      <c r="L623" s="113">
        <f>IF(AND($E$2="Monthly",$A623&gt;12),"",
IFERROR($J623*VLOOKUP($C623,'Employee information'!$B:$AI,COLUMNS('Employee information'!$B:$P),0),0))</f>
        <v>7692.3076923076924</v>
      </c>
      <c r="M623" s="114">
        <f t="shared" si="660"/>
        <v>169230.76923076919</v>
      </c>
      <c r="O623" s="103">
        <f t="shared" si="661"/>
        <v>75</v>
      </c>
      <c r="P623" s="113">
        <f>IFERROR(
IF(AND($E$2="Monthly",$A623&gt;12),0,
$O623*VLOOKUP($C623,'Employee information'!$B:$AI,COLUMNS('Employee information'!$B:$P),0)),
0)</f>
        <v>7692.3076923076924</v>
      </c>
      <c r="R623" s="114">
        <f t="shared" si="647"/>
        <v>169230.76923076919</v>
      </c>
      <c r="T623" s="103"/>
      <c r="U623" s="103"/>
      <c r="V623" s="282">
        <f>IF($C623="","",
IF(AND($E$2="Monthly",$A623&gt;12),"",
$T623*VLOOKUP($C623,'Employee information'!$B:$P,COLUMNS('Employee information'!$B:$P),0)))</f>
        <v>0</v>
      </c>
      <c r="W623" s="282">
        <f>IF($C623="","",
IF(AND($E$2="Monthly",$A623&gt;12),"",
$U623*VLOOKUP($C623,'Employee information'!$B:$P,COLUMNS('Employee information'!$B:$P),0)))</f>
        <v>0</v>
      </c>
      <c r="X623" s="114">
        <f t="shared" si="648"/>
        <v>1538.4615384615386</v>
      </c>
      <c r="Y623" s="114">
        <f t="shared" si="649"/>
        <v>512.82051282051282</v>
      </c>
      <c r="AA623" s="118">
        <f>IFERROR(
IF(OR('Basic payroll data'!$D$12="",'Basic payroll data'!$D$12="No"),0,
$T623*VLOOKUP($C623,'Employee information'!$B:$P,COLUMNS('Employee information'!$B:$P),0)*AL_loading_perc),
0)</f>
        <v>0</v>
      </c>
      <c r="AC623" s="118"/>
      <c r="AD623" s="118"/>
      <c r="AE623" s="283" t="str">
        <f t="shared" si="662"/>
        <v/>
      </c>
      <c r="AF623" s="283" t="str">
        <f t="shared" si="663"/>
        <v/>
      </c>
      <c r="AG623" s="118"/>
      <c r="AH623" s="118"/>
      <c r="AI623" s="283" t="str">
        <f t="shared" si="664"/>
        <v/>
      </c>
      <c r="AJ623" s="118"/>
      <c r="AK623" s="118"/>
      <c r="AM623" s="118">
        <f t="shared" si="665"/>
        <v>7692.3076923076924</v>
      </c>
      <c r="AN623" s="118">
        <f t="shared" si="650"/>
        <v>7692.3076923076924</v>
      </c>
      <c r="AO623" s="118" t="str">
        <f>IFERROR(
IF(VLOOKUP($C623,'Employee information'!$B:$M,COLUMNS('Employee information'!$B:$M),0)=1,
IF($E$2="Fortnightly",
ROUND(
ROUND((((TRUNC($AN623/2,0)+0.99))*VLOOKUP((TRUNC($AN623/2,0)+0.99),'Tax scales - NAT 1004'!$A$12:$C$18,2,1)-VLOOKUP((TRUNC($AN623/2,0)+0.99),'Tax scales - NAT 1004'!$A$12:$C$18,3,1)),0)
*2,
0),
IF(AND($E$2="Monthly",ROUND($AN623-TRUNC($AN623),2)=0.33),
ROUND(
ROUND(((TRUNC(($AN623+0.01)*3/13,0)+0.99)*VLOOKUP((TRUNC(($AN623+0.01)*3/13,0)+0.99),'Tax scales - NAT 1004'!$A$12:$C$18,2,1)-VLOOKUP((TRUNC(($AN623+0.01)*3/13,0)+0.99),'Tax scales - NAT 1004'!$A$12:$C$18,3,1)),0)
*13/3,
0),
IF($E$2="Monthly",
ROUND(
ROUND(((TRUNC($AN623*3/13,0)+0.99)*VLOOKUP((TRUNC($AN623*3/13,0)+0.99),'Tax scales - NAT 1004'!$A$12:$C$18,2,1)-VLOOKUP((TRUNC($AN623*3/13,0)+0.99),'Tax scales - NAT 1004'!$A$12:$C$18,3,1)),0)
*13/3,
0),
""))),
""),
"")</f>
        <v/>
      </c>
      <c r="AP623" s="118" t="str">
        <f>IFERROR(
IF(VLOOKUP($C623,'Employee information'!$B:$M,COLUMNS('Employee information'!$B:$M),0)=2,
IF($E$2="Fortnightly",
ROUND(
ROUND((((TRUNC($AN623/2,0)+0.99))*VLOOKUP((TRUNC($AN623/2,0)+0.99),'Tax scales - NAT 1004'!$A$25:$C$33,2,1)-VLOOKUP((TRUNC($AN623/2,0)+0.99),'Tax scales - NAT 1004'!$A$25:$C$33,3,1)),0)
*2,
0),
IF(AND($E$2="Monthly",ROUND($AN623-TRUNC($AN623),2)=0.33),
ROUND(
ROUND(((TRUNC(($AN623+0.01)*3/13,0)+0.99)*VLOOKUP((TRUNC(($AN623+0.01)*3/13,0)+0.99),'Tax scales - NAT 1004'!$A$25:$C$33,2,1)-VLOOKUP((TRUNC(($AN623+0.01)*3/13,0)+0.99),'Tax scales - NAT 1004'!$A$25:$C$33,3,1)),0)
*13/3,
0),
IF($E$2="Monthly",
ROUND(
ROUND(((TRUNC($AN623*3/13,0)+0.99)*VLOOKUP((TRUNC($AN623*3/13,0)+0.99),'Tax scales - NAT 1004'!$A$25:$C$33,2,1)-VLOOKUP((TRUNC($AN623*3/13,0)+0.99),'Tax scales - NAT 1004'!$A$25:$C$33,3,1)),0)
*13/3,
0),
""))),
""),
"")</f>
        <v/>
      </c>
      <c r="AQ623" s="118" t="str">
        <f>IFERROR(
IF(VLOOKUP($C623,'Employee information'!$B:$M,COLUMNS('Employee information'!$B:$M),0)=3,
IF($E$2="Fortnightly",
ROUND(
ROUND((((TRUNC($AN623/2,0)+0.99))*VLOOKUP((TRUNC($AN623/2,0)+0.99),'Tax scales - NAT 1004'!$A$39:$C$41,2,1)-VLOOKUP((TRUNC($AN623/2,0)+0.99),'Tax scales - NAT 1004'!$A$39:$C$41,3,1)),0)
*2,
0),
IF(AND($E$2="Monthly",ROUND($AN623-TRUNC($AN623),2)=0.33),
ROUND(
ROUND(((TRUNC(($AN623+0.01)*3/13,0)+0.99)*VLOOKUP((TRUNC(($AN623+0.01)*3/13,0)+0.99),'Tax scales - NAT 1004'!$A$39:$C$41,2,1)-VLOOKUP((TRUNC(($AN623+0.01)*3/13,0)+0.99),'Tax scales - NAT 1004'!$A$39:$C$41,3,1)),0)
*13/3,
0),
IF($E$2="Monthly",
ROUND(
ROUND(((TRUNC($AN623*3/13,0)+0.99)*VLOOKUP((TRUNC($AN623*3/13,0)+0.99),'Tax scales - NAT 1004'!$A$39:$C$41,2,1)-VLOOKUP((TRUNC($AN623*3/13,0)+0.99),'Tax scales - NAT 1004'!$A$39:$C$41,3,1)),0)
*13/3,
0),
""))),
""),
"")</f>
        <v/>
      </c>
      <c r="AR623" s="118" t="str">
        <f>IFERROR(
IF(AND(VLOOKUP($C623,'Employee information'!$B:$M,COLUMNS('Employee information'!$B:$M),0)=4,
VLOOKUP($C623,'Employee information'!$B:$J,COLUMNS('Employee information'!$B:$J),0)="Resident"),
TRUNC(TRUNC($AN623)*'Tax scales - NAT 1004'!$B$47),
IF(AND(VLOOKUP($C623,'Employee information'!$B:$M,COLUMNS('Employee information'!$B:$M),0)=4,
VLOOKUP($C623,'Employee information'!$B:$J,COLUMNS('Employee information'!$B:$J),0)="Foreign resident"),
TRUNC(TRUNC($AN623)*'Tax scales - NAT 1004'!$B$48),
"")),
"")</f>
        <v/>
      </c>
      <c r="AS623" s="118" t="str">
        <f>IFERROR(
IF(VLOOKUP($C623,'Employee information'!$B:$M,COLUMNS('Employee information'!$B:$M),0)=5,
IF($E$2="Fortnightly",
ROUND(
ROUND((((TRUNC($AN623/2,0)+0.99))*VLOOKUP((TRUNC($AN623/2,0)+0.99),'Tax scales - NAT 1004'!$A$53:$C$59,2,1)-VLOOKUP((TRUNC($AN623/2,0)+0.99),'Tax scales - NAT 1004'!$A$53:$C$59,3,1)),0)
*2,
0),
IF(AND($E$2="Monthly",ROUND($AN623-TRUNC($AN623),2)=0.33),
ROUND(
ROUND(((TRUNC(($AN623+0.01)*3/13,0)+0.99)*VLOOKUP((TRUNC(($AN623+0.01)*3/13,0)+0.99),'Tax scales - NAT 1004'!$A$53:$C$59,2,1)-VLOOKUP((TRUNC(($AN623+0.01)*3/13,0)+0.99),'Tax scales - NAT 1004'!$A$53:$C$59,3,1)),0)
*13/3,
0),
IF($E$2="Monthly",
ROUND(
ROUND(((TRUNC($AN623*3/13,0)+0.99)*VLOOKUP((TRUNC($AN623*3/13,0)+0.99),'Tax scales - NAT 1004'!$A$53:$C$59,2,1)-VLOOKUP((TRUNC($AN623*3/13,0)+0.99),'Tax scales - NAT 1004'!$A$53:$C$59,3,1)),0)
*13/3,
0),
""))),
""),
"")</f>
        <v/>
      </c>
      <c r="AT623" s="118" t="str">
        <f>IFERROR(
IF(VLOOKUP($C623,'Employee information'!$B:$M,COLUMNS('Employee information'!$B:$M),0)=6,
IF($E$2="Fortnightly",
ROUND(
ROUND((((TRUNC($AN623/2,0)+0.99))*VLOOKUP((TRUNC($AN623/2,0)+0.99),'Tax scales - NAT 1004'!$A$65:$C$73,2,1)-VLOOKUP((TRUNC($AN623/2,0)+0.99),'Tax scales - NAT 1004'!$A$65:$C$73,3,1)),0)
*2,
0),
IF(AND($E$2="Monthly",ROUND($AN623-TRUNC($AN623),2)=0.33),
ROUND(
ROUND(((TRUNC(($AN623+0.01)*3/13,0)+0.99)*VLOOKUP((TRUNC(($AN623+0.01)*3/13,0)+0.99),'Tax scales - NAT 1004'!$A$65:$C$73,2,1)-VLOOKUP((TRUNC(($AN623+0.01)*3/13,0)+0.99),'Tax scales - NAT 1004'!$A$65:$C$73,3,1)),0)
*13/3,
0),
IF($E$2="Monthly",
ROUND(
ROUND(((TRUNC($AN623*3/13,0)+0.99)*VLOOKUP((TRUNC($AN623*3/13,0)+0.99),'Tax scales - NAT 1004'!$A$65:$C$73,2,1)-VLOOKUP((TRUNC($AN623*3/13,0)+0.99),'Tax scales - NAT 1004'!$A$65:$C$73,3,1)),0)
*13/3,
0),
""))),
""),
"")</f>
        <v/>
      </c>
      <c r="AU623" s="118" t="str">
        <f>IFERROR(
IF(VLOOKUP($C623,'Employee information'!$B:$M,COLUMNS('Employee information'!$B:$M),0)=11,
IF($E$2="Fortnightly",
ROUND(
ROUND((((TRUNC($AN623/2,0)+0.99))*VLOOKUP((TRUNC($AN623/2,0)+0.99),'Tax scales - NAT 3539'!$A$14:$C$38,2,1)-VLOOKUP((TRUNC($AN623/2,0)+0.99),'Tax scales - NAT 3539'!$A$14:$C$38,3,1)),0)
*2,
0),
IF(AND($E$2="Monthly",ROUND($AN623-TRUNC($AN623),2)=0.33),
ROUND(
ROUND(((TRUNC(($AN623+0.01)*3/13,0)+0.99)*VLOOKUP((TRUNC(($AN623+0.01)*3/13,0)+0.99),'Tax scales - NAT 3539'!$A$14:$C$38,2,1)-VLOOKUP((TRUNC(($AN623+0.01)*3/13,0)+0.99),'Tax scales - NAT 3539'!$A$14:$C$38,3,1)),0)
*13/3,
0),
IF($E$2="Monthly",
ROUND(
ROUND(((TRUNC($AN623*3/13,0)+0.99)*VLOOKUP((TRUNC($AN623*3/13,0)+0.99),'Tax scales - NAT 3539'!$A$14:$C$38,2,1)-VLOOKUP((TRUNC($AN623*3/13,0)+0.99),'Tax scales - NAT 3539'!$A$14:$C$38,3,1)),0)
*13/3,
0),
""))),
""),
"")</f>
        <v/>
      </c>
      <c r="AV623" s="118" t="str">
        <f>IFERROR(
IF(VLOOKUP($C623,'Employee information'!$B:$M,COLUMNS('Employee information'!$B:$M),0)=22,
IF($E$2="Fortnightly",
ROUND(
ROUND((((TRUNC($AN623/2,0)+0.99))*VLOOKUP((TRUNC($AN623/2,0)+0.99),'Tax scales - NAT 3539'!$A$43:$C$69,2,1)-VLOOKUP((TRUNC($AN623/2,0)+0.99),'Tax scales - NAT 3539'!$A$43:$C$69,3,1)),0)
*2,
0),
IF(AND($E$2="Monthly",ROUND($AN623-TRUNC($AN623),2)=0.33),
ROUND(
ROUND(((TRUNC(($AN623+0.01)*3/13,0)+0.99)*VLOOKUP((TRUNC(($AN623+0.01)*3/13,0)+0.99),'Tax scales - NAT 3539'!$A$43:$C$69,2,1)-VLOOKUP((TRUNC(($AN623+0.01)*3/13,0)+0.99),'Tax scales - NAT 3539'!$A$43:$C$69,3,1)),0)
*13/3,
0),
IF($E$2="Monthly",
ROUND(
ROUND(((TRUNC($AN623*3/13,0)+0.99)*VLOOKUP((TRUNC($AN623*3/13,0)+0.99),'Tax scales - NAT 3539'!$A$43:$C$69,2,1)-VLOOKUP((TRUNC($AN623*3/13,0)+0.99),'Tax scales - NAT 3539'!$A$43:$C$69,3,1)),0)
*13/3,
0),
""))),
""),
"")</f>
        <v/>
      </c>
      <c r="AW623" s="118" t="str">
        <f>IFERROR(
IF(VLOOKUP($C623,'Employee information'!$B:$M,COLUMNS('Employee information'!$B:$M),0)=33,
IF($E$2="Fortnightly",
ROUND(
ROUND((((TRUNC($AN623/2,0)+0.99))*VLOOKUP((TRUNC($AN623/2,0)+0.99),'Tax scales - NAT 3539'!$A$74:$C$94,2,1)-VLOOKUP((TRUNC($AN623/2,0)+0.99),'Tax scales - NAT 3539'!$A$74:$C$94,3,1)),0)
*2,
0),
IF(AND($E$2="Monthly",ROUND($AN623-TRUNC($AN623),2)=0.33),
ROUND(
ROUND(((TRUNC(($AN623+0.01)*3/13,0)+0.99)*VLOOKUP((TRUNC(($AN623+0.01)*3/13,0)+0.99),'Tax scales - NAT 3539'!$A$74:$C$94,2,1)-VLOOKUP((TRUNC(($AN623+0.01)*3/13,0)+0.99),'Tax scales - NAT 3539'!$A$74:$C$94,3,1)),0)
*13/3,
0),
IF($E$2="Monthly",
ROUND(
ROUND(((TRUNC($AN623*3/13,0)+0.99)*VLOOKUP((TRUNC($AN623*3/13,0)+0.99),'Tax scales - NAT 3539'!$A$74:$C$94,2,1)-VLOOKUP((TRUNC($AN623*3/13,0)+0.99),'Tax scales - NAT 3539'!$A$74:$C$94,3,1)),0)
*13/3,
0),
""))),
""),
"")</f>
        <v/>
      </c>
      <c r="AX623" s="118">
        <f>IFERROR(
IF(VLOOKUP($C623,'Employee information'!$B:$M,COLUMNS('Employee information'!$B:$M),0)=55,
IF($E$2="Fortnightly",
ROUND(
ROUND((((TRUNC($AN623/2,0)+0.99))*VLOOKUP((TRUNC($AN623/2,0)+0.99),'Tax scales - NAT 3539'!$A$99:$C$123,2,1)-VLOOKUP((TRUNC($AN623/2,0)+0.99),'Tax scales - NAT 3539'!$A$99:$C$123,3,1)),0)
*2,
0),
IF(AND($E$2="Monthly",ROUND($AN623-TRUNC($AN623),2)=0.33),
ROUND(
ROUND(((TRUNC(($AN623+0.01)*3/13,0)+0.99)*VLOOKUP((TRUNC(($AN623+0.01)*3/13,0)+0.99),'Tax scales - NAT 3539'!$A$99:$C$123,2,1)-VLOOKUP((TRUNC(($AN623+0.01)*3/13,0)+0.99),'Tax scales - NAT 3539'!$A$99:$C$123,3,1)),0)
*13/3,
0),
IF($E$2="Monthly",
ROUND(
ROUND(((TRUNC($AN623*3/13,0)+0.99)*VLOOKUP((TRUNC($AN623*3/13,0)+0.99),'Tax scales - NAT 3539'!$A$99:$C$123,2,1)-VLOOKUP((TRUNC($AN623*3/13,0)+0.99),'Tax scales - NAT 3539'!$A$99:$C$123,3,1)),0)
*13/3,
0),
""))),
""),
"")</f>
        <v>3104</v>
      </c>
      <c r="AY623" s="118" t="str">
        <f>IFERROR(
IF(VLOOKUP($C623,'Employee information'!$B:$M,COLUMNS('Employee information'!$B:$M),0)=66,
IF($E$2="Fortnightly",
ROUND(
ROUND((((TRUNC($AN623/2,0)+0.99))*VLOOKUP((TRUNC($AN623/2,0)+0.99),'Tax scales - NAT 3539'!$A$127:$C$154,2,1)-VLOOKUP((TRUNC($AN623/2,0)+0.99),'Tax scales - NAT 3539'!$A$127:$C$154,3,1)),0)
*2,
0),
IF(AND($E$2="Monthly",ROUND($AN623-TRUNC($AN623),2)=0.33),
ROUND(
ROUND(((TRUNC(($AN623+0.01)*3/13,0)+0.99)*VLOOKUP((TRUNC(($AN623+0.01)*3/13,0)+0.99),'Tax scales - NAT 3539'!$A$127:$C$154,2,1)-VLOOKUP((TRUNC(($AN623+0.01)*3/13,0)+0.99),'Tax scales - NAT 3539'!$A$127:$C$154,3,1)),0)
*13/3,
0),
IF($E$2="Monthly",
ROUND(
ROUND(((TRUNC($AN623*3/13,0)+0.99)*VLOOKUP((TRUNC($AN623*3/13,0)+0.99),'Tax scales - NAT 3539'!$A$127:$C$154,2,1)-VLOOKUP((TRUNC($AN623*3/13,0)+0.99),'Tax scales - NAT 3539'!$A$127:$C$154,3,1)),0)
*13/3,
0),
""))),
""),
"")</f>
        <v/>
      </c>
      <c r="AZ623" s="118">
        <f>IFERROR(
HLOOKUP(VLOOKUP($C623,'Employee information'!$B:$M,COLUMNS('Employee information'!$B:$M),0),'PAYG worksheet'!$AO$619:$AY$638,COUNTA($C$620:$C623)+1,0),
0)</f>
        <v>3104</v>
      </c>
      <c r="BA623" s="118"/>
      <c r="BB623" s="118">
        <f t="shared" si="666"/>
        <v>4588.3076923076924</v>
      </c>
      <c r="BC623" s="119">
        <f>IFERROR(
IF(OR($AE623=1,$AE623=""),SUM($P623,$AA623,$AC623,$AK623)*VLOOKUP($C623,'Employee information'!$B:$Q,COLUMNS('Employee information'!$B:$H),0),
IF($AE623=0,SUM($P623,$AA623,$AK623)*VLOOKUP($C623,'Employee information'!$B:$Q,COLUMNS('Employee information'!$B:$H),0),
0)),
0)</f>
        <v>730.76923076923083</v>
      </c>
      <c r="BE623" s="114">
        <f t="shared" si="651"/>
        <v>169370.76923076919</v>
      </c>
      <c r="BF623" s="114">
        <f t="shared" si="652"/>
        <v>169230.76923076919</v>
      </c>
      <c r="BG623" s="114">
        <f t="shared" si="653"/>
        <v>0</v>
      </c>
      <c r="BH623" s="114">
        <f t="shared" si="654"/>
        <v>140</v>
      </c>
      <c r="BI623" s="114">
        <f t="shared" si="655"/>
        <v>68288</v>
      </c>
      <c r="BJ623" s="114">
        <f t="shared" si="656"/>
        <v>0</v>
      </c>
      <c r="BK623" s="114">
        <f t="shared" si="657"/>
        <v>0</v>
      </c>
      <c r="BL623" s="114">
        <f t="shared" si="667"/>
        <v>0</v>
      </c>
      <c r="BM623" s="114">
        <f t="shared" si="658"/>
        <v>16076.923076923073</v>
      </c>
    </row>
    <row r="624" spans="1:65" x14ac:dyDescent="0.25">
      <c r="A624" s="228">
        <f t="shared" si="646"/>
        <v>22</v>
      </c>
      <c r="C624" s="278" t="s">
        <v>16</v>
      </c>
      <c r="E624" s="103">
        <f>IF($C624="",0,
IF(AND($E$2="Monthly",$A624&gt;12),0,
IF($E$2="Monthly",VLOOKUP($C624,'Employee information'!$B:$AM,COLUMNS('Employee information'!$B:S),0),
IF($E$2="Fortnightly",VLOOKUP($C624,'Employee information'!$B:$AM,COLUMNS('Employee information'!$B:R),0),
0))))</f>
        <v>75</v>
      </c>
      <c r="F624" s="106"/>
      <c r="G624" s="106"/>
      <c r="H624" s="106"/>
      <c r="I624" s="106"/>
      <c r="J624" s="103">
        <f t="shared" si="659"/>
        <v>75</v>
      </c>
      <c r="L624" s="113">
        <f>IF(AND($E$2="Monthly",$A624&gt;12),"",
IFERROR($J624*VLOOKUP($C624,'Employee information'!$B:$AI,COLUMNS('Employee information'!$B:$P),0),0))</f>
        <v>4125</v>
      </c>
      <c r="M624" s="114">
        <f t="shared" si="660"/>
        <v>90750</v>
      </c>
      <c r="O624" s="103">
        <f t="shared" si="661"/>
        <v>75</v>
      </c>
      <c r="P624" s="113">
        <f>IFERROR(
IF(AND($E$2="Monthly",$A624&gt;12),0,
$O624*VLOOKUP($C624,'Employee information'!$B:$AI,COLUMNS('Employee information'!$B:$P),0)),
0)</f>
        <v>4125</v>
      </c>
      <c r="R624" s="114">
        <f t="shared" si="647"/>
        <v>90750</v>
      </c>
      <c r="T624" s="103"/>
      <c r="U624" s="103"/>
      <c r="V624" s="282">
        <f>IF($C624="","",
IF(AND($E$2="Monthly",$A624&gt;12),"",
$T624*VLOOKUP($C624,'Employee information'!$B:$P,COLUMNS('Employee information'!$B:$P),0)))</f>
        <v>0</v>
      </c>
      <c r="W624" s="282">
        <f>IF($C624="","",
IF(AND($E$2="Monthly",$A624&gt;12),"",
$U624*VLOOKUP($C624,'Employee information'!$B:$P,COLUMNS('Employee information'!$B:$P),0)))</f>
        <v>0</v>
      </c>
      <c r="X624" s="114">
        <f t="shared" si="648"/>
        <v>0</v>
      </c>
      <c r="Y624" s="114">
        <f t="shared" si="649"/>
        <v>0</v>
      </c>
      <c r="AA624" s="118">
        <f>IFERROR(
IF(OR('Basic payroll data'!$D$12="",'Basic payroll data'!$D$12="No"),0,
$T624*VLOOKUP($C624,'Employee information'!$B:$P,COLUMNS('Employee information'!$B:$P),0)*AL_loading_perc),
0)</f>
        <v>0</v>
      </c>
      <c r="AC624" s="118"/>
      <c r="AD624" s="118"/>
      <c r="AE624" s="283" t="str">
        <f t="shared" si="662"/>
        <v/>
      </c>
      <c r="AF624" s="283" t="str">
        <f t="shared" si="663"/>
        <v/>
      </c>
      <c r="AG624" s="118"/>
      <c r="AH624" s="118"/>
      <c r="AI624" s="283" t="str">
        <f t="shared" si="664"/>
        <v/>
      </c>
      <c r="AJ624" s="118"/>
      <c r="AK624" s="118"/>
      <c r="AM624" s="118">
        <f t="shared" si="665"/>
        <v>4125</v>
      </c>
      <c r="AN624" s="118">
        <f t="shared" si="650"/>
        <v>4125</v>
      </c>
      <c r="AO624" s="118" t="str">
        <f>IFERROR(
IF(VLOOKUP($C624,'Employee information'!$B:$M,COLUMNS('Employee information'!$B:$M),0)=1,
IF($E$2="Fortnightly",
ROUND(
ROUND((((TRUNC($AN624/2,0)+0.99))*VLOOKUP((TRUNC($AN624/2,0)+0.99),'Tax scales - NAT 1004'!$A$12:$C$18,2,1)-VLOOKUP((TRUNC($AN624/2,0)+0.99),'Tax scales - NAT 1004'!$A$12:$C$18,3,1)),0)
*2,
0),
IF(AND($E$2="Monthly",ROUND($AN624-TRUNC($AN624),2)=0.33),
ROUND(
ROUND(((TRUNC(($AN624+0.01)*3/13,0)+0.99)*VLOOKUP((TRUNC(($AN624+0.01)*3/13,0)+0.99),'Tax scales - NAT 1004'!$A$12:$C$18,2,1)-VLOOKUP((TRUNC(($AN624+0.01)*3/13,0)+0.99),'Tax scales - NAT 1004'!$A$12:$C$18,3,1)),0)
*13/3,
0),
IF($E$2="Monthly",
ROUND(
ROUND(((TRUNC($AN624*3/13,0)+0.99)*VLOOKUP((TRUNC($AN624*3/13,0)+0.99),'Tax scales - NAT 1004'!$A$12:$C$18,2,1)-VLOOKUP((TRUNC($AN624*3/13,0)+0.99),'Tax scales - NAT 1004'!$A$12:$C$18,3,1)),0)
*13/3,
0),
""))),
""),
"")</f>
        <v/>
      </c>
      <c r="AP624" s="118" t="str">
        <f>IFERROR(
IF(VLOOKUP($C624,'Employee information'!$B:$M,COLUMNS('Employee information'!$B:$M),0)=2,
IF($E$2="Fortnightly",
ROUND(
ROUND((((TRUNC($AN624/2,0)+0.99))*VLOOKUP((TRUNC($AN624/2,0)+0.99),'Tax scales - NAT 1004'!$A$25:$C$33,2,1)-VLOOKUP((TRUNC($AN624/2,0)+0.99),'Tax scales - NAT 1004'!$A$25:$C$33,3,1)),0)
*2,
0),
IF(AND($E$2="Monthly",ROUND($AN624-TRUNC($AN624),2)=0.33),
ROUND(
ROUND(((TRUNC(($AN624+0.01)*3/13,0)+0.99)*VLOOKUP((TRUNC(($AN624+0.01)*3/13,0)+0.99),'Tax scales - NAT 1004'!$A$25:$C$33,2,1)-VLOOKUP((TRUNC(($AN624+0.01)*3/13,0)+0.99),'Tax scales - NAT 1004'!$A$25:$C$33,3,1)),0)
*13/3,
0),
IF($E$2="Monthly",
ROUND(
ROUND(((TRUNC($AN624*3/13,0)+0.99)*VLOOKUP((TRUNC($AN624*3/13,0)+0.99),'Tax scales - NAT 1004'!$A$25:$C$33,2,1)-VLOOKUP((TRUNC($AN624*3/13,0)+0.99),'Tax scales - NAT 1004'!$A$25:$C$33,3,1)),0)
*13/3,
0),
""))),
""),
"")</f>
        <v/>
      </c>
      <c r="AQ624" s="118" t="str">
        <f>IFERROR(
IF(VLOOKUP($C624,'Employee information'!$B:$M,COLUMNS('Employee information'!$B:$M),0)=3,
IF($E$2="Fortnightly",
ROUND(
ROUND((((TRUNC($AN624/2,0)+0.99))*VLOOKUP((TRUNC($AN624/2,0)+0.99),'Tax scales - NAT 1004'!$A$39:$C$41,2,1)-VLOOKUP((TRUNC($AN624/2,0)+0.99),'Tax scales - NAT 1004'!$A$39:$C$41,3,1)),0)
*2,
0),
IF(AND($E$2="Monthly",ROUND($AN624-TRUNC($AN624),2)=0.33),
ROUND(
ROUND(((TRUNC(($AN624+0.01)*3/13,0)+0.99)*VLOOKUP((TRUNC(($AN624+0.01)*3/13,0)+0.99),'Tax scales - NAT 1004'!$A$39:$C$41,2,1)-VLOOKUP((TRUNC(($AN624+0.01)*3/13,0)+0.99),'Tax scales - NAT 1004'!$A$39:$C$41,3,1)),0)
*13/3,
0),
IF($E$2="Monthly",
ROUND(
ROUND(((TRUNC($AN624*3/13,0)+0.99)*VLOOKUP((TRUNC($AN624*3/13,0)+0.99),'Tax scales - NAT 1004'!$A$39:$C$41,2,1)-VLOOKUP((TRUNC($AN624*3/13,0)+0.99),'Tax scales - NAT 1004'!$A$39:$C$41,3,1)),0)
*13/3,
0),
""))),
""),
"")</f>
        <v/>
      </c>
      <c r="AR624" s="118" t="str">
        <f>IFERROR(
IF(AND(VLOOKUP($C624,'Employee information'!$B:$M,COLUMNS('Employee information'!$B:$M),0)=4,
VLOOKUP($C624,'Employee information'!$B:$J,COLUMNS('Employee information'!$B:$J),0)="Resident"),
TRUNC(TRUNC($AN624)*'Tax scales - NAT 1004'!$B$47),
IF(AND(VLOOKUP($C624,'Employee information'!$B:$M,COLUMNS('Employee information'!$B:$M),0)=4,
VLOOKUP($C624,'Employee information'!$B:$J,COLUMNS('Employee information'!$B:$J),0)="Foreign resident"),
TRUNC(TRUNC($AN624)*'Tax scales - NAT 1004'!$B$48),
"")),
"")</f>
        <v/>
      </c>
      <c r="AS624" s="118" t="str">
        <f>IFERROR(
IF(VLOOKUP($C624,'Employee information'!$B:$M,COLUMNS('Employee information'!$B:$M),0)=5,
IF($E$2="Fortnightly",
ROUND(
ROUND((((TRUNC($AN624/2,0)+0.99))*VLOOKUP((TRUNC($AN624/2,0)+0.99),'Tax scales - NAT 1004'!$A$53:$C$59,2,1)-VLOOKUP((TRUNC($AN624/2,0)+0.99),'Tax scales - NAT 1004'!$A$53:$C$59,3,1)),0)
*2,
0),
IF(AND($E$2="Monthly",ROUND($AN624-TRUNC($AN624),2)=0.33),
ROUND(
ROUND(((TRUNC(($AN624+0.01)*3/13,0)+0.99)*VLOOKUP((TRUNC(($AN624+0.01)*3/13,0)+0.99),'Tax scales - NAT 1004'!$A$53:$C$59,2,1)-VLOOKUP((TRUNC(($AN624+0.01)*3/13,0)+0.99),'Tax scales - NAT 1004'!$A$53:$C$59,3,1)),0)
*13/3,
0),
IF($E$2="Monthly",
ROUND(
ROUND(((TRUNC($AN624*3/13,0)+0.99)*VLOOKUP((TRUNC($AN624*3/13,0)+0.99),'Tax scales - NAT 1004'!$A$53:$C$59,2,1)-VLOOKUP((TRUNC($AN624*3/13,0)+0.99),'Tax scales - NAT 1004'!$A$53:$C$59,3,1)),0)
*13/3,
0),
""))),
""),
"")</f>
        <v/>
      </c>
      <c r="AT624" s="118" t="str">
        <f>IFERROR(
IF(VLOOKUP($C624,'Employee information'!$B:$M,COLUMNS('Employee information'!$B:$M),0)=6,
IF($E$2="Fortnightly",
ROUND(
ROUND((((TRUNC($AN624/2,0)+0.99))*VLOOKUP((TRUNC($AN624/2,0)+0.99),'Tax scales - NAT 1004'!$A$65:$C$73,2,1)-VLOOKUP((TRUNC($AN624/2,0)+0.99),'Tax scales - NAT 1004'!$A$65:$C$73,3,1)),0)
*2,
0),
IF(AND($E$2="Monthly",ROUND($AN624-TRUNC($AN624),2)=0.33),
ROUND(
ROUND(((TRUNC(($AN624+0.01)*3/13,0)+0.99)*VLOOKUP((TRUNC(($AN624+0.01)*3/13,0)+0.99),'Tax scales - NAT 1004'!$A$65:$C$73,2,1)-VLOOKUP((TRUNC(($AN624+0.01)*3/13,0)+0.99),'Tax scales - NAT 1004'!$A$65:$C$73,3,1)),0)
*13/3,
0),
IF($E$2="Monthly",
ROUND(
ROUND(((TRUNC($AN624*3/13,0)+0.99)*VLOOKUP((TRUNC($AN624*3/13,0)+0.99),'Tax scales - NAT 1004'!$A$65:$C$73,2,1)-VLOOKUP((TRUNC($AN624*3/13,0)+0.99),'Tax scales - NAT 1004'!$A$65:$C$73,3,1)),0)
*13/3,
0),
""))),
""),
"")</f>
        <v/>
      </c>
      <c r="AU624" s="118">
        <f>IFERROR(
IF(VLOOKUP($C624,'Employee information'!$B:$M,COLUMNS('Employee information'!$B:$M),0)=11,
IF($E$2="Fortnightly",
ROUND(
ROUND((((TRUNC($AN624/2,0)+0.99))*VLOOKUP((TRUNC($AN624/2,0)+0.99),'Tax scales - NAT 3539'!$A$14:$C$38,2,1)-VLOOKUP((TRUNC($AN624/2,0)+0.99),'Tax scales - NAT 3539'!$A$14:$C$38,3,1)),0)
*2,
0),
IF(AND($E$2="Monthly",ROUND($AN624-TRUNC($AN624),2)=0.33),
ROUND(
ROUND(((TRUNC(($AN624+0.01)*3/13,0)+0.99)*VLOOKUP((TRUNC(($AN624+0.01)*3/13,0)+0.99),'Tax scales - NAT 3539'!$A$14:$C$38,2,1)-VLOOKUP((TRUNC(($AN624+0.01)*3/13,0)+0.99),'Tax scales - NAT 3539'!$A$14:$C$38,3,1)),0)
*13/3,
0),
IF($E$2="Monthly",
ROUND(
ROUND(((TRUNC($AN624*3/13,0)+0.99)*VLOOKUP((TRUNC($AN624*3/13,0)+0.99),'Tax scales - NAT 3539'!$A$14:$C$38,2,1)-VLOOKUP((TRUNC($AN624*3/13,0)+0.99),'Tax scales - NAT 3539'!$A$14:$C$38,3,1)),0)
*13/3,
0),
""))),
""),
"")</f>
        <v>1680</v>
      </c>
      <c r="AV624" s="118" t="str">
        <f>IFERROR(
IF(VLOOKUP($C624,'Employee information'!$B:$M,COLUMNS('Employee information'!$B:$M),0)=22,
IF($E$2="Fortnightly",
ROUND(
ROUND((((TRUNC($AN624/2,0)+0.99))*VLOOKUP((TRUNC($AN624/2,0)+0.99),'Tax scales - NAT 3539'!$A$43:$C$69,2,1)-VLOOKUP((TRUNC($AN624/2,0)+0.99),'Tax scales - NAT 3539'!$A$43:$C$69,3,1)),0)
*2,
0),
IF(AND($E$2="Monthly",ROUND($AN624-TRUNC($AN624),2)=0.33),
ROUND(
ROUND(((TRUNC(($AN624+0.01)*3/13,0)+0.99)*VLOOKUP((TRUNC(($AN624+0.01)*3/13,0)+0.99),'Tax scales - NAT 3539'!$A$43:$C$69,2,1)-VLOOKUP((TRUNC(($AN624+0.01)*3/13,0)+0.99),'Tax scales - NAT 3539'!$A$43:$C$69,3,1)),0)
*13/3,
0),
IF($E$2="Monthly",
ROUND(
ROUND(((TRUNC($AN624*3/13,0)+0.99)*VLOOKUP((TRUNC($AN624*3/13,0)+0.99),'Tax scales - NAT 3539'!$A$43:$C$69,2,1)-VLOOKUP((TRUNC($AN624*3/13,0)+0.99),'Tax scales - NAT 3539'!$A$43:$C$69,3,1)),0)
*13/3,
0),
""))),
""),
"")</f>
        <v/>
      </c>
      <c r="AW624" s="118" t="str">
        <f>IFERROR(
IF(VLOOKUP($C624,'Employee information'!$B:$M,COLUMNS('Employee information'!$B:$M),0)=33,
IF($E$2="Fortnightly",
ROUND(
ROUND((((TRUNC($AN624/2,0)+0.99))*VLOOKUP((TRUNC($AN624/2,0)+0.99),'Tax scales - NAT 3539'!$A$74:$C$94,2,1)-VLOOKUP((TRUNC($AN624/2,0)+0.99),'Tax scales - NAT 3539'!$A$74:$C$94,3,1)),0)
*2,
0),
IF(AND($E$2="Monthly",ROUND($AN624-TRUNC($AN624),2)=0.33),
ROUND(
ROUND(((TRUNC(($AN624+0.01)*3/13,0)+0.99)*VLOOKUP((TRUNC(($AN624+0.01)*3/13,0)+0.99),'Tax scales - NAT 3539'!$A$74:$C$94,2,1)-VLOOKUP((TRUNC(($AN624+0.01)*3/13,0)+0.99),'Tax scales - NAT 3539'!$A$74:$C$94,3,1)),0)
*13/3,
0),
IF($E$2="Monthly",
ROUND(
ROUND(((TRUNC($AN624*3/13,0)+0.99)*VLOOKUP((TRUNC($AN624*3/13,0)+0.99),'Tax scales - NAT 3539'!$A$74:$C$94,2,1)-VLOOKUP((TRUNC($AN624*3/13,0)+0.99),'Tax scales - NAT 3539'!$A$74:$C$94,3,1)),0)
*13/3,
0),
""))),
""),
"")</f>
        <v/>
      </c>
      <c r="AX624" s="118" t="str">
        <f>IFERROR(
IF(VLOOKUP($C624,'Employee information'!$B:$M,COLUMNS('Employee information'!$B:$M),0)=55,
IF($E$2="Fortnightly",
ROUND(
ROUND((((TRUNC($AN624/2,0)+0.99))*VLOOKUP((TRUNC($AN624/2,0)+0.99),'Tax scales - NAT 3539'!$A$99:$C$123,2,1)-VLOOKUP((TRUNC($AN624/2,0)+0.99),'Tax scales - NAT 3539'!$A$99:$C$123,3,1)),0)
*2,
0),
IF(AND($E$2="Monthly",ROUND($AN624-TRUNC($AN624),2)=0.33),
ROUND(
ROUND(((TRUNC(($AN624+0.01)*3/13,0)+0.99)*VLOOKUP((TRUNC(($AN624+0.01)*3/13,0)+0.99),'Tax scales - NAT 3539'!$A$99:$C$123,2,1)-VLOOKUP((TRUNC(($AN624+0.01)*3/13,0)+0.99),'Tax scales - NAT 3539'!$A$99:$C$123,3,1)),0)
*13/3,
0),
IF($E$2="Monthly",
ROUND(
ROUND(((TRUNC($AN624*3/13,0)+0.99)*VLOOKUP((TRUNC($AN624*3/13,0)+0.99),'Tax scales - NAT 3539'!$A$99:$C$123,2,1)-VLOOKUP((TRUNC($AN624*3/13,0)+0.99),'Tax scales - NAT 3539'!$A$99:$C$123,3,1)),0)
*13/3,
0),
""))),
""),
"")</f>
        <v/>
      </c>
      <c r="AY624" s="118" t="str">
        <f>IFERROR(
IF(VLOOKUP($C624,'Employee information'!$B:$M,COLUMNS('Employee information'!$B:$M),0)=66,
IF($E$2="Fortnightly",
ROUND(
ROUND((((TRUNC($AN624/2,0)+0.99))*VLOOKUP((TRUNC($AN624/2,0)+0.99),'Tax scales - NAT 3539'!$A$127:$C$154,2,1)-VLOOKUP((TRUNC($AN624/2,0)+0.99),'Tax scales - NAT 3539'!$A$127:$C$154,3,1)),0)
*2,
0),
IF(AND($E$2="Monthly",ROUND($AN624-TRUNC($AN624),2)=0.33),
ROUND(
ROUND(((TRUNC(($AN624+0.01)*3/13,0)+0.99)*VLOOKUP((TRUNC(($AN624+0.01)*3/13,0)+0.99),'Tax scales - NAT 3539'!$A$127:$C$154,2,1)-VLOOKUP((TRUNC(($AN624+0.01)*3/13,0)+0.99),'Tax scales - NAT 3539'!$A$127:$C$154,3,1)),0)
*13/3,
0),
IF($E$2="Monthly",
ROUND(
ROUND(((TRUNC($AN624*3/13,0)+0.99)*VLOOKUP((TRUNC($AN624*3/13,0)+0.99),'Tax scales - NAT 3539'!$A$127:$C$154,2,1)-VLOOKUP((TRUNC($AN624*3/13,0)+0.99),'Tax scales - NAT 3539'!$A$127:$C$154,3,1)),0)
*13/3,
0),
""))),
""),
"")</f>
        <v/>
      </c>
      <c r="AZ624" s="118">
        <f>IFERROR(
HLOOKUP(VLOOKUP($C624,'Employee information'!$B:$M,COLUMNS('Employee information'!$B:$M),0),'PAYG worksheet'!$AO$619:$AY$638,COUNTA($C$620:$C624)+1,0),
0)</f>
        <v>1680</v>
      </c>
      <c r="BA624" s="118"/>
      <c r="BB624" s="118">
        <f t="shared" si="666"/>
        <v>2445</v>
      </c>
      <c r="BC624" s="119">
        <f>IFERROR(
IF(OR($AE624=1,$AE624=""),SUM($P624,$AA624,$AC624,$AK624)*VLOOKUP($C624,'Employee information'!$B:$Q,COLUMNS('Employee information'!$B:$H),0),
IF($AE624=0,SUM($P624,$AA624,$AK624)*VLOOKUP($C624,'Employee information'!$B:$Q,COLUMNS('Employee information'!$B:$H),0),
0)),
0)</f>
        <v>391.875</v>
      </c>
      <c r="BE624" s="114">
        <f t="shared" si="651"/>
        <v>90850</v>
      </c>
      <c r="BF624" s="114">
        <f t="shared" si="652"/>
        <v>90850</v>
      </c>
      <c r="BG624" s="114">
        <f t="shared" si="653"/>
        <v>0</v>
      </c>
      <c r="BH624" s="114">
        <f t="shared" si="654"/>
        <v>0</v>
      </c>
      <c r="BI624" s="114">
        <f t="shared" si="655"/>
        <v>37008</v>
      </c>
      <c r="BJ624" s="114">
        <f t="shared" si="656"/>
        <v>0</v>
      </c>
      <c r="BK624" s="114">
        <f t="shared" si="657"/>
        <v>0</v>
      </c>
      <c r="BL624" s="114">
        <f t="shared" si="667"/>
        <v>100</v>
      </c>
      <c r="BM624" s="114">
        <f t="shared" si="658"/>
        <v>8630.75</v>
      </c>
    </row>
    <row r="625" spans="1:65" x14ac:dyDescent="0.25">
      <c r="A625" s="228">
        <f t="shared" si="646"/>
        <v>22</v>
      </c>
      <c r="C625" s="278" t="s">
        <v>17</v>
      </c>
      <c r="E625" s="103">
        <f>IF($C625="",0,
IF(AND($E$2="Monthly",$A625&gt;12),0,
IF($E$2="Monthly",VLOOKUP($C625,'Employee information'!$B:$AM,COLUMNS('Employee information'!$B:S),0),
IF($E$2="Fortnightly",VLOOKUP($C625,'Employee information'!$B:$AM,COLUMNS('Employee information'!$B:R),0),
0))))</f>
        <v>75</v>
      </c>
      <c r="F625" s="106"/>
      <c r="G625" s="106"/>
      <c r="H625" s="106"/>
      <c r="I625" s="106"/>
      <c r="J625" s="103">
        <f t="shared" si="659"/>
        <v>75</v>
      </c>
      <c r="L625" s="113">
        <f>IF(AND($E$2="Monthly",$A625&gt;12),"",
IFERROR($J625*VLOOKUP($C625,'Employee information'!$B:$AI,COLUMNS('Employee information'!$B:$P),0),0))</f>
        <v>2500</v>
      </c>
      <c r="M625" s="114">
        <f t="shared" si="660"/>
        <v>55000</v>
      </c>
      <c r="O625" s="103">
        <f t="shared" si="661"/>
        <v>75</v>
      </c>
      <c r="P625" s="113">
        <f>IFERROR(
IF(AND($E$2="Monthly",$A625&gt;12),0,
$O625*VLOOKUP($C625,'Employee information'!$B:$AI,COLUMNS('Employee information'!$B:$P),0)),
0)</f>
        <v>2500</v>
      </c>
      <c r="R625" s="114">
        <f t="shared" si="647"/>
        <v>55000</v>
      </c>
      <c r="T625" s="103"/>
      <c r="U625" s="103"/>
      <c r="V625" s="282">
        <f>IF($C625="","",
IF(AND($E$2="Monthly",$A625&gt;12),"",
$T625*VLOOKUP($C625,'Employee information'!$B:$P,COLUMNS('Employee information'!$B:$P),0)))</f>
        <v>0</v>
      </c>
      <c r="W625" s="282">
        <f>IF($C625="","",
IF(AND($E$2="Monthly",$A625&gt;12),"",
$U625*VLOOKUP($C625,'Employee information'!$B:$P,COLUMNS('Employee information'!$B:$P),0)))</f>
        <v>0</v>
      </c>
      <c r="X625" s="114">
        <f t="shared" si="648"/>
        <v>0</v>
      </c>
      <c r="Y625" s="114">
        <f t="shared" si="649"/>
        <v>0</v>
      </c>
      <c r="AA625" s="118">
        <f>IFERROR(
IF(OR('Basic payroll data'!$D$12="",'Basic payroll data'!$D$12="No"),0,
$T625*VLOOKUP($C625,'Employee information'!$B:$P,COLUMNS('Employee information'!$B:$P),0)*AL_loading_perc),
0)</f>
        <v>0</v>
      </c>
      <c r="AC625" s="118"/>
      <c r="AD625" s="118"/>
      <c r="AE625" s="283" t="str">
        <f t="shared" si="662"/>
        <v/>
      </c>
      <c r="AF625" s="283" t="str">
        <f t="shared" si="663"/>
        <v/>
      </c>
      <c r="AG625" s="118"/>
      <c r="AH625" s="118"/>
      <c r="AI625" s="283" t="str">
        <f t="shared" si="664"/>
        <v/>
      </c>
      <c r="AJ625" s="118"/>
      <c r="AK625" s="118"/>
      <c r="AM625" s="118">
        <f t="shared" si="665"/>
        <v>2500</v>
      </c>
      <c r="AN625" s="118">
        <f t="shared" si="650"/>
        <v>2500</v>
      </c>
      <c r="AO625" s="118" t="str">
        <f>IFERROR(
IF(VLOOKUP($C625,'Employee information'!$B:$M,COLUMNS('Employee information'!$B:$M),0)=1,
IF($E$2="Fortnightly",
ROUND(
ROUND((((TRUNC($AN625/2,0)+0.99))*VLOOKUP((TRUNC($AN625/2,0)+0.99),'Tax scales - NAT 1004'!$A$12:$C$18,2,1)-VLOOKUP((TRUNC($AN625/2,0)+0.99),'Tax scales - NAT 1004'!$A$12:$C$18,3,1)),0)
*2,
0),
IF(AND($E$2="Monthly",ROUND($AN625-TRUNC($AN625),2)=0.33),
ROUND(
ROUND(((TRUNC(($AN625+0.01)*3/13,0)+0.99)*VLOOKUP((TRUNC(($AN625+0.01)*3/13,0)+0.99),'Tax scales - NAT 1004'!$A$12:$C$18,2,1)-VLOOKUP((TRUNC(($AN625+0.01)*3/13,0)+0.99),'Tax scales - NAT 1004'!$A$12:$C$18,3,1)),0)
*13/3,
0),
IF($E$2="Monthly",
ROUND(
ROUND(((TRUNC($AN625*3/13,0)+0.99)*VLOOKUP((TRUNC($AN625*3/13,0)+0.99),'Tax scales - NAT 1004'!$A$12:$C$18,2,1)-VLOOKUP((TRUNC($AN625*3/13,0)+0.99),'Tax scales - NAT 1004'!$A$12:$C$18,3,1)),0)
*13/3,
0),
""))),
""),
"")</f>
        <v/>
      </c>
      <c r="AP625" s="118" t="str">
        <f>IFERROR(
IF(VLOOKUP($C625,'Employee information'!$B:$M,COLUMNS('Employee information'!$B:$M),0)=2,
IF($E$2="Fortnightly",
ROUND(
ROUND((((TRUNC($AN625/2,0)+0.99))*VLOOKUP((TRUNC($AN625/2,0)+0.99),'Tax scales - NAT 1004'!$A$25:$C$33,2,1)-VLOOKUP((TRUNC($AN625/2,0)+0.99),'Tax scales - NAT 1004'!$A$25:$C$33,3,1)),0)
*2,
0),
IF(AND($E$2="Monthly",ROUND($AN625-TRUNC($AN625),2)=0.33),
ROUND(
ROUND(((TRUNC(($AN625+0.01)*3/13,0)+0.99)*VLOOKUP((TRUNC(($AN625+0.01)*3/13,0)+0.99),'Tax scales - NAT 1004'!$A$25:$C$33,2,1)-VLOOKUP((TRUNC(($AN625+0.01)*3/13,0)+0.99),'Tax scales - NAT 1004'!$A$25:$C$33,3,1)),0)
*13/3,
0),
IF($E$2="Monthly",
ROUND(
ROUND(((TRUNC($AN625*3/13,0)+0.99)*VLOOKUP((TRUNC($AN625*3/13,0)+0.99),'Tax scales - NAT 1004'!$A$25:$C$33,2,1)-VLOOKUP((TRUNC($AN625*3/13,0)+0.99),'Tax scales - NAT 1004'!$A$25:$C$33,3,1)),0)
*13/3,
0),
""))),
""),
"")</f>
        <v/>
      </c>
      <c r="AQ625" s="118" t="str">
        <f>IFERROR(
IF(VLOOKUP($C625,'Employee information'!$B:$M,COLUMNS('Employee information'!$B:$M),0)=3,
IF($E$2="Fortnightly",
ROUND(
ROUND((((TRUNC($AN625/2,0)+0.99))*VLOOKUP((TRUNC($AN625/2,0)+0.99),'Tax scales - NAT 1004'!$A$39:$C$41,2,1)-VLOOKUP((TRUNC($AN625/2,0)+0.99),'Tax scales - NAT 1004'!$A$39:$C$41,3,1)),0)
*2,
0),
IF(AND($E$2="Monthly",ROUND($AN625-TRUNC($AN625),2)=0.33),
ROUND(
ROUND(((TRUNC(($AN625+0.01)*3/13,0)+0.99)*VLOOKUP((TRUNC(($AN625+0.01)*3/13,0)+0.99),'Tax scales - NAT 1004'!$A$39:$C$41,2,1)-VLOOKUP((TRUNC(($AN625+0.01)*3/13,0)+0.99),'Tax scales - NAT 1004'!$A$39:$C$41,3,1)),0)
*13/3,
0),
IF($E$2="Monthly",
ROUND(
ROUND(((TRUNC($AN625*3/13,0)+0.99)*VLOOKUP((TRUNC($AN625*3/13,0)+0.99),'Tax scales - NAT 1004'!$A$39:$C$41,2,1)-VLOOKUP((TRUNC($AN625*3/13,0)+0.99),'Tax scales - NAT 1004'!$A$39:$C$41,3,1)),0)
*13/3,
0),
""))),
""),
"")</f>
        <v/>
      </c>
      <c r="AR625" s="118">
        <f>IFERROR(
IF(AND(VLOOKUP($C625,'Employee information'!$B:$M,COLUMNS('Employee information'!$B:$M),0)=4,
VLOOKUP($C625,'Employee information'!$B:$J,COLUMNS('Employee information'!$B:$J),0)="Resident"),
TRUNC(TRUNC($AN625)*'Tax scales - NAT 1004'!$B$47),
IF(AND(VLOOKUP($C625,'Employee information'!$B:$M,COLUMNS('Employee information'!$B:$M),0)=4,
VLOOKUP($C625,'Employee information'!$B:$J,COLUMNS('Employee information'!$B:$J),0)="Foreign resident"),
TRUNC(TRUNC($AN625)*'Tax scales - NAT 1004'!$B$48),
"")),
"")</f>
        <v>1175</v>
      </c>
      <c r="AS625" s="118" t="str">
        <f>IFERROR(
IF(VLOOKUP($C625,'Employee information'!$B:$M,COLUMNS('Employee information'!$B:$M),0)=5,
IF($E$2="Fortnightly",
ROUND(
ROUND((((TRUNC($AN625/2,0)+0.99))*VLOOKUP((TRUNC($AN625/2,0)+0.99),'Tax scales - NAT 1004'!$A$53:$C$59,2,1)-VLOOKUP((TRUNC($AN625/2,0)+0.99),'Tax scales - NAT 1004'!$A$53:$C$59,3,1)),0)
*2,
0),
IF(AND($E$2="Monthly",ROUND($AN625-TRUNC($AN625),2)=0.33),
ROUND(
ROUND(((TRUNC(($AN625+0.01)*3/13,0)+0.99)*VLOOKUP((TRUNC(($AN625+0.01)*3/13,0)+0.99),'Tax scales - NAT 1004'!$A$53:$C$59,2,1)-VLOOKUP((TRUNC(($AN625+0.01)*3/13,0)+0.99),'Tax scales - NAT 1004'!$A$53:$C$59,3,1)),0)
*13/3,
0),
IF($E$2="Monthly",
ROUND(
ROUND(((TRUNC($AN625*3/13,0)+0.99)*VLOOKUP((TRUNC($AN625*3/13,0)+0.99),'Tax scales - NAT 1004'!$A$53:$C$59,2,1)-VLOOKUP((TRUNC($AN625*3/13,0)+0.99),'Tax scales - NAT 1004'!$A$53:$C$59,3,1)),0)
*13/3,
0),
""))),
""),
"")</f>
        <v/>
      </c>
      <c r="AT625" s="118" t="str">
        <f>IFERROR(
IF(VLOOKUP($C625,'Employee information'!$B:$M,COLUMNS('Employee information'!$B:$M),0)=6,
IF($E$2="Fortnightly",
ROUND(
ROUND((((TRUNC($AN625/2,0)+0.99))*VLOOKUP((TRUNC($AN625/2,0)+0.99),'Tax scales - NAT 1004'!$A$65:$C$73,2,1)-VLOOKUP((TRUNC($AN625/2,0)+0.99),'Tax scales - NAT 1004'!$A$65:$C$73,3,1)),0)
*2,
0),
IF(AND($E$2="Monthly",ROUND($AN625-TRUNC($AN625),2)=0.33),
ROUND(
ROUND(((TRUNC(($AN625+0.01)*3/13,0)+0.99)*VLOOKUP((TRUNC(($AN625+0.01)*3/13,0)+0.99),'Tax scales - NAT 1004'!$A$65:$C$73,2,1)-VLOOKUP((TRUNC(($AN625+0.01)*3/13,0)+0.99),'Tax scales - NAT 1004'!$A$65:$C$73,3,1)),0)
*13/3,
0),
IF($E$2="Monthly",
ROUND(
ROUND(((TRUNC($AN625*3/13,0)+0.99)*VLOOKUP((TRUNC($AN625*3/13,0)+0.99),'Tax scales - NAT 1004'!$A$65:$C$73,2,1)-VLOOKUP((TRUNC($AN625*3/13,0)+0.99),'Tax scales - NAT 1004'!$A$65:$C$73,3,1)),0)
*13/3,
0),
""))),
""),
"")</f>
        <v/>
      </c>
      <c r="AU625" s="118" t="str">
        <f>IFERROR(
IF(VLOOKUP($C625,'Employee information'!$B:$M,COLUMNS('Employee information'!$B:$M),0)=11,
IF($E$2="Fortnightly",
ROUND(
ROUND((((TRUNC($AN625/2,0)+0.99))*VLOOKUP((TRUNC($AN625/2,0)+0.99),'Tax scales - NAT 3539'!$A$14:$C$38,2,1)-VLOOKUP((TRUNC($AN625/2,0)+0.99),'Tax scales - NAT 3539'!$A$14:$C$38,3,1)),0)
*2,
0),
IF(AND($E$2="Monthly",ROUND($AN625-TRUNC($AN625),2)=0.33),
ROUND(
ROUND(((TRUNC(($AN625+0.01)*3/13,0)+0.99)*VLOOKUP((TRUNC(($AN625+0.01)*3/13,0)+0.99),'Tax scales - NAT 3539'!$A$14:$C$38,2,1)-VLOOKUP((TRUNC(($AN625+0.01)*3/13,0)+0.99),'Tax scales - NAT 3539'!$A$14:$C$38,3,1)),0)
*13/3,
0),
IF($E$2="Monthly",
ROUND(
ROUND(((TRUNC($AN625*3/13,0)+0.99)*VLOOKUP((TRUNC($AN625*3/13,0)+0.99),'Tax scales - NAT 3539'!$A$14:$C$38,2,1)-VLOOKUP((TRUNC($AN625*3/13,0)+0.99),'Tax scales - NAT 3539'!$A$14:$C$38,3,1)),0)
*13/3,
0),
""))),
""),
"")</f>
        <v/>
      </c>
      <c r="AV625" s="118" t="str">
        <f>IFERROR(
IF(VLOOKUP($C625,'Employee information'!$B:$M,COLUMNS('Employee information'!$B:$M),0)=22,
IF($E$2="Fortnightly",
ROUND(
ROUND((((TRUNC($AN625/2,0)+0.99))*VLOOKUP((TRUNC($AN625/2,0)+0.99),'Tax scales - NAT 3539'!$A$43:$C$69,2,1)-VLOOKUP((TRUNC($AN625/2,0)+0.99),'Tax scales - NAT 3539'!$A$43:$C$69,3,1)),0)
*2,
0),
IF(AND($E$2="Monthly",ROUND($AN625-TRUNC($AN625),2)=0.33),
ROUND(
ROUND(((TRUNC(($AN625+0.01)*3/13,0)+0.99)*VLOOKUP((TRUNC(($AN625+0.01)*3/13,0)+0.99),'Tax scales - NAT 3539'!$A$43:$C$69,2,1)-VLOOKUP((TRUNC(($AN625+0.01)*3/13,0)+0.99),'Tax scales - NAT 3539'!$A$43:$C$69,3,1)),0)
*13/3,
0),
IF($E$2="Monthly",
ROUND(
ROUND(((TRUNC($AN625*3/13,0)+0.99)*VLOOKUP((TRUNC($AN625*3/13,0)+0.99),'Tax scales - NAT 3539'!$A$43:$C$69,2,1)-VLOOKUP((TRUNC($AN625*3/13,0)+0.99),'Tax scales - NAT 3539'!$A$43:$C$69,3,1)),0)
*13/3,
0),
""))),
""),
"")</f>
        <v/>
      </c>
      <c r="AW625" s="118" t="str">
        <f>IFERROR(
IF(VLOOKUP($C625,'Employee information'!$B:$M,COLUMNS('Employee information'!$B:$M),0)=33,
IF($E$2="Fortnightly",
ROUND(
ROUND((((TRUNC($AN625/2,0)+0.99))*VLOOKUP((TRUNC($AN625/2,0)+0.99),'Tax scales - NAT 3539'!$A$74:$C$94,2,1)-VLOOKUP((TRUNC($AN625/2,0)+0.99),'Tax scales - NAT 3539'!$A$74:$C$94,3,1)),0)
*2,
0),
IF(AND($E$2="Monthly",ROUND($AN625-TRUNC($AN625),2)=0.33),
ROUND(
ROUND(((TRUNC(($AN625+0.01)*3/13,0)+0.99)*VLOOKUP((TRUNC(($AN625+0.01)*3/13,0)+0.99),'Tax scales - NAT 3539'!$A$74:$C$94,2,1)-VLOOKUP((TRUNC(($AN625+0.01)*3/13,0)+0.99),'Tax scales - NAT 3539'!$A$74:$C$94,3,1)),0)
*13/3,
0),
IF($E$2="Monthly",
ROUND(
ROUND(((TRUNC($AN625*3/13,0)+0.99)*VLOOKUP((TRUNC($AN625*3/13,0)+0.99),'Tax scales - NAT 3539'!$A$74:$C$94,2,1)-VLOOKUP((TRUNC($AN625*3/13,0)+0.99),'Tax scales - NAT 3539'!$A$74:$C$94,3,1)),0)
*13/3,
0),
""))),
""),
"")</f>
        <v/>
      </c>
      <c r="AX625" s="118" t="str">
        <f>IFERROR(
IF(VLOOKUP($C625,'Employee information'!$B:$M,COLUMNS('Employee information'!$B:$M),0)=55,
IF($E$2="Fortnightly",
ROUND(
ROUND((((TRUNC($AN625/2,0)+0.99))*VLOOKUP((TRUNC($AN625/2,0)+0.99),'Tax scales - NAT 3539'!$A$99:$C$123,2,1)-VLOOKUP((TRUNC($AN625/2,0)+0.99),'Tax scales - NAT 3539'!$A$99:$C$123,3,1)),0)
*2,
0),
IF(AND($E$2="Monthly",ROUND($AN625-TRUNC($AN625),2)=0.33),
ROUND(
ROUND(((TRUNC(($AN625+0.01)*3/13,0)+0.99)*VLOOKUP((TRUNC(($AN625+0.01)*3/13,0)+0.99),'Tax scales - NAT 3539'!$A$99:$C$123,2,1)-VLOOKUP((TRUNC(($AN625+0.01)*3/13,0)+0.99),'Tax scales - NAT 3539'!$A$99:$C$123,3,1)),0)
*13/3,
0),
IF($E$2="Monthly",
ROUND(
ROUND(((TRUNC($AN625*3/13,0)+0.99)*VLOOKUP((TRUNC($AN625*3/13,0)+0.99),'Tax scales - NAT 3539'!$A$99:$C$123,2,1)-VLOOKUP((TRUNC($AN625*3/13,0)+0.99),'Tax scales - NAT 3539'!$A$99:$C$123,3,1)),0)
*13/3,
0),
""))),
""),
"")</f>
        <v/>
      </c>
      <c r="AY625" s="118" t="str">
        <f>IFERROR(
IF(VLOOKUP($C625,'Employee information'!$B:$M,COLUMNS('Employee information'!$B:$M),0)=66,
IF($E$2="Fortnightly",
ROUND(
ROUND((((TRUNC($AN625/2,0)+0.99))*VLOOKUP((TRUNC($AN625/2,0)+0.99),'Tax scales - NAT 3539'!$A$127:$C$154,2,1)-VLOOKUP((TRUNC($AN625/2,0)+0.99),'Tax scales - NAT 3539'!$A$127:$C$154,3,1)),0)
*2,
0),
IF(AND($E$2="Monthly",ROUND($AN625-TRUNC($AN625),2)=0.33),
ROUND(
ROUND(((TRUNC(($AN625+0.01)*3/13,0)+0.99)*VLOOKUP((TRUNC(($AN625+0.01)*3/13,0)+0.99),'Tax scales - NAT 3539'!$A$127:$C$154,2,1)-VLOOKUP((TRUNC(($AN625+0.01)*3/13,0)+0.99),'Tax scales - NAT 3539'!$A$127:$C$154,3,1)),0)
*13/3,
0),
IF($E$2="Monthly",
ROUND(
ROUND(((TRUNC($AN625*3/13,0)+0.99)*VLOOKUP((TRUNC($AN625*3/13,0)+0.99),'Tax scales - NAT 3539'!$A$127:$C$154,2,1)-VLOOKUP((TRUNC($AN625*3/13,0)+0.99),'Tax scales - NAT 3539'!$A$127:$C$154,3,1)),0)
*13/3,
0),
""))),
""),
"")</f>
        <v/>
      </c>
      <c r="AZ625" s="118">
        <f>IFERROR(
HLOOKUP(VLOOKUP($C625,'Employee information'!$B:$M,COLUMNS('Employee information'!$B:$M),0),'PAYG worksheet'!$AO$619:$AY$638,COUNTA($C$620:$C625)+1,0),
0)</f>
        <v>1175</v>
      </c>
      <c r="BA625" s="118"/>
      <c r="BB625" s="118">
        <f t="shared" si="666"/>
        <v>1325</v>
      </c>
      <c r="BC625" s="119">
        <f>IFERROR(
IF(OR($AE625=1,$AE625=""),SUM($P625,$AA625,$AC625,$AK625)*VLOOKUP($C625,'Employee information'!$B:$Q,COLUMNS('Employee information'!$B:$H),0),
IF($AE625=0,SUM($P625,$AA625,$AK625)*VLOOKUP($C625,'Employee information'!$B:$Q,COLUMNS('Employee information'!$B:$H),0),
0)),
0)</f>
        <v>237.5</v>
      </c>
      <c r="BE625" s="114">
        <f t="shared" si="651"/>
        <v>55000</v>
      </c>
      <c r="BF625" s="114">
        <f t="shared" si="652"/>
        <v>55000</v>
      </c>
      <c r="BG625" s="114">
        <f t="shared" si="653"/>
        <v>0</v>
      </c>
      <c r="BH625" s="114">
        <f t="shared" si="654"/>
        <v>0</v>
      </c>
      <c r="BI625" s="114">
        <f t="shared" si="655"/>
        <v>25850</v>
      </c>
      <c r="BJ625" s="114">
        <f t="shared" si="656"/>
        <v>0</v>
      </c>
      <c r="BK625" s="114">
        <f t="shared" si="657"/>
        <v>0</v>
      </c>
      <c r="BL625" s="114">
        <f t="shared" si="667"/>
        <v>0</v>
      </c>
      <c r="BM625" s="114">
        <f t="shared" si="658"/>
        <v>5225</v>
      </c>
    </row>
    <row r="626" spans="1:65" x14ac:dyDescent="0.25">
      <c r="A626" s="228">
        <f t="shared" si="646"/>
        <v>22</v>
      </c>
      <c r="C626" s="278" t="s">
        <v>95</v>
      </c>
      <c r="E626" s="103">
        <f>IF($C626="",0,
IF(AND($E$2="Monthly",$A626&gt;12),0,
IF($E$2="Monthly",VLOOKUP($C626,'Employee information'!$B:$AM,COLUMNS('Employee information'!$B:S),0),
IF($E$2="Fortnightly",VLOOKUP($C626,'Employee information'!$B:$AM,COLUMNS('Employee information'!$B:R),0),
0))))</f>
        <v>45</v>
      </c>
      <c r="F626" s="106"/>
      <c r="G626" s="106"/>
      <c r="H626" s="106"/>
      <c r="I626" s="106"/>
      <c r="J626" s="103">
        <f t="shared" si="659"/>
        <v>45</v>
      </c>
      <c r="L626" s="113">
        <f>IF(AND($E$2="Monthly",$A626&gt;12),"",
IFERROR($J626*VLOOKUP($C626,'Employee information'!$B:$AI,COLUMNS('Employee information'!$B:$P),0),0))</f>
        <v>1107.6923076923078</v>
      </c>
      <c r="M626" s="114">
        <f t="shared" si="660"/>
        <v>24369.23076923078</v>
      </c>
      <c r="O626" s="103">
        <f t="shared" si="661"/>
        <v>45</v>
      </c>
      <c r="P626" s="113">
        <f>IFERROR(
IF(AND($E$2="Monthly",$A626&gt;12),0,
$O626*VLOOKUP($C626,'Employee information'!$B:$AI,COLUMNS('Employee information'!$B:$P),0)),
0)</f>
        <v>1107.6923076923078</v>
      </c>
      <c r="R626" s="114">
        <f t="shared" si="647"/>
        <v>24369.23076923078</v>
      </c>
      <c r="T626" s="103"/>
      <c r="U626" s="103"/>
      <c r="V626" s="282">
        <f>IF($C626="","",
IF(AND($E$2="Monthly",$A626&gt;12),"",
$T626*VLOOKUP($C626,'Employee information'!$B:$P,COLUMNS('Employee information'!$B:$P),0)))</f>
        <v>0</v>
      </c>
      <c r="W626" s="282">
        <f>IF($C626="","",
IF(AND($E$2="Monthly",$A626&gt;12),"",
$U626*VLOOKUP($C626,'Employee information'!$B:$P,COLUMNS('Employee information'!$B:$P),0)))</f>
        <v>0</v>
      </c>
      <c r="X626" s="114">
        <f t="shared" si="648"/>
        <v>0</v>
      </c>
      <c r="Y626" s="114">
        <f t="shared" si="649"/>
        <v>0</v>
      </c>
      <c r="AA626" s="118">
        <f>IFERROR(
IF(OR('Basic payroll data'!$D$12="",'Basic payroll data'!$D$12="No"),0,
$T626*VLOOKUP($C626,'Employee information'!$B:$P,COLUMNS('Employee information'!$B:$P),0)*AL_loading_perc),
0)</f>
        <v>0</v>
      </c>
      <c r="AC626" s="118"/>
      <c r="AD626" s="118"/>
      <c r="AE626" s="283" t="str">
        <f t="shared" si="662"/>
        <v/>
      </c>
      <c r="AF626" s="283" t="str">
        <f t="shared" si="663"/>
        <v/>
      </c>
      <c r="AG626" s="118"/>
      <c r="AH626" s="118"/>
      <c r="AI626" s="283" t="str">
        <f t="shared" si="664"/>
        <v/>
      </c>
      <c r="AJ626" s="118"/>
      <c r="AK626" s="118"/>
      <c r="AM626" s="118">
        <f t="shared" si="665"/>
        <v>1107.6923076923078</v>
      </c>
      <c r="AN626" s="118">
        <f t="shared" si="650"/>
        <v>1107.6923076923078</v>
      </c>
      <c r="AO626" s="118" t="str">
        <f>IFERROR(
IF(VLOOKUP($C626,'Employee information'!$B:$M,COLUMNS('Employee information'!$B:$M),0)=1,
IF($E$2="Fortnightly",
ROUND(
ROUND((((TRUNC($AN626/2,0)+0.99))*VLOOKUP((TRUNC($AN626/2,0)+0.99),'Tax scales - NAT 1004'!$A$12:$C$18,2,1)-VLOOKUP((TRUNC($AN626/2,0)+0.99),'Tax scales - NAT 1004'!$A$12:$C$18,3,1)),0)
*2,
0),
IF(AND($E$2="Monthly",ROUND($AN626-TRUNC($AN626),2)=0.33),
ROUND(
ROUND(((TRUNC(($AN626+0.01)*3/13,0)+0.99)*VLOOKUP((TRUNC(($AN626+0.01)*3/13,0)+0.99),'Tax scales - NAT 1004'!$A$12:$C$18,2,1)-VLOOKUP((TRUNC(($AN626+0.01)*3/13,0)+0.99),'Tax scales - NAT 1004'!$A$12:$C$18,3,1)),0)
*13/3,
0),
IF($E$2="Monthly",
ROUND(
ROUND(((TRUNC($AN626*3/13,0)+0.99)*VLOOKUP((TRUNC($AN626*3/13,0)+0.99),'Tax scales - NAT 1004'!$A$12:$C$18,2,1)-VLOOKUP((TRUNC($AN626*3/13,0)+0.99),'Tax scales - NAT 1004'!$A$12:$C$18,3,1)),0)
*13/3,
0),
""))),
""),
"")</f>
        <v/>
      </c>
      <c r="AP626" s="118" t="str">
        <f>IFERROR(
IF(VLOOKUP($C626,'Employee information'!$B:$M,COLUMNS('Employee information'!$B:$M),0)=2,
IF($E$2="Fortnightly",
ROUND(
ROUND((((TRUNC($AN626/2,0)+0.99))*VLOOKUP((TRUNC($AN626/2,0)+0.99),'Tax scales - NAT 1004'!$A$25:$C$33,2,1)-VLOOKUP((TRUNC($AN626/2,0)+0.99),'Tax scales - NAT 1004'!$A$25:$C$33,3,1)),0)
*2,
0),
IF(AND($E$2="Monthly",ROUND($AN626-TRUNC($AN626),2)=0.33),
ROUND(
ROUND(((TRUNC(($AN626+0.01)*3/13,0)+0.99)*VLOOKUP((TRUNC(($AN626+0.01)*3/13,0)+0.99),'Tax scales - NAT 1004'!$A$25:$C$33,2,1)-VLOOKUP((TRUNC(($AN626+0.01)*3/13,0)+0.99),'Tax scales - NAT 1004'!$A$25:$C$33,3,1)),0)
*13/3,
0),
IF($E$2="Monthly",
ROUND(
ROUND(((TRUNC($AN626*3/13,0)+0.99)*VLOOKUP((TRUNC($AN626*3/13,0)+0.99),'Tax scales - NAT 1004'!$A$25:$C$33,2,1)-VLOOKUP((TRUNC($AN626*3/13,0)+0.99),'Tax scales - NAT 1004'!$A$25:$C$33,3,1)),0)
*13/3,
0),
""))),
""),
"")</f>
        <v/>
      </c>
      <c r="AQ626" s="118" t="str">
        <f>IFERROR(
IF(VLOOKUP($C626,'Employee information'!$B:$M,COLUMNS('Employee information'!$B:$M),0)=3,
IF($E$2="Fortnightly",
ROUND(
ROUND((((TRUNC($AN626/2,0)+0.99))*VLOOKUP((TRUNC($AN626/2,0)+0.99),'Tax scales - NAT 1004'!$A$39:$C$41,2,1)-VLOOKUP((TRUNC($AN626/2,0)+0.99),'Tax scales - NAT 1004'!$A$39:$C$41,3,1)),0)
*2,
0),
IF(AND($E$2="Monthly",ROUND($AN626-TRUNC($AN626),2)=0.33),
ROUND(
ROUND(((TRUNC(($AN626+0.01)*3/13,0)+0.99)*VLOOKUP((TRUNC(($AN626+0.01)*3/13,0)+0.99),'Tax scales - NAT 1004'!$A$39:$C$41,2,1)-VLOOKUP((TRUNC(($AN626+0.01)*3/13,0)+0.99),'Tax scales - NAT 1004'!$A$39:$C$41,3,1)),0)
*13/3,
0),
IF($E$2="Monthly",
ROUND(
ROUND(((TRUNC($AN626*3/13,0)+0.99)*VLOOKUP((TRUNC($AN626*3/13,0)+0.99),'Tax scales - NAT 1004'!$A$39:$C$41,2,1)-VLOOKUP((TRUNC($AN626*3/13,0)+0.99),'Tax scales - NAT 1004'!$A$39:$C$41,3,1)),0)
*13/3,
0),
""))),
""),
"")</f>
        <v/>
      </c>
      <c r="AR626" s="118" t="str">
        <f>IFERROR(
IF(AND(VLOOKUP($C626,'Employee information'!$B:$M,COLUMNS('Employee information'!$B:$M),0)=4,
VLOOKUP($C626,'Employee information'!$B:$J,COLUMNS('Employee information'!$B:$J),0)="Resident"),
TRUNC(TRUNC($AN626)*'Tax scales - NAT 1004'!$B$47),
IF(AND(VLOOKUP($C626,'Employee information'!$B:$M,COLUMNS('Employee information'!$B:$M),0)=4,
VLOOKUP($C626,'Employee information'!$B:$J,COLUMNS('Employee information'!$B:$J),0)="Foreign resident"),
TRUNC(TRUNC($AN626)*'Tax scales - NAT 1004'!$B$48),
"")),
"")</f>
        <v/>
      </c>
      <c r="AS626" s="118" t="str">
        <f>IFERROR(
IF(VLOOKUP($C626,'Employee information'!$B:$M,COLUMNS('Employee information'!$B:$M),0)=5,
IF($E$2="Fortnightly",
ROUND(
ROUND((((TRUNC($AN626/2,0)+0.99))*VLOOKUP((TRUNC($AN626/2,0)+0.99),'Tax scales - NAT 1004'!$A$53:$C$59,2,1)-VLOOKUP((TRUNC($AN626/2,0)+0.99),'Tax scales - NAT 1004'!$A$53:$C$59,3,1)),0)
*2,
0),
IF(AND($E$2="Monthly",ROUND($AN626-TRUNC($AN626),2)=0.33),
ROUND(
ROUND(((TRUNC(($AN626+0.01)*3/13,0)+0.99)*VLOOKUP((TRUNC(($AN626+0.01)*3/13,0)+0.99),'Tax scales - NAT 1004'!$A$53:$C$59,2,1)-VLOOKUP((TRUNC(($AN626+0.01)*3/13,0)+0.99),'Tax scales - NAT 1004'!$A$53:$C$59,3,1)),0)
*13/3,
0),
IF($E$2="Monthly",
ROUND(
ROUND(((TRUNC($AN626*3/13,0)+0.99)*VLOOKUP((TRUNC($AN626*3/13,0)+0.99),'Tax scales - NAT 1004'!$A$53:$C$59,2,1)-VLOOKUP((TRUNC($AN626*3/13,0)+0.99),'Tax scales - NAT 1004'!$A$53:$C$59,3,1)),0)
*13/3,
0),
""))),
""),
"")</f>
        <v/>
      </c>
      <c r="AT626" s="118" t="str">
        <f>IFERROR(
IF(VLOOKUP($C626,'Employee information'!$B:$M,COLUMNS('Employee information'!$B:$M),0)=6,
IF($E$2="Fortnightly",
ROUND(
ROUND((((TRUNC($AN626/2,0)+0.99))*VLOOKUP((TRUNC($AN626/2,0)+0.99),'Tax scales - NAT 1004'!$A$65:$C$73,2,1)-VLOOKUP((TRUNC($AN626/2,0)+0.99),'Tax scales - NAT 1004'!$A$65:$C$73,3,1)),0)
*2,
0),
IF(AND($E$2="Monthly",ROUND($AN626-TRUNC($AN626),2)=0.33),
ROUND(
ROUND(((TRUNC(($AN626+0.01)*3/13,0)+0.99)*VLOOKUP((TRUNC(($AN626+0.01)*3/13,0)+0.99),'Tax scales - NAT 1004'!$A$65:$C$73,2,1)-VLOOKUP((TRUNC(($AN626+0.01)*3/13,0)+0.99),'Tax scales - NAT 1004'!$A$65:$C$73,3,1)),0)
*13/3,
0),
IF($E$2="Monthly",
ROUND(
ROUND(((TRUNC($AN626*3/13,0)+0.99)*VLOOKUP((TRUNC($AN626*3/13,0)+0.99),'Tax scales - NAT 1004'!$A$65:$C$73,2,1)-VLOOKUP((TRUNC($AN626*3/13,0)+0.99),'Tax scales - NAT 1004'!$A$65:$C$73,3,1)),0)
*13/3,
0),
""))),
""),
"")</f>
        <v/>
      </c>
      <c r="AU626" s="118" t="str">
        <f>IFERROR(
IF(VLOOKUP($C626,'Employee information'!$B:$M,COLUMNS('Employee information'!$B:$M),0)=11,
IF($E$2="Fortnightly",
ROUND(
ROUND((((TRUNC($AN626/2,0)+0.99))*VLOOKUP((TRUNC($AN626/2,0)+0.99),'Tax scales - NAT 3539'!$A$14:$C$38,2,1)-VLOOKUP((TRUNC($AN626/2,0)+0.99),'Tax scales - NAT 3539'!$A$14:$C$38,3,1)),0)
*2,
0),
IF(AND($E$2="Monthly",ROUND($AN626-TRUNC($AN626),2)=0.33),
ROUND(
ROUND(((TRUNC(($AN626+0.01)*3/13,0)+0.99)*VLOOKUP((TRUNC(($AN626+0.01)*3/13,0)+0.99),'Tax scales - NAT 3539'!$A$14:$C$38,2,1)-VLOOKUP((TRUNC(($AN626+0.01)*3/13,0)+0.99),'Tax scales - NAT 3539'!$A$14:$C$38,3,1)),0)
*13/3,
0),
IF($E$2="Monthly",
ROUND(
ROUND(((TRUNC($AN626*3/13,0)+0.99)*VLOOKUP((TRUNC($AN626*3/13,0)+0.99),'Tax scales - NAT 3539'!$A$14:$C$38,2,1)-VLOOKUP((TRUNC($AN626*3/13,0)+0.99),'Tax scales - NAT 3539'!$A$14:$C$38,3,1)),0)
*13/3,
0),
""))),
""),
"")</f>
        <v/>
      </c>
      <c r="AV626" s="118" t="str">
        <f>IFERROR(
IF(VLOOKUP($C626,'Employee information'!$B:$M,COLUMNS('Employee information'!$B:$M),0)=22,
IF($E$2="Fortnightly",
ROUND(
ROUND((((TRUNC($AN626/2,0)+0.99))*VLOOKUP((TRUNC($AN626/2,0)+0.99),'Tax scales - NAT 3539'!$A$43:$C$69,2,1)-VLOOKUP((TRUNC($AN626/2,0)+0.99),'Tax scales - NAT 3539'!$A$43:$C$69,3,1)),0)
*2,
0),
IF(AND($E$2="Monthly",ROUND($AN626-TRUNC($AN626),2)=0.33),
ROUND(
ROUND(((TRUNC(($AN626+0.01)*3/13,0)+0.99)*VLOOKUP((TRUNC(($AN626+0.01)*3/13,0)+0.99),'Tax scales - NAT 3539'!$A$43:$C$69,2,1)-VLOOKUP((TRUNC(($AN626+0.01)*3/13,0)+0.99),'Tax scales - NAT 3539'!$A$43:$C$69,3,1)),0)
*13/3,
0),
IF($E$2="Monthly",
ROUND(
ROUND(((TRUNC($AN626*3/13,0)+0.99)*VLOOKUP((TRUNC($AN626*3/13,0)+0.99),'Tax scales - NAT 3539'!$A$43:$C$69,2,1)-VLOOKUP((TRUNC($AN626*3/13,0)+0.99),'Tax scales - NAT 3539'!$A$43:$C$69,3,1)),0)
*13/3,
0),
""))),
""),
"")</f>
        <v/>
      </c>
      <c r="AW626" s="118" t="str">
        <f>IFERROR(
IF(VLOOKUP($C626,'Employee information'!$B:$M,COLUMNS('Employee information'!$B:$M),0)=33,
IF($E$2="Fortnightly",
ROUND(
ROUND((((TRUNC($AN626/2,0)+0.99))*VLOOKUP((TRUNC($AN626/2,0)+0.99),'Tax scales - NAT 3539'!$A$74:$C$94,2,1)-VLOOKUP((TRUNC($AN626/2,0)+0.99),'Tax scales - NAT 3539'!$A$74:$C$94,3,1)),0)
*2,
0),
IF(AND($E$2="Monthly",ROUND($AN626-TRUNC($AN626),2)=0.33),
ROUND(
ROUND(((TRUNC(($AN626+0.01)*3/13,0)+0.99)*VLOOKUP((TRUNC(($AN626+0.01)*3/13,0)+0.99),'Tax scales - NAT 3539'!$A$74:$C$94,2,1)-VLOOKUP((TRUNC(($AN626+0.01)*3/13,0)+0.99),'Tax scales - NAT 3539'!$A$74:$C$94,3,1)),0)
*13/3,
0),
IF($E$2="Monthly",
ROUND(
ROUND(((TRUNC($AN626*3/13,0)+0.99)*VLOOKUP((TRUNC($AN626*3/13,0)+0.99),'Tax scales - NAT 3539'!$A$74:$C$94,2,1)-VLOOKUP((TRUNC($AN626*3/13,0)+0.99),'Tax scales - NAT 3539'!$A$74:$C$94,3,1)),0)
*13/3,
0),
""))),
""),
"")</f>
        <v/>
      </c>
      <c r="AX626" s="118" t="str">
        <f>IFERROR(
IF(VLOOKUP($C626,'Employee information'!$B:$M,COLUMNS('Employee information'!$B:$M),0)=55,
IF($E$2="Fortnightly",
ROUND(
ROUND((((TRUNC($AN626/2,0)+0.99))*VLOOKUP((TRUNC($AN626/2,0)+0.99),'Tax scales - NAT 3539'!$A$99:$C$123,2,1)-VLOOKUP((TRUNC($AN626/2,0)+0.99),'Tax scales - NAT 3539'!$A$99:$C$123,3,1)),0)
*2,
0),
IF(AND($E$2="Monthly",ROUND($AN626-TRUNC($AN626),2)=0.33),
ROUND(
ROUND(((TRUNC(($AN626+0.01)*3/13,0)+0.99)*VLOOKUP((TRUNC(($AN626+0.01)*3/13,0)+0.99),'Tax scales - NAT 3539'!$A$99:$C$123,2,1)-VLOOKUP((TRUNC(($AN626+0.01)*3/13,0)+0.99),'Tax scales - NAT 3539'!$A$99:$C$123,3,1)),0)
*13/3,
0),
IF($E$2="Monthly",
ROUND(
ROUND(((TRUNC($AN626*3/13,0)+0.99)*VLOOKUP((TRUNC($AN626*3/13,0)+0.99),'Tax scales - NAT 3539'!$A$99:$C$123,2,1)-VLOOKUP((TRUNC($AN626*3/13,0)+0.99),'Tax scales - NAT 3539'!$A$99:$C$123,3,1)),0)
*13/3,
0),
""))),
""),
"")</f>
        <v/>
      </c>
      <c r="AY626" s="118">
        <f>IFERROR(
IF(VLOOKUP($C626,'Employee information'!$B:$M,COLUMNS('Employee information'!$B:$M),0)=66,
IF($E$2="Fortnightly",
ROUND(
ROUND((((TRUNC($AN626/2,0)+0.99))*VLOOKUP((TRUNC($AN626/2,0)+0.99),'Tax scales - NAT 3539'!$A$127:$C$154,2,1)-VLOOKUP((TRUNC($AN626/2,0)+0.99),'Tax scales - NAT 3539'!$A$127:$C$154,3,1)),0)
*2,
0),
IF(AND($E$2="Monthly",ROUND($AN626-TRUNC($AN626),2)=0.33),
ROUND(
ROUND(((TRUNC(($AN626+0.01)*3/13,0)+0.99)*VLOOKUP((TRUNC(($AN626+0.01)*3/13,0)+0.99),'Tax scales - NAT 3539'!$A$127:$C$154,2,1)-VLOOKUP((TRUNC(($AN626+0.01)*3/13,0)+0.99),'Tax scales - NAT 3539'!$A$127:$C$154,3,1)),0)
*13/3,
0),
IF($E$2="Monthly",
ROUND(
ROUND(((TRUNC($AN626*3/13,0)+0.99)*VLOOKUP((TRUNC($AN626*3/13,0)+0.99),'Tax scales - NAT 3539'!$A$127:$C$154,2,1)-VLOOKUP((TRUNC($AN626*3/13,0)+0.99),'Tax scales - NAT 3539'!$A$127:$C$154,3,1)),0)
*13/3,
0),
""))),
""),
"")</f>
        <v>74</v>
      </c>
      <c r="AZ626" s="118">
        <f>IFERROR(
HLOOKUP(VLOOKUP($C626,'Employee information'!$B:$M,COLUMNS('Employee information'!$B:$M),0),'PAYG worksheet'!$AO$619:$AY$638,COUNTA($C$620:$C626)+1,0),
0)</f>
        <v>74</v>
      </c>
      <c r="BA626" s="118"/>
      <c r="BB626" s="118">
        <f t="shared" si="666"/>
        <v>1033.6923076923078</v>
      </c>
      <c r="BC626" s="119">
        <f>IFERROR(
IF(OR($AE626=1,$AE626=""),SUM($P626,$AA626,$AC626,$AK626)*VLOOKUP($C626,'Employee information'!$B:$Q,COLUMNS('Employee information'!$B:$H),0),
IF($AE626=0,SUM($P626,$AA626,$AK626)*VLOOKUP($C626,'Employee information'!$B:$Q,COLUMNS('Employee information'!$B:$H),0),
0)),
0)</f>
        <v>105.23076923076924</v>
      </c>
      <c r="BE626" s="114">
        <f t="shared" si="651"/>
        <v>24369.23076923078</v>
      </c>
      <c r="BF626" s="114">
        <f t="shared" si="652"/>
        <v>24369.23076923078</v>
      </c>
      <c r="BG626" s="114">
        <f t="shared" si="653"/>
        <v>0</v>
      </c>
      <c r="BH626" s="114">
        <f t="shared" si="654"/>
        <v>0</v>
      </c>
      <c r="BI626" s="114">
        <f t="shared" si="655"/>
        <v>1628</v>
      </c>
      <c r="BJ626" s="114">
        <f t="shared" si="656"/>
        <v>0</v>
      </c>
      <c r="BK626" s="114">
        <f t="shared" si="657"/>
        <v>0</v>
      </c>
      <c r="BL626" s="114">
        <f t="shared" si="667"/>
        <v>0</v>
      </c>
      <c r="BM626" s="114">
        <f t="shared" si="658"/>
        <v>2315.0769230769233</v>
      </c>
    </row>
    <row r="627" spans="1:65" x14ac:dyDescent="0.25">
      <c r="A627" s="228">
        <f t="shared" si="646"/>
        <v>22</v>
      </c>
      <c r="C627" s="278"/>
      <c r="E627" s="103">
        <f>IF($C627="",0,
IF(AND($E$2="Monthly",$A627&gt;12),0,
IF($E$2="Monthly",VLOOKUP($C627,'Employee information'!$B:$AM,COLUMNS('Employee information'!$B:S),0),
IF($E$2="Fortnightly",VLOOKUP($C627,'Employee information'!$B:$AM,COLUMNS('Employee information'!$B:R),0),
0))))</f>
        <v>0</v>
      </c>
      <c r="F627" s="106"/>
      <c r="G627" s="106"/>
      <c r="H627" s="106"/>
      <c r="I627" s="106"/>
      <c r="J627" s="103">
        <f>IF($E$2="Monthly",
IF(AND($E$2="Monthly",$H627&lt;&gt;""),$H627,
IF(AND($E$2="Monthly",$E627=0),SUM($F627:$G627),
$E627)),
IF($E$2="Fortnightly",
IF(AND($E$2="Fortnightly",$H627&lt;&gt;""),$H627,
IF(AND($E$2="Fortnightly",$F627&lt;&gt;"",$E627&lt;&gt;0),$F627,
IF(AND($E$2="Fortnightly",$E627=0),SUM($F627:$G627),
$E627)))))</f>
        <v>0</v>
      </c>
      <c r="L627" s="113">
        <f>IF(AND($E$2="Monthly",$A627&gt;12),"",
IFERROR($J627*VLOOKUP($C627,'Employee information'!$B:$AI,COLUMNS('Employee information'!$B:$P),0),0))</f>
        <v>0</v>
      </c>
      <c r="M627" s="114">
        <f t="shared" si="660"/>
        <v>0</v>
      </c>
      <c r="O627" s="103">
        <f t="shared" si="661"/>
        <v>0</v>
      </c>
      <c r="P627" s="113">
        <f>IFERROR(
IF(AND($E$2="Monthly",$A627&gt;12),0,
$O627*VLOOKUP($C627,'Employee information'!$B:$AI,COLUMNS('Employee information'!$B:$P),0)),
0)</f>
        <v>0</v>
      </c>
      <c r="R627" s="114">
        <f t="shared" si="647"/>
        <v>0</v>
      </c>
      <c r="T627" s="103"/>
      <c r="U627" s="103"/>
      <c r="V627" s="282" t="str">
        <f>IF($C627="","",
IF(AND($E$2="Monthly",$A627&gt;12),"",
$T627*VLOOKUP($C627,'Employee information'!$B:$P,COLUMNS('Employee information'!$B:$P),0)))</f>
        <v/>
      </c>
      <c r="W627" s="282" t="str">
        <f>IF($C627="","",
IF(AND($E$2="Monthly",$A627&gt;12),"",
$U627*VLOOKUP($C627,'Employee information'!$B:$P,COLUMNS('Employee information'!$B:$P),0)))</f>
        <v/>
      </c>
      <c r="X627" s="114">
        <f t="shared" si="648"/>
        <v>0</v>
      </c>
      <c r="Y627" s="114">
        <f t="shared" si="649"/>
        <v>0</v>
      </c>
      <c r="AA627" s="118">
        <f>IFERROR(
IF(OR('Basic payroll data'!$D$12="",'Basic payroll data'!$D$12="No"),0,
$T627*VLOOKUP($C627,'Employee information'!$B:$P,COLUMNS('Employee information'!$B:$P),0)*AL_loading_perc),
0)</f>
        <v>0</v>
      </c>
      <c r="AC627" s="118"/>
      <c r="AD627" s="118"/>
      <c r="AE627" s="283" t="str">
        <f t="shared" si="662"/>
        <v/>
      </c>
      <c r="AF627" s="283" t="str">
        <f t="shared" si="663"/>
        <v/>
      </c>
      <c r="AG627" s="118"/>
      <c r="AH627" s="118"/>
      <c r="AI627" s="283" t="str">
        <f t="shared" si="664"/>
        <v/>
      </c>
      <c r="AJ627" s="118"/>
      <c r="AK627" s="118"/>
      <c r="AM627" s="118">
        <f t="shared" si="665"/>
        <v>0</v>
      </c>
      <c r="AN627" s="118">
        <f t="shared" si="650"/>
        <v>0</v>
      </c>
      <c r="AO627" s="118" t="str">
        <f>IFERROR(
IF(VLOOKUP($C627,'Employee information'!$B:$M,COLUMNS('Employee information'!$B:$M),0)=1,
IF($E$2="Fortnightly",
ROUND(
ROUND((((TRUNC($AN627/2,0)+0.99))*VLOOKUP((TRUNC($AN627/2,0)+0.99),'Tax scales - NAT 1004'!$A$12:$C$18,2,1)-VLOOKUP((TRUNC($AN627/2,0)+0.99),'Tax scales - NAT 1004'!$A$12:$C$18,3,1)),0)
*2,
0),
IF(AND($E$2="Monthly",ROUND($AN627-TRUNC($AN627),2)=0.33),
ROUND(
ROUND(((TRUNC(($AN627+0.01)*3/13,0)+0.99)*VLOOKUP((TRUNC(($AN627+0.01)*3/13,0)+0.99),'Tax scales - NAT 1004'!$A$12:$C$18,2,1)-VLOOKUP((TRUNC(($AN627+0.01)*3/13,0)+0.99),'Tax scales - NAT 1004'!$A$12:$C$18,3,1)),0)
*13/3,
0),
IF($E$2="Monthly",
ROUND(
ROUND(((TRUNC($AN627*3/13,0)+0.99)*VLOOKUP((TRUNC($AN627*3/13,0)+0.99),'Tax scales - NAT 1004'!$A$12:$C$18,2,1)-VLOOKUP((TRUNC($AN627*3/13,0)+0.99),'Tax scales - NAT 1004'!$A$12:$C$18,3,1)),0)
*13/3,
0),
""))),
""),
"")</f>
        <v/>
      </c>
      <c r="AP627" s="118" t="str">
        <f>IFERROR(
IF(VLOOKUP($C627,'Employee information'!$B:$M,COLUMNS('Employee information'!$B:$M),0)=2,
IF($E$2="Fortnightly",
ROUND(
ROUND((((TRUNC($AN627/2,0)+0.99))*VLOOKUP((TRUNC($AN627/2,0)+0.99),'Tax scales - NAT 1004'!$A$25:$C$33,2,1)-VLOOKUP((TRUNC($AN627/2,0)+0.99),'Tax scales - NAT 1004'!$A$25:$C$33,3,1)),0)
*2,
0),
IF(AND($E$2="Monthly",ROUND($AN627-TRUNC($AN627),2)=0.33),
ROUND(
ROUND(((TRUNC(($AN627+0.01)*3/13,0)+0.99)*VLOOKUP((TRUNC(($AN627+0.01)*3/13,0)+0.99),'Tax scales - NAT 1004'!$A$25:$C$33,2,1)-VLOOKUP((TRUNC(($AN627+0.01)*3/13,0)+0.99),'Tax scales - NAT 1004'!$A$25:$C$33,3,1)),0)
*13/3,
0),
IF($E$2="Monthly",
ROUND(
ROUND(((TRUNC($AN627*3/13,0)+0.99)*VLOOKUP((TRUNC($AN627*3/13,0)+0.99),'Tax scales - NAT 1004'!$A$25:$C$33,2,1)-VLOOKUP((TRUNC($AN627*3/13,0)+0.99),'Tax scales - NAT 1004'!$A$25:$C$33,3,1)),0)
*13/3,
0),
""))),
""),
"")</f>
        <v/>
      </c>
      <c r="AQ627" s="118" t="str">
        <f>IFERROR(
IF(VLOOKUP($C627,'Employee information'!$B:$M,COLUMNS('Employee information'!$B:$M),0)=3,
IF($E$2="Fortnightly",
ROUND(
ROUND((((TRUNC($AN627/2,0)+0.99))*VLOOKUP((TRUNC($AN627/2,0)+0.99),'Tax scales - NAT 1004'!$A$39:$C$41,2,1)-VLOOKUP((TRUNC($AN627/2,0)+0.99),'Tax scales - NAT 1004'!$A$39:$C$41,3,1)),0)
*2,
0),
IF(AND($E$2="Monthly",ROUND($AN627-TRUNC($AN627),2)=0.33),
ROUND(
ROUND(((TRUNC(($AN627+0.01)*3/13,0)+0.99)*VLOOKUP((TRUNC(($AN627+0.01)*3/13,0)+0.99),'Tax scales - NAT 1004'!$A$39:$C$41,2,1)-VLOOKUP((TRUNC(($AN627+0.01)*3/13,0)+0.99),'Tax scales - NAT 1004'!$A$39:$C$41,3,1)),0)
*13/3,
0),
IF($E$2="Monthly",
ROUND(
ROUND(((TRUNC($AN627*3/13,0)+0.99)*VLOOKUP((TRUNC($AN627*3/13,0)+0.99),'Tax scales - NAT 1004'!$A$39:$C$41,2,1)-VLOOKUP((TRUNC($AN627*3/13,0)+0.99),'Tax scales - NAT 1004'!$A$39:$C$41,3,1)),0)
*13/3,
0),
""))),
""),
"")</f>
        <v/>
      </c>
      <c r="AR627" s="118" t="str">
        <f>IFERROR(
IF(AND(VLOOKUP($C627,'Employee information'!$B:$M,COLUMNS('Employee information'!$B:$M),0)=4,
VLOOKUP($C627,'Employee information'!$B:$J,COLUMNS('Employee information'!$B:$J),0)="Resident"),
TRUNC(TRUNC($AN627)*'Tax scales - NAT 1004'!$B$47),
IF(AND(VLOOKUP($C627,'Employee information'!$B:$M,COLUMNS('Employee information'!$B:$M),0)=4,
VLOOKUP($C627,'Employee information'!$B:$J,COLUMNS('Employee information'!$B:$J),0)="Foreign resident"),
TRUNC(TRUNC($AN627)*'Tax scales - NAT 1004'!$B$48),
"")),
"")</f>
        <v/>
      </c>
      <c r="AS627" s="118" t="str">
        <f>IFERROR(
IF(VLOOKUP($C627,'Employee information'!$B:$M,COLUMNS('Employee information'!$B:$M),0)=5,
IF($E$2="Fortnightly",
ROUND(
ROUND((((TRUNC($AN627/2,0)+0.99))*VLOOKUP((TRUNC($AN627/2,0)+0.99),'Tax scales - NAT 1004'!$A$53:$C$59,2,1)-VLOOKUP((TRUNC($AN627/2,0)+0.99),'Tax scales - NAT 1004'!$A$53:$C$59,3,1)),0)
*2,
0),
IF(AND($E$2="Monthly",ROUND($AN627-TRUNC($AN627),2)=0.33),
ROUND(
ROUND(((TRUNC(($AN627+0.01)*3/13,0)+0.99)*VLOOKUP((TRUNC(($AN627+0.01)*3/13,0)+0.99),'Tax scales - NAT 1004'!$A$53:$C$59,2,1)-VLOOKUP((TRUNC(($AN627+0.01)*3/13,0)+0.99),'Tax scales - NAT 1004'!$A$53:$C$59,3,1)),0)
*13/3,
0),
IF($E$2="Monthly",
ROUND(
ROUND(((TRUNC($AN627*3/13,0)+0.99)*VLOOKUP((TRUNC($AN627*3/13,0)+0.99),'Tax scales - NAT 1004'!$A$53:$C$59,2,1)-VLOOKUP((TRUNC($AN627*3/13,0)+0.99),'Tax scales - NAT 1004'!$A$53:$C$59,3,1)),0)
*13/3,
0),
""))),
""),
"")</f>
        <v/>
      </c>
      <c r="AT627" s="118" t="str">
        <f>IFERROR(
IF(VLOOKUP($C627,'Employee information'!$B:$M,COLUMNS('Employee information'!$B:$M),0)=6,
IF($E$2="Fortnightly",
ROUND(
ROUND((((TRUNC($AN627/2,0)+0.99))*VLOOKUP((TRUNC($AN627/2,0)+0.99),'Tax scales - NAT 1004'!$A$65:$C$73,2,1)-VLOOKUP((TRUNC($AN627/2,0)+0.99),'Tax scales - NAT 1004'!$A$65:$C$73,3,1)),0)
*2,
0),
IF(AND($E$2="Monthly",ROUND($AN627-TRUNC($AN627),2)=0.33),
ROUND(
ROUND(((TRUNC(($AN627+0.01)*3/13,0)+0.99)*VLOOKUP((TRUNC(($AN627+0.01)*3/13,0)+0.99),'Tax scales - NAT 1004'!$A$65:$C$73,2,1)-VLOOKUP((TRUNC(($AN627+0.01)*3/13,0)+0.99),'Tax scales - NAT 1004'!$A$65:$C$73,3,1)),0)
*13/3,
0),
IF($E$2="Monthly",
ROUND(
ROUND(((TRUNC($AN627*3/13,0)+0.99)*VLOOKUP((TRUNC($AN627*3/13,0)+0.99),'Tax scales - NAT 1004'!$A$65:$C$73,2,1)-VLOOKUP((TRUNC($AN627*3/13,0)+0.99),'Tax scales - NAT 1004'!$A$65:$C$73,3,1)),0)
*13/3,
0),
""))),
""),
"")</f>
        <v/>
      </c>
      <c r="AU627" s="118" t="str">
        <f>IFERROR(
IF(VLOOKUP($C627,'Employee information'!$B:$M,COLUMNS('Employee information'!$B:$M),0)=11,
IF($E$2="Fortnightly",
ROUND(
ROUND((((TRUNC($AN627/2,0)+0.99))*VLOOKUP((TRUNC($AN627/2,0)+0.99),'Tax scales - NAT 3539'!$A$14:$C$38,2,1)-VLOOKUP((TRUNC($AN627/2,0)+0.99),'Tax scales - NAT 3539'!$A$14:$C$38,3,1)),0)
*2,
0),
IF(AND($E$2="Monthly",ROUND($AN627-TRUNC($AN627),2)=0.33),
ROUND(
ROUND(((TRUNC(($AN627+0.01)*3/13,0)+0.99)*VLOOKUP((TRUNC(($AN627+0.01)*3/13,0)+0.99),'Tax scales - NAT 3539'!$A$14:$C$38,2,1)-VLOOKUP((TRUNC(($AN627+0.01)*3/13,0)+0.99),'Tax scales - NAT 3539'!$A$14:$C$38,3,1)),0)
*13/3,
0),
IF($E$2="Monthly",
ROUND(
ROUND(((TRUNC($AN627*3/13,0)+0.99)*VLOOKUP((TRUNC($AN627*3/13,0)+0.99),'Tax scales - NAT 3539'!$A$14:$C$38,2,1)-VLOOKUP((TRUNC($AN627*3/13,0)+0.99),'Tax scales - NAT 3539'!$A$14:$C$38,3,1)),0)
*13/3,
0),
""))),
""),
"")</f>
        <v/>
      </c>
      <c r="AV627" s="118" t="str">
        <f>IFERROR(
IF(VLOOKUP($C627,'Employee information'!$B:$M,COLUMNS('Employee information'!$B:$M),0)=22,
IF($E$2="Fortnightly",
ROUND(
ROUND((((TRUNC($AN627/2,0)+0.99))*VLOOKUP((TRUNC($AN627/2,0)+0.99),'Tax scales - NAT 3539'!$A$43:$C$69,2,1)-VLOOKUP((TRUNC($AN627/2,0)+0.99),'Tax scales - NAT 3539'!$A$43:$C$69,3,1)),0)
*2,
0),
IF(AND($E$2="Monthly",ROUND($AN627-TRUNC($AN627),2)=0.33),
ROUND(
ROUND(((TRUNC(($AN627+0.01)*3/13,0)+0.99)*VLOOKUP((TRUNC(($AN627+0.01)*3/13,0)+0.99),'Tax scales - NAT 3539'!$A$43:$C$69,2,1)-VLOOKUP((TRUNC(($AN627+0.01)*3/13,0)+0.99),'Tax scales - NAT 3539'!$A$43:$C$69,3,1)),0)
*13/3,
0),
IF($E$2="Monthly",
ROUND(
ROUND(((TRUNC($AN627*3/13,0)+0.99)*VLOOKUP((TRUNC($AN627*3/13,0)+0.99),'Tax scales - NAT 3539'!$A$43:$C$69,2,1)-VLOOKUP((TRUNC($AN627*3/13,0)+0.99),'Tax scales - NAT 3539'!$A$43:$C$69,3,1)),0)
*13/3,
0),
""))),
""),
"")</f>
        <v/>
      </c>
      <c r="AW627" s="118" t="str">
        <f>IFERROR(
IF(VLOOKUP($C627,'Employee information'!$B:$M,COLUMNS('Employee information'!$B:$M),0)=33,
IF($E$2="Fortnightly",
ROUND(
ROUND((((TRUNC($AN627/2,0)+0.99))*VLOOKUP((TRUNC($AN627/2,0)+0.99),'Tax scales - NAT 3539'!$A$74:$C$94,2,1)-VLOOKUP((TRUNC($AN627/2,0)+0.99),'Tax scales - NAT 3539'!$A$74:$C$94,3,1)),0)
*2,
0),
IF(AND($E$2="Monthly",ROUND($AN627-TRUNC($AN627),2)=0.33),
ROUND(
ROUND(((TRUNC(($AN627+0.01)*3/13,0)+0.99)*VLOOKUP((TRUNC(($AN627+0.01)*3/13,0)+0.99),'Tax scales - NAT 3539'!$A$74:$C$94,2,1)-VLOOKUP((TRUNC(($AN627+0.01)*3/13,0)+0.99),'Tax scales - NAT 3539'!$A$74:$C$94,3,1)),0)
*13/3,
0),
IF($E$2="Monthly",
ROUND(
ROUND(((TRUNC($AN627*3/13,0)+0.99)*VLOOKUP((TRUNC($AN627*3/13,0)+0.99),'Tax scales - NAT 3539'!$A$74:$C$94,2,1)-VLOOKUP((TRUNC($AN627*3/13,0)+0.99),'Tax scales - NAT 3539'!$A$74:$C$94,3,1)),0)
*13/3,
0),
""))),
""),
"")</f>
        <v/>
      </c>
      <c r="AX627" s="118" t="str">
        <f>IFERROR(
IF(VLOOKUP($C627,'Employee information'!$B:$M,COLUMNS('Employee information'!$B:$M),0)=55,
IF($E$2="Fortnightly",
ROUND(
ROUND((((TRUNC($AN627/2,0)+0.99))*VLOOKUP((TRUNC($AN627/2,0)+0.99),'Tax scales - NAT 3539'!$A$99:$C$123,2,1)-VLOOKUP((TRUNC($AN627/2,0)+0.99),'Tax scales - NAT 3539'!$A$99:$C$123,3,1)),0)
*2,
0),
IF(AND($E$2="Monthly",ROUND($AN627-TRUNC($AN627),2)=0.33),
ROUND(
ROUND(((TRUNC(($AN627+0.01)*3/13,0)+0.99)*VLOOKUP((TRUNC(($AN627+0.01)*3/13,0)+0.99),'Tax scales - NAT 3539'!$A$99:$C$123,2,1)-VLOOKUP((TRUNC(($AN627+0.01)*3/13,0)+0.99),'Tax scales - NAT 3539'!$A$99:$C$123,3,1)),0)
*13/3,
0),
IF($E$2="Monthly",
ROUND(
ROUND(((TRUNC($AN627*3/13,0)+0.99)*VLOOKUP((TRUNC($AN627*3/13,0)+0.99),'Tax scales - NAT 3539'!$A$99:$C$123,2,1)-VLOOKUP((TRUNC($AN627*3/13,0)+0.99),'Tax scales - NAT 3539'!$A$99:$C$123,3,1)),0)
*13/3,
0),
""))),
""),
"")</f>
        <v/>
      </c>
      <c r="AY627" s="118" t="str">
        <f>IFERROR(
IF(VLOOKUP($C627,'Employee information'!$B:$M,COLUMNS('Employee information'!$B:$M),0)=66,
IF($E$2="Fortnightly",
ROUND(
ROUND((((TRUNC($AN627/2,0)+0.99))*VLOOKUP((TRUNC($AN627/2,0)+0.99),'Tax scales - NAT 3539'!$A$127:$C$154,2,1)-VLOOKUP((TRUNC($AN627/2,0)+0.99),'Tax scales - NAT 3539'!$A$127:$C$154,3,1)),0)
*2,
0),
IF(AND($E$2="Monthly",ROUND($AN627-TRUNC($AN627),2)=0.33),
ROUND(
ROUND(((TRUNC(($AN627+0.01)*3/13,0)+0.99)*VLOOKUP((TRUNC(($AN627+0.01)*3/13,0)+0.99),'Tax scales - NAT 3539'!$A$127:$C$154,2,1)-VLOOKUP((TRUNC(($AN627+0.01)*3/13,0)+0.99),'Tax scales - NAT 3539'!$A$127:$C$154,3,1)),0)
*13/3,
0),
IF($E$2="Monthly",
ROUND(
ROUND(((TRUNC($AN627*3/13,0)+0.99)*VLOOKUP((TRUNC($AN627*3/13,0)+0.99),'Tax scales - NAT 3539'!$A$127:$C$154,2,1)-VLOOKUP((TRUNC($AN627*3/13,0)+0.99),'Tax scales - NAT 3539'!$A$127:$C$154,3,1)),0)
*13/3,
0),
""))),
""),
"")</f>
        <v/>
      </c>
      <c r="AZ627" s="118">
        <f>IFERROR(
HLOOKUP(VLOOKUP($C627,'Employee information'!$B:$M,COLUMNS('Employee information'!$B:$M),0),'PAYG worksheet'!$AO$619:$AY$638,COUNTA($C$620:$C627)+1,0),
0)</f>
        <v>0</v>
      </c>
      <c r="BA627" s="118"/>
      <c r="BB627" s="118">
        <f t="shared" si="666"/>
        <v>0</v>
      </c>
      <c r="BC627" s="119">
        <f>IFERROR(
IF(OR($AE627=1,$AE627=""),SUM($P627,$AA627,$AC627,$AK627)*VLOOKUP($C627,'Employee information'!$B:$Q,COLUMNS('Employee information'!$B:$H),0),
IF($AE627=0,SUM($P627,$AA627,$AK627)*VLOOKUP($C627,'Employee information'!$B:$Q,COLUMNS('Employee information'!$B:$H),0),
0)),
0)</f>
        <v>0</v>
      </c>
      <c r="BE627" s="114">
        <f t="shared" si="651"/>
        <v>0</v>
      </c>
      <c r="BF627" s="114">
        <f t="shared" si="652"/>
        <v>0</v>
      </c>
      <c r="BG627" s="114">
        <f t="shared" si="653"/>
        <v>0</v>
      </c>
      <c r="BH627" s="114">
        <f t="shared" si="654"/>
        <v>0</v>
      </c>
      <c r="BI627" s="114">
        <f t="shared" si="655"/>
        <v>0</v>
      </c>
      <c r="BJ627" s="114">
        <f t="shared" si="656"/>
        <v>0</v>
      </c>
      <c r="BK627" s="114">
        <f t="shared" si="657"/>
        <v>0</v>
      </c>
      <c r="BL627" s="114">
        <f t="shared" si="667"/>
        <v>0</v>
      </c>
      <c r="BM627" s="114">
        <f t="shared" si="658"/>
        <v>0</v>
      </c>
    </row>
    <row r="628" spans="1:65" x14ac:dyDescent="0.25">
      <c r="A628" s="228">
        <f t="shared" si="646"/>
        <v>22</v>
      </c>
      <c r="C628" s="278"/>
      <c r="E628" s="103">
        <f>IF($C628="",0,
IF(AND($E$2="Monthly",$A628&gt;12),0,
IF($E$2="Monthly",VLOOKUP($C628,'Employee information'!$B:$AM,COLUMNS('Employee information'!$B:S),0),
IF($E$2="Fortnightly",VLOOKUP($C628,'Employee information'!$B:$AM,COLUMNS('Employee information'!$B:R),0),
0))))</f>
        <v>0</v>
      </c>
      <c r="F628" s="106"/>
      <c r="G628" s="106"/>
      <c r="H628" s="106"/>
      <c r="I628" s="106"/>
      <c r="J628" s="103">
        <f t="shared" si="659"/>
        <v>0</v>
      </c>
      <c r="L628" s="113">
        <f>IF(AND($E$2="Monthly",$A628&gt;12),"",
IFERROR($J628*VLOOKUP($C628,'Employee information'!$B:$AI,COLUMNS('Employee information'!$B:$P),0),0))</f>
        <v>0</v>
      </c>
      <c r="M628" s="114">
        <f t="shared" si="660"/>
        <v>0</v>
      </c>
      <c r="O628" s="103">
        <f t="shared" si="661"/>
        <v>0</v>
      </c>
      <c r="P628" s="113">
        <f>IFERROR(
IF(AND($E$2="Monthly",$A628&gt;12),0,
$O628*VLOOKUP($C628,'Employee information'!$B:$AI,COLUMNS('Employee information'!$B:$P),0)),
0)</f>
        <v>0</v>
      </c>
      <c r="R628" s="114">
        <f t="shared" si="647"/>
        <v>0</v>
      </c>
      <c r="T628" s="103"/>
      <c r="U628" s="103"/>
      <c r="V628" s="282" t="str">
        <f>IF($C628="","",
IF(AND($E$2="Monthly",$A628&gt;12),"",
$T628*VLOOKUP($C628,'Employee information'!$B:$P,COLUMNS('Employee information'!$B:$P),0)))</f>
        <v/>
      </c>
      <c r="W628" s="282" t="str">
        <f>IF($C628="","",
IF(AND($E$2="Monthly",$A628&gt;12),"",
$U628*VLOOKUP($C628,'Employee information'!$B:$P,COLUMNS('Employee information'!$B:$P),0)))</f>
        <v/>
      </c>
      <c r="X628" s="114">
        <f t="shared" si="648"/>
        <v>0</v>
      </c>
      <c r="Y628" s="114">
        <f t="shared" si="649"/>
        <v>0</v>
      </c>
      <c r="AA628" s="118">
        <f>IFERROR(
IF(OR('Basic payroll data'!$D$12="",'Basic payroll data'!$D$12="No"),0,
$T628*VLOOKUP($C628,'Employee information'!$B:$P,COLUMNS('Employee information'!$B:$P),0)*AL_loading_perc),
0)</f>
        <v>0</v>
      </c>
      <c r="AC628" s="118"/>
      <c r="AD628" s="118"/>
      <c r="AE628" s="283" t="str">
        <f t="shared" si="662"/>
        <v/>
      </c>
      <c r="AF628" s="283" t="str">
        <f t="shared" si="663"/>
        <v/>
      </c>
      <c r="AG628" s="118"/>
      <c r="AH628" s="118"/>
      <c r="AI628" s="283" t="str">
        <f t="shared" si="664"/>
        <v/>
      </c>
      <c r="AJ628" s="118"/>
      <c r="AK628" s="118"/>
      <c r="AM628" s="118">
        <f t="shared" si="665"/>
        <v>0</v>
      </c>
      <c r="AN628" s="118">
        <f t="shared" si="650"/>
        <v>0</v>
      </c>
      <c r="AO628" s="118" t="str">
        <f>IFERROR(
IF(VLOOKUP($C628,'Employee information'!$B:$M,COLUMNS('Employee information'!$B:$M),0)=1,
IF($E$2="Fortnightly",
ROUND(
ROUND((((TRUNC($AN628/2,0)+0.99))*VLOOKUP((TRUNC($AN628/2,0)+0.99),'Tax scales - NAT 1004'!$A$12:$C$18,2,1)-VLOOKUP((TRUNC($AN628/2,0)+0.99),'Tax scales - NAT 1004'!$A$12:$C$18,3,1)),0)
*2,
0),
IF(AND($E$2="Monthly",ROUND($AN628-TRUNC($AN628),2)=0.33),
ROUND(
ROUND(((TRUNC(($AN628+0.01)*3/13,0)+0.99)*VLOOKUP((TRUNC(($AN628+0.01)*3/13,0)+0.99),'Tax scales - NAT 1004'!$A$12:$C$18,2,1)-VLOOKUP((TRUNC(($AN628+0.01)*3/13,0)+0.99),'Tax scales - NAT 1004'!$A$12:$C$18,3,1)),0)
*13/3,
0),
IF($E$2="Monthly",
ROUND(
ROUND(((TRUNC($AN628*3/13,0)+0.99)*VLOOKUP((TRUNC($AN628*3/13,0)+0.99),'Tax scales - NAT 1004'!$A$12:$C$18,2,1)-VLOOKUP((TRUNC($AN628*3/13,0)+0.99),'Tax scales - NAT 1004'!$A$12:$C$18,3,1)),0)
*13/3,
0),
""))),
""),
"")</f>
        <v/>
      </c>
      <c r="AP628" s="118" t="str">
        <f>IFERROR(
IF(VLOOKUP($C628,'Employee information'!$B:$M,COLUMNS('Employee information'!$B:$M),0)=2,
IF($E$2="Fortnightly",
ROUND(
ROUND((((TRUNC($AN628/2,0)+0.99))*VLOOKUP((TRUNC($AN628/2,0)+0.99),'Tax scales - NAT 1004'!$A$25:$C$33,2,1)-VLOOKUP((TRUNC($AN628/2,0)+0.99),'Tax scales - NAT 1004'!$A$25:$C$33,3,1)),0)
*2,
0),
IF(AND($E$2="Monthly",ROUND($AN628-TRUNC($AN628),2)=0.33),
ROUND(
ROUND(((TRUNC(($AN628+0.01)*3/13,0)+0.99)*VLOOKUP((TRUNC(($AN628+0.01)*3/13,0)+0.99),'Tax scales - NAT 1004'!$A$25:$C$33,2,1)-VLOOKUP((TRUNC(($AN628+0.01)*3/13,0)+0.99),'Tax scales - NAT 1004'!$A$25:$C$33,3,1)),0)
*13/3,
0),
IF($E$2="Monthly",
ROUND(
ROUND(((TRUNC($AN628*3/13,0)+0.99)*VLOOKUP((TRUNC($AN628*3/13,0)+0.99),'Tax scales - NAT 1004'!$A$25:$C$33,2,1)-VLOOKUP((TRUNC($AN628*3/13,0)+0.99),'Tax scales - NAT 1004'!$A$25:$C$33,3,1)),0)
*13/3,
0),
""))),
""),
"")</f>
        <v/>
      </c>
      <c r="AQ628" s="118" t="str">
        <f>IFERROR(
IF(VLOOKUP($C628,'Employee information'!$B:$M,COLUMNS('Employee information'!$B:$M),0)=3,
IF($E$2="Fortnightly",
ROUND(
ROUND((((TRUNC($AN628/2,0)+0.99))*VLOOKUP((TRUNC($AN628/2,0)+0.99),'Tax scales - NAT 1004'!$A$39:$C$41,2,1)-VLOOKUP((TRUNC($AN628/2,0)+0.99),'Tax scales - NAT 1004'!$A$39:$C$41,3,1)),0)
*2,
0),
IF(AND($E$2="Monthly",ROUND($AN628-TRUNC($AN628),2)=0.33),
ROUND(
ROUND(((TRUNC(($AN628+0.01)*3/13,0)+0.99)*VLOOKUP((TRUNC(($AN628+0.01)*3/13,0)+0.99),'Tax scales - NAT 1004'!$A$39:$C$41,2,1)-VLOOKUP((TRUNC(($AN628+0.01)*3/13,0)+0.99),'Tax scales - NAT 1004'!$A$39:$C$41,3,1)),0)
*13/3,
0),
IF($E$2="Monthly",
ROUND(
ROUND(((TRUNC($AN628*3/13,0)+0.99)*VLOOKUP((TRUNC($AN628*3/13,0)+0.99),'Tax scales - NAT 1004'!$A$39:$C$41,2,1)-VLOOKUP((TRUNC($AN628*3/13,0)+0.99),'Tax scales - NAT 1004'!$A$39:$C$41,3,1)),0)
*13/3,
0),
""))),
""),
"")</f>
        <v/>
      </c>
      <c r="AR628" s="118" t="str">
        <f>IFERROR(
IF(AND(VLOOKUP($C628,'Employee information'!$B:$M,COLUMNS('Employee information'!$B:$M),0)=4,
VLOOKUP($C628,'Employee information'!$B:$J,COLUMNS('Employee information'!$B:$J),0)="Resident"),
TRUNC(TRUNC($AN628)*'Tax scales - NAT 1004'!$B$47),
IF(AND(VLOOKUP($C628,'Employee information'!$B:$M,COLUMNS('Employee information'!$B:$M),0)=4,
VLOOKUP($C628,'Employee information'!$B:$J,COLUMNS('Employee information'!$B:$J),0)="Foreign resident"),
TRUNC(TRUNC($AN628)*'Tax scales - NAT 1004'!$B$48),
"")),
"")</f>
        <v/>
      </c>
      <c r="AS628" s="118" t="str">
        <f>IFERROR(
IF(VLOOKUP($C628,'Employee information'!$B:$M,COLUMNS('Employee information'!$B:$M),0)=5,
IF($E$2="Fortnightly",
ROUND(
ROUND((((TRUNC($AN628/2,0)+0.99))*VLOOKUP((TRUNC($AN628/2,0)+0.99),'Tax scales - NAT 1004'!$A$53:$C$59,2,1)-VLOOKUP((TRUNC($AN628/2,0)+0.99),'Tax scales - NAT 1004'!$A$53:$C$59,3,1)),0)
*2,
0),
IF(AND($E$2="Monthly",ROUND($AN628-TRUNC($AN628),2)=0.33),
ROUND(
ROUND(((TRUNC(($AN628+0.01)*3/13,0)+0.99)*VLOOKUP((TRUNC(($AN628+0.01)*3/13,0)+0.99),'Tax scales - NAT 1004'!$A$53:$C$59,2,1)-VLOOKUP((TRUNC(($AN628+0.01)*3/13,0)+0.99),'Tax scales - NAT 1004'!$A$53:$C$59,3,1)),0)
*13/3,
0),
IF($E$2="Monthly",
ROUND(
ROUND(((TRUNC($AN628*3/13,0)+0.99)*VLOOKUP((TRUNC($AN628*3/13,0)+0.99),'Tax scales - NAT 1004'!$A$53:$C$59,2,1)-VLOOKUP((TRUNC($AN628*3/13,0)+0.99),'Tax scales - NAT 1004'!$A$53:$C$59,3,1)),0)
*13/3,
0),
""))),
""),
"")</f>
        <v/>
      </c>
      <c r="AT628" s="118" t="str">
        <f>IFERROR(
IF(VLOOKUP($C628,'Employee information'!$B:$M,COLUMNS('Employee information'!$B:$M),0)=6,
IF($E$2="Fortnightly",
ROUND(
ROUND((((TRUNC($AN628/2,0)+0.99))*VLOOKUP((TRUNC($AN628/2,0)+0.99),'Tax scales - NAT 1004'!$A$65:$C$73,2,1)-VLOOKUP((TRUNC($AN628/2,0)+0.99),'Tax scales - NAT 1004'!$A$65:$C$73,3,1)),0)
*2,
0),
IF(AND($E$2="Monthly",ROUND($AN628-TRUNC($AN628),2)=0.33),
ROUND(
ROUND(((TRUNC(($AN628+0.01)*3/13,0)+0.99)*VLOOKUP((TRUNC(($AN628+0.01)*3/13,0)+0.99),'Tax scales - NAT 1004'!$A$65:$C$73,2,1)-VLOOKUP((TRUNC(($AN628+0.01)*3/13,0)+0.99),'Tax scales - NAT 1004'!$A$65:$C$73,3,1)),0)
*13/3,
0),
IF($E$2="Monthly",
ROUND(
ROUND(((TRUNC($AN628*3/13,0)+0.99)*VLOOKUP((TRUNC($AN628*3/13,0)+0.99),'Tax scales - NAT 1004'!$A$65:$C$73,2,1)-VLOOKUP((TRUNC($AN628*3/13,0)+0.99),'Tax scales - NAT 1004'!$A$65:$C$73,3,1)),0)
*13/3,
0),
""))),
""),
"")</f>
        <v/>
      </c>
      <c r="AU628" s="118" t="str">
        <f>IFERROR(
IF(VLOOKUP($C628,'Employee information'!$B:$M,COLUMNS('Employee information'!$B:$M),0)=11,
IF($E$2="Fortnightly",
ROUND(
ROUND((((TRUNC($AN628/2,0)+0.99))*VLOOKUP((TRUNC($AN628/2,0)+0.99),'Tax scales - NAT 3539'!$A$14:$C$38,2,1)-VLOOKUP((TRUNC($AN628/2,0)+0.99),'Tax scales - NAT 3539'!$A$14:$C$38,3,1)),0)
*2,
0),
IF(AND($E$2="Monthly",ROUND($AN628-TRUNC($AN628),2)=0.33),
ROUND(
ROUND(((TRUNC(($AN628+0.01)*3/13,0)+0.99)*VLOOKUP((TRUNC(($AN628+0.01)*3/13,0)+0.99),'Tax scales - NAT 3539'!$A$14:$C$38,2,1)-VLOOKUP((TRUNC(($AN628+0.01)*3/13,0)+0.99),'Tax scales - NAT 3539'!$A$14:$C$38,3,1)),0)
*13/3,
0),
IF($E$2="Monthly",
ROUND(
ROUND(((TRUNC($AN628*3/13,0)+0.99)*VLOOKUP((TRUNC($AN628*3/13,0)+0.99),'Tax scales - NAT 3539'!$A$14:$C$38,2,1)-VLOOKUP((TRUNC($AN628*3/13,0)+0.99),'Tax scales - NAT 3539'!$A$14:$C$38,3,1)),0)
*13/3,
0),
""))),
""),
"")</f>
        <v/>
      </c>
      <c r="AV628" s="118" t="str">
        <f>IFERROR(
IF(VLOOKUP($C628,'Employee information'!$B:$M,COLUMNS('Employee information'!$B:$M),0)=22,
IF($E$2="Fortnightly",
ROUND(
ROUND((((TRUNC($AN628/2,0)+0.99))*VLOOKUP((TRUNC($AN628/2,0)+0.99),'Tax scales - NAT 3539'!$A$43:$C$69,2,1)-VLOOKUP((TRUNC($AN628/2,0)+0.99),'Tax scales - NAT 3539'!$A$43:$C$69,3,1)),0)
*2,
0),
IF(AND($E$2="Monthly",ROUND($AN628-TRUNC($AN628),2)=0.33),
ROUND(
ROUND(((TRUNC(($AN628+0.01)*3/13,0)+0.99)*VLOOKUP((TRUNC(($AN628+0.01)*3/13,0)+0.99),'Tax scales - NAT 3539'!$A$43:$C$69,2,1)-VLOOKUP((TRUNC(($AN628+0.01)*3/13,0)+0.99),'Tax scales - NAT 3539'!$A$43:$C$69,3,1)),0)
*13/3,
0),
IF($E$2="Monthly",
ROUND(
ROUND(((TRUNC($AN628*3/13,0)+0.99)*VLOOKUP((TRUNC($AN628*3/13,0)+0.99),'Tax scales - NAT 3539'!$A$43:$C$69,2,1)-VLOOKUP((TRUNC($AN628*3/13,0)+0.99),'Tax scales - NAT 3539'!$A$43:$C$69,3,1)),0)
*13/3,
0),
""))),
""),
"")</f>
        <v/>
      </c>
      <c r="AW628" s="118" t="str">
        <f>IFERROR(
IF(VLOOKUP($C628,'Employee information'!$B:$M,COLUMNS('Employee information'!$B:$M),0)=33,
IF($E$2="Fortnightly",
ROUND(
ROUND((((TRUNC($AN628/2,0)+0.99))*VLOOKUP((TRUNC($AN628/2,0)+0.99),'Tax scales - NAT 3539'!$A$74:$C$94,2,1)-VLOOKUP((TRUNC($AN628/2,0)+0.99),'Tax scales - NAT 3539'!$A$74:$C$94,3,1)),0)
*2,
0),
IF(AND($E$2="Monthly",ROUND($AN628-TRUNC($AN628),2)=0.33),
ROUND(
ROUND(((TRUNC(($AN628+0.01)*3/13,0)+0.99)*VLOOKUP((TRUNC(($AN628+0.01)*3/13,0)+0.99),'Tax scales - NAT 3539'!$A$74:$C$94,2,1)-VLOOKUP((TRUNC(($AN628+0.01)*3/13,0)+0.99),'Tax scales - NAT 3539'!$A$74:$C$94,3,1)),0)
*13/3,
0),
IF($E$2="Monthly",
ROUND(
ROUND(((TRUNC($AN628*3/13,0)+0.99)*VLOOKUP((TRUNC($AN628*3/13,0)+0.99),'Tax scales - NAT 3539'!$A$74:$C$94,2,1)-VLOOKUP((TRUNC($AN628*3/13,0)+0.99),'Tax scales - NAT 3539'!$A$74:$C$94,3,1)),0)
*13/3,
0),
""))),
""),
"")</f>
        <v/>
      </c>
      <c r="AX628" s="118" t="str">
        <f>IFERROR(
IF(VLOOKUP($C628,'Employee information'!$B:$M,COLUMNS('Employee information'!$B:$M),0)=55,
IF($E$2="Fortnightly",
ROUND(
ROUND((((TRUNC($AN628/2,0)+0.99))*VLOOKUP((TRUNC($AN628/2,0)+0.99),'Tax scales - NAT 3539'!$A$99:$C$123,2,1)-VLOOKUP((TRUNC($AN628/2,0)+0.99),'Tax scales - NAT 3539'!$A$99:$C$123,3,1)),0)
*2,
0),
IF(AND($E$2="Monthly",ROUND($AN628-TRUNC($AN628),2)=0.33),
ROUND(
ROUND(((TRUNC(($AN628+0.01)*3/13,0)+0.99)*VLOOKUP((TRUNC(($AN628+0.01)*3/13,0)+0.99),'Tax scales - NAT 3539'!$A$99:$C$123,2,1)-VLOOKUP((TRUNC(($AN628+0.01)*3/13,0)+0.99),'Tax scales - NAT 3539'!$A$99:$C$123,3,1)),0)
*13/3,
0),
IF($E$2="Monthly",
ROUND(
ROUND(((TRUNC($AN628*3/13,0)+0.99)*VLOOKUP((TRUNC($AN628*3/13,0)+0.99),'Tax scales - NAT 3539'!$A$99:$C$123,2,1)-VLOOKUP((TRUNC($AN628*3/13,0)+0.99),'Tax scales - NAT 3539'!$A$99:$C$123,3,1)),0)
*13/3,
0),
""))),
""),
"")</f>
        <v/>
      </c>
      <c r="AY628" s="118" t="str">
        <f>IFERROR(
IF(VLOOKUP($C628,'Employee information'!$B:$M,COLUMNS('Employee information'!$B:$M),0)=66,
IF($E$2="Fortnightly",
ROUND(
ROUND((((TRUNC($AN628/2,0)+0.99))*VLOOKUP((TRUNC($AN628/2,0)+0.99),'Tax scales - NAT 3539'!$A$127:$C$154,2,1)-VLOOKUP((TRUNC($AN628/2,0)+0.99),'Tax scales - NAT 3539'!$A$127:$C$154,3,1)),0)
*2,
0),
IF(AND($E$2="Monthly",ROUND($AN628-TRUNC($AN628),2)=0.33),
ROUND(
ROUND(((TRUNC(($AN628+0.01)*3/13,0)+0.99)*VLOOKUP((TRUNC(($AN628+0.01)*3/13,0)+0.99),'Tax scales - NAT 3539'!$A$127:$C$154,2,1)-VLOOKUP((TRUNC(($AN628+0.01)*3/13,0)+0.99),'Tax scales - NAT 3539'!$A$127:$C$154,3,1)),0)
*13/3,
0),
IF($E$2="Monthly",
ROUND(
ROUND(((TRUNC($AN628*3/13,0)+0.99)*VLOOKUP((TRUNC($AN628*3/13,0)+0.99),'Tax scales - NAT 3539'!$A$127:$C$154,2,1)-VLOOKUP((TRUNC($AN628*3/13,0)+0.99),'Tax scales - NAT 3539'!$A$127:$C$154,3,1)),0)
*13/3,
0),
""))),
""),
"")</f>
        <v/>
      </c>
      <c r="AZ628" s="118">
        <f>IFERROR(
HLOOKUP(VLOOKUP($C628,'Employee information'!$B:$M,COLUMNS('Employee information'!$B:$M),0),'PAYG worksheet'!$AO$619:$AY$638,COUNTA($C$620:$C628)+1,0),
0)</f>
        <v>0</v>
      </c>
      <c r="BA628" s="118"/>
      <c r="BB628" s="118">
        <f t="shared" si="666"/>
        <v>0</v>
      </c>
      <c r="BC628" s="119">
        <f>IFERROR(
IF(OR($AE628=1,$AE628=""),SUM($P628,$AA628,$AC628,$AK628)*VLOOKUP($C628,'Employee information'!$B:$Q,COLUMNS('Employee information'!$B:$H),0),
IF($AE628=0,SUM($P628,$AA628,$AK628)*VLOOKUP($C628,'Employee information'!$B:$Q,COLUMNS('Employee information'!$B:$H),0),
0)),
0)</f>
        <v>0</v>
      </c>
      <c r="BE628" s="114">
        <f t="shared" si="651"/>
        <v>0</v>
      </c>
      <c r="BF628" s="114">
        <f t="shared" si="652"/>
        <v>0</v>
      </c>
      <c r="BG628" s="114">
        <f t="shared" si="653"/>
        <v>0</v>
      </c>
      <c r="BH628" s="114">
        <f t="shared" si="654"/>
        <v>0</v>
      </c>
      <c r="BI628" s="114">
        <f t="shared" si="655"/>
        <v>0</v>
      </c>
      <c r="BJ628" s="114">
        <f t="shared" si="656"/>
        <v>0</v>
      </c>
      <c r="BK628" s="114">
        <f t="shared" si="657"/>
        <v>0</v>
      </c>
      <c r="BL628" s="114">
        <f t="shared" si="667"/>
        <v>0</v>
      </c>
      <c r="BM628" s="114">
        <f t="shared" si="658"/>
        <v>0</v>
      </c>
    </row>
    <row r="629" spans="1:65" x14ac:dyDescent="0.25">
      <c r="A629" s="228">
        <f t="shared" si="646"/>
        <v>22</v>
      </c>
      <c r="C629" s="278"/>
      <c r="E629" s="103">
        <f>IF($C629="",0,
IF(AND($E$2="Monthly",$A629&gt;12),0,
IF($E$2="Monthly",VLOOKUP($C629,'Employee information'!$B:$AM,COLUMNS('Employee information'!$B:S),0),
IF($E$2="Fortnightly",VLOOKUP($C629,'Employee information'!$B:$AM,COLUMNS('Employee information'!$B:R),0),
0))))</f>
        <v>0</v>
      </c>
      <c r="F629" s="106"/>
      <c r="G629" s="106"/>
      <c r="H629" s="106"/>
      <c r="I629" s="106"/>
      <c r="J629" s="103">
        <f t="shared" si="659"/>
        <v>0</v>
      </c>
      <c r="L629" s="113">
        <f>IF(AND($E$2="Monthly",$A629&gt;12),"",
IFERROR($J629*VLOOKUP($C629,'Employee information'!$B:$AI,COLUMNS('Employee information'!$B:$P),0),0))</f>
        <v>0</v>
      </c>
      <c r="M629" s="114">
        <f t="shared" si="660"/>
        <v>0</v>
      </c>
      <c r="O629" s="103">
        <f>IF($E$2="Monthly",
IF(AND($E$2="Monthly",$H629&lt;&gt;""),$H629,
IF(AND($E$2="Monthly",$E629=0),$F629,
$E629)),
IF($E$2="Fortnightly",
IF(AND($E$2="Fortnightly",$H629&lt;&gt;""),$H629,
IF(AND($E$2="Fortnightly",$F629&lt;&gt;"",$E629&lt;&gt;0),$F629,
IF(AND($E$2="Fortnightly",$E629=0),$F629,
$E629)))))</f>
        <v>0</v>
      </c>
      <c r="P629" s="113">
        <f>IFERROR(
IF(AND($E$2="Monthly",$A629&gt;12),0,
$O629*VLOOKUP($C629,'Employee information'!$B:$AI,COLUMNS('Employee information'!$B:$P),0)),
0)</f>
        <v>0</v>
      </c>
      <c r="R629" s="114">
        <f t="shared" si="647"/>
        <v>0</v>
      </c>
      <c r="T629" s="103"/>
      <c r="U629" s="103"/>
      <c r="V629" s="282" t="str">
        <f>IF($C629="","",
IF(AND($E$2="Monthly",$A629&gt;12),"",
$T629*VLOOKUP($C629,'Employee information'!$B:$P,COLUMNS('Employee information'!$B:$P),0)))</f>
        <v/>
      </c>
      <c r="W629" s="282" t="str">
        <f>IF($C629="","",
IF(AND($E$2="Monthly",$A629&gt;12),"",
$U629*VLOOKUP($C629,'Employee information'!$B:$P,COLUMNS('Employee information'!$B:$P),0)))</f>
        <v/>
      </c>
      <c r="X629" s="114">
        <f t="shared" si="648"/>
        <v>0</v>
      </c>
      <c r="Y629" s="114">
        <f t="shared" si="649"/>
        <v>0</v>
      </c>
      <c r="AA629" s="118">
        <f>IFERROR(
IF(OR('Basic payroll data'!$D$12="",'Basic payroll data'!$D$12="No"),0,
$T629*VLOOKUP($C629,'Employee information'!$B:$P,COLUMNS('Employee information'!$B:$P),0)*AL_loading_perc),
0)</f>
        <v>0</v>
      </c>
      <c r="AC629" s="118"/>
      <c r="AD629" s="118"/>
      <c r="AE629" s="283" t="str">
        <f t="shared" si="662"/>
        <v/>
      </c>
      <c r="AF629" s="283" t="str">
        <f t="shared" si="663"/>
        <v/>
      </c>
      <c r="AG629" s="118"/>
      <c r="AH629" s="118"/>
      <c r="AI629" s="283" t="str">
        <f t="shared" si="664"/>
        <v/>
      </c>
      <c r="AJ629" s="118"/>
      <c r="AK629" s="118"/>
      <c r="AM629" s="118">
        <f t="shared" si="665"/>
        <v>0</v>
      </c>
      <c r="AN629" s="118">
        <f t="shared" si="650"/>
        <v>0</v>
      </c>
      <c r="AO629" s="118" t="str">
        <f>IFERROR(
IF(VLOOKUP($C629,'Employee information'!$B:$M,COLUMNS('Employee information'!$B:$M),0)=1,
IF($E$2="Fortnightly",
ROUND(
ROUND((((TRUNC($AN629/2,0)+0.99))*VLOOKUP((TRUNC($AN629/2,0)+0.99),'Tax scales - NAT 1004'!$A$12:$C$18,2,1)-VLOOKUP((TRUNC($AN629/2,0)+0.99),'Tax scales - NAT 1004'!$A$12:$C$18,3,1)),0)
*2,
0),
IF(AND($E$2="Monthly",ROUND($AN629-TRUNC($AN629),2)=0.33),
ROUND(
ROUND(((TRUNC(($AN629+0.01)*3/13,0)+0.99)*VLOOKUP((TRUNC(($AN629+0.01)*3/13,0)+0.99),'Tax scales - NAT 1004'!$A$12:$C$18,2,1)-VLOOKUP((TRUNC(($AN629+0.01)*3/13,0)+0.99),'Tax scales - NAT 1004'!$A$12:$C$18,3,1)),0)
*13/3,
0),
IF($E$2="Monthly",
ROUND(
ROUND(((TRUNC($AN629*3/13,0)+0.99)*VLOOKUP((TRUNC($AN629*3/13,0)+0.99),'Tax scales - NAT 1004'!$A$12:$C$18,2,1)-VLOOKUP((TRUNC($AN629*3/13,0)+0.99),'Tax scales - NAT 1004'!$A$12:$C$18,3,1)),0)
*13/3,
0),
""))),
""),
"")</f>
        <v/>
      </c>
      <c r="AP629" s="118" t="str">
        <f>IFERROR(
IF(VLOOKUP($C629,'Employee information'!$B:$M,COLUMNS('Employee information'!$B:$M),0)=2,
IF($E$2="Fortnightly",
ROUND(
ROUND((((TRUNC($AN629/2,0)+0.99))*VLOOKUP((TRUNC($AN629/2,0)+0.99),'Tax scales - NAT 1004'!$A$25:$C$33,2,1)-VLOOKUP((TRUNC($AN629/2,0)+0.99),'Tax scales - NAT 1004'!$A$25:$C$33,3,1)),0)
*2,
0),
IF(AND($E$2="Monthly",ROUND($AN629-TRUNC($AN629),2)=0.33),
ROUND(
ROUND(((TRUNC(($AN629+0.01)*3/13,0)+0.99)*VLOOKUP((TRUNC(($AN629+0.01)*3/13,0)+0.99),'Tax scales - NAT 1004'!$A$25:$C$33,2,1)-VLOOKUP((TRUNC(($AN629+0.01)*3/13,0)+0.99),'Tax scales - NAT 1004'!$A$25:$C$33,3,1)),0)
*13/3,
0),
IF($E$2="Monthly",
ROUND(
ROUND(((TRUNC($AN629*3/13,0)+0.99)*VLOOKUP((TRUNC($AN629*3/13,0)+0.99),'Tax scales - NAT 1004'!$A$25:$C$33,2,1)-VLOOKUP((TRUNC($AN629*3/13,0)+0.99),'Tax scales - NAT 1004'!$A$25:$C$33,3,1)),0)
*13/3,
0),
""))),
""),
"")</f>
        <v/>
      </c>
      <c r="AQ629" s="118" t="str">
        <f>IFERROR(
IF(VLOOKUP($C629,'Employee information'!$B:$M,COLUMNS('Employee information'!$B:$M),0)=3,
IF($E$2="Fortnightly",
ROUND(
ROUND((((TRUNC($AN629/2,0)+0.99))*VLOOKUP((TRUNC($AN629/2,0)+0.99),'Tax scales - NAT 1004'!$A$39:$C$41,2,1)-VLOOKUP((TRUNC($AN629/2,0)+0.99),'Tax scales - NAT 1004'!$A$39:$C$41,3,1)),0)
*2,
0),
IF(AND($E$2="Monthly",ROUND($AN629-TRUNC($AN629),2)=0.33),
ROUND(
ROUND(((TRUNC(($AN629+0.01)*3/13,0)+0.99)*VLOOKUP((TRUNC(($AN629+0.01)*3/13,0)+0.99),'Tax scales - NAT 1004'!$A$39:$C$41,2,1)-VLOOKUP((TRUNC(($AN629+0.01)*3/13,0)+0.99),'Tax scales - NAT 1004'!$A$39:$C$41,3,1)),0)
*13/3,
0),
IF($E$2="Monthly",
ROUND(
ROUND(((TRUNC($AN629*3/13,0)+0.99)*VLOOKUP((TRUNC($AN629*3/13,0)+0.99),'Tax scales - NAT 1004'!$A$39:$C$41,2,1)-VLOOKUP((TRUNC($AN629*3/13,0)+0.99),'Tax scales - NAT 1004'!$A$39:$C$41,3,1)),0)
*13/3,
0),
""))),
""),
"")</f>
        <v/>
      </c>
      <c r="AR629" s="118" t="str">
        <f>IFERROR(
IF(AND(VLOOKUP($C629,'Employee information'!$B:$M,COLUMNS('Employee information'!$B:$M),0)=4,
VLOOKUP($C629,'Employee information'!$B:$J,COLUMNS('Employee information'!$B:$J),0)="Resident"),
TRUNC(TRUNC($AN629)*'Tax scales - NAT 1004'!$B$47),
IF(AND(VLOOKUP($C629,'Employee information'!$B:$M,COLUMNS('Employee information'!$B:$M),0)=4,
VLOOKUP($C629,'Employee information'!$B:$J,COLUMNS('Employee information'!$B:$J),0)="Foreign resident"),
TRUNC(TRUNC($AN629)*'Tax scales - NAT 1004'!$B$48),
"")),
"")</f>
        <v/>
      </c>
      <c r="AS629" s="118" t="str">
        <f>IFERROR(
IF(VLOOKUP($C629,'Employee information'!$B:$M,COLUMNS('Employee information'!$B:$M),0)=5,
IF($E$2="Fortnightly",
ROUND(
ROUND((((TRUNC($AN629/2,0)+0.99))*VLOOKUP((TRUNC($AN629/2,0)+0.99),'Tax scales - NAT 1004'!$A$53:$C$59,2,1)-VLOOKUP((TRUNC($AN629/2,0)+0.99),'Tax scales - NAT 1004'!$A$53:$C$59,3,1)),0)
*2,
0),
IF(AND($E$2="Monthly",ROUND($AN629-TRUNC($AN629),2)=0.33),
ROUND(
ROUND(((TRUNC(($AN629+0.01)*3/13,0)+0.99)*VLOOKUP((TRUNC(($AN629+0.01)*3/13,0)+0.99),'Tax scales - NAT 1004'!$A$53:$C$59,2,1)-VLOOKUP((TRUNC(($AN629+0.01)*3/13,0)+0.99),'Tax scales - NAT 1004'!$A$53:$C$59,3,1)),0)
*13/3,
0),
IF($E$2="Monthly",
ROUND(
ROUND(((TRUNC($AN629*3/13,0)+0.99)*VLOOKUP((TRUNC($AN629*3/13,0)+0.99),'Tax scales - NAT 1004'!$A$53:$C$59,2,1)-VLOOKUP((TRUNC($AN629*3/13,0)+0.99),'Tax scales - NAT 1004'!$A$53:$C$59,3,1)),0)
*13/3,
0),
""))),
""),
"")</f>
        <v/>
      </c>
      <c r="AT629" s="118" t="str">
        <f>IFERROR(
IF(VLOOKUP($C629,'Employee information'!$B:$M,COLUMNS('Employee information'!$B:$M),0)=6,
IF($E$2="Fortnightly",
ROUND(
ROUND((((TRUNC($AN629/2,0)+0.99))*VLOOKUP((TRUNC($AN629/2,0)+0.99),'Tax scales - NAT 1004'!$A$65:$C$73,2,1)-VLOOKUP((TRUNC($AN629/2,0)+0.99),'Tax scales - NAT 1004'!$A$65:$C$73,3,1)),0)
*2,
0),
IF(AND($E$2="Monthly",ROUND($AN629-TRUNC($AN629),2)=0.33),
ROUND(
ROUND(((TRUNC(($AN629+0.01)*3/13,0)+0.99)*VLOOKUP((TRUNC(($AN629+0.01)*3/13,0)+0.99),'Tax scales - NAT 1004'!$A$65:$C$73,2,1)-VLOOKUP((TRUNC(($AN629+0.01)*3/13,0)+0.99),'Tax scales - NAT 1004'!$A$65:$C$73,3,1)),0)
*13/3,
0),
IF($E$2="Monthly",
ROUND(
ROUND(((TRUNC($AN629*3/13,0)+0.99)*VLOOKUP((TRUNC($AN629*3/13,0)+0.99),'Tax scales - NAT 1004'!$A$65:$C$73,2,1)-VLOOKUP((TRUNC($AN629*3/13,0)+0.99),'Tax scales - NAT 1004'!$A$65:$C$73,3,1)),0)
*13/3,
0),
""))),
""),
"")</f>
        <v/>
      </c>
      <c r="AU629" s="118" t="str">
        <f>IFERROR(
IF(VLOOKUP($C629,'Employee information'!$B:$M,COLUMNS('Employee information'!$B:$M),0)=11,
IF($E$2="Fortnightly",
ROUND(
ROUND((((TRUNC($AN629/2,0)+0.99))*VLOOKUP((TRUNC($AN629/2,0)+0.99),'Tax scales - NAT 3539'!$A$14:$C$38,2,1)-VLOOKUP((TRUNC($AN629/2,0)+0.99),'Tax scales - NAT 3539'!$A$14:$C$38,3,1)),0)
*2,
0),
IF(AND($E$2="Monthly",ROUND($AN629-TRUNC($AN629),2)=0.33),
ROUND(
ROUND(((TRUNC(($AN629+0.01)*3/13,0)+0.99)*VLOOKUP((TRUNC(($AN629+0.01)*3/13,0)+0.99),'Tax scales - NAT 3539'!$A$14:$C$38,2,1)-VLOOKUP((TRUNC(($AN629+0.01)*3/13,0)+0.99),'Tax scales - NAT 3539'!$A$14:$C$38,3,1)),0)
*13/3,
0),
IF($E$2="Monthly",
ROUND(
ROUND(((TRUNC($AN629*3/13,0)+0.99)*VLOOKUP((TRUNC($AN629*3/13,0)+0.99),'Tax scales - NAT 3539'!$A$14:$C$38,2,1)-VLOOKUP((TRUNC($AN629*3/13,0)+0.99),'Tax scales - NAT 3539'!$A$14:$C$38,3,1)),0)
*13/3,
0),
""))),
""),
"")</f>
        <v/>
      </c>
      <c r="AV629" s="118" t="str">
        <f>IFERROR(
IF(VLOOKUP($C629,'Employee information'!$B:$M,COLUMNS('Employee information'!$B:$M),0)=22,
IF($E$2="Fortnightly",
ROUND(
ROUND((((TRUNC($AN629/2,0)+0.99))*VLOOKUP((TRUNC($AN629/2,0)+0.99),'Tax scales - NAT 3539'!$A$43:$C$69,2,1)-VLOOKUP((TRUNC($AN629/2,0)+0.99),'Tax scales - NAT 3539'!$A$43:$C$69,3,1)),0)
*2,
0),
IF(AND($E$2="Monthly",ROUND($AN629-TRUNC($AN629),2)=0.33),
ROUND(
ROUND(((TRUNC(($AN629+0.01)*3/13,0)+0.99)*VLOOKUP((TRUNC(($AN629+0.01)*3/13,0)+0.99),'Tax scales - NAT 3539'!$A$43:$C$69,2,1)-VLOOKUP((TRUNC(($AN629+0.01)*3/13,0)+0.99),'Tax scales - NAT 3539'!$A$43:$C$69,3,1)),0)
*13/3,
0),
IF($E$2="Monthly",
ROUND(
ROUND(((TRUNC($AN629*3/13,0)+0.99)*VLOOKUP((TRUNC($AN629*3/13,0)+0.99),'Tax scales - NAT 3539'!$A$43:$C$69,2,1)-VLOOKUP((TRUNC($AN629*3/13,0)+0.99),'Tax scales - NAT 3539'!$A$43:$C$69,3,1)),0)
*13/3,
0),
""))),
""),
"")</f>
        <v/>
      </c>
      <c r="AW629" s="118" t="str">
        <f>IFERROR(
IF(VLOOKUP($C629,'Employee information'!$B:$M,COLUMNS('Employee information'!$B:$M),0)=33,
IF($E$2="Fortnightly",
ROUND(
ROUND((((TRUNC($AN629/2,0)+0.99))*VLOOKUP((TRUNC($AN629/2,0)+0.99),'Tax scales - NAT 3539'!$A$74:$C$94,2,1)-VLOOKUP((TRUNC($AN629/2,0)+0.99),'Tax scales - NAT 3539'!$A$74:$C$94,3,1)),0)
*2,
0),
IF(AND($E$2="Monthly",ROUND($AN629-TRUNC($AN629),2)=0.33),
ROUND(
ROUND(((TRUNC(($AN629+0.01)*3/13,0)+0.99)*VLOOKUP((TRUNC(($AN629+0.01)*3/13,0)+0.99),'Tax scales - NAT 3539'!$A$74:$C$94,2,1)-VLOOKUP((TRUNC(($AN629+0.01)*3/13,0)+0.99),'Tax scales - NAT 3539'!$A$74:$C$94,3,1)),0)
*13/3,
0),
IF($E$2="Monthly",
ROUND(
ROUND(((TRUNC($AN629*3/13,0)+0.99)*VLOOKUP((TRUNC($AN629*3/13,0)+0.99),'Tax scales - NAT 3539'!$A$74:$C$94,2,1)-VLOOKUP((TRUNC($AN629*3/13,0)+0.99),'Tax scales - NAT 3539'!$A$74:$C$94,3,1)),0)
*13/3,
0),
""))),
""),
"")</f>
        <v/>
      </c>
      <c r="AX629" s="118" t="str">
        <f>IFERROR(
IF(VLOOKUP($C629,'Employee information'!$B:$M,COLUMNS('Employee information'!$B:$M),0)=55,
IF($E$2="Fortnightly",
ROUND(
ROUND((((TRUNC($AN629/2,0)+0.99))*VLOOKUP((TRUNC($AN629/2,0)+0.99),'Tax scales - NAT 3539'!$A$99:$C$123,2,1)-VLOOKUP((TRUNC($AN629/2,0)+0.99),'Tax scales - NAT 3539'!$A$99:$C$123,3,1)),0)
*2,
0),
IF(AND($E$2="Monthly",ROUND($AN629-TRUNC($AN629),2)=0.33),
ROUND(
ROUND(((TRUNC(($AN629+0.01)*3/13,0)+0.99)*VLOOKUP((TRUNC(($AN629+0.01)*3/13,0)+0.99),'Tax scales - NAT 3539'!$A$99:$C$123,2,1)-VLOOKUP((TRUNC(($AN629+0.01)*3/13,0)+0.99),'Tax scales - NAT 3539'!$A$99:$C$123,3,1)),0)
*13/3,
0),
IF($E$2="Monthly",
ROUND(
ROUND(((TRUNC($AN629*3/13,0)+0.99)*VLOOKUP((TRUNC($AN629*3/13,0)+0.99),'Tax scales - NAT 3539'!$A$99:$C$123,2,1)-VLOOKUP((TRUNC($AN629*3/13,0)+0.99),'Tax scales - NAT 3539'!$A$99:$C$123,3,1)),0)
*13/3,
0),
""))),
""),
"")</f>
        <v/>
      </c>
      <c r="AY629" s="118" t="str">
        <f>IFERROR(
IF(VLOOKUP($C629,'Employee information'!$B:$M,COLUMNS('Employee information'!$B:$M),0)=66,
IF($E$2="Fortnightly",
ROUND(
ROUND((((TRUNC($AN629/2,0)+0.99))*VLOOKUP((TRUNC($AN629/2,0)+0.99),'Tax scales - NAT 3539'!$A$127:$C$154,2,1)-VLOOKUP((TRUNC($AN629/2,0)+0.99),'Tax scales - NAT 3539'!$A$127:$C$154,3,1)),0)
*2,
0),
IF(AND($E$2="Monthly",ROUND($AN629-TRUNC($AN629),2)=0.33),
ROUND(
ROUND(((TRUNC(($AN629+0.01)*3/13,0)+0.99)*VLOOKUP((TRUNC(($AN629+0.01)*3/13,0)+0.99),'Tax scales - NAT 3539'!$A$127:$C$154,2,1)-VLOOKUP((TRUNC(($AN629+0.01)*3/13,0)+0.99),'Tax scales - NAT 3539'!$A$127:$C$154,3,1)),0)
*13/3,
0),
IF($E$2="Monthly",
ROUND(
ROUND(((TRUNC($AN629*3/13,0)+0.99)*VLOOKUP((TRUNC($AN629*3/13,0)+0.99),'Tax scales - NAT 3539'!$A$127:$C$154,2,1)-VLOOKUP((TRUNC($AN629*3/13,0)+0.99),'Tax scales - NAT 3539'!$A$127:$C$154,3,1)),0)
*13/3,
0),
""))),
""),
"")</f>
        <v/>
      </c>
      <c r="AZ629" s="118">
        <f>IFERROR(
HLOOKUP(VLOOKUP($C629,'Employee information'!$B:$M,COLUMNS('Employee information'!$B:$M),0),'PAYG worksheet'!$AO$619:$AY$638,COUNTA($C$620:$C629)+1,0),
0)</f>
        <v>0</v>
      </c>
      <c r="BA629" s="118"/>
      <c r="BB629" s="118">
        <f t="shared" si="666"/>
        <v>0</v>
      </c>
      <c r="BC629" s="119">
        <f>IFERROR(
IF(OR($AE629=1,$AE629=""),SUM($P629,$AA629,$AC629,$AK629)*VLOOKUP($C629,'Employee information'!$B:$Q,COLUMNS('Employee information'!$B:$H),0),
IF($AE629=0,SUM($P629,$AA629,$AK629)*VLOOKUP($C629,'Employee information'!$B:$Q,COLUMNS('Employee information'!$B:$H),0),
0)),
0)</f>
        <v>0</v>
      </c>
      <c r="BE629" s="114">
        <f t="shared" si="651"/>
        <v>0</v>
      </c>
      <c r="BF629" s="114">
        <f t="shared" si="652"/>
        <v>0</v>
      </c>
      <c r="BG629" s="114">
        <f t="shared" si="653"/>
        <v>0</v>
      </c>
      <c r="BH629" s="114">
        <f t="shared" si="654"/>
        <v>0</v>
      </c>
      <c r="BI629" s="114">
        <f t="shared" si="655"/>
        <v>0</v>
      </c>
      <c r="BJ629" s="114">
        <f t="shared" si="656"/>
        <v>0</v>
      </c>
      <c r="BK629" s="114">
        <f t="shared" si="657"/>
        <v>0</v>
      </c>
      <c r="BL629" s="114">
        <f t="shared" si="667"/>
        <v>0</v>
      </c>
      <c r="BM629" s="114">
        <f t="shared" si="658"/>
        <v>0</v>
      </c>
    </row>
    <row r="630" spans="1:65" x14ac:dyDescent="0.25">
      <c r="A630" s="228">
        <f t="shared" si="646"/>
        <v>22</v>
      </c>
      <c r="C630" s="278"/>
      <c r="E630" s="103">
        <f>IF($C630="",0,
IF(AND($E$2="Monthly",$A630&gt;12),0,
IF($E$2="Monthly",VLOOKUP($C630,'Employee information'!$B:$AM,COLUMNS('Employee information'!$B:S),0),
IF($E$2="Fortnightly",VLOOKUP($C630,'Employee information'!$B:$AM,COLUMNS('Employee information'!$B:R),0),
0))))</f>
        <v>0</v>
      </c>
      <c r="F630" s="106"/>
      <c r="G630" s="106"/>
      <c r="H630" s="106"/>
      <c r="I630" s="106"/>
      <c r="J630" s="103">
        <f t="shared" si="659"/>
        <v>0</v>
      </c>
      <c r="L630" s="113">
        <f>IF(AND($E$2="Monthly",$A630&gt;12),"",
IFERROR($J630*VLOOKUP($C630,'Employee information'!$B:$AI,COLUMNS('Employee information'!$B:$P),0),0))</f>
        <v>0</v>
      </c>
      <c r="M630" s="114">
        <f t="shared" si="660"/>
        <v>0</v>
      </c>
      <c r="O630" s="103">
        <f t="shared" si="661"/>
        <v>0</v>
      </c>
      <c r="P630" s="113">
        <f>IFERROR(
IF(AND($E$2="Monthly",$A630&gt;12),0,
$O630*VLOOKUP($C630,'Employee information'!$B:$AI,COLUMNS('Employee information'!$B:$P),0)),
0)</f>
        <v>0</v>
      </c>
      <c r="R630" s="114">
        <f t="shared" si="647"/>
        <v>0</v>
      </c>
      <c r="T630" s="103"/>
      <c r="U630" s="103"/>
      <c r="V630" s="282" t="str">
        <f>IF($C630="","",
IF(AND($E$2="Monthly",$A630&gt;12),"",
$T630*VLOOKUP($C630,'Employee information'!$B:$P,COLUMNS('Employee information'!$B:$P),0)))</f>
        <v/>
      </c>
      <c r="W630" s="282" t="str">
        <f>IF($C630="","",
IF(AND($E$2="Monthly",$A630&gt;12),"",
$U630*VLOOKUP($C630,'Employee information'!$B:$P,COLUMNS('Employee information'!$B:$P),0)))</f>
        <v/>
      </c>
      <c r="X630" s="114">
        <f t="shared" si="648"/>
        <v>0</v>
      </c>
      <c r="Y630" s="114">
        <f t="shared" si="649"/>
        <v>0</v>
      </c>
      <c r="AA630" s="118">
        <f>IFERROR(
IF(OR('Basic payroll data'!$D$12="",'Basic payroll data'!$D$12="No"),0,
$T630*VLOOKUP($C630,'Employee information'!$B:$P,COLUMNS('Employee information'!$B:$P),0)*AL_loading_perc),
0)</f>
        <v>0</v>
      </c>
      <c r="AC630" s="118"/>
      <c r="AD630" s="118"/>
      <c r="AE630" s="283" t="str">
        <f t="shared" si="662"/>
        <v/>
      </c>
      <c r="AF630" s="283" t="str">
        <f t="shared" si="663"/>
        <v/>
      </c>
      <c r="AG630" s="118"/>
      <c r="AH630" s="118"/>
      <c r="AI630" s="283" t="str">
        <f t="shared" si="664"/>
        <v/>
      </c>
      <c r="AJ630" s="118"/>
      <c r="AK630" s="118"/>
      <c r="AM630" s="118">
        <f t="shared" si="665"/>
        <v>0</v>
      </c>
      <c r="AN630" s="118">
        <f t="shared" si="650"/>
        <v>0</v>
      </c>
      <c r="AO630" s="118" t="str">
        <f>IFERROR(
IF(VLOOKUP($C630,'Employee information'!$B:$M,COLUMNS('Employee information'!$B:$M),0)=1,
IF($E$2="Fortnightly",
ROUND(
ROUND((((TRUNC($AN630/2,0)+0.99))*VLOOKUP((TRUNC($AN630/2,0)+0.99),'Tax scales - NAT 1004'!$A$12:$C$18,2,1)-VLOOKUP((TRUNC($AN630/2,0)+0.99),'Tax scales - NAT 1004'!$A$12:$C$18,3,1)),0)
*2,
0),
IF(AND($E$2="Monthly",ROUND($AN630-TRUNC($AN630),2)=0.33),
ROUND(
ROUND(((TRUNC(($AN630+0.01)*3/13,0)+0.99)*VLOOKUP((TRUNC(($AN630+0.01)*3/13,0)+0.99),'Tax scales - NAT 1004'!$A$12:$C$18,2,1)-VLOOKUP((TRUNC(($AN630+0.01)*3/13,0)+0.99),'Tax scales - NAT 1004'!$A$12:$C$18,3,1)),0)
*13/3,
0),
IF($E$2="Monthly",
ROUND(
ROUND(((TRUNC($AN630*3/13,0)+0.99)*VLOOKUP((TRUNC($AN630*3/13,0)+0.99),'Tax scales - NAT 1004'!$A$12:$C$18,2,1)-VLOOKUP((TRUNC($AN630*3/13,0)+0.99),'Tax scales - NAT 1004'!$A$12:$C$18,3,1)),0)
*13/3,
0),
""))),
""),
"")</f>
        <v/>
      </c>
      <c r="AP630" s="118" t="str">
        <f>IFERROR(
IF(VLOOKUP($C630,'Employee information'!$B:$M,COLUMNS('Employee information'!$B:$M),0)=2,
IF($E$2="Fortnightly",
ROUND(
ROUND((((TRUNC($AN630/2,0)+0.99))*VLOOKUP((TRUNC($AN630/2,0)+0.99),'Tax scales - NAT 1004'!$A$25:$C$33,2,1)-VLOOKUP((TRUNC($AN630/2,0)+0.99),'Tax scales - NAT 1004'!$A$25:$C$33,3,1)),0)
*2,
0),
IF(AND($E$2="Monthly",ROUND($AN630-TRUNC($AN630),2)=0.33),
ROUND(
ROUND(((TRUNC(($AN630+0.01)*3/13,0)+0.99)*VLOOKUP((TRUNC(($AN630+0.01)*3/13,0)+0.99),'Tax scales - NAT 1004'!$A$25:$C$33,2,1)-VLOOKUP((TRUNC(($AN630+0.01)*3/13,0)+0.99),'Tax scales - NAT 1004'!$A$25:$C$33,3,1)),0)
*13/3,
0),
IF($E$2="Monthly",
ROUND(
ROUND(((TRUNC($AN630*3/13,0)+0.99)*VLOOKUP((TRUNC($AN630*3/13,0)+0.99),'Tax scales - NAT 1004'!$A$25:$C$33,2,1)-VLOOKUP((TRUNC($AN630*3/13,0)+0.99),'Tax scales - NAT 1004'!$A$25:$C$33,3,1)),0)
*13/3,
0),
""))),
""),
"")</f>
        <v/>
      </c>
      <c r="AQ630" s="118" t="str">
        <f>IFERROR(
IF(VLOOKUP($C630,'Employee information'!$B:$M,COLUMNS('Employee information'!$B:$M),0)=3,
IF($E$2="Fortnightly",
ROUND(
ROUND((((TRUNC($AN630/2,0)+0.99))*VLOOKUP((TRUNC($AN630/2,0)+0.99),'Tax scales - NAT 1004'!$A$39:$C$41,2,1)-VLOOKUP((TRUNC($AN630/2,0)+0.99),'Tax scales - NAT 1004'!$A$39:$C$41,3,1)),0)
*2,
0),
IF(AND($E$2="Monthly",ROUND($AN630-TRUNC($AN630),2)=0.33),
ROUND(
ROUND(((TRUNC(($AN630+0.01)*3/13,0)+0.99)*VLOOKUP((TRUNC(($AN630+0.01)*3/13,0)+0.99),'Tax scales - NAT 1004'!$A$39:$C$41,2,1)-VLOOKUP((TRUNC(($AN630+0.01)*3/13,0)+0.99),'Tax scales - NAT 1004'!$A$39:$C$41,3,1)),0)
*13/3,
0),
IF($E$2="Monthly",
ROUND(
ROUND(((TRUNC($AN630*3/13,0)+0.99)*VLOOKUP((TRUNC($AN630*3/13,0)+0.99),'Tax scales - NAT 1004'!$A$39:$C$41,2,1)-VLOOKUP((TRUNC($AN630*3/13,0)+0.99),'Tax scales - NAT 1004'!$A$39:$C$41,3,1)),0)
*13/3,
0),
""))),
""),
"")</f>
        <v/>
      </c>
      <c r="AR630" s="118" t="str">
        <f>IFERROR(
IF(AND(VLOOKUP($C630,'Employee information'!$B:$M,COLUMNS('Employee information'!$B:$M),0)=4,
VLOOKUP($C630,'Employee information'!$B:$J,COLUMNS('Employee information'!$B:$J),0)="Resident"),
TRUNC(TRUNC($AN630)*'Tax scales - NAT 1004'!$B$47),
IF(AND(VLOOKUP($C630,'Employee information'!$B:$M,COLUMNS('Employee information'!$B:$M),0)=4,
VLOOKUP($C630,'Employee information'!$B:$J,COLUMNS('Employee information'!$B:$J),0)="Foreign resident"),
TRUNC(TRUNC($AN630)*'Tax scales - NAT 1004'!$B$48),
"")),
"")</f>
        <v/>
      </c>
      <c r="AS630" s="118" t="str">
        <f>IFERROR(
IF(VLOOKUP($C630,'Employee information'!$B:$M,COLUMNS('Employee information'!$B:$M),0)=5,
IF($E$2="Fortnightly",
ROUND(
ROUND((((TRUNC($AN630/2,0)+0.99))*VLOOKUP((TRUNC($AN630/2,0)+0.99),'Tax scales - NAT 1004'!$A$53:$C$59,2,1)-VLOOKUP((TRUNC($AN630/2,0)+0.99),'Tax scales - NAT 1004'!$A$53:$C$59,3,1)),0)
*2,
0),
IF(AND($E$2="Monthly",ROUND($AN630-TRUNC($AN630),2)=0.33),
ROUND(
ROUND(((TRUNC(($AN630+0.01)*3/13,0)+0.99)*VLOOKUP((TRUNC(($AN630+0.01)*3/13,0)+0.99),'Tax scales - NAT 1004'!$A$53:$C$59,2,1)-VLOOKUP((TRUNC(($AN630+0.01)*3/13,0)+0.99),'Tax scales - NAT 1004'!$A$53:$C$59,3,1)),0)
*13/3,
0),
IF($E$2="Monthly",
ROUND(
ROUND(((TRUNC($AN630*3/13,0)+0.99)*VLOOKUP((TRUNC($AN630*3/13,0)+0.99),'Tax scales - NAT 1004'!$A$53:$C$59,2,1)-VLOOKUP((TRUNC($AN630*3/13,0)+0.99),'Tax scales - NAT 1004'!$A$53:$C$59,3,1)),0)
*13/3,
0),
""))),
""),
"")</f>
        <v/>
      </c>
      <c r="AT630" s="118" t="str">
        <f>IFERROR(
IF(VLOOKUP($C630,'Employee information'!$B:$M,COLUMNS('Employee information'!$B:$M),0)=6,
IF($E$2="Fortnightly",
ROUND(
ROUND((((TRUNC($AN630/2,0)+0.99))*VLOOKUP((TRUNC($AN630/2,0)+0.99),'Tax scales - NAT 1004'!$A$65:$C$73,2,1)-VLOOKUP((TRUNC($AN630/2,0)+0.99),'Tax scales - NAT 1004'!$A$65:$C$73,3,1)),0)
*2,
0),
IF(AND($E$2="Monthly",ROUND($AN630-TRUNC($AN630),2)=0.33),
ROUND(
ROUND(((TRUNC(($AN630+0.01)*3/13,0)+0.99)*VLOOKUP((TRUNC(($AN630+0.01)*3/13,0)+0.99),'Tax scales - NAT 1004'!$A$65:$C$73,2,1)-VLOOKUP((TRUNC(($AN630+0.01)*3/13,0)+0.99),'Tax scales - NAT 1004'!$A$65:$C$73,3,1)),0)
*13/3,
0),
IF($E$2="Monthly",
ROUND(
ROUND(((TRUNC($AN630*3/13,0)+0.99)*VLOOKUP((TRUNC($AN630*3/13,0)+0.99),'Tax scales - NAT 1004'!$A$65:$C$73,2,1)-VLOOKUP((TRUNC($AN630*3/13,0)+0.99),'Tax scales - NAT 1004'!$A$65:$C$73,3,1)),0)
*13/3,
0),
""))),
""),
"")</f>
        <v/>
      </c>
      <c r="AU630" s="118" t="str">
        <f>IFERROR(
IF(VLOOKUP($C630,'Employee information'!$B:$M,COLUMNS('Employee information'!$B:$M),0)=11,
IF($E$2="Fortnightly",
ROUND(
ROUND((((TRUNC($AN630/2,0)+0.99))*VLOOKUP((TRUNC($AN630/2,0)+0.99),'Tax scales - NAT 3539'!$A$14:$C$38,2,1)-VLOOKUP((TRUNC($AN630/2,0)+0.99),'Tax scales - NAT 3539'!$A$14:$C$38,3,1)),0)
*2,
0),
IF(AND($E$2="Monthly",ROUND($AN630-TRUNC($AN630),2)=0.33),
ROUND(
ROUND(((TRUNC(($AN630+0.01)*3/13,0)+0.99)*VLOOKUP((TRUNC(($AN630+0.01)*3/13,0)+0.99),'Tax scales - NAT 3539'!$A$14:$C$38,2,1)-VLOOKUP((TRUNC(($AN630+0.01)*3/13,0)+0.99),'Tax scales - NAT 3539'!$A$14:$C$38,3,1)),0)
*13/3,
0),
IF($E$2="Monthly",
ROUND(
ROUND(((TRUNC($AN630*3/13,0)+0.99)*VLOOKUP((TRUNC($AN630*3/13,0)+0.99),'Tax scales - NAT 3539'!$A$14:$C$38,2,1)-VLOOKUP((TRUNC($AN630*3/13,0)+0.99),'Tax scales - NAT 3539'!$A$14:$C$38,3,1)),0)
*13/3,
0),
""))),
""),
"")</f>
        <v/>
      </c>
      <c r="AV630" s="118" t="str">
        <f>IFERROR(
IF(VLOOKUP($C630,'Employee information'!$B:$M,COLUMNS('Employee information'!$B:$M),0)=22,
IF($E$2="Fortnightly",
ROUND(
ROUND((((TRUNC($AN630/2,0)+0.99))*VLOOKUP((TRUNC($AN630/2,0)+0.99),'Tax scales - NAT 3539'!$A$43:$C$69,2,1)-VLOOKUP((TRUNC($AN630/2,0)+0.99),'Tax scales - NAT 3539'!$A$43:$C$69,3,1)),0)
*2,
0),
IF(AND($E$2="Monthly",ROUND($AN630-TRUNC($AN630),2)=0.33),
ROUND(
ROUND(((TRUNC(($AN630+0.01)*3/13,0)+0.99)*VLOOKUP((TRUNC(($AN630+0.01)*3/13,0)+0.99),'Tax scales - NAT 3539'!$A$43:$C$69,2,1)-VLOOKUP((TRUNC(($AN630+0.01)*3/13,0)+0.99),'Tax scales - NAT 3539'!$A$43:$C$69,3,1)),0)
*13/3,
0),
IF($E$2="Monthly",
ROUND(
ROUND(((TRUNC($AN630*3/13,0)+0.99)*VLOOKUP((TRUNC($AN630*3/13,0)+0.99),'Tax scales - NAT 3539'!$A$43:$C$69,2,1)-VLOOKUP((TRUNC($AN630*3/13,0)+0.99),'Tax scales - NAT 3539'!$A$43:$C$69,3,1)),0)
*13/3,
0),
""))),
""),
"")</f>
        <v/>
      </c>
      <c r="AW630" s="118" t="str">
        <f>IFERROR(
IF(VLOOKUP($C630,'Employee information'!$B:$M,COLUMNS('Employee information'!$B:$M),0)=33,
IF($E$2="Fortnightly",
ROUND(
ROUND((((TRUNC($AN630/2,0)+0.99))*VLOOKUP((TRUNC($AN630/2,0)+0.99),'Tax scales - NAT 3539'!$A$74:$C$94,2,1)-VLOOKUP((TRUNC($AN630/2,0)+0.99),'Tax scales - NAT 3539'!$A$74:$C$94,3,1)),0)
*2,
0),
IF(AND($E$2="Monthly",ROUND($AN630-TRUNC($AN630),2)=0.33),
ROUND(
ROUND(((TRUNC(($AN630+0.01)*3/13,0)+0.99)*VLOOKUP((TRUNC(($AN630+0.01)*3/13,0)+0.99),'Tax scales - NAT 3539'!$A$74:$C$94,2,1)-VLOOKUP((TRUNC(($AN630+0.01)*3/13,0)+0.99),'Tax scales - NAT 3539'!$A$74:$C$94,3,1)),0)
*13/3,
0),
IF($E$2="Monthly",
ROUND(
ROUND(((TRUNC($AN630*3/13,0)+0.99)*VLOOKUP((TRUNC($AN630*3/13,0)+0.99),'Tax scales - NAT 3539'!$A$74:$C$94,2,1)-VLOOKUP((TRUNC($AN630*3/13,0)+0.99),'Tax scales - NAT 3539'!$A$74:$C$94,3,1)),0)
*13/3,
0),
""))),
""),
"")</f>
        <v/>
      </c>
      <c r="AX630" s="118" t="str">
        <f>IFERROR(
IF(VLOOKUP($C630,'Employee information'!$B:$M,COLUMNS('Employee information'!$B:$M),0)=55,
IF($E$2="Fortnightly",
ROUND(
ROUND((((TRUNC($AN630/2,0)+0.99))*VLOOKUP((TRUNC($AN630/2,0)+0.99),'Tax scales - NAT 3539'!$A$99:$C$123,2,1)-VLOOKUP((TRUNC($AN630/2,0)+0.99),'Tax scales - NAT 3539'!$A$99:$C$123,3,1)),0)
*2,
0),
IF(AND($E$2="Monthly",ROUND($AN630-TRUNC($AN630),2)=0.33),
ROUND(
ROUND(((TRUNC(($AN630+0.01)*3/13,0)+0.99)*VLOOKUP((TRUNC(($AN630+0.01)*3/13,0)+0.99),'Tax scales - NAT 3539'!$A$99:$C$123,2,1)-VLOOKUP((TRUNC(($AN630+0.01)*3/13,0)+0.99),'Tax scales - NAT 3539'!$A$99:$C$123,3,1)),0)
*13/3,
0),
IF($E$2="Monthly",
ROUND(
ROUND(((TRUNC($AN630*3/13,0)+0.99)*VLOOKUP((TRUNC($AN630*3/13,0)+0.99),'Tax scales - NAT 3539'!$A$99:$C$123,2,1)-VLOOKUP((TRUNC($AN630*3/13,0)+0.99),'Tax scales - NAT 3539'!$A$99:$C$123,3,1)),0)
*13/3,
0),
""))),
""),
"")</f>
        <v/>
      </c>
      <c r="AY630" s="118" t="str">
        <f>IFERROR(
IF(VLOOKUP($C630,'Employee information'!$B:$M,COLUMNS('Employee information'!$B:$M),0)=66,
IF($E$2="Fortnightly",
ROUND(
ROUND((((TRUNC($AN630/2,0)+0.99))*VLOOKUP((TRUNC($AN630/2,0)+0.99),'Tax scales - NAT 3539'!$A$127:$C$154,2,1)-VLOOKUP((TRUNC($AN630/2,0)+0.99),'Tax scales - NAT 3539'!$A$127:$C$154,3,1)),0)
*2,
0),
IF(AND($E$2="Monthly",ROUND($AN630-TRUNC($AN630),2)=0.33),
ROUND(
ROUND(((TRUNC(($AN630+0.01)*3/13,0)+0.99)*VLOOKUP((TRUNC(($AN630+0.01)*3/13,0)+0.99),'Tax scales - NAT 3539'!$A$127:$C$154,2,1)-VLOOKUP((TRUNC(($AN630+0.01)*3/13,0)+0.99),'Tax scales - NAT 3539'!$A$127:$C$154,3,1)),0)
*13/3,
0),
IF($E$2="Monthly",
ROUND(
ROUND(((TRUNC($AN630*3/13,0)+0.99)*VLOOKUP((TRUNC($AN630*3/13,0)+0.99),'Tax scales - NAT 3539'!$A$127:$C$154,2,1)-VLOOKUP((TRUNC($AN630*3/13,0)+0.99),'Tax scales - NAT 3539'!$A$127:$C$154,3,1)),0)
*13/3,
0),
""))),
""),
"")</f>
        <v/>
      </c>
      <c r="AZ630" s="118">
        <f>IFERROR(
HLOOKUP(VLOOKUP($C630,'Employee information'!$B:$M,COLUMNS('Employee information'!$B:$M),0),'PAYG worksheet'!$AO$619:$AY$638,COUNTA($C$620:$C630)+1,0),
0)</f>
        <v>0</v>
      </c>
      <c r="BA630" s="118"/>
      <c r="BB630" s="118">
        <f t="shared" si="666"/>
        <v>0</v>
      </c>
      <c r="BC630" s="119">
        <f>IFERROR(
IF(OR($AE630=1,$AE630=""),SUM($P630,$AA630,$AC630,$AK630)*VLOOKUP($C630,'Employee information'!$B:$Q,COLUMNS('Employee information'!$B:$H),0),
IF($AE630=0,SUM($P630,$AA630,$AK630)*VLOOKUP($C630,'Employee information'!$B:$Q,COLUMNS('Employee information'!$B:$H),0),
0)),
0)</f>
        <v>0</v>
      </c>
      <c r="BE630" s="114">
        <f t="shared" si="651"/>
        <v>0</v>
      </c>
      <c r="BF630" s="114">
        <f t="shared" si="652"/>
        <v>0</v>
      </c>
      <c r="BG630" s="114">
        <f t="shared" si="653"/>
        <v>0</v>
      </c>
      <c r="BH630" s="114">
        <f t="shared" si="654"/>
        <v>0</v>
      </c>
      <c r="BI630" s="114">
        <f t="shared" si="655"/>
        <v>0</v>
      </c>
      <c r="BJ630" s="114">
        <f t="shared" si="656"/>
        <v>0</v>
      </c>
      <c r="BK630" s="114">
        <f t="shared" si="657"/>
        <v>0</v>
      </c>
      <c r="BL630" s="114">
        <f t="shared" si="667"/>
        <v>0</v>
      </c>
      <c r="BM630" s="114">
        <f t="shared" si="658"/>
        <v>0</v>
      </c>
    </row>
    <row r="631" spans="1:65" x14ac:dyDescent="0.25">
      <c r="A631" s="228">
        <f t="shared" si="646"/>
        <v>22</v>
      </c>
      <c r="C631" s="278"/>
      <c r="E631" s="103">
        <f>IF($C631="",0,
IF(AND($E$2="Monthly",$A631&gt;12),0,
IF($E$2="Monthly",VLOOKUP($C631,'Employee information'!$B:$AM,COLUMNS('Employee information'!$B:S),0),
IF($E$2="Fortnightly",VLOOKUP($C631,'Employee information'!$B:$AM,COLUMNS('Employee information'!$B:R),0),
0))))</f>
        <v>0</v>
      </c>
      <c r="F631" s="106"/>
      <c r="G631" s="106"/>
      <c r="H631" s="106"/>
      <c r="I631" s="106"/>
      <c r="J631" s="103">
        <f t="shared" si="659"/>
        <v>0</v>
      </c>
      <c r="L631" s="113">
        <f>IF(AND($E$2="Monthly",$A631&gt;12),"",
IFERROR($J631*VLOOKUP($C631,'Employee information'!$B:$AI,COLUMNS('Employee information'!$B:$P),0),0))</f>
        <v>0</v>
      </c>
      <c r="M631" s="114">
        <f t="shared" si="660"/>
        <v>0</v>
      </c>
      <c r="O631" s="103">
        <f t="shared" si="661"/>
        <v>0</v>
      </c>
      <c r="P631" s="113">
        <f>IFERROR(
IF(AND($E$2="Monthly",$A631&gt;12),0,
$O631*VLOOKUP($C631,'Employee information'!$B:$AI,COLUMNS('Employee information'!$B:$P),0)),
0)</f>
        <v>0</v>
      </c>
      <c r="R631" s="114">
        <f t="shared" si="647"/>
        <v>0</v>
      </c>
      <c r="T631" s="103"/>
      <c r="U631" s="103"/>
      <c r="V631" s="282" t="str">
        <f>IF($C631="","",
IF(AND($E$2="Monthly",$A631&gt;12),"",
$T631*VLOOKUP($C631,'Employee information'!$B:$P,COLUMNS('Employee information'!$B:$P),0)))</f>
        <v/>
      </c>
      <c r="W631" s="282" t="str">
        <f>IF($C631="","",
IF(AND($E$2="Monthly",$A631&gt;12),"",
$U631*VLOOKUP($C631,'Employee information'!$B:$P,COLUMNS('Employee information'!$B:$P),0)))</f>
        <v/>
      </c>
      <c r="X631" s="114">
        <f t="shared" si="648"/>
        <v>0</v>
      </c>
      <c r="Y631" s="114">
        <f t="shared" si="649"/>
        <v>0</v>
      </c>
      <c r="AA631" s="118">
        <f>IFERROR(
IF(OR('Basic payroll data'!$D$12="",'Basic payroll data'!$D$12="No"),0,
$T631*VLOOKUP($C631,'Employee information'!$B:$P,COLUMNS('Employee information'!$B:$P),0)*AL_loading_perc),
0)</f>
        <v>0</v>
      </c>
      <c r="AC631" s="118"/>
      <c r="AD631" s="118"/>
      <c r="AE631" s="283" t="str">
        <f t="shared" si="662"/>
        <v/>
      </c>
      <c r="AF631" s="283" t="str">
        <f t="shared" si="663"/>
        <v/>
      </c>
      <c r="AG631" s="118"/>
      <c r="AH631" s="118"/>
      <c r="AI631" s="283" t="str">
        <f t="shared" si="664"/>
        <v/>
      </c>
      <c r="AJ631" s="118"/>
      <c r="AK631" s="118"/>
      <c r="AM631" s="118">
        <f t="shared" si="665"/>
        <v>0</v>
      </c>
      <c r="AN631" s="118">
        <f t="shared" si="650"/>
        <v>0</v>
      </c>
      <c r="AO631" s="118" t="str">
        <f>IFERROR(
IF(VLOOKUP($C631,'Employee information'!$B:$M,COLUMNS('Employee information'!$B:$M),0)=1,
IF($E$2="Fortnightly",
ROUND(
ROUND((((TRUNC($AN631/2,0)+0.99))*VLOOKUP((TRUNC($AN631/2,0)+0.99),'Tax scales - NAT 1004'!$A$12:$C$18,2,1)-VLOOKUP((TRUNC($AN631/2,0)+0.99),'Tax scales - NAT 1004'!$A$12:$C$18,3,1)),0)
*2,
0),
IF(AND($E$2="Monthly",ROUND($AN631-TRUNC($AN631),2)=0.33),
ROUND(
ROUND(((TRUNC(($AN631+0.01)*3/13,0)+0.99)*VLOOKUP((TRUNC(($AN631+0.01)*3/13,0)+0.99),'Tax scales - NAT 1004'!$A$12:$C$18,2,1)-VLOOKUP((TRUNC(($AN631+0.01)*3/13,0)+0.99),'Tax scales - NAT 1004'!$A$12:$C$18,3,1)),0)
*13/3,
0),
IF($E$2="Monthly",
ROUND(
ROUND(((TRUNC($AN631*3/13,0)+0.99)*VLOOKUP((TRUNC($AN631*3/13,0)+0.99),'Tax scales - NAT 1004'!$A$12:$C$18,2,1)-VLOOKUP((TRUNC($AN631*3/13,0)+0.99),'Tax scales - NAT 1004'!$A$12:$C$18,3,1)),0)
*13/3,
0),
""))),
""),
"")</f>
        <v/>
      </c>
      <c r="AP631" s="118" t="str">
        <f>IFERROR(
IF(VLOOKUP($C631,'Employee information'!$B:$M,COLUMNS('Employee information'!$B:$M),0)=2,
IF($E$2="Fortnightly",
ROUND(
ROUND((((TRUNC($AN631/2,0)+0.99))*VLOOKUP((TRUNC($AN631/2,0)+0.99),'Tax scales - NAT 1004'!$A$25:$C$33,2,1)-VLOOKUP((TRUNC($AN631/2,0)+0.99),'Tax scales - NAT 1004'!$A$25:$C$33,3,1)),0)
*2,
0),
IF(AND($E$2="Monthly",ROUND($AN631-TRUNC($AN631),2)=0.33),
ROUND(
ROUND(((TRUNC(($AN631+0.01)*3/13,0)+0.99)*VLOOKUP((TRUNC(($AN631+0.01)*3/13,0)+0.99),'Tax scales - NAT 1004'!$A$25:$C$33,2,1)-VLOOKUP((TRUNC(($AN631+0.01)*3/13,0)+0.99),'Tax scales - NAT 1004'!$A$25:$C$33,3,1)),0)
*13/3,
0),
IF($E$2="Monthly",
ROUND(
ROUND(((TRUNC($AN631*3/13,0)+0.99)*VLOOKUP((TRUNC($AN631*3/13,0)+0.99),'Tax scales - NAT 1004'!$A$25:$C$33,2,1)-VLOOKUP((TRUNC($AN631*3/13,0)+0.99),'Tax scales - NAT 1004'!$A$25:$C$33,3,1)),0)
*13/3,
0),
""))),
""),
"")</f>
        <v/>
      </c>
      <c r="AQ631" s="118" t="str">
        <f>IFERROR(
IF(VLOOKUP($C631,'Employee information'!$B:$M,COLUMNS('Employee information'!$B:$M),0)=3,
IF($E$2="Fortnightly",
ROUND(
ROUND((((TRUNC($AN631/2,0)+0.99))*VLOOKUP((TRUNC($AN631/2,0)+0.99),'Tax scales - NAT 1004'!$A$39:$C$41,2,1)-VLOOKUP((TRUNC($AN631/2,0)+0.99),'Tax scales - NAT 1004'!$A$39:$C$41,3,1)),0)
*2,
0),
IF(AND($E$2="Monthly",ROUND($AN631-TRUNC($AN631),2)=0.33),
ROUND(
ROUND(((TRUNC(($AN631+0.01)*3/13,0)+0.99)*VLOOKUP((TRUNC(($AN631+0.01)*3/13,0)+0.99),'Tax scales - NAT 1004'!$A$39:$C$41,2,1)-VLOOKUP((TRUNC(($AN631+0.01)*3/13,0)+0.99),'Tax scales - NAT 1004'!$A$39:$C$41,3,1)),0)
*13/3,
0),
IF($E$2="Monthly",
ROUND(
ROUND(((TRUNC($AN631*3/13,0)+0.99)*VLOOKUP((TRUNC($AN631*3/13,0)+0.99),'Tax scales - NAT 1004'!$A$39:$C$41,2,1)-VLOOKUP((TRUNC($AN631*3/13,0)+0.99),'Tax scales - NAT 1004'!$A$39:$C$41,3,1)),0)
*13/3,
0),
""))),
""),
"")</f>
        <v/>
      </c>
      <c r="AR631" s="118" t="str">
        <f>IFERROR(
IF(AND(VLOOKUP($C631,'Employee information'!$B:$M,COLUMNS('Employee information'!$B:$M),0)=4,
VLOOKUP($C631,'Employee information'!$B:$J,COLUMNS('Employee information'!$B:$J),0)="Resident"),
TRUNC(TRUNC($AN631)*'Tax scales - NAT 1004'!$B$47),
IF(AND(VLOOKUP($C631,'Employee information'!$B:$M,COLUMNS('Employee information'!$B:$M),0)=4,
VLOOKUP($C631,'Employee information'!$B:$J,COLUMNS('Employee information'!$B:$J),0)="Foreign resident"),
TRUNC(TRUNC($AN631)*'Tax scales - NAT 1004'!$B$48),
"")),
"")</f>
        <v/>
      </c>
      <c r="AS631" s="118" t="str">
        <f>IFERROR(
IF(VLOOKUP($C631,'Employee information'!$B:$M,COLUMNS('Employee information'!$B:$M),0)=5,
IF($E$2="Fortnightly",
ROUND(
ROUND((((TRUNC($AN631/2,0)+0.99))*VLOOKUP((TRUNC($AN631/2,0)+0.99),'Tax scales - NAT 1004'!$A$53:$C$59,2,1)-VLOOKUP((TRUNC($AN631/2,0)+0.99),'Tax scales - NAT 1004'!$A$53:$C$59,3,1)),0)
*2,
0),
IF(AND($E$2="Monthly",ROUND($AN631-TRUNC($AN631),2)=0.33),
ROUND(
ROUND(((TRUNC(($AN631+0.01)*3/13,0)+0.99)*VLOOKUP((TRUNC(($AN631+0.01)*3/13,0)+0.99),'Tax scales - NAT 1004'!$A$53:$C$59,2,1)-VLOOKUP((TRUNC(($AN631+0.01)*3/13,0)+0.99),'Tax scales - NAT 1004'!$A$53:$C$59,3,1)),0)
*13/3,
0),
IF($E$2="Monthly",
ROUND(
ROUND(((TRUNC($AN631*3/13,0)+0.99)*VLOOKUP((TRUNC($AN631*3/13,0)+0.99),'Tax scales - NAT 1004'!$A$53:$C$59,2,1)-VLOOKUP((TRUNC($AN631*3/13,0)+0.99),'Tax scales - NAT 1004'!$A$53:$C$59,3,1)),0)
*13/3,
0),
""))),
""),
"")</f>
        <v/>
      </c>
      <c r="AT631" s="118" t="str">
        <f>IFERROR(
IF(VLOOKUP($C631,'Employee information'!$B:$M,COLUMNS('Employee information'!$B:$M),0)=6,
IF($E$2="Fortnightly",
ROUND(
ROUND((((TRUNC($AN631/2,0)+0.99))*VLOOKUP((TRUNC($AN631/2,0)+0.99),'Tax scales - NAT 1004'!$A$65:$C$73,2,1)-VLOOKUP((TRUNC($AN631/2,0)+0.99),'Tax scales - NAT 1004'!$A$65:$C$73,3,1)),0)
*2,
0),
IF(AND($E$2="Monthly",ROUND($AN631-TRUNC($AN631),2)=0.33),
ROUND(
ROUND(((TRUNC(($AN631+0.01)*3/13,0)+0.99)*VLOOKUP((TRUNC(($AN631+0.01)*3/13,0)+0.99),'Tax scales - NAT 1004'!$A$65:$C$73,2,1)-VLOOKUP((TRUNC(($AN631+0.01)*3/13,0)+0.99),'Tax scales - NAT 1004'!$A$65:$C$73,3,1)),0)
*13/3,
0),
IF($E$2="Monthly",
ROUND(
ROUND(((TRUNC($AN631*3/13,0)+0.99)*VLOOKUP((TRUNC($AN631*3/13,0)+0.99),'Tax scales - NAT 1004'!$A$65:$C$73,2,1)-VLOOKUP((TRUNC($AN631*3/13,0)+0.99),'Tax scales - NAT 1004'!$A$65:$C$73,3,1)),0)
*13/3,
0),
""))),
""),
"")</f>
        <v/>
      </c>
      <c r="AU631" s="118" t="str">
        <f>IFERROR(
IF(VLOOKUP($C631,'Employee information'!$B:$M,COLUMNS('Employee information'!$B:$M),0)=11,
IF($E$2="Fortnightly",
ROUND(
ROUND((((TRUNC($AN631/2,0)+0.99))*VLOOKUP((TRUNC($AN631/2,0)+0.99),'Tax scales - NAT 3539'!$A$14:$C$38,2,1)-VLOOKUP((TRUNC($AN631/2,0)+0.99),'Tax scales - NAT 3539'!$A$14:$C$38,3,1)),0)
*2,
0),
IF(AND($E$2="Monthly",ROUND($AN631-TRUNC($AN631),2)=0.33),
ROUND(
ROUND(((TRUNC(($AN631+0.01)*3/13,0)+0.99)*VLOOKUP((TRUNC(($AN631+0.01)*3/13,0)+0.99),'Tax scales - NAT 3539'!$A$14:$C$38,2,1)-VLOOKUP((TRUNC(($AN631+0.01)*3/13,0)+0.99),'Tax scales - NAT 3539'!$A$14:$C$38,3,1)),0)
*13/3,
0),
IF($E$2="Monthly",
ROUND(
ROUND(((TRUNC($AN631*3/13,0)+0.99)*VLOOKUP((TRUNC($AN631*3/13,0)+0.99),'Tax scales - NAT 3539'!$A$14:$C$38,2,1)-VLOOKUP((TRUNC($AN631*3/13,0)+0.99),'Tax scales - NAT 3539'!$A$14:$C$38,3,1)),0)
*13/3,
0),
""))),
""),
"")</f>
        <v/>
      </c>
      <c r="AV631" s="118" t="str">
        <f>IFERROR(
IF(VLOOKUP($C631,'Employee information'!$B:$M,COLUMNS('Employee information'!$B:$M),0)=22,
IF($E$2="Fortnightly",
ROUND(
ROUND((((TRUNC($AN631/2,0)+0.99))*VLOOKUP((TRUNC($AN631/2,0)+0.99),'Tax scales - NAT 3539'!$A$43:$C$69,2,1)-VLOOKUP((TRUNC($AN631/2,0)+0.99),'Tax scales - NAT 3539'!$A$43:$C$69,3,1)),0)
*2,
0),
IF(AND($E$2="Monthly",ROUND($AN631-TRUNC($AN631),2)=0.33),
ROUND(
ROUND(((TRUNC(($AN631+0.01)*3/13,0)+0.99)*VLOOKUP((TRUNC(($AN631+0.01)*3/13,0)+0.99),'Tax scales - NAT 3539'!$A$43:$C$69,2,1)-VLOOKUP((TRUNC(($AN631+0.01)*3/13,0)+0.99),'Tax scales - NAT 3539'!$A$43:$C$69,3,1)),0)
*13/3,
0),
IF($E$2="Monthly",
ROUND(
ROUND(((TRUNC($AN631*3/13,0)+0.99)*VLOOKUP((TRUNC($AN631*3/13,0)+0.99),'Tax scales - NAT 3539'!$A$43:$C$69,2,1)-VLOOKUP((TRUNC($AN631*3/13,0)+0.99),'Tax scales - NAT 3539'!$A$43:$C$69,3,1)),0)
*13/3,
0),
""))),
""),
"")</f>
        <v/>
      </c>
      <c r="AW631" s="118" t="str">
        <f>IFERROR(
IF(VLOOKUP($C631,'Employee information'!$B:$M,COLUMNS('Employee information'!$B:$M),0)=33,
IF($E$2="Fortnightly",
ROUND(
ROUND((((TRUNC($AN631/2,0)+0.99))*VLOOKUP((TRUNC($AN631/2,0)+0.99),'Tax scales - NAT 3539'!$A$74:$C$94,2,1)-VLOOKUP((TRUNC($AN631/2,0)+0.99),'Tax scales - NAT 3539'!$A$74:$C$94,3,1)),0)
*2,
0),
IF(AND($E$2="Monthly",ROUND($AN631-TRUNC($AN631),2)=0.33),
ROUND(
ROUND(((TRUNC(($AN631+0.01)*3/13,0)+0.99)*VLOOKUP((TRUNC(($AN631+0.01)*3/13,0)+0.99),'Tax scales - NAT 3539'!$A$74:$C$94,2,1)-VLOOKUP((TRUNC(($AN631+0.01)*3/13,0)+0.99),'Tax scales - NAT 3539'!$A$74:$C$94,3,1)),0)
*13/3,
0),
IF($E$2="Monthly",
ROUND(
ROUND(((TRUNC($AN631*3/13,0)+0.99)*VLOOKUP((TRUNC($AN631*3/13,0)+0.99),'Tax scales - NAT 3539'!$A$74:$C$94,2,1)-VLOOKUP((TRUNC($AN631*3/13,0)+0.99),'Tax scales - NAT 3539'!$A$74:$C$94,3,1)),0)
*13/3,
0),
""))),
""),
"")</f>
        <v/>
      </c>
      <c r="AX631" s="118" t="str">
        <f>IFERROR(
IF(VLOOKUP($C631,'Employee information'!$B:$M,COLUMNS('Employee information'!$B:$M),0)=55,
IF($E$2="Fortnightly",
ROUND(
ROUND((((TRUNC($AN631/2,0)+0.99))*VLOOKUP((TRUNC($AN631/2,0)+0.99),'Tax scales - NAT 3539'!$A$99:$C$123,2,1)-VLOOKUP((TRUNC($AN631/2,0)+0.99),'Tax scales - NAT 3539'!$A$99:$C$123,3,1)),0)
*2,
0),
IF(AND($E$2="Monthly",ROUND($AN631-TRUNC($AN631),2)=0.33),
ROUND(
ROUND(((TRUNC(($AN631+0.01)*3/13,0)+0.99)*VLOOKUP((TRUNC(($AN631+0.01)*3/13,0)+0.99),'Tax scales - NAT 3539'!$A$99:$C$123,2,1)-VLOOKUP((TRUNC(($AN631+0.01)*3/13,0)+0.99),'Tax scales - NAT 3539'!$A$99:$C$123,3,1)),0)
*13/3,
0),
IF($E$2="Monthly",
ROUND(
ROUND(((TRUNC($AN631*3/13,0)+0.99)*VLOOKUP((TRUNC($AN631*3/13,0)+0.99),'Tax scales - NAT 3539'!$A$99:$C$123,2,1)-VLOOKUP((TRUNC($AN631*3/13,0)+0.99),'Tax scales - NAT 3539'!$A$99:$C$123,3,1)),0)
*13/3,
0),
""))),
""),
"")</f>
        <v/>
      </c>
      <c r="AY631" s="118" t="str">
        <f>IFERROR(
IF(VLOOKUP($C631,'Employee information'!$B:$M,COLUMNS('Employee information'!$B:$M),0)=66,
IF($E$2="Fortnightly",
ROUND(
ROUND((((TRUNC($AN631/2,0)+0.99))*VLOOKUP((TRUNC($AN631/2,0)+0.99),'Tax scales - NAT 3539'!$A$127:$C$154,2,1)-VLOOKUP((TRUNC($AN631/2,0)+0.99),'Tax scales - NAT 3539'!$A$127:$C$154,3,1)),0)
*2,
0),
IF(AND($E$2="Monthly",ROUND($AN631-TRUNC($AN631),2)=0.33),
ROUND(
ROUND(((TRUNC(($AN631+0.01)*3/13,0)+0.99)*VLOOKUP((TRUNC(($AN631+0.01)*3/13,0)+0.99),'Tax scales - NAT 3539'!$A$127:$C$154,2,1)-VLOOKUP((TRUNC(($AN631+0.01)*3/13,0)+0.99),'Tax scales - NAT 3539'!$A$127:$C$154,3,1)),0)
*13/3,
0),
IF($E$2="Monthly",
ROUND(
ROUND(((TRUNC($AN631*3/13,0)+0.99)*VLOOKUP((TRUNC($AN631*3/13,0)+0.99),'Tax scales - NAT 3539'!$A$127:$C$154,2,1)-VLOOKUP((TRUNC($AN631*3/13,0)+0.99),'Tax scales - NAT 3539'!$A$127:$C$154,3,1)),0)
*13/3,
0),
""))),
""),
"")</f>
        <v/>
      </c>
      <c r="AZ631" s="118">
        <f>IFERROR(
HLOOKUP(VLOOKUP($C631,'Employee information'!$B:$M,COLUMNS('Employee information'!$B:$M),0),'PAYG worksheet'!$AO$619:$AY$638,COUNTA($C$620:$C631)+1,0),
0)</f>
        <v>0</v>
      </c>
      <c r="BA631" s="118"/>
      <c r="BB631" s="118">
        <f t="shared" si="666"/>
        <v>0</v>
      </c>
      <c r="BC631" s="119">
        <f>IFERROR(
IF(OR($AE631=1,$AE631=""),SUM($P631,$AA631,$AC631,$AK631)*VLOOKUP($C631,'Employee information'!$B:$Q,COLUMNS('Employee information'!$B:$H),0),
IF($AE631=0,SUM($P631,$AA631,$AK631)*VLOOKUP($C631,'Employee information'!$B:$Q,COLUMNS('Employee information'!$B:$H),0),
0)),
0)</f>
        <v>0</v>
      </c>
      <c r="BE631" s="114">
        <f t="shared" si="651"/>
        <v>0</v>
      </c>
      <c r="BF631" s="114">
        <f t="shared" si="652"/>
        <v>0</v>
      </c>
      <c r="BG631" s="114">
        <f t="shared" si="653"/>
        <v>0</v>
      </c>
      <c r="BH631" s="114">
        <f t="shared" si="654"/>
        <v>0</v>
      </c>
      <c r="BI631" s="114">
        <f t="shared" si="655"/>
        <v>0</v>
      </c>
      <c r="BJ631" s="114">
        <f t="shared" si="656"/>
        <v>0</v>
      </c>
      <c r="BK631" s="114">
        <f t="shared" si="657"/>
        <v>0</v>
      </c>
      <c r="BL631" s="114">
        <f t="shared" si="667"/>
        <v>0</v>
      </c>
      <c r="BM631" s="114">
        <f t="shared" si="658"/>
        <v>0</v>
      </c>
    </row>
    <row r="632" spans="1:65" x14ac:dyDescent="0.25">
      <c r="A632" s="228">
        <f t="shared" si="646"/>
        <v>22</v>
      </c>
      <c r="C632" s="278"/>
      <c r="E632" s="103">
        <f>IF($C632="",0,
IF(AND($E$2="Monthly",$A632&gt;12),0,
IF($E$2="Monthly",VLOOKUP($C632,'Employee information'!$B:$AM,COLUMNS('Employee information'!$B:S),0),
IF($E$2="Fortnightly",VLOOKUP($C632,'Employee information'!$B:$AM,COLUMNS('Employee information'!$B:R),0),
0))))</f>
        <v>0</v>
      </c>
      <c r="F632" s="106"/>
      <c r="G632" s="106"/>
      <c r="H632" s="106"/>
      <c r="I632" s="106"/>
      <c r="J632" s="103">
        <f t="shared" si="659"/>
        <v>0</v>
      </c>
      <c r="L632" s="113">
        <f>IF(AND($E$2="Monthly",$A632&gt;12),"",
IFERROR($J632*VLOOKUP($C632,'Employee information'!$B:$AI,COLUMNS('Employee information'!$B:$P),0),0))</f>
        <v>0</v>
      </c>
      <c r="M632" s="114">
        <f t="shared" si="660"/>
        <v>0</v>
      </c>
      <c r="O632" s="103">
        <f t="shared" si="661"/>
        <v>0</v>
      </c>
      <c r="P632" s="113">
        <f>IFERROR(
IF(AND($E$2="Monthly",$A632&gt;12),0,
$O632*VLOOKUP($C632,'Employee information'!$B:$AI,COLUMNS('Employee information'!$B:$P),0)),
0)</f>
        <v>0</v>
      </c>
      <c r="R632" s="114">
        <f t="shared" si="647"/>
        <v>0</v>
      </c>
      <c r="T632" s="103"/>
      <c r="U632" s="103"/>
      <c r="V632" s="282" t="str">
        <f>IF($C632="","",
IF(AND($E$2="Monthly",$A632&gt;12),"",
$T632*VLOOKUP($C632,'Employee information'!$B:$P,COLUMNS('Employee information'!$B:$P),0)))</f>
        <v/>
      </c>
      <c r="W632" s="282" t="str">
        <f>IF($C632="","",
IF(AND($E$2="Monthly",$A632&gt;12),"",
$U632*VLOOKUP($C632,'Employee information'!$B:$P,COLUMNS('Employee information'!$B:$P),0)))</f>
        <v/>
      </c>
      <c r="X632" s="114">
        <f t="shared" si="648"/>
        <v>0</v>
      </c>
      <c r="Y632" s="114">
        <f t="shared" si="649"/>
        <v>0</v>
      </c>
      <c r="AA632" s="118">
        <f>IFERROR(
IF(OR('Basic payroll data'!$D$12="",'Basic payroll data'!$D$12="No"),0,
$T632*VLOOKUP($C632,'Employee information'!$B:$P,COLUMNS('Employee information'!$B:$P),0)*AL_loading_perc),
0)</f>
        <v>0</v>
      </c>
      <c r="AC632" s="118"/>
      <c r="AD632" s="118"/>
      <c r="AE632" s="283" t="str">
        <f t="shared" si="662"/>
        <v/>
      </c>
      <c r="AF632" s="283" t="str">
        <f t="shared" si="663"/>
        <v/>
      </c>
      <c r="AG632" s="118"/>
      <c r="AH632" s="118"/>
      <c r="AI632" s="283" t="str">
        <f t="shared" si="664"/>
        <v/>
      </c>
      <c r="AJ632" s="118"/>
      <c r="AK632" s="118"/>
      <c r="AM632" s="118">
        <f t="shared" si="665"/>
        <v>0</v>
      </c>
      <c r="AN632" s="118">
        <f t="shared" si="650"/>
        <v>0</v>
      </c>
      <c r="AO632" s="118" t="str">
        <f>IFERROR(
IF(VLOOKUP($C632,'Employee information'!$B:$M,COLUMNS('Employee information'!$B:$M),0)=1,
IF($E$2="Fortnightly",
ROUND(
ROUND((((TRUNC($AN632/2,0)+0.99))*VLOOKUP((TRUNC($AN632/2,0)+0.99),'Tax scales - NAT 1004'!$A$12:$C$18,2,1)-VLOOKUP((TRUNC($AN632/2,0)+0.99),'Tax scales - NAT 1004'!$A$12:$C$18,3,1)),0)
*2,
0),
IF(AND($E$2="Monthly",ROUND($AN632-TRUNC($AN632),2)=0.33),
ROUND(
ROUND(((TRUNC(($AN632+0.01)*3/13,0)+0.99)*VLOOKUP((TRUNC(($AN632+0.01)*3/13,0)+0.99),'Tax scales - NAT 1004'!$A$12:$C$18,2,1)-VLOOKUP((TRUNC(($AN632+0.01)*3/13,0)+0.99),'Tax scales - NAT 1004'!$A$12:$C$18,3,1)),0)
*13/3,
0),
IF($E$2="Monthly",
ROUND(
ROUND(((TRUNC($AN632*3/13,0)+0.99)*VLOOKUP((TRUNC($AN632*3/13,0)+0.99),'Tax scales - NAT 1004'!$A$12:$C$18,2,1)-VLOOKUP((TRUNC($AN632*3/13,0)+0.99),'Tax scales - NAT 1004'!$A$12:$C$18,3,1)),0)
*13/3,
0),
""))),
""),
"")</f>
        <v/>
      </c>
      <c r="AP632" s="118" t="str">
        <f>IFERROR(
IF(VLOOKUP($C632,'Employee information'!$B:$M,COLUMNS('Employee information'!$B:$M),0)=2,
IF($E$2="Fortnightly",
ROUND(
ROUND((((TRUNC($AN632/2,0)+0.99))*VLOOKUP((TRUNC($AN632/2,0)+0.99),'Tax scales - NAT 1004'!$A$25:$C$33,2,1)-VLOOKUP((TRUNC($AN632/2,0)+0.99),'Tax scales - NAT 1004'!$A$25:$C$33,3,1)),0)
*2,
0),
IF(AND($E$2="Monthly",ROUND($AN632-TRUNC($AN632),2)=0.33),
ROUND(
ROUND(((TRUNC(($AN632+0.01)*3/13,0)+0.99)*VLOOKUP((TRUNC(($AN632+0.01)*3/13,0)+0.99),'Tax scales - NAT 1004'!$A$25:$C$33,2,1)-VLOOKUP((TRUNC(($AN632+0.01)*3/13,0)+0.99),'Tax scales - NAT 1004'!$A$25:$C$33,3,1)),0)
*13/3,
0),
IF($E$2="Monthly",
ROUND(
ROUND(((TRUNC($AN632*3/13,0)+0.99)*VLOOKUP((TRUNC($AN632*3/13,0)+0.99),'Tax scales - NAT 1004'!$A$25:$C$33,2,1)-VLOOKUP((TRUNC($AN632*3/13,0)+0.99),'Tax scales - NAT 1004'!$A$25:$C$33,3,1)),0)
*13/3,
0),
""))),
""),
"")</f>
        <v/>
      </c>
      <c r="AQ632" s="118" t="str">
        <f>IFERROR(
IF(VLOOKUP($C632,'Employee information'!$B:$M,COLUMNS('Employee information'!$B:$M),0)=3,
IF($E$2="Fortnightly",
ROUND(
ROUND((((TRUNC($AN632/2,0)+0.99))*VLOOKUP((TRUNC($AN632/2,0)+0.99),'Tax scales - NAT 1004'!$A$39:$C$41,2,1)-VLOOKUP((TRUNC($AN632/2,0)+0.99),'Tax scales - NAT 1004'!$A$39:$C$41,3,1)),0)
*2,
0),
IF(AND($E$2="Monthly",ROUND($AN632-TRUNC($AN632),2)=0.33),
ROUND(
ROUND(((TRUNC(($AN632+0.01)*3/13,0)+0.99)*VLOOKUP((TRUNC(($AN632+0.01)*3/13,0)+0.99),'Tax scales - NAT 1004'!$A$39:$C$41,2,1)-VLOOKUP((TRUNC(($AN632+0.01)*3/13,0)+0.99),'Tax scales - NAT 1004'!$A$39:$C$41,3,1)),0)
*13/3,
0),
IF($E$2="Monthly",
ROUND(
ROUND(((TRUNC($AN632*3/13,0)+0.99)*VLOOKUP((TRUNC($AN632*3/13,0)+0.99),'Tax scales - NAT 1004'!$A$39:$C$41,2,1)-VLOOKUP((TRUNC($AN632*3/13,0)+0.99),'Tax scales - NAT 1004'!$A$39:$C$41,3,1)),0)
*13/3,
0),
""))),
""),
"")</f>
        <v/>
      </c>
      <c r="AR632" s="118" t="str">
        <f>IFERROR(
IF(AND(VLOOKUP($C632,'Employee information'!$B:$M,COLUMNS('Employee information'!$B:$M),0)=4,
VLOOKUP($C632,'Employee information'!$B:$J,COLUMNS('Employee information'!$B:$J),0)="Resident"),
TRUNC(TRUNC($AN632)*'Tax scales - NAT 1004'!$B$47),
IF(AND(VLOOKUP($C632,'Employee information'!$B:$M,COLUMNS('Employee information'!$B:$M),0)=4,
VLOOKUP($C632,'Employee information'!$B:$J,COLUMNS('Employee information'!$B:$J),0)="Foreign resident"),
TRUNC(TRUNC($AN632)*'Tax scales - NAT 1004'!$B$48),
"")),
"")</f>
        <v/>
      </c>
      <c r="AS632" s="118" t="str">
        <f>IFERROR(
IF(VLOOKUP($C632,'Employee information'!$B:$M,COLUMNS('Employee information'!$B:$M),0)=5,
IF($E$2="Fortnightly",
ROUND(
ROUND((((TRUNC($AN632/2,0)+0.99))*VLOOKUP((TRUNC($AN632/2,0)+0.99),'Tax scales - NAT 1004'!$A$53:$C$59,2,1)-VLOOKUP((TRUNC($AN632/2,0)+0.99),'Tax scales - NAT 1004'!$A$53:$C$59,3,1)),0)
*2,
0),
IF(AND($E$2="Monthly",ROUND($AN632-TRUNC($AN632),2)=0.33),
ROUND(
ROUND(((TRUNC(($AN632+0.01)*3/13,0)+0.99)*VLOOKUP((TRUNC(($AN632+0.01)*3/13,0)+0.99),'Tax scales - NAT 1004'!$A$53:$C$59,2,1)-VLOOKUP((TRUNC(($AN632+0.01)*3/13,0)+0.99),'Tax scales - NAT 1004'!$A$53:$C$59,3,1)),0)
*13/3,
0),
IF($E$2="Monthly",
ROUND(
ROUND(((TRUNC($AN632*3/13,0)+0.99)*VLOOKUP((TRUNC($AN632*3/13,0)+0.99),'Tax scales - NAT 1004'!$A$53:$C$59,2,1)-VLOOKUP((TRUNC($AN632*3/13,0)+0.99),'Tax scales - NAT 1004'!$A$53:$C$59,3,1)),0)
*13/3,
0),
""))),
""),
"")</f>
        <v/>
      </c>
      <c r="AT632" s="118" t="str">
        <f>IFERROR(
IF(VLOOKUP($C632,'Employee information'!$B:$M,COLUMNS('Employee information'!$B:$M),0)=6,
IF($E$2="Fortnightly",
ROUND(
ROUND((((TRUNC($AN632/2,0)+0.99))*VLOOKUP((TRUNC($AN632/2,0)+0.99),'Tax scales - NAT 1004'!$A$65:$C$73,2,1)-VLOOKUP((TRUNC($AN632/2,0)+0.99),'Tax scales - NAT 1004'!$A$65:$C$73,3,1)),0)
*2,
0),
IF(AND($E$2="Monthly",ROUND($AN632-TRUNC($AN632),2)=0.33),
ROUND(
ROUND(((TRUNC(($AN632+0.01)*3/13,0)+0.99)*VLOOKUP((TRUNC(($AN632+0.01)*3/13,0)+0.99),'Tax scales - NAT 1004'!$A$65:$C$73,2,1)-VLOOKUP((TRUNC(($AN632+0.01)*3/13,0)+0.99),'Tax scales - NAT 1004'!$A$65:$C$73,3,1)),0)
*13/3,
0),
IF($E$2="Monthly",
ROUND(
ROUND(((TRUNC($AN632*3/13,0)+0.99)*VLOOKUP((TRUNC($AN632*3/13,0)+0.99),'Tax scales - NAT 1004'!$A$65:$C$73,2,1)-VLOOKUP((TRUNC($AN632*3/13,0)+0.99),'Tax scales - NAT 1004'!$A$65:$C$73,3,1)),0)
*13/3,
0),
""))),
""),
"")</f>
        <v/>
      </c>
      <c r="AU632" s="118" t="str">
        <f>IFERROR(
IF(VLOOKUP($C632,'Employee information'!$B:$M,COLUMNS('Employee information'!$B:$M),0)=11,
IF($E$2="Fortnightly",
ROUND(
ROUND((((TRUNC($AN632/2,0)+0.99))*VLOOKUP((TRUNC($AN632/2,0)+0.99),'Tax scales - NAT 3539'!$A$14:$C$38,2,1)-VLOOKUP((TRUNC($AN632/2,0)+0.99),'Tax scales - NAT 3539'!$A$14:$C$38,3,1)),0)
*2,
0),
IF(AND($E$2="Monthly",ROUND($AN632-TRUNC($AN632),2)=0.33),
ROUND(
ROUND(((TRUNC(($AN632+0.01)*3/13,0)+0.99)*VLOOKUP((TRUNC(($AN632+0.01)*3/13,0)+0.99),'Tax scales - NAT 3539'!$A$14:$C$38,2,1)-VLOOKUP((TRUNC(($AN632+0.01)*3/13,0)+0.99),'Tax scales - NAT 3539'!$A$14:$C$38,3,1)),0)
*13/3,
0),
IF($E$2="Monthly",
ROUND(
ROUND(((TRUNC($AN632*3/13,0)+0.99)*VLOOKUP((TRUNC($AN632*3/13,0)+0.99),'Tax scales - NAT 3539'!$A$14:$C$38,2,1)-VLOOKUP((TRUNC($AN632*3/13,0)+0.99),'Tax scales - NAT 3539'!$A$14:$C$38,3,1)),0)
*13/3,
0),
""))),
""),
"")</f>
        <v/>
      </c>
      <c r="AV632" s="118" t="str">
        <f>IFERROR(
IF(VLOOKUP($C632,'Employee information'!$B:$M,COLUMNS('Employee information'!$B:$M),0)=22,
IF($E$2="Fortnightly",
ROUND(
ROUND((((TRUNC($AN632/2,0)+0.99))*VLOOKUP((TRUNC($AN632/2,0)+0.99),'Tax scales - NAT 3539'!$A$43:$C$69,2,1)-VLOOKUP((TRUNC($AN632/2,0)+0.99),'Tax scales - NAT 3539'!$A$43:$C$69,3,1)),0)
*2,
0),
IF(AND($E$2="Monthly",ROUND($AN632-TRUNC($AN632),2)=0.33),
ROUND(
ROUND(((TRUNC(($AN632+0.01)*3/13,0)+0.99)*VLOOKUP((TRUNC(($AN632+0.01)*3/13,0)+0.99),'Tax scales - NAT 3539'!$A$43:$C$69,2,1)-VLOOKUP((TRUNC(($AN632+0.01)*3/13,0)+0.99),'Tax scales - NAT 3539'!$A$43:$C$69,3,1)),0)
*13/3,
0),
IF($E$2="Monthly",
ROUND(
ROUND(((TRUNC($AN632*3/13,0)+0.99)*VLOOKUP((TRUNC($AN632*3/13,0)+0.99),'Tax scales - NAT 3539'!$A$43:$C$69,2,1)-VLOOKUP((TRUNC($AN632*3/13,0)+0.99),'Tax scales - NAT 3539'!$A$43:$C$69,3,1)),0)
*13/3,
0),
""))),
""),
"")</f>
        <v/>
      </c>
      <c r="AW632" s="118" t="str">
        <f>IFERROR(
IF(VLOOKUP($C632,'Employee information'!$B:$M,COLUMNS('Employee information'!$B:$M),0)=33,
IF($E$2="Fortnightly",
ROUND(
ROUND((((TRUNC($AN632/2,0)+0.99))*VLOOKUP((TRUNC($AN632/2,0)+0.99),'Tax scales - NAT 3539'!$A$74:$C$94,2,1)-VLOOKUP((TRUNC($AN632/2,0)+0.99),'Tax scales - NAT 3539'!$A$74:$C$94,3,1)),0)
*2,
0),
IF(AND($E$2="Monthly",ROUND($AN632-TRUNC($AN632),2)=0.33),
ROUND(
ROUND(((TRUNC(($AN632+0.01)*3/13,0)+0.99)*VLOOKUP((TRUNC(($AN632+0.01)*3/13,0)+0.99),'Tax scales - NAT 3539'!$A$74:$C$94,2,1)-VLOOKUP((TRUNC(($AN632+0.01)*3/13,0)+0.99),'Tax scales - NAT 3539'!$A$74:$C$94,3,1)),0)
*13/3,
0),
IF($E$2="Monthly",
ROUND(
ROUND(((TRUNC($AN632*3/13,0)+0.99)*VLOOKUP((TRUNC($AN632*3/13,0)+0.99),'Tax scales - NAT 3539'!$A$74:$C$94,2,1)-VLOOKUP((TRUNC($AN632*3/13,0)+0.99),'Tax scales - NAT 3539'!$A$74:$C$94,3,1)),0)
*13/3,
0),
""))),
""),
"")</f>
        <v/>
      </c>
      <c r="AX632" s="118" t="str">
        <f>IFERROR(
IF(VLOOKUP($C632,'Employee information'!$B:$M,COLUMNS('Employee information'!$B:$M),0)=55,
IF($E$2="Fortnightly",
ROUND(
ROUND((((TRUNC($AN632/2,0)+0.99))*VLOOKUP((TRUNC($AN632/2,0)+0.99),'Tax scales - NAT 3539'!$A$99:$C$123,2,1)-VLOOKUP((TRUNC($AN632/2,0)+0.99),'Tax scales - NAT 3539'!$A$99:$C$123,3,1)),0)
*2,
0),
IF(AND($E$2="Monthly",ROUND($AN632-TRUNC($AN632),2)=0.33),
ROUND(
ROUND(((TRUNC(($AN632+0.01)*3/13,0)+0.99)*VLOOKUP((TRUNC(($AN632+0.01)*3/13,0)+0.99),'Tax scales - NAT 3539'!$A$99:$C$123,2,1)-VLOOKUP((TRUNC(($AN632+0.01)*3/13,0)+0.99),'Tax scales - NAT 3539'!$A$99:$C$123,3,1)),0)
*13/3,
0),
IF($E$2="Monthly",
ROUND(
ROUND(((TRUNC($AN632*3/13,0)+0.99)*VLOOKUP((TRUNC($AN632*3/13,0)+0.99),'Tax scales - NAT 3539'!$A$99:$C$123,2,1)-VLOOKUP((TRUNC($AN632*3/13,0)+0.99),'Tax scales - NAT 3539'!$A$99:$C$123,3,1)),0)
*13/3,
0),
""))),
""),
"")</f>
        <v/>
      </c>
      <c r="AY632" s="118" t="str">
        <f>IFERROR(
IF(VLOOKUP($C632,'Employee information'!$B:$M,COLUMNS('Employee information'!$B:$M),0)=66,
IF($E$2="Fortnightly",
ROUND(
ROUND((((TRUNC($AN632/2,0)+0.99))*VLOOKUP((TRUNC($AN632/2,0)+0.99),'Tax scales - NAT 3539'!$A$127:$C$154,2,1)-VLOOKUP((TRUNC($AN632/2,0)+0.99),'Tax scales - NAT 3539'!$A$127:$C$154,3,1)),0)
*2,
0),
IF(AND($E$2="Monthly",ROUND($AN632-TRUNC($AN632),2)=0.33),
ROUND(
ROUND(((TRUNC(($AN632+0.01)*3/13,0)+0.99)*VLOOKUP((TRUNC(($AN632+0.01)*3/13,0)+0.99),'Tax scales - NAT 3539'!$A$127:$C$154,2,1)-VLOOKUP((TRUNC(($AN632+0.01)*3/13,0)+0.99),'Tax scales - NAT 3539'!$A$127:$C$154,3,1)),0)
*13/3,
0),
IF($E$2="Monthly",
ROUND(
ROUND(((TRUNC($AN632*3/13,0)+0.99)*VLOOKUP((TRUNC($AN632*3/13,0)+0.99),'Tax scales - NAT 3539'!$A$127:$C$154,2,1)-VLOOKUP((TRUNC($AN632*3/13,0)+0.99),'Tax scales - NAT 3539'!$A$127:$C$154,3,1)),0)
*13/3,
0),
""))),
""),
"")</f>
        <v/>
      </c>
      <c r="AZ632" s="118">
        <f>IFERROR(
HLOOKUP(VLOOKUP($C632,'Employee information'!$B:$M,COLUMNS('Employee information'!$B:$M),0),'PAYG worksheet'!$AO$619:$AY$638,COUNTA($C$620:$C632)+1,0),
0)</f>
        <v>0</v>
      </c>
      <c r="BA632" s="118"/>
      <c r="BB632" s="118">
        <f t="shared" si="666"/>
        <v>0</v>
      </c>
      <c r="BC632" s="119">
        <f>IFERROR(
IF(OR($AE632=1,$AE632=""),SUM($P632,$AA632,$AC632,$AK632)*VLOOKUP($C632,'Employee information'!$B:$Q,COLUMNS('Employee information'!$B:$H),0),
IF($AE632=0,SUM($P632,$AA632,$AK632)*VLOOKUP($C632,'Employee information'!$B:$Q,COLUMNS('Employee information'!$B:$H),0),
0)),
0)</f>
        <v>0</v>
      </c>
      <c r="BE632" s="114">
        <f t="shared" si="651"/>
        <v>0</v>
      </c>
      <c r="BF632" s="114">
        <f t="shared" si="652"/>
        <v>0</v>
      </c>
      <c r="BG632" s="114">
        <f t="shared" si="653"/>
        <v>0</v>
      </c>
      <c r="BH632" s="114">
        <f t="shared" si="654"/>
        <v>0</v>
      </c>
      <c r="BI632" s="114">
        <f t="shared" si="655"/>
        <v>0</v>
      </c>
      <c r="BJ632" s="114">
        <f t="shared" si="656"/>
        <v>0</v>
      </c>
      <c r="BK632" s="114">
        <f t="shared" si="657"/>
        <v>0</v>
      </c>
      <c r="BL632" s="114">
        <f t="shared" si="667"/>
        <v>0</v>
      </c>
      <c r="BM632" s="114">
        <f t="shared" si="658"/>
        <v>0</v>
      </c>
    </row>
    <row r="633" spans="1:65" x14ac:dyDescent="0.25">
      <c r="A633" s="228">
        <f t="shared" si="646"/>
        <v>22</v>
      </c>
      <c r="C633" s="278"/>
      <c r="E633" s="103">
        <f>IF($C633="",0,
IF(AND($E$2="Monthly",$A633&gt;12),0,
IF($E$2="Monthly",VLOOKUP($C633,'Employee information'!$B:$AM,COLUMNS('Employee information'!$B:S),0),
IF($E$2="Fortnightly",VLOOKUP($C633,'Employee information'!$B:$AM,COLUMNS('Employee information'!$B:R),0),
0))))</f>
        <v>0</v>
      </c>
      <c r="F633" s="106"/>
      <c r="G633" s="106"/>
      <c r="H633" s="106"/>
      <c r="I633" s="106"/>
      <c r="J633" s="103">
        <f t="shared" si="659"/>
        <v>0</v>
      </c>
      <c r="L633" s="113">
        <f>IF(AND($E$2="Monthly",$A633&gt;12),"",
IFERROR($J633*VLOOKUP($C633,'Employee information'!$B:$AI,COLUMNS('Employee information'!$B:$P),0),0))</f>
        <v>0</v>
      </c>
      <c r="M633" s="114">
        <f t="shared" si="660"/>
        <v>0</v>
      </c>
      <c r="O633" s="103">
        <f t="shared" si="661"/>
        <v>0</v>
      </c>
      <c r="P633" s="113">
        <f>IFERROR(
IF(AND($E$2="Monthly",$A633&gt;12),0,
$O633*VLOOKUP($C633,'Employee information'!$B:$AI,COLUMNS('Employee information'!$B:$P),0)),
0)</f>
        <v>0</v>
      </c>
      <c r="R633" s="114">
        <f t="shared" si="647"/>
        <v>0</v>
      </c>
      <c r="T633" s="103"/>
      <c r="U633" s="103"/>
      <c r="V633" s="282" t="str">
        <f>IF($C633="","",
IF(AND($E$2="Monthly",$A633&gt;12),"",
$T633*VLOOKUP($C633,'Employee information'!$B:$P,COLUMNS('Employee information'!$B:$P),0)))</f>
        <v/>
      </c>
      <c r="W633" s="282" t="str">
        <f>IF($C633="","",
IF(AND($E$2="Monthly",$A633&gt;12),"",
$U633*VLOOKUP($C633,'Employee information'!$B:$P,COLUMNS('Employee information'!$B:$P),0)))</f>
        <v/>
      </c>
      <c r="X633" s="114">
        <f t="shared" si="648"/>
        <v>0</v>
      </c>
      <c r="Y633" s="114">
        <f t="shared" si="649"/>
        <v>0</v>
      </c>
      <c r="AA633" s="118">
        <f>IFERROR(
IF(OR('Basic payroll data'!$D$12="",'Basic payroll data'!$D$12="No"),0,
$T633*VLOOKUP($C633,'Employee information'!$B:$P,COLUMNS('Employee information'!$B:$P),0)*AL_loading_perc),
0)</f>
        <v>0</v>
      </c>
      <c r="AC633" s="118"/>
      <c r="AD633" s="118"/>
      <c r="AE633" s="283" t="str">
        <f t="shared" si="662"/>
        <v/>
      </c>
      <c r="AF633" s="283" t="str">
        <f t="shared" si="663"/>
        <v/>
      </c>
      <c r="AG633" s="118"/>
      <c r="AH633" s="118"/>
      <c r="AI633" s="283" t="str">
        <f t="shared" si="664"/>
        <v/>
      </c>
      <c r="AJ633" s="118"/>
      <c r="AK633" s="118"/>
      <c r="AM633" s="118">
        <f t="shared" si="665"/>
        <v>0</v>
      </c>
      <c r="AN633" s="118">
        <f t="shared" si="650"/>
        <v>0</v>
      </c>
      <c r="AO633" s="118" t="str">
        <f>IFERROR(
IF(VLOOKUP($C633,'Employee information'!$B:$M,COLUMNS('Employee information'!$B:$M),0)=1,
IF($E$2="Fortnightly",
ROUND(
ROUND((((TRUNC($AN633/2,0)+0.99))*VLOOKUP((TRUNC($AN633/2,0)+0.99),'Tax scales - NAT 1004'!$A$12:$C$18,2,1)-VLOOKUP((TRUNC($AN633/2,0)+0.99),'Tax scales - NAT 1004'!$A$12:$C$18,3,1)),0)
*2,
0),
IF(AND($E$2="Monthly",ROUND($AN633-TRUNC($AN633),2)=0.33),
ROUND(
ROUND(((TRUNC(($AN633+0.01)*3/13,0)+0.99)*VLOOKUP((TRUNC(($AN633+0.01)*3/13,0)+0.99),'Tax scales - NAT 1004'!$A$12:$C$18,2,1)-VLOOKUP((TRUNC(($AN633+0.01)*3/13,0)+0.99),'Tax scales - NAT 1004'!$A$12:$C$18,3,1)),0)
*13/3,
0),
IF($E$2="Monthly",
ROUND(
ROUND(((TRUNC($AN633*3/13,0)+0.99)*VLOOKUP((TRUNC($AN633*3/13,0)+0.99),'Tax scales - NAT 1004'!$A$12:$C$18,2,1)-VLOOKUP((TRUNC($AN633*3/13,0)+0.99),'Tax scales - NAT 1004'!$A$12:$C$18,3,1)),0)
*13/3,
0),
""))),
""),
"")</f>
        <v/>
      </c>
      <c r="AP633" s="118" t="str">
        <f>IFERROR(
IF(VLOOKUP($C633,'Employee information'!$B:$M,COLUMNS('Employee information'!$B:$M),0)=2,
IF($E$2="Fortnightly",
ROUND(
ROUND((((TRUNC($AN633/2,0)+0.99))*VLOOKUP((TRUNC($AN633/2,0)+0.99),'Tax scales - NAT 1004'!$A$25:$C$33,2,1)-VLOOKUP((TRUNC($AN633/2,0)+0.99),'Tax scales - NAT 1004'!$A$25:$C$33,3,1)),0)
*2,
0),
IF(AND($E$2="Monthly",ROUND($AN633-TRUNC($AN633),2)=0.33),
ROUND(
ROUND(((TRUNC(($AN633+0.01)*3/13,0)+0.99)*VLOOKUP((TRUNC(($AN633+0.01)*3/13,0)+0.99),'Tax scales - NAT 1004'!$A$25:$C$33,2,1)-VLOOKUP((TRUNC(($AN633+0.01)*3/13,0)+0.99),'Tax scales - NAT 1004'!$A$25:$C$33,3,1)),0)
*13/3,
0),
IF($E$2="Monthly",
ROUND(
ROUND(((TRUNC($AN633*3/13,0)+0.99)*VLOOKUP((TRUNC($AN633*3/13,0)+0.99),'Tax scales - NAT 1004'!$A$25:$C$33,2,1)-VLOOKUP((TRUNC($AN633*3/13,0)+0.99),'Tax scales - NAT 1004'!$A$25:$C$33,3,1)),0)
*13/3,
0),
""))),
""),
"")</f>
        <v/>
      </c>
      <c r="AQ633" s="118" t="str">
        <f>IFERROR(
IF(VLOOKUP($C633,'Employee information'!$B:$M,COLUMNS('Employee information'!$B:$M),0)=3,
IF($E$2="Fortnightly",
ROUND(
ROUND((((TRUNC($AN633/2,0)+0.99))*VLOOKUP((TRUNC($AN633/2,0)+0.99),'Tax scales - NAT 1004'!$A$39:$C$41,2,1)-VLOOKUP((TRUNC($AN633/2,0)+0.99),'Tax scales - NAT 1004'!$A$39:$C$41,3,1)),0)
*2,
0),
IF(AND($E$2="Monthly",ROUND($AN633-TRUNC($AN633),2)=0.33),
ROUND(
ROUND(((TRUNC(($AN633+0.01)*3/13,0)+0.99)*VLOOKUP((TRUNC(($AN633+0.01)*3/13,0)+0.99),'Tax scales - NAT 1004'!$A$39:$C$41,2,1)-VLOOKUP((TRUNC(($AN633+0.01)*3/13,0)+0.99),'Tax scales - NAT 1004'!$A$39:$C$41,3,1)),0)
*13/3,
0),
IF($E$2="Monthly",
ROUND(
ROUND(((TRUNC($AN633*3/13,0)+0.99)*VLOOKUP((TRUNC($AN633*3/13,0)+0.99),'Tax scales - NAT 1004'!$A$39:$C$41,2,1)-VLOOKUP((TRUNC($AN633*3/13,0)+0.99),'Tax scales - NAT 1004'!$A$39:$C$41,3,1)),0)
*13/3,
0),
""))),
""),
"")</f>
        <v/>
      </c>
      <c r="AR633" s="118" t="str">
        <f>IFERROR(
IF(AND(VLOOKUP($C633,'Employee information'!$B:$M,COLUMNS('Employee information'!$B:$M),0)=4,
VLOOKUP($C633,'Employee information'!$B:$J,COLUMNS('Employee information'!$B:$J),0)="Resident"),
TRUNC(TRUNC($AN633)*'Tax scales - NAT 1004'!$B$47),
IF(AND(VLOOKUP($C633,'Employee information'!$B:$M,COLUMNS('Employee information'!$B:$M),0)=4,
VLOOKUP($C633,'Employee information'!$B:$J,COLUMNS('Employee information'!$B:$J),0)="Foreign resident"),
TRUNC(TRUNC($AN633)*'Tax scales - NAT 1004'!$B$48),
"")),
"")</f>
        <v/>
      </c>
      <c r="AS633" s="118" t="str">
        <f>IFERROR(
IF(VLOOKUP($C633,'Employee information'!$B:$M,COLUMNS('Employee information'!$B:$M),0)=5,
IF($E$2="Fortnightly",
ROUND(
ROUND((((TRUNC($AN633/2,0)+0.99))*VLOOKUP((TRUNC($AN633/2,0)+0.99),'Tax scales - NAT 1004'!$A$53:$C$59,2,1)-VLOOKUP((TRUNC($AN633/2,0)+0.99),'Tax scales - NAT 1004'!$A$53:$C$59,3,1)),0)
*2,
0),
IF(AND($E$2="Monthly",ROUND($AN633-TRUNC($AN633),2)=0.33),
ROUND(
ROUND(((TRUNC(($AN633+0.01)*3/13,0)+0.99)*VLOOKUP((TRUNC(($AN633+0.01)*3/13,0)+0.99),'Tax scales - NAT 1004'!$A$53:$C$59,2,1)-VLOOKUP((TRUNC(($AN633+0.01)*3/13,0)+0.99),'Tax scales - NAT 1004'!$A$53:$C$59,3,1)),0)
*13/3,
0),
IF($E$2="Monthly",
ROUND(
ROUND(((TRUNC($AN633*3/13,0)+0.99)*VLOOKUP((TRUNC($AN633*3/13,0)+0.99),'Tax scales - NAT 1004'!$A$53:$C$59,2,1)-VLOOKUP((TRUNC($AN633*3/13,0)+0.99),'Tax scales - NAT 1004'!$A$53:$C$59,3,1)),0)
*13/3,
0),
""))),
""),
"")</f>
        <v/>
      </c>
      <c r="AT633" s="118" t="str">
        <f>IFERROR(
IF(VLOOKUP($C633,'Employee information'!$B:$M,COLUMNS('Employee information'!$B:$M),0)=6,
IF($E$2="Fortnightly",
ROUND(
ROUND((((TRUNC($AN633/2,0)+0.99))*VLOOKUP((TRUNC($AN633/2,0)+0.99),'Tax scales - NAT 1004'!$A$65:$C$73,2,1)-VLOOKUP((TRUNC($AN633/2,0)+0.99),'Tax scales - NAT 1004'!$A$65:$C$73,3,1)),0)
*2,
0),
IF(AND($E$2="Monthly",ROUND($AN633-TRUNC($AN633),2)=0.33),
ROUND(
ROUND(((TRUNC(($AN633+0.01)*3/13,0)+0.99)*VLOOKUP((TRUNC(($AN633+0.01)*3/13,0)+0.99),'Tax scales - NAT 1004'!$A$65:$C$73,2,1)-VLOOKUP((TRUNC(($AN633+0.01)*3/13,0)+0.99),'Tax scales - NAT 1004'!$A$65:$C$73,3,1)),0)
*13/3,
0),
IF($E$2="Monthly",
ROUND(
ROUND(((TRUNC($AN633*3/13,0)+0.99)*VLOOKUP((TRUNC($AN633*3/13,0)+0.99),'Tax scales - NAT 1004'!$A$65:$C$73,2,1)-VLOOKUP((TRUNC($AN633*3/13,0)+0.99),'Tax scales - NAT 1004'!$A$65:$C$73,3,1)),0)
*13/3,
0),
""))),
""),
"")</f>
        <v/>
      </c>
      <c r="AU633" s="118" t="str">
        <f>IFERROR(
IF(VLOOKUP($C633,'Employee information'!$B:$M,COLUMNS('Employee information'!$B:$M),0)=11,
IF($E$2="Fortnightly",
ROUND(
ROUND((((TRUNC($AN633/2,0)+0.99))*VLOOKUP((TRUNC($AN633/2,0)+0.99),'Tax scales - NAT 3539'!$A$14:$C$38,2,1)-VLOOKUP((TRUNC($AN633/2,0)+0.99),'Tax scales - NAT 3539'!$A$14:$C$38,3,1)),0)
*2,
0),
IF(AND($E$2="Monthly",ROUND($AN633-TRUNC($AN633),2)=0.33),
ROUND(
ROUND(((TRUNC(($AN633+0.01)*3/13,0)+0.99)*VLOOKUP((TRUNC(($AN633+0.01)*3/13,0)+0.99),'Tax scales - NAT 3539'!$A$14:$C$38,2,1)-VLOOKUP((TRUNC(($AN633+0.01)*3/13,0)+0.99),'Tax scales - NAT 3539'!$A$14:$C$38,3,1)),0)
*13/3,
0),
IF($E$2="Monthly",
ROUND(
ROUND(((TRUNC($AN633*3/13,0)+0.99)*VLOOKUP((TRUNC($AN633*3/13,0)+0.99),'Tax scales - NAT 3539'!$A$14:$C$38,2,1)-VLOOKUP((TRUNC($AN633*3/13,0)+0.99),'Tax scales - NAT 3539'!$A$14:$C$38,3,1)),0)
*13/3,
0),
""))),
""),
"")</f>
        <v/>
      </c>
      <c r="AV633" s="118" t="str">
        <f>IFERROR(
IF(VLOOKUP($C633,'Employee information'!$B:$M,COLUMNS('Employee information'!$B:$M),0)=22,
IF($E$2="Fortnightly",
ROUND(
ROUND((((TRUNC($AN633/2,0)+0.99))*VLOOKUP((TRUNC($AN633/2,0)+0.99),'Tax scales - NAT 3539'!$A$43:$C$69,2,1)-VLOOKUP((TRUNC($AN633/2,0)+0.99),'Tax scales - NAT 3539'!$A$43:$C$69,3,1)),0)
*2,
0),
IF(AND($E$2="Monthly",ROUND($AN633-TRUNC($AN633),2)=0.33),
ROUND(
ROUND(((TRUNC(($AN633+0.01)*3/13,0)+0.99)*VLOOKUP((TRUNC(($AN633+0.01)*3/13,0)+0.99),'Tax scales - NAT 3539'!$A$43:$C$69,2,1)-VLOOKUP((TRUNC(($AN633+0.01)*3/13,0)+0.99),'Tax scales - NAT 3539'!$A$43:$C$69,3,1)),0)
*13/3,
0),
IF($E$2="Monthly",
ROUND(
ROUND(((TRUNC($AN633*3/13,0)+0.99)*VLOOKUP((TRUNC($AN633*3/13,0)+0.99),'Tax scales - NAT 3539'!$A$43:$C$69,2,1)-VLOOKUP((TRUNC($AN633*3/13,0)+0.99),'Tax scales - NAT 3539'!$A$43:$C$69,3,1)),0)
*13/3,
0),
""))),
""),
"")</f>
        <v/>
      </c>
      <c r="AW633" s="118" t="str">
        <f>IFERROR(
IF(VLOOKUP($C633,'Employee information'!$B:$M,COLUMNS('Employee information'!$B:$M),0)=33,
IF($E$2="Fortnightly",
ROUND(
ROUND((((TRUNC($AN633/2,0)+0.99))*VLOOKUP((TRUNC($AN633/2,0)+0.99),'Tax scales - NAT 3539'!$A$74:$C$94,2,1)-VLOOKUP((TRUNC($AN633/2,0)+0.99),'Tax scales - NAT 3539'!$A$74:$C$94,3,1)),0)
*2,
0),
IF(AND($E$2="Monthly",ROUND($AN633-TRUNC($AN633),2)=0.33),
ROUND(
ROUND(((TRUNC(($AN633+0.01)*3/13,0)+0.99)*VLOOKUP((TRUNC(($AN633+0.01)*3/13,0)+0.99),'Tax scales - NAT 3539'!$A$74:$C$94,2,1)-VLOOKUP((TRUNC(($AN633+0.01)*3/13,0)+0.99),'Tax scales - NAT 3539'!$A$74:$C$94,3,1)),0)
*13/3,
0),
IF($E$2="Monthly",
ROUND(
ROUND(((TRUNC($AN633*3/13,0)+0.99)*VLOOKUP((TRUNC($AN633*3/13,0)+0.99),'Tax scales - NAT 3539'!$A$74:$C$94,2,1)-VLOOKUP((TRUNC($AN633*3/13,0)+0.99),'Tax scales - NAT 3539'!$A$74:$C$94,3,1)),0)
*13/3,
0),
""))),
""),
"")</f>
        <v/>
      </c>
      <c r="AX633" s="118" t="str">
        <f>IFERROR(
IF(VLOOKUP($C633,'Employee information'!$B:$M,COLUMNS('Employee information'!$B:$M),0)=55,
IF($E$2="Fortnightly",
ROUND(
ROUND((((TRUNC($AN633/2,0)+0.99))*VLOOKUP((TRUNC($AN633/2,0)+0.99),'Tax scales - NAT 3539'!$A$99:$C$123,2,1)-VLOOKUP((TRUNC($AN633/2,0)+0.99),'Tax scales - NAT 3539'!$A$99:$C$123,3,1)),0)
*2,
0),
IF(AND($E$2="Monthly",ROUND($AN633-TRUNC($AN633),2)=0.33),
ROUND(
ROUND(((TRUNC(($AN633+0.01)*3/13,0)+0.99)*VLOOKUP((TRUNC(($AN633+0.01)*3/13,0)+0.99),'Tax scales - NAT 3539'!$A$99:$C$123,2,1)-VLOOKUP((TRUNC(($AN633+0.01)*3/13,0)+0.99),'Tax scales - NAT 3539'!$A$99:$C$123,3,1)),0)
*13/3,
0),
IF($E$2="Monthly",
ROUND(
ROUND(((TRUNC($AN633*3/13,0)+0.99)*VLOOKUP((TRUNC($AN633*3/13,0)+0.99),'Tax scales - NAT 3539'!$A$99:$C$123,2,1)-VLOOKUP((TRUNC($AN633*3/13,0)+0.99),'Tax scales - NAT 3539'!$A$99:$C$123,3,1)),0)
*13/3,
0),
""))),
""),
"")</f>
        <v/>
      </c>
      <c r="AY633" s="118" t="str">
        <f>IFERROR(
IF(VLOOKUP($C633,'Employee information'!$B:$M,COLUMNS('Employee information'!$B:$M),0)=66,
IF($E$2="Fortnightly",
ROUND(
ROUND((((TRUNC($AN633/2,0)+0.99))*VLOOKUP((TRUNC($AN633/2,0)+0.99),'Tax scales - NAT 3539'!$A$127:$C$154,2,1)-VLOOKUP((TRUNC($AN633/2,0)+0.99),'Tax scales - NAT 3539'!$A$127:$C$154,3,1)),0)
*2,
0),
IF(AND($E$2="Monthly",ROUND($AN633-TRUNC($AN633),2)=0.33),
ROUND(
ROUND(((TRUNC(($AN633+0.01)*3/13,0)+0.99)*VLOOKUP((TRUNC(($AN633+0.01)*3/13,0)+0.99),'Tax scales - NAT 3539'!$A$127:$C$154,2,1)-VLOOKUP((TRUNC(($AN633+0.01)*3/13,0)+0.99),'Tax scales - NAT 3539'!$A$127:$C$154,3,1)),0)
*13/3,
0),
IF($E$2="Monthly",
ROUND(
ROUND(((TRUNC($AN633*3/13,0)+0.99)*VLOOKUP((TRUNC($AN633*3/13,0)+0.99),'Tax scales - NAT 3539'!$A$127:$C$154,2,1)-VLOOKUP((TRUNC($AN633*3/13,0)+0.99),'Tax scales - NAT 3539'!$A$127:$C$154,3,1)),0)
*13/3,
0),
""))),
""),
"")</f>
        <v/>
      </c>
      <c r="AZ633" s="118">
        <f>IFERROR(
HLOOKUP(VLOOKUP($C633,'Employee information'!$B:$M,COLUMNS('Employee information'!$B:$M),0),'PAYG worksheet'!$AO$619:$AY$638,COUNTA($C$620:$C633)+1,0),
0)</f>
        <v>0</v>
      </c>
      <c r="BA633" s="118"/>
      <c r="BB633" s="118">
        <f t="shared" si="666"/>
        <v>0</v>
      </c>
      <c r="BC633" s="119">
        <f>IFERROR(
IF(OR($AE633=1,$AE633=""),SUM($P633,$AA633,$AC633,$AK633)*VLOOKUP($C633,'Employee information'!$B:$Q,COLUMNS('Employee information'!$B:$H),0),
IF($AE633=0,SUM($P633,$AA633,$AK633)*VLOOKUP($C633,'Employee information'!$B:$Q,COLUMNS('Employee information'!$B:$H),0),
0)),
0)</f>
        <v>0</v>
      </c>
      <c r="BE633" s="114">
        <f t="shared" si="651"/>
        <v>0</v>
      </c>
      <c r="BF633" s="114">
        <f t="shared" si="652"/>
        <v>0</v>
      </c>
      <c r="BG633" s="114">
        <f t="shared" si="653"/>
        <v>0</v>
      </c>
      <c r="BH633" s="114">
        <f t="shared" si="654"/>
        <v>0</v>
      </c>
      <c r="BI633" s="114">
        <f t="shared" si="655"/>
        <v>0</v>
      </c>
      <c r="BJ633" s="114">
        <f t="shared" si="656"/>
        <v>0</v>
      </c>
      <c r="BK633" s="114">
        <f t="shared" si="657"/>
        <v>0</v>
      </c>
      <c r="BL633" s="114">
        <f t="shared" si="667"/>
        <v>0</v>
      </c>
      <c r="BM633" s="114">
        <f t="shared" si="658"/>
        <v>0</v>
      </c>
    </row>
    <row r="634" spans="1:65" x14ac:dyDescent="0.25">
      <c r="A634" s="228">
        <f t="shared" si="646"/>
        <v>22</v>
      </c>
      <c r="C634" s="278"/>
      <c r="E634" s="103">
        <f>IF($C634="",0,
IF(AND($E$2="Monthly",$A634&gt;12),0,
IF($E$2="Monthly",VLOOKUP($C634,'Employee information'!$B:$AM,COLUMNS('Employee information'!$B:S),0),
IF($E$2="Fortnightly",VLOOKUP($C634,'Employee information'!$B:$AM,COLUMNS('Employee information'!$B:R),0),
0))))</f>
        <v>0</v>
      </c>
      <c r="F634" s="106"/>
      <c r="G634" s="106"/>
      <c r="H634" s="106"/>
      <c r="I634" s="106"/>
      <c r="J634" s="103">
        <f t="shared" si="659"/>
        <v>0</v>
      </c>
      <c r="L634" s="113">
        <f>IF(AND($E$2="Monthly",$A634&gt;12),"",
IFERROR($J634*VLOOKUP($C634,'Employee information'!$B:$AI,COLUMNS('Employee information'!$B:$P),0),0))</f>
        <v>0</v>
      </c>
      <c r="M634" s="114">
        <f t="shared" si="660"/>
        <v>0</v>
      </c>
      <c r="O634" s="103">
        <f t="shared" si="661"/>
        <v>0</v>
      </c>
      <c r="P634" s="113">
        <f>IFERROR(
IF(AND($E$2="Monthly",$A634&gt;12),0,
$O634*VLOOKUP($C634,'Employee information'!$B:$AI,COLUMNS('Employee information'!$B:$P),0)),
0)</f>
        <v>0</v>
      </c>
      <c r="R634" s="114">
        <f t="shared" si="647"/>
        <v>0</v>
      </c>
      <c r="T634" s="103"/>
      <c r="U634" s="103"/>
      <c r="V634" s="282" t="str">
        <f>IF($C634="","",
IF(AND($E$2="Monthly",$A634&gt;12),"",
$T634*VLOOKUP($C634,'Employee information'!$B:$P,COLUMNS('Employee information'!$B:$P),0)))</f>
        <v/>
      </c>
      <c r="W634" s="282" t="str">
        <f>IF($C634="","",
IF(AND($E$2="Monthly",$A634&gt;12),"",
$U634*VLOOKUP($C634,'Employee information'!$B:$P,COLUMNS('Employee information'!$B:$P),0)))</f>
        <v/>
      </c>
      <c r="X634" s="114">
        <f t="shared" si="648"/>
        <v>0</v>
      </c>
      <c r="Y634" s="114">
        <f t="shared" si="649"/>
        <v>0</v>
      </c>
      <c r="AA634" s="118">
        <f>IFERROR(
IF(OR('Basic payroll data'!$D$12="",'Basic payroll data'!$D$12="No"),0,
$T634*VLOOKUP($C634,'Employee information'!$B:$P,COLUMNS('Employee information'!$B:$P),0)*AL_loading_perc),
0)</f>
        <v>0</v>
      </c>
      <c r="AC634" s="118"/>
      <c r="AD634" s="118"/>
      <c r="AE634" s="283" t="str">
        <f t="shared" si="662"/>
        <v/>
      </c>
      <c r="AF634" s="283" t="str">
        <f t="shared" si="663"/>
        <v/>
      </c>
      <c r="AG634" s="118"/>
      <c r="AH634" s="118"/>
      <c r="AI634" s="283" t="str">
        <f t="shared" si="664"/>
        <v/>
      </c>
      <c r="AJ634" s="118"/>
      <c r="AK634" s="118"/>
      <c r="AM634" s="118">
        <f t="shared" si="665"/>
        <v>0</v>
      </c>
      <c r="AN634" s="118">
        <f t="shared" si="650"/>
        <v>0</v>
      </c>
      <c r="AO634" s="118" t="str">
        <f>IFERROR(
IF(VLOOKUP($C634,'Employee information'!$B:$M,COLUMNS('Employee information'!$B:$M),0)=1,
IF($E$2="Fortnightly",
ROUND(
ROUND((((TRUNC($AN634/2,0)+0.99))*VLOOKUP((TRUNC($AN634/2,0)+0.99),'Tax scales - NAT 1004'!$A$12:$C$18,2,1)-VLOOKUP((TRUNC($AN634/2,0)+0.99),'Tax scales - NAT 1004'!$A$12:$C$18,3,1)),0)
*2,
0),
IF(AND($E$2="Monthly",ROUND($AN634-TRUNC($AN634),2)=0.33),
ROUND(
ROUND(((TRUNC(($AN634+0.01)*3/13,0)+0.99)*VLOOKUP((TRUNC(($AN634+0.01)*3/13,0)+0.99),'Tax scales - NAT 1004'!$A$12:$C$18,2,1)-VLOOKUP((TRUNC(($AN634+0.01)*3/13,0)+0.99),'Tax scales - NAT 1004'!$A$12:$C$18,3,1)),0)
*13/3,
0),
IF($E$2="Monthly",
ROUND(
ROUND(((TRUNC($AN634*3/13,0)+0.99)*VLOOKUP((TRUNC($AN634*3/13,0)+0.99),'Tax scales - NAT 1004'!$A$12:$C$18,2,1)-VLOOKUP((TRUNC($AN634*3/13,0)+0.99),'Tax scales - NAT 1004'!$A$12:$C$18,3,1)),0)
*13/3,
0),
""))),
""),
"")</f>
        <v/>
      </c>
      <c r="AP634" s="118" t="str">
        <f>IFERROR(
IF(VLOOKUP($C634,'Employee information'!$B:$M,COLUMNS('Employee information'!$B:$M),0)=2,
IF($E$2="Fortnightly",
ROUND(
ROUND((((TRUNC($AN634/2,0)+0.99))*VLOOKUP((TRUNC($AN634/2,0)+0.99),'Tax scales - NAT 1004'!$A$25:$C$33,2,1)-VLOOKUP((TRUNC($AN634/2,0)+0.99),'Tax scales - NAT 1004'!$A$25:$C$33,3,1)),0)
*2,
0),
IF(AND($E$2="Monthly",ROUND($AN634-TRUNC($AN634),2)=0.33),
ROUND(
ROUND(((TRUNC(($AN634+0.01)*3/13,0)+0.99)*VLOOKUP((TRUNC(($AN634+0.01)*3/13,0)+0.99),'Tax scales - NAT 1004'!$A$25:$C$33,2,1)-VLOOKUP((TRUNC(($AN634+0.01)*3/13,0)+0.99),'Tax scales - NAT 1004'!$A$25:$C$33,3,1)),0)
*13/3,
0),
IF($E$2="Monthly",
ROUND(
ROUND(((TRUNC($AN634*3/13,0)+0.99)*VLOOKUP((TRUNC($AN634*3/13,0)+0.99),'Tax scales - NAT 1004'!$A$25:$C$33,2,1)-VLOOKUP((TRUNC($AN634*3/13,0)+0.99),'Tax scales - NAT 1004'!$A$25:$C$33,3,1)),0)
*13/3,
0),
""))),
""),
"")</f>
        <v/>
      </c>
      <c r="AQ634" s="118" t="str">
        <f>IFERROR(
IF(VLOOKUP($C634,'Employee information'!$B:$M,COLUMNS('Employee information'!$B:$M),0)=3,
IF($E$2="Fortnightly",
ROUND(
ROUND((((TRUNC($AN634/2,0)+0.99))*VLOOKUP((TRUNC($AN634/2,0)+0.99),'Tax scales - NAT 1004'!$A$39:$C$41,2,1)-VLOOKUP((TRUNC($AN634/2,0)+0.99),'Tax scales - NAT 1004'!$A$39:$C$41,3,1)),0)
*2,
0),
IF(AND($E$2="Monthly",ROUND($AN634-TRUNC($AN634),2)=0.33),
ROUND(
ROUND(((TRUNC(($AN634+0.01)*3/13,0)+0.99)*VLOOKUP((TRUNC(($AN634+0.01)*3/13,0)+0.99),'Tax scales - NAT 1004'!$A$39:$C$41,2,1)-VLOOKUP((TRUNC(($AN634+0.01)*3/13,0)+0.99),'Tax scales - NAT 1004'!$A$39:$C$41,3,1)),0)
*13/3,
0),
IF($E$2="Monthly",
ROUND(
ROUND(((TRUNC($AN634*3/13,0)+0.99)*VLOOKUP((TRUNC($AN634*3/13,0)+0.99),'Tax scales - NAT 1004'!$A$39:$C$41,2,1)-VLOOKUP((TRUNC($AN634*3/13,0)+0.99),'Tax scales - NAT 1004'!$A$39:$C$41,3,1)),0)
*13/3,
0),
""))),
""),
"")</f>
        <v/>
      </c>
      <c r="AR634" s="118" t="str">
        <f>IFERROR(
IF(AND(VLOOKUP($C634,'Employee information'!$B:$M,COLUMNS('Employee information'!$B:$M),0)=4,
VLOOKUP($C634,'Employee information'!$B:$J,COLUMNS('Employee information'!$B:$J),0)="Resident"),
TRUNC(TRUNC($AN634)*'Tax scales - NAT 1004'!$B$47),
IF(AND(VLOOKUP($C634,'Employee information'!$B:$M,COLUMNS('Employee information'!$B:$M),0)=4,
VLOOKUP($C634,'Employee information'!$B:$J,COLUMNS('Employee information'!$B:$J),0)="Foreign resident"),
TRUNC(TRUNC($AN634)*'Tax scales - NAT 1004'!$B$48),
"")),
"")</f>
        <v/>
      </c>
      <c r="AS634" s="118" t="str">
        <f>IFERROR(
IF(VLOOKUP($C634,'Employee information'!$B:$M,COLUMNS('Employee information'!$B:$M),0)=5,
IF($E$2="Fortnightly",
ROUND(
ROUND((((TRUNC($AN634/2,0)+0.99))*VLOOKUP((TRUNC($AN634/2,0)+0.99),'Tax scales - NAT 1004'!$A$53:$C$59,2,1)-VLOOKUP((TRUNC($AN634/2,0)+0.99),'Tax scales - NAT 1004'!$A$53:$C$59,3,1)),0)
*2,
0),
IF(AND($E$2="Monthly",ROUND($AN634-TRUNC($AN634),2)=0.33),
ROUND(
ROUND(((TRUNC(($AN634+0.01)*3/13,0)+0.99)*VLOOKUP((TRUNC(($AN634+0.01)*3/13,0)+0.99),'Tax scales - NAT 1004'!$A$53:$C$59,2,1)-VLOOKUP((TRUNC(($AN634+0.01)*3/13,0)+0.99),'Tax scales - NAT 1004'!$A$53:$C$59,3,1)),0)
*13/3,
0),
IF($E$2="Monthly",
ROUND(
ROUND(((TRUNC($AN634*3/13,0)+0.99)*VLOOKUP((TRUNC($AN634*3/13,0)+0.99),'Tax scales - NAT 1004'!$A$53:$C$59,2,1)-VLOOKUP((TRUNC($AN634*3/13,0)+0.99),'Tax scales - NAT 1004'!$A$53:$C$59,3,1)),0)
*13/3,
0),
""))),
""),
"")</f>
        <v/>
      </c>
      <c r="AT634" s="118" t="str">
        <f>IFERROR(
IF(VLOOKUP($C634,'Employee information'!$B:$M,COLUMNS('Employee information'!$B:$M),0)=6,
IF($E$2="Fortnightly",
ROUND(
ROUND((((TRUNC($AN634/2,0)+0.99))*VLOOKUP((TRUNC($AN634/2,0)+0.99),'Tax scales - NAT 1004'!$A$65:$C$73,2,1)-VLOOKUP((TRUNC($AN634/2,0)+0.99),'Tax scales - NAT 1004'!$A$65:$C$73,3,1)),0)
*2,
0),
IF(AND($E$2="Monthly",ROUND($AN634-TRUNC($AN634),2)=0.33),
ROUND(
ROUND(((TRUNC(($AN634+0.01)*3/13,0)+0.99)*VLOOKUP((TRUNC(($AN634+0.01)*3/13,0)+0.99),'Tax scales - NAT 1004'!$A$65:$C$73,2,1)-VLOOKUP((TRUNC(($AN634+0.01)*3/13,0)+0.99),'Tax scales - NAT 1004'!$A$65:$C$73,3,1)),0)
*13/3,
0),
IF($E$2="Monthly",
ROUND(
ROUND(((TRUNC($AN634*3/13,0)+0.99)*VLOOKUP((TRUNC($AN634*3/13,0)+0.99),'Tax scales - NAT 1004'!$A$65:$C$73,2,1)-VLOOKUP((TRUNC($AN634*3/13,0)+0.99),'Tax scales - NAT 1004'!$A$65:$C$73,3,1)),0)
*13/3,
0),
""))),
""),
"")</f>
        <v/>
      </c>
      <c r="AU634" s="118" t="str">
        <f>IFERROR(
IF(VLOOKUP($C634,'Employee information'!$B:$M,COLUMNS('Employee information'!$B:$M),0)=11,
IF($E$2="Fortnightly",
ROUND(
ROUND((((TRUNC($AN634/2,0)+0.99))*VLOOKUP((TRUNC($AN634/2,0)+0.99),'Tax scales - NAT 3539'!$A$14:$C$38,2,1)-VLOOKUP((TRUNC($AN634/2,0)+0.99),'Tax scales - NAT 3539'!$A$14:$C$38,3,1)),0)
*2,
0),
IF(AND($E$2="Monthly",ROUND($AN634-TRUNC($AN634),2)=0.33),
ROUND(
ROUND(((TRUNC(($AN634+0.01)*3/13,0)+0.99)*VLOOKUP((TRUNC(($AN634+0.01)*3/13,0)+0.99),'Tax scales - NAT 3539'!$A$14:$C$38,2,1)-VLOOKUP((TRUNC(($AN634+0.01)*3/13,0)+0.99),'Tax scales - NAT 3539'!$A$14:$C$38,3,1)),0)
*13/3,
0),
IF($E$2="Monthly",
ROUND(
ROUND(((TRUNC($AN634*3/13,0)+0.99)*VLOOKUP((TRUNC($AN634*3/13,0)+0.99),'Tax scales - NAT 3539'!$A$14:$C$38,2,1)-VLOOKUP((TRUNC($AN634*3/13,0)+0.99),'Tax scales - NAT 3539'!$A$14:$C$38,3,1)),0)
*13/3,
0),
""))),
""),
"")</f>
        <v/>
      </c>
      <c r="AV634" s="118" t="str">
        <f>IFERROR(
IF(VLOOKUP($C634,'Employee information'!$B:$M,COLUMNS('Employee information'!$B:$M),0)=22,
IF($E$2="Fortnightly",
ROUND(
ROUND((((TRUNC($AN634/2,0)+0.99))*VLOOKUP((TRUNC($AN634/2,0)+0.99),'Tax scales - NAT 3539'!$A$43:$C$69,2,1)-VLOOKUP((TRUNC($AN634/2,0)+0.99),'Tax scales - NAT 3539'!$A$43:$C$69,3,1)),0)
*2,
0),
IF(AND($E$2="Monthly",ROUND($AN634-TRUNC($AN634),2)=0.33),
ROUND(
ROUND(((TRUNC(($AN634+0.01)*3/13,0)+0.99)*VLOOKUP((TRUNC(($AN634+0.01)*3/13,0)+0.99),'Tax scales - NAT 3539'!$A$43:$C$69,2,1)-VLOOKUP((TRUNC(($AN634+0.01)*3/13,0)+0.99),'Tax scales - NAT 3539'!$A$43:$C$69,3,1)),0)
*13/3,
0),
IF($E$2="Monthly",
ROUND(
ROUND(((TRUNC($AN634*3/13,0)+0.99)*VLOOKUP((TRUNC($AN634*3/13,0)+0.99),'Tax scales - NAT 3539'!$A$43:$C$69,2,1)-VLOOKUP((TRUNC($AN634*3/13,0)+0.99),'Tax scales - NAT 3539'!$A$43:$C$69,3,1)),0)
*13/3,
0),
""))),
""),
"")</f>
        <v/>
      </c>
      <c r="AW634" s="118" t="str">
        <f>IFERROR(
IF(VLOOKUP($C634,'Employee information'!$B:$M,COLUMNS('Employee information'!$B:$M),0)=33,
IF($E$2="Fortnightly",
ROUND(
ROUND((((TRUNC($AN634/2,0)+0.99))*VLOOKUP((TRUNC($AN634/2,0)+0.99),'Tax scales - NAT 3539'!$A$74:$C$94,2,1)-VLOOKUP((TRUNC($AN634/2,0)+0.99),'Tax scales - NAT 3539'!$A$74:$C$94,3,1)),0)
*2,
0),
IF(AND($E$2="Monthly",ROUND($AN634-TRUNC($AN634),2)=0.33),
ROUND(
ROUND(((TRUNC(($AN634+0.01)*3/13,0)+0.99)*VLOOKUP((TRUNC(($AN634+0.01)*3/13,0)+0.99),'Tax scales - NAT 3539'!$A$74:$C$94,2,1)-VLOOKUP((TRUNC(($AN634+0.01)*3/13,0)+0.99),'Tax scales - NAT 3539'!$A$74:$C$94,3,1)),0)
*13/3,
0),
IF($E$2="Monthly",
ROUND(
ROUND(((TRUNC($AN634*3/13,0)+0.99)*VLOOKUP((TRUNC($AN634*3/13,0)+0.99),'Tax scales - NAT 3539'!$A$74:$C$94,2,1)-VLOOKUP((TRUNC($AN634*3/13,0)+0.99),'Tax scales - NAT 3539'!$A$74:$C$94,3,1)),0)
*13/3,
0),
""))),
""),
"")</f>
        <v/>
      </c>
      <c r="AX634" s="118" t="str">
        <f>IFERROR(
IF(VLOOKUP($C634,'Employee information'!$B:$M,COLUMNS('Employee information'!$B:$M),0)=55,
IF($E$2="Fortnightly",
ROUND(
ROUND((((TRUNC($AN634/2,0)+0.99))*VLOOKUP((TRUNC($AN634/2,0)+0.99),'Tax scales - NAT 3539'!$A$99:$C$123,2,1)-VLOOKUP((TRUNC($AN634/2,0)+0.99),'Tax scales - NAT 3539'!$A$99:$C$123,3,1)),0)
*2,
0),
IF(AND($E$2="Monthly",ROUND($AN634-TRUNC($AN634),2)=0.33),
ROUND(
ROUND(((TRUNC(($AN634+0.01)*3/13,0)+0.99)*VLOOKUP((TRUNC(($AN634+0.01)*3/13,0)+0.99),'Tax scales - NAT 3539'!$A$99:$C$123,2,1)-VLOOKUP((TRUNC(($AN634+0.01)*3/13,0)+0.99),'Tax scales - NAT 3539'!$A$99:$C$123,3,1)),0)
*13/3,
0),
IF($E$2="Monthly",
ROUND(
ROUND(((TRUNC($AN634*3/13,0)+0.99)*VLOOKUP((TRUNC($AN634*3/13,0)+0.99),'Tax scales - NAT 3539'!$A$99:$C$123,2,1)-VLOOKUP((TRUNC($AN634*3/13,0)+0.99),'Tax scales - NAT 3539'!$A$99:$C$123,3,1)),0)
*13/3,
0),
""))),
""),
"")</f>
        <v/>
      </c>
      <c r="AY634" s="118" t="str">
        <f>IFERROR(
IF(VLOOKUP($C634,'Employee information'!$B:$M,COLUMNS('Employee information'!$B:$M),0)=66,
IF($E$2="Fortnightly",
ROUND(
ROUND((((TRUNC($AN634/2,0)+0.99))*VLOOKUP((TRUNC($AN634/2,0)+0.99),'Tax scales - NAT 3539'!$A$127:$C$154,2,1)-VLOOKUP((TRUNC($AN634/2,0)+0.99),'Tax scales - NAT 3539'!$A$127:$C$154,3,1)),0)
*2,
0),
IF(AND($E$2="Monthly",ROUND($AN634-TRUNC($AN634),2)=0.33),
ROUND(
ROUND(((TRUNC(($AN634+0.01)*3/13,0)+0.99)*VLOOKUP((TRUNC(($AN634+0.01)*3/13,0)+0.99),'Tax scales - NAT 3539'!$A$127:$C$154,2,1)-VLOOKUP((TRUNC(($AN634+0.01)*3/13,0)+0.99),'Tax scales - NAT 3539'!$A$127:$C$154,3,1)),0)
*13/3,
0),
IF($E$2="Monthly",
ROUND(
ROUND(((TRUNC($AN634*3/13,0)+0.99)*VLOOKUP((TRUNC($AN634*3/13,0)+0.99),'Tax scales - NAT 3539'!$A$127:$C$154,2,1)-VLOOKUP((TRUNC($AN634*3/13,0)+0.99),'Tax scales - NAT 3539'!$A$127:$C$154,3,1)),0)
*13/3,
0),
""))),
""),
"")</f>
        <v/>
      </c>
      <c r="AZ634" s="118">
        <f>IFERROR(
HLOOKUP(VLOOKUP($C634,'Employee information'!$B:$M,COLUMNS('Employee information'!$B:$M),0),'PAYG worksheet'!$AO$619:$AY$638,COUNTA($C$620:$C634)+1,0),
0)</f>
        <v>0</v>
      </c>
      <c r="BA634" s="118"/>
      <c r="BB634" s="118">
        <f t="shared" si="666"/>
        <v>0</v>
      </c>
      <c r="BC634" s="119">
        <f>IFERROR(
IF(OR($AE634=1,$AE634=""),SUM($P634,$AA634,$AC634,$AK634)*VLOOKUP($C634,'Employee information'!$B:$Q,COLUMNS('Employee information'!$B:$H),0),
IF($AE634=0,SUM($P634,$AA634,$AK634)*VLOOKUP($C634,'Employee information'!$B:$Q,COLUMNS('Employee information'!$B:$H),0),
0)),
0)</f>
        <v>0</v>
      </c>
      <c r="BE634" s="114">
        <f t="shared" si="651"/>
        <v>0</v>
      </c>
      <c r="BF634" s="114">
        <f t="shared" si="652"/>
        <v>0</v>
      </c>
      <c r="BG634" s="114">
        <f t="shared" si="653"/>
        <v>0</v>
      </c>
      <c r="BH634" s="114">
        <f t="shared" si="654"/>
        <v>0</v>
      </c>
      <c r="BI634" s="114">
        <f t="shared" si="655"/>
        <v>0</v>
      </c>
      <c r="BJ634" s="114">
        <f t="shared" si="656"/>
        <v>0</v>
      </c>
      <c r="BK634" s="114">
        <f t="shared" si="657"/>
        <v>0</v>
      </c>
      <c r="BL634" s="114">
        <f t="shared" si="667"/>
        <v>0</v>
      </c>
      <c r="BM634" s="114">
        <f t="shared" si="658"/>
        <v>0</v>
      </c>
    </row>
    <row r="635" spans="1:65" x14ac:dyDescent="0.25">
      <c r="A635" s="228">
        <f t="shared" si="646"/>
        <v>22</v>
      </c>
      <c r="C635" s="278"/>
      <c r="E635" s="103">
        <f>IF($C635="",0,
IF(AND($E$2="Monthly",$A635&gt;12),0,
IF($E$2="Monthly",VLOOKUP($C635,'Employee information'!$B:$AM,COLUMNS('Employee information'!$B:S),0),
IF($E$2="Fortnightly",VLOOKUP($C635,'Employee information'!$B:$AM,COLUMNS('Employee information'!$B:R),0),
0))))</f>
        <v>0</v>
      </c>
      <c r="F635" s="106"/>
      <c r="G635" s="106"/>
      <c r="H635" s="106"/>
      <c r="I635" s="106"/>
      <c r="J635" s="103">
        <f t="shared" si="659"/>
        <v>0</v>
      </c>
      <c r="L635" s="113">
        <f>IF(AND($E$2="Monthly",$A635&gt;12),"",
IFERROR($J635*VLOOKUP($C635,'Employee information'!$B:$AI,COLUMNS('Employee information'!$B:$P),0),0))</f>
        <v>0</v>
      </c>
      <c r="M635" s="114">
        <f t="shared" si="660"/>
        <v>0</v>
      </c>
      <c r="O635" s="103">
        <f t="shared" si="661"/>
        <v>0</v>
      </c>
      <c r="P635" s="113">
        <f>IFERROR(
IF(AND($E$2="Monthly",$A635&gt;12),0,
$O635*VLOOKUP($C635,'Employee information'!$B:$AI,COLUMNS('Employee information'!$B:$P),0)),
0)</f>
        <v>0</v>
      </c>
      <c r="R635" s="114">
        <f t="shared" si="647"/>
        <v>0</v>
      </c>
      <c r="T635" s="103"/>
      <c r="U635" s="103"/>
      <c r="V635" s="282" t="str">
        <f>IF($C635="","",
IF(AND($E$2="Monthly",$A635&gt;12),"",
$T635*VLOOKUP($C635,'Employee information'!$B:$P,COLUMNS('Employee information'!$B:$P),0)))</f>
        <v/>
      </c>
      <c r="W635" s="282" t="str">
        <f>IF($C635="","",
IF(AND($E$2="Monthly",$A635&gt;12),"",
$U635*VLOOKUP($C635,'Employee information'!$B:$P,COLUMNS('Employee information'!$B:$P),0)))</f>
        <v/>
      </c>
      <c r="X635" s="114">
        <f t="shared" si="648"/>
        <v>0</v>
      </c>
      <c r="Y635" s="114">
        <f t="shared" si="649"/>
        <v>0</v>
      </c>
      <c r="AA635" s="118">
        <f>IFERROR(
IF(OR('Basic payroll data'!$D$12="",'Basic payroll data'!$D$12="No"),0,
$T635*VLOOKUP($C635,'Employee information'!$B:$P,COLUMNS('Employee information'!$B:$P),0)*AL_loading_perc),
0)</f>
        <v>0</v>
      </c>
      <c r="AC635" s="118"/>
      <c r="AD635" s="118"/>
      <c r="AE635" s="283" t="str">
        <f t="shared" si="662"/>
        <v/>
      </c>
      <c r="AF635" s="283" t="str">
        <f t="shared" si="663"/>
        <v/>
      </c>
      <c r="AG635" s="118"/>
      <c r="AH635" s="118"/>
      <c r="AI635" s="283" t="str">
        <f t="shared" si="664"/>
        <v/>
      </c>
      <c r="AJ635" s="118"/>
      <c r="AK635" s="118"/>
      <c r="AM635" s="118">
        <f t="shared" si="665"/>
        <v>0</v>
      </c>
      <c r="AN635" s="118">
        <f t="shared" si="650"/>
        <v>0</v>
      </c>
      <c r="AO635" s="118" t="str">
        <f>IFERROR(
IF(VLOOKUP($C635,'Employee information'!$B:$M,COLUMNS('Employee information'!$B:$M),0)=1,
IF($E$2="Fortnightly",
ROUND(
ROUND((((TRUNC($AN635/2,0)+0.99))*VLOOKUP((TRUNC($AN635/2,0)+0.99),'Tax scales - NAT 1004'!$A$12:$C$18,2,1)-VLOOKUP((TRUNC($AN635/2,0)+0.99),'Tax scales - NAT 1004'!$A$12:$C$18,3,1)),0)
*2,
0),
IF(AND($E$2="Monthly",ROUND($AN635-TRUNC($AN635),2)=0.33),
ROUND(
ROUND(((TRUNC(($AN635+0.01)*3/13,0)+0.99)*VLOOKUP((TRUNC(($AN635+0.01)*3/13,0)+0.99),'Tax scales - NAT 1004'!$A$12:$C$18,2,1)-VLOOKUP((TRUNC(($AN635+0.01)*3/13,0)+0.99),'Tax scales - NAT 1004'!$A$12:$C$18,3,1)),0)
*13/3,
0),
IF($E$2="Monthly",
ROUND(
ROUND(((TRUNC($AN635*3/13,0)+0.99)*VLOOKUP((TRUNC($AN635*3/13,0)+0.99),'Tax scales - NAT 1004'!$A$12:$C$18,2,1)-VLOOKUP((TRUNC($AN635*3/13,0)+0.99),'Tax scales - NAT 1004'!$A$12:$C$18,3,1)),0)
*13/3,
0),
""))),
""),
"")</f>
        <v/>
      </c>
      <c r="AP635" s="118" t="str">
        <f>IFERROR(
IF(VLOOKUP($C635,'Employee information'!$B:$M,COLUMNS('Employee information'!$B:$M),0)=2,
IF($E$2="Fortnightly",
ROUND(
ROUND((((TRUNC($AN635/2,0)+0.99))*VLOOKUP((TRUNC($AN635/2,0)+0.99),'Tax scales - NAT 1004'!$A$25:$C$33,2,1)-VLOOKUP((TRUNC($AN635/2,0)+0.99),'Tax scales - NAT 1004'!$A$25:$C$33,3,1)),0)
*2,
0),
IF(AND($E$2="Monthly",ROUND($AN635-TRUNC($AN635),2)=0.33),
ROUND(
ROUND(((TRUNC(($AN635+0.01)*3/13,0)+0.99)*VLOOKUP((TRUNC(($AN635+0.01)*3/13,0)+0.99),'Tax scales - NAT 1004'!$A$25:$C$33,2,1)-VLOOKUP((TRUNC(($AN635+0.01)*3/13,0)+0.99),'Tax scales - NAT 1004'!$A$25:$C$33,3,1)),0)
*13/3,
0),
IF($E$2="Monthly",
ROUND(
ROUND(((TRUNC($AN635*3/13,0)+0.99)*VLOOKUP((TRUNC($AN635*3/13,0)+0.99),'Tax scales - NAT 1004'!$A$25:$C$33,2,1)-VLOOKUP((TRUNC($AN635*3/13,0)+0.99),'Tax scales - NAT 1004'!$A$25:$C$33,3,1)),0)
*13/3,
0),
""))),
""),
"")</f>
        <v/>
      </c>
      <c r="AQ635" s="118" t="str">
        <f>IFERROR(
IF(VLOOKUP($C635,'Employee information'!$B:$M,COLUMNS('Employee information'!$B:$M),0)=3,
IF($E$2="Fortnightly",
ROUND(
ROUND((((TRUNC($AN635/2,0)+0.99))*VLOOKUP((TRUNC($AN635/2,0)+0.99),'Tax scales - NAT 1004'!$A$39:$C$41,2,1)-VLOOKUP((TRUNC($AN635/2,0)+0.99),'Tax scales - NAT 1004'!$A$39:$C$41,3,1)),0)
*2,
0),
IF(AND($E$2="Monthly",ROUND($AN635-TRUNC($AN635),2)=0.33),
ROUND(
ROUND(((TRUNC(($AN635+0.01)*3/13,0)+0.99)*VLOOKUP((TRUNC(($AN635+0.01)*3/13,0)+0.99),'Tax scales - NAT 1004'!$A$39:$C$41,2,1)-VLOOKUP((TRUNC(($AN635+0.01)*3/13,0)+0.99),'Tax scales - NAT 1004'!$A$39:$C$41,3,1)),0)
*13/3,
0),
IF($E$2="Monthly",
ROUND(
ROUND(((TRUNC($AN635*3/13,0)+0.99)*VLOOKUP((TRUNC($AN635*3/13,0)+0.99),'Tax scales - NAT 1004'!$A$39:$C$41,2,1)-VLOOKUP((TRUNC($AN635*3/13,0)+0.99),'Tax scales - NAT 1004'!$A$39:$C$41,3,1)),0)
*13/3,
0),
""))),
""),
"")</f>
        <v/>
      </c>
      <c r="AR635" s="118" t="str">
        <f>IFERROR(
IF(AND(VLOOKUP($C635,'Employee information'!$B:$M,COLUMNS('Employee information'!$B:$M),0)=4,
VLOOKUP($C635,'Employee information'!$B:$J,COLUMNS('Employee information'!$B:$J),0)="Resident"),
TRUNC(TRUNC($AN635)*'Tax scales - NAT 1004'!$B$47),
IF(AND(VLOOKUP($C635,'Employee information'!$B:$M,COLUMNS('Employee information'!$B:$M),0)=4,
VLOOKUP($C635,'Employee information'!$B:$J,COLUMNS('Employee information'!$B:$J),0)="Foreign resident"),
TRUNC(TRUNC($AN635)*'Tax scales - NAT 1004'!$B$48),
"")),
"")</f>
        <v/>
      </c>
      <c r="AS635" s="118" t="str">
        <f>IFERROR(
IF(VLOOKUP($C635,'Employee information'!$B:$M,COLUMNS('Employee information'!$B:$M),0)=5,
IF($E$2="Fortnightly",
ROUND(
ROUND((((TRUNC($AN635/2,0)+0.99))*VLOOKUP((TRUNC($AN635/2,0)+0.99),'Tax scales - NAT 1004'!$A$53:$C$59,2,1)-VLOOKUP((TRUNC($AN635/2,0)+0.99),'Tax scales - NAT 1004'!$A$53:$C$59,3,1)),0)
*2,
0),
IF(AND($E$2="Monthly",ROUND($AN635-TRUNC($AN635),2)=0.33),
ROUND(
ROUND(((TRUNC(($AN635+0.01)*3/13,0)+0.99)*VLOOKUP((TRUNC(($AN635+0.01)*3/13,0)+0.99),'Tax scales - NAT 1004'!$A$53:$C$59,2,1)-VLOOKUP((TRUNC(($AN635+0.01)*3/13,0)+0.99),'Tax scales - NAT 1004'!$A$53:$C$59,3,1)),0)
*13/3,
0),
IF($E$2="Monthly",
ROUND(
ROUND(((TRUNC($AN635*3/13,0)+0.99)*VLOOKUP((TRUNC($AN635*3/13,0)+0.99),'Tax scales - NAT 1004'!$A$53:$C$59,2,1)-VLOOKUP((TRUNC($AN635*3/13,0)+0.99),'Tax scales - NAT 1004'!$A$53:$C$59,3,1)),0)
*13/3,
0),
""))),
""),
"")</f>
        <v/>
      </c>
      <c r="AT635" s="118" t="str">
        <f>IFERROR(
IF(VLOOKUP($C635,'Employee information'!$B:$M,COLUMNS('Employee information'!$B:$M),0)=6,
IF($E$2="Fortnightly",
ROUND(
ROUND((((TRUNC($AN635/2,0)+0.99))*VLOOKUP((TRUNC($AN635/2,0)+0.99),'Tax scales - NAT 1004'!$A$65:$C$73,2,1)-VLOOKUP((TRUNC($AN635/2,0)+0.99),'Tax scales - NAT 1004'!$A$65:$C$73,3,1)),0)
*2,
0),
IF(AND($E$2="Monthly",ROUND($AN635-TRUNC($AN635),2)=0.33),
ROUND(
ROUND(((TRUNC(($AN635+0.01)*3/13,0)+0.99)*VLOOKUP((TRUNC(($AN635+0.01)*3/13,0)+0.99),'Tax scales - NAT 1004'!$A$65:$C$73,2,1)-VLOOKUP((TRUNC(($AN635+0.01)*3/13,0)+0.99),'Tax scales - NAT 1004'!$A$65:$C$73,3,1)),0)
*13/3,
0),
IF($E$2="Monthly",
ROUND(
ROUND(((TRUNC($AN635*3/13,0)+0.99)*VLOOKUP((TRUNC($AN635*3/13,0)+0.99),'Tax scales - NAT 1004'!$A$65:$C$73,2,1)-VLOOKUP((TRUNC($AN635*3/13,0)+0.99),'Tax scales - NAT 1004'!$A$65:$C$73,3,1)),0)
*13/3,
0),
""))),
""),
"")</f>
        <v/>
      </c>
      <c r="AU635" s="118" t="str">
        <f>IFERROR(
IF(VLOOKUP($C635,'Employee information'!$B:$M,COLUMNS('Employee information'!$B:$M),0)=11,
IF($E$2="Fortnightly",
ROUND(
ROUND((((TRUNC($AN635/2,0)+0.99))*VLOOKUP((TRUNC($AN635/2,0)+0.99),'Tax scales - NAT 3539'!$A$14:$C$38,2,1)-VLOOKUP((TRUNC($AN635/2,0)+0.99),'Tax scales - NAT 3539'!$A$14:$C$38,3,1)),0)
*2,
0),
IF(AND($E$2="Monthly",ROUND($AN635-TRUNC($AN635),2)=0.33),
ROUND(
ROUND(((TRUNC(($AN635+0.01)*3/13,0)+0.99)*VLOOKUP((TRUNC(($AN635+0.01)*3/13,0)+0.99),'Tax scales - NAT 3539'!$A$14:$C$38,2,1)-VLOOKUP((TRUNC(($AN635+0.01)*3/13,0)+0.99),'Tax scales - NAT 3539'!$A$14:$C$38,3,1)),0)
*13/3,
0),
IF($E$2="Monthly",
ROUND(
ROUND(((TRUNC($AN635*3/13,0)+0.99)*VLOOKUP((TRUNC($AN635*3/13,0)+0.99),'Tax scales - NAT 3539'!$A$14:$C$38,2,1)-VLOOKUP((TRUNC($AN635*3/13,0)+0.99),'Tax scales - NAT 3539'!$A$14:$C$38,3,1)),0)
*13/3,
0),
""))),
""),
"")</f>
        <v/>
      </c>
      <c r="AV635" s="118" t="str">
        <f>IFERROR(
IF(VLOOKUP($C635,'Employee information'!$B:$M,COLUMNS('Employee information'!$B:$M),0)=22,
IF($E$2="Fortnightly",
ROUND(
ROUND((((TRUNC($AN635/2,0)+0.99))*VLOOKUP((TRUNC($AN635/2,0)+0.99),'Tax scales - NAT 3539'!$A$43:$C$69,2,1)-VLOOKUP((TRUNC($AN635/2,0)+0.99),'Tax scales - NAT 3539'!$A$43:$C$69,3,1)),0)
*2,
0),
IF(AND($E$2="Monthly",ROUND($AN635-TRUNC($AN635),2)=0.33),
ROUND(
ROUND(((TRUNC(($AN635+0.01)*3/13,0)+0.99)*VLOOKUP((TRUNC(($AN635+0.01)*3/13,0)+0.99),'Tax scales - NAT 3539'!$A$43:$C$69,2,1)-VLOOKUP((TRUNC(($AN635+0.01)*3/13,0)+0.99),'Tax scales - NAT 3539'!$A$43:$C$69,3,1)),0)
*13/3,
0),
IF($E$2="Monthly",
ROUND(
ROUND(((TRUNC($AN635*3/13,0)+0.99)*VLOOKUP((TRUNC($AN635*3/13,0)+0.99),'Tax scales - NAT 3539'!$A$43:$C$69,2,1)-VLOOKUP((TRUNC($AN635*3/13,0)+0.99),'Tax scales - NAT 3539'!$A$43:$C$69,3,1)),0)
*13/3,
0),
""))),
""),
"")</f>
        <v/>
      </c>
      <c r="AW635" s="118" t="str">
        <f>IFERROR(
IF(VLOOKUP($C635,'Employee information'!$B:$M,COLUMNS('Employee information'!$B:$M),0)=33,
IF($E$2="Fortnightly",
ROUND(
ROUND((((TRUNC($AN635/2,0)+0.99))*VLOOKUP((TRUNC($AN635/2,0)+0.99),'Tax scales - NAT 3539'!$A$74:$C$94,2,1)-VLOOKUP((TRUNC($AN635/2,0)+0.99),'Tax scales - NAT 3539'!$A$74:$C$94,3,1)),0)
*2,
0),
IF(AND($E$2="Monthly",ROUND($AN635-TRUNC($AN635),2)=0.33),
ROUND(
ROUND(((TRUNC(($AN635+0.01)*3/13,0)+0.99)*VLOOKUP((TRUNC(($AN635+0.01)*3/13,0)+0.99),'Tax scales - NAT 3539'!$A$74:$C$94,2,1)-VLOOKUP((TRUNC(($AN635+0.01)*3/13,0)+0.99),'Tax scales - NAT 3539'!$A$74:$C$94,3,1)),0)
*13/3,
0),
IF($E$2="Monthly",
ROUND(
ROUND(((TRUNC($AN635*3/13,0)+0.99)*VLOOKUP((TRUNC($AN635*3/13,0)+0.99),'Tax scales - NAT 3539'!$A$74:$C$94,2,1)-VLOOKUP((TRUNC($AN635*3/13,0)+0.99),'Tax scales - NAT 3539'!$A$74:$C$94,3,1)),0)
*13/3,
0),
""))),
""),
"")</f>
        <v/>
      </c>
      <c r="AX635" s="118" t="str">
        <f>IFERROR(
IF(VLOOKUP($C635,'Employee information'!$B:$M,COLUMNS('Employee information'!$B:$M),0)=55,
IF($E$2="Fortnightly",
ROUND(
ROUND((((TRUNC($AN635/2,0)+0.99))*VLOOKUP((TRUNC($AN635/2,0)+0.99),'Tax scales - NAT 3539'!$A$99:$C$123,2,1)-VLOOKUP((TRUNC($AN635/2,0)+0.99),'Tax scales - NAT 3539'!$A$99:$C$123,3,1)),0)
*2,
0),
IF(AND($E$2="Monthly",ROUND($AN635-TRUNC($AN635),2)=0.33),
ROUND(
ROUND(((TRUNC(($AN635+0.01)*3/13,0)+0.99)*VLOOKUP((TRUNC(($AN635+0.01)*3/13,0)+0.99),'Tax scales - NAT 3539'!$A$99:$C$123,2,1)-VLOOKUP((TRUNC(($AN635+0.01)*3/13,0)+0.99),'Tax scales - NAT 3539'!$A$99:$C$123,3,1)),0)
*13/3,
0),
IF($E$2="Monthly",
ROUND(
ROUND(((TRUNC($AN635*3/13,0)+0.99)*VLOOKUP((TRUNC($AN635*3/13,0)+0.99),'Tax scales - NAT 3539'!$A$99:$C$123,2,1)-VLOOKUP((TRUNC($AN635*3/13,0)+0.99),'Tax scales - NAT 3539'!$A$99:$C$123,3,1)),0)
*13/3,
0),
""))),
""),
"")</f>
        <v/>
      </c>
      <c r="AY635" s="118" t="str">
        <f>IFERROR(
IF(VLOOKUP($C635,'Employee information'!$B:$M,COLUMNS('Employee information'!$B:$M),0)=66,
IF($E$2="Fortnightly",
ROUND(
ROUND((((TRUNC($AN635/2,0)+0.99))*VLOOKUP((TRUNC($AN635/2,0)+0.99),'Tax scales - NAT 3539'!$A$127:$C$154,2,1)-VLOOKUP((TRUNC($AN635/2,0)+0.99),'Tax scales - NAT 3539'!$A$127:$C$154,3,1)),0)
*2,
0),
IF(AND($E$2="Monthly",ROUND($AN635-TRUNC($AN635),2)=0.33),
ROUND(
ROUND(((TRUNC(($AN635+0.01)*3/13,0)+0.99)*VLOOKUP((TRUNC(($AN635+0.01)*3/13,0)+0.99),'Tax scales - NAT 3539'!$A$127:$C$154,2,1)-VLOOKUP((TRUNC(($AN635+0.01)*3/13,0)+0.99),'Tax scales - NAT 3539'!$A$127:$C$154,3,1)),0)
*13/3,
0),
IF($E$2="Monthly",
ROUND(
ROUND(((TRUNC($AN635*3/13,0)+0.99)*VLOOKUP((TRUNC($AN635*3/13,0)+0.99),'Tax scales - NAT 3539'!$A$127:$C$154,2,1)-VLOOKUP((TRUNC($AN635*3/13,0)+0.99),'Tax scales - NAT 3539'!$A$127:$C$154,3,1)),0)
*13/3,
0),
""))),
""),
"")</f>
        <v/>
      </c>
      <c r="AZ635" s="118">
        <f>IFERROR(
HLOOKUP(VLOOKUP($C635,'Employee information'!$B:$M,COLUMNS('Employee information'!$B:$M),0),'PAYG worksheet'!$AO$619:$AY$638,COUNTA($C$620:$C635)+1,0),
0)</f>
        <v>0</v>
      </c>
      <c r="BA635" s="118"/>
      <c r="BB635" s="118">
        <f t="shared" si="666"/>
        <v>0</v>
      </c>
      <c r="BC635" s="119">
        <f>IFERROR(
IF(OR($AE635=1,$AE635=""),SUM($P635,$AA635,$AC635,$AK635)*VLOOKUP($C635,'Employee information'!$B:$Q,COLUMNS('Employee information'!$B:$H),0),
IF($AE635=0,SUM($P635,$AA635,$AK635)*VLOOKUP($C635,'Employee information'!$B:$Q,COLUMNS('Employee information'!$B:$H),0),
0)),
0)</f>
        <v>0</v>
      </c>
      <c r="BE635" s="114">
        <f t="shared" si="651"/>
        <v>0</v>
      </c>
      <c r="BF635" s="114">
        <f t="shared" si="652"/>
        <v>0</v>
      </c>
      <c r="BG635" s="114">
        <f t="shared" si="653"/>
        <v>0</v>
      </c>
      <c r="BH635" s="114">
        <f t="shared" si="654"/>
        <v>0</v>
      </c>
      <c r="BI635" s="114">
        <f t="shared" si="655"/>
        <v>0</v>
      </c>
      <c r="BJ635" s="114">
        <f t="shared" si="656"/>
        <v>0</v>
      </c>
      <c r="BK635" s="114">
        <f t="shared" si="657"/>
        <v>0</v>
      </c>
      <c r="BL635" s="114">
        <f t="shared" si="667"/>
        <v>0</v>
      </c>
      <c r="BM635" s="114">
        <f t="shared" si="658"/>
        <v>0</v>
      </c>
    </row>
    <row r="636" spans="1:65" x14ac:dyDescent="0.25">
      <c r="A636" s="228">
        <f t="shared" si="646"/>
        <v>22</v>
      </c>
      <c r="C636" s="278"/>
      <c r="E636" s="103">
        <f>IF($C636="",0,
IF(AND($E$2="Monthly",$A636&gt;12),0,
IF($E$2="Monthly",VLOOKUP($C636,'Employee information'!$B:$AM,COLUMNS('Employee information'!$B:S),0),
IF($E$2="Fortnightly",VLOOKUP($C636,'Employee information'!$B:$AM,COLUMNS('Employee information'!$B:R),0),
0))))</f>
        <v>0</v>
      </c>
      <c r="F636" s="106"/>
      <c r="G636" s="106"/>
      <c r="H636" s="106"/>
      <c r="I636" s="106"/>
      <c r="J636" s="103">
        <f t="shared" si="659"/>
        <v>0</v>
      </c>
      <c r="L636" s="113">
        <f>IF(AND($E$2="Monthly",$A636&gt;12),"",
IFERROR($J636*VLOOKUP($C636,'Employee information'!$B:$AI,COLUMNS('Employee information'!$B:$P),0),0))</f>
        <v>0</v>
      </c>
      <c r="M636" s="114">
        <f t="shared" si="660"/>
        <v>0</v>
      </c>
      <c r="O636" s="103">
        <f t="shared" si="661"/>
        <v>0</v>
      </c>
      <c r="P636" s="113">
        <f>IFERROR(
IF(AND($E$2="Monthly",$A636&gt;12),0,
$O636*VLOOKUP($C636,'Employee information'!$B:$AI,COLUMNS('Employee information'!$B:$P),0)),
0)</f>
        <v>0</v>
      </c>
      <c r="R636" s="114">
        <f t="shared" si="647"/>
        <v>0</v>
      </c>
      <c r="T636" s="103"/>
      <c r="U636" s="103"/>
      <c r="V636" s="282" t="str">
        <f>IF($C636="","",
IF(AND($E$2="Monthly",$A636&gt;12),"",
$T636*VLOOKUP($C636,'Employee information'!$B:$P,COLUMNS('Employee information'!$B:$P),0)))</f>
        <v/>
      </c>
      <c r="W636" s="282" t="str">
        <f>IF($C636="","",
IF(AND($E$2="Monthly",$A636&gt;12),"",
$U636*VLOOKUP($C636,'Employee information'!$B:$P,COLUMNS('Employee information'!$B:$P),0)))</f>
        <v/>
      </c>
      <c r="X636" s="114">
        <f t="shared" si="648"/>
        <v>0</v>
      </c>
      <c r="Y636" s="114">
        <f t="shared" si="649"/>
        <v>0</v>
      </c>
      <c r="AA636" s="118">
        <f>IFERROR(
IF(OR('Basic payroll data'!$D$12="",'Basic payroll data'!$D$12="No"),0,
$T636*VLOOKUP($C636,'Employee information'!$B:$P,COLUMNS('Employee information'!$B:$P),0)*AL_loading_perc),
0)</f>
        <v>0</v>
      </c>
      <c r="AC636" s="118"/>
      <c r="AD636" s="118"/>
      <c r="AE636" s="283" t="str">
        <f t="shared" si="662"/>
        <v/>
      </c>
      <c r="AF636" s="283" t="str">
        <f t="shared" si="663"/>
        <v/>
      </c>
      <c r="AG636" s="118"/>
      <c r="AH636" s="118"/>
      <c r="AI636" s="283" t="str">
        <f t="shared" si="664"/>
        <v/>
      </c>
      <c r="AJ636" s="118"/>
      <c r="AK636" s="118"/>
      <c r="AM636" s="118">
        <f t="shared" si="665"/>
        <v>0</v>
      </c>
      <c r="AN636" s="118">
        <f t="shared" si="650"/>
        <v>0</v>
      </c>
      <c r="AO636" s="118" t="str">
        <f>IFERROR(
IF(VLOOKUP($C636,'Employee information'!$B:$M,COLUMNS('Employee information'!$B:$M),0)=1,
IF($E$2="Fortnightly",
ROUND(
ROUND((((TRUNC($AN636/2,0)+0.99))*VLOOKUP((TRUNC($AN636/2,0)+0.99),'Tax scales - NAT 1004'!$A$12:$C$18,2,1)-VLOOKUP((TRUNC($AN636/2,0)+0.99),'Tax scales - NAT 1004'!$A$12:$C$18,3,1)),0)
*2,
0),
IF(AND($E$2="Monthly",ROUND($AN636-TRUNC($AN636),2)=0.33),
ROUND(
ROUND(((TRUNC(($AN636+0.01)*3/13,0)+0.99)*VLOOKUP((TRUNC(($AN636+0.01)*3/13,0)+0.99),'Tax scales - NAT 1004'!$A$12:$C$18,2,1)-VLOOKUP((TRUNC(($AN636+0.01)*3/13,0)+0.99),'Tax scales - NAT 1004'!$A$12:$C$18,3,1)),0)
*13/3,
0),
IF($E$2="Monthly",
ROUND(
ROUND(((TRUNC($AN636*3/13,0)+0.99)*VLOOKUP((TRUNC($AN636*3/13,0)+0.99),'Tax scales - NAT 1004'!$A$12:$C$18,2,1)-VLOOKUP((TRUNC($AN636*3/13,0)+0.99),'Tax scales - NAT 1004'!$A$12:$C$18,3,1)),0)
*13/3,
0),
""))),
""),
"")</f>
        <v/>
      </c>
      <c r="AP636" s="118" t="str">
        <f>IFERROR(
IF(VLOOKUP($C636,'Employee information'!$B:$M,COLUMNS('Employee information'!$B:$M),0)=2,
IF($E$2="Fortnightly",
ROUND(
ROUND((((TRUNC($AN636/2,0)+0.99))*VLOOKUP((TRUNC($AN636/2,0)+0.99),'Tax scales - NAT 1004'!$A$25:$C$33,2,1)-VLOOKUP((TRUNC($AN636/2,0)+0.99),'Tax scales - NAT 1004'!$A$25:$C$33,3,1)),0)
*2,
0),
IF(AND($E$2="Monthly",ROUND($AN636-TRUNC($AN636),2)=0.33),
ROUND(
ROUND(((TRUNC(($AN636+0.01)*3/13,0)+0.99)*VLOOKUP((TRUNC(($AN636+0.01)*3/13,0)+0.99),'Tax scales - NAT 1004'!$A$25:$C$33,2,1)-VLOOKUP((TRUNC(($AN636+0.01)*3/13,0)+0.99),'Tax scales - NAT 1004'!$A$25:$C$33,3,1)),0)
*13/3,
0),
IF($E$2="Monthly",
ROUND(
ROUND(((TRUNC($AN636*3/13,0)+0.99)*VLOOKUP((TRUNC($AN636*3/13,0)+0.99),'Tax scales - NAT 1004'!$A$25:$C$33,2,1)-VLOOKUP((TRUNC($AN636*3/13,0)+0.99),'Tax scales - NAT 1004'!$A$25:$C$33,3,1)),0)
*13/3,
0),
""))),
""),
"")</f>
        <v/>
      </c>
      <c r="AQ636" s="118" t="str">
        <f>IFERROR(
IF(VLOOKUP($C636,'Employee information'!$B:$M,COLUMNS('Employee information'!$B:$M),0)=3,
IF($E$2="Fortnightly",
ROUND(
ROUND((((TRUNC($AN636/2,0)+0.99))*VLOOKUP((TRUNC($AN636/2,0)+0.99),'Tax scales - NAT 1004'!$A$39:$C$41,2,1)-VLOOKUP((TRUNC($AN636/2,0)+0.99),'Tax scales - NAT 1004'!$A$39:$C$41,3,1)),0)
*2,
0),
IF(AND($E$2="Monthly",ROUND($AN636-TRUNC($AN636),2)=0.33),
ROUND(
ROUND(((TRUNC(($AN636+0.01)*3/13,0)+0.99)*VLOOKUP((TRUNC(($AN636+0.01)*3/13,0)+0.99),'Tax scales - NAT 1004'!$A$39:$C$41,2,1)-VLOOKUP((TRUNC(($AN636+0.01)*3/13,0)+0.99),'Tax scales - NAT 1004'!$A$39:$C$41,3,1)),0)
*13/3,
0),
IF($E$2="Monthly",
ROUND(
ROUND(((TRUNC($AN636*3/13,0)+0.99)*VLOOKUP((TRUNC($AN636*3/13,0)+0.99),'Tax scales - NAT 1004'!$A$39:$C$41,2,1)-VLOOKUP((TRUNC($AN636*3/13,0)+0.99),'Tax scales - NAT 1004'!$A$39:$C$41,3,1)),0)
*13/3,
0),
""))),
""),
"")</f>
        <v/>
      </c>
      <c r="AR636" s="118" t="str">
        <f>IFERROR(
IF(AND(VLOOKUP($C636,'Employee information'!$B:$M,COLUMNS('Employee information'!$B:$M),0)=4,
VLOOKUP($C636,'Employee information'!$B:$J,COLUMNS('Employee information'!$B:$J),0)="Resident"),
TRUNC(TRUNC($AN636)*'Tax scales - NAT 1004'!$B$47),
IF(AND(VLOOKUP($C636,'Employee information'!$B:$M,COLUMNS('Employee information'!$B:$M),0)=4,
VLOOKUP($C636,'Employee information'!$B:$J,COLUMNS('Employee information'!$B:$J),0)="Foreign resident"),
TRUNC(TRUNC($AN636)*'Tax scales - NAT 1004'!$B$48),
"")),
"")</f>
        <v/>
      </c>
      <c r="AS636" s="118" t="str">
        <f>IFERROR(
IF(VLOOKUP($C636,'Employee information'!$B:$M,COLUMNS('Employee information'!$B:$M),0)=5,
IF($E$2="Fortnightly",
ROUND(
ROUND((((TRUNC($AN636/2,0)+0.99))*VLOOKUP((TRUNC($AN636/2,0)+0.99),'Tax scales - NAT 1004'!$A$53:$C$59,2,1)-VLOOKUP((TRUNC($AN636/2,0)+0.99),'Tax scales - NAT 1004'!$A$53:$C$59,3,1)),0)
*2,
0),
IF(AND($E$2="Monthly",ROUND($AN636-TRUNC($AN636),2)=0.33),
ROUND(
ROUND(((TRUNC(($AN636+0.01)*3/13,0)+0.99)*VLOOKUP((TRUNC(($AN636+0.01)*3/13,0)+0.99),'Tax scales - NAT 1004'!$A$53:$C$59,2,1)-VLOOKUP((TRUNC(($AN636+0.01)*3/13,0)+0.99),'Tax scales - NAT 1004'!$A$53:$C$59,3,1)),0)
*13/3,
0),
IF($E$2="Monthly",
ROUND(
ROUND(((TRUNC($AN636*3/13,0)+0.99)*VLOOKUP((TRUNC($AN636*3/13,0)+0.99),'Tax scales - NAT 1004'!$A$53:$C$59,2,1)-VLOOKUP((TRUNC($AN636*3/13,0)+0.99),'Tax scales - NAT 1004'!$A$53:$C$59,3,1)),0)
*13/3,
0),
""))),
""),
"")</f>
        <v/>
      </c>
      <c r="AT636" s="118" t="str">
        <f>IFERROR(
IF(VLOOKUP($C636,'Employee information'!$B:$M,COLUMNS('Employee information'!$B:$M),0)=6,
IF($E$2="Fortnightly",
ROUND(
ROUND((((TRUNC($AN636/2,0)+0.99))*VLOOKUP((TRUNC($AN636/2,0)+0.99),'Tax scales - NAT 1004'!$A$65:$C$73,2,1)-VLOOKUP((TRUNC($AN636/2,0)+0.99),'Tax scales - NAT 1004'!$A$65:$C$73,3,1)),0)
*2,
0),
IF(AND($E$2="Monthly",ROUND($AN636-TRUNC($AN636),2)=0.33),
ROUND(
ROUND(((TRUNC(($AN636+0.01)*3/13,0)+0.99)*VLOOKUP((TRUNC(($AN636+0.01)*3/13,0)+0.99),'Tax scales - NAT 1004'!$A$65:$C$73,2,1)-VLOOKUP((TRUNC(($AN636+0.01)*3/13,0)+0.99),'Tax scales - NAT 1004'!$A$65:$C$73,3,1)),0)
*13/3,
0),
IF($E$2="Monthly",
ROUND(
ROUND(((TRUNC($AN636*3/13,0)+0.99)*VLOOKUP((TRUNC($AN636*3/13,0)+0.99),'Tax scales - NAT 1004'!$A$65:$C$73,2,1)-VLOOKUP((TRUNC($AN636*3/13,0)+0.99),'Tax scales - NAT 1004'!$A$65:$C$73,3,1)),0)
*13/3,
0),
""))),
""),
"")</f>
        <v/>
      </c>
      <c r="AU636" s="118" t="str">
        <f>IFERROR(
IF(VLOOKUP($C636,'Employee information'!$B:$M,COLUMNS('Employee information'!$B:$M),0)=11,
IF($E$2="Fortnightly",
ROUND(
ROUND((((TRUNC($AN636/2,0)+0.99))*VLOOKUP((TRUNC($AN636/2,0)+0.99),'Tax scales - NAT 3539'!$A$14:$C$38,2,1)-VLOOKUP((TRUNC($AN636/2,0)+0.99),'Tax scales - NAT 3539'!$A$14:$C$38,3,1)),0)
*2,
0),
IF(AND($E$2="Monthly",ROUND($AN636-TRUNC($AN636),2)=0.33),
ROUND(
ROUND(((TRUNC(($AN636+0.01)*3/13,0)+0.99)*VLOOKUP((TRUNC(($AN636+0.01)*3/13,0)+0.99),'Tax scales - NAT 3539'!$A$14:$C$38,2,1)-VLOOKUP((TRUNC(($AN636+0.01)*3/13,0)+0.99),'Tax scales - NAT 3539'!$A$14:$C$38,3,1)),0)
*13/3,
0),
IF($E$2="Monthly",
ROUND(
ROUND(((TRUNC($AN636*3/13,0)+0.99)*VLOOKUP((TRUNC($AN636*3/13,0)+0.99),'Tax scales - NAT 3539'!$A$14:$C$38,2,1)-VLOOKUP((TRUNC($AN636*3/13,0)+0.99),'Tax scales - NAT 3539'!$A$14:$C$38,3,1)),0)
*13/3,
0),
""))),
""),
"")</f>
        <v/>
      </c>
      <c r="AV636" s="118" t="str">
        <f>IFERROR(
IF(VLOOKUP($C636,'Employee information'!$B:$M,COLUMNS('Employee information'!$B:$M),0)=22,
IF($E$2="Fortnightly",
ROUND(
ROUND((((TRUNC($AN636/2,0)+0.99))*VLOOKUP((TRUNC($AN636/2,0)+0.99),'Tax scales - NAT 3539'!$A$43:$C$69,2,1)-VLOOKUP((TRUNC($AN636/2,0)+0.99),'Tax scales - NAT 3539'!$A$43:$C$69,3,1)),0)
*2,
0),
IF(AND($E$2="Monthly",ROUND($AN636-TRUNC($AN636),2)=0.33),
ROUND(
ROUND(((TRUNC(($AN636+0.01)*3/13,0)+0.99)*VLOOKUP((TRUNC(($AN636+0.01)*3/13,0)+0.99),'Tax scales - NAT 3539'!$A$43:$C$69,2,1)-VLOOKUP((TRUNC(($AN636+0.01)*3/13,0)+0.99),'Tax scales - NAT 3539'!$A$43:$C$69,3,1)),0)
*13/3,
0),
IF($E$2="Monthly",
ROUND(
ROUND(((TRUNC($AN636*3/13,0)+0.99)*VLOOKUP((TRUNC($AN636*3/13,0)+0.99),'Tax scales - NAT 3539'!$A$43:$C$69,2,1)-VLOOKUP((TRUNC($AN636*3/13,0)+0.99),'Tax scales - NAT 3539'!$A$43:$C$69,3,1)),0)
*13/3,
0),
""))),
""),
"")</f>
        <v/>
      </c>
      <c r="AW636" s="118" t="str">
        <f>IFERROR(
IF(VLOOKUP($C636,'Employee information'!$B:$M,COLUMNS('Employee information'!$B:$M),0)=33,
IF($E$2="Fortnightly",
ROUND(
ROUND((((TRUNC($AN636/2,0)+0.99))*VLOOKUP((TRUNC($AN636/2,0)+0.99),'Tax scales - NAT 3539'!$A$74:$C$94,2,1)-VLOOKUP((TRUNC($AN636/2,0)+0.99),'Tax scales - NAT 3539'!$A$74:$C$94,3,1)),0)
*2,
0),
IF(AND($E$2="Monthly",ROUND($AN636-TRUNC($AN636),2)=0.33),
ROUND(
ROUND(((TRUNC(($AN636+0.01)*3/13,0)+0.99)*VLOOKUP((TRUNC(($AN636+0.01)*3/13,0)+0.99),'Tax scales - NAT 3539'!$A$74:$C$94,2,1)-VLOOKUP((TRUNC(($AN636+0.01)*3/13,0)+0.99),'Tax scales - NAT 3539'!$A$74:$C$94,3,1)),0)
*13/3,
0),
IF($E$2="Monthly",
ROUND(
ROUND(((TRUNC($AN636*3/13,0)+0.99)*VLOOKUP((TRUNC($AN636*3/13,0)+0.99),'Tax scales - NAT 3539'!$A$74:$C$94,2,1)-VLOOKUP((TRUNC($AN636*3/13,0)+0.99),'Tax scales - NAT 3539'!$A$74:$C$94,3,1)),0)
*13/3,
0),
""))),
""),
"")</f>
        <v/>
      </c>
      <c r="AX636" s="118" t="str">
        <f>IFERROR(
IF(VLOOKUP($C636,'Employee information'!$B:$M,COLUMNS('Employee information'!$B:$M),0)=55,
IF($E$2="Fortnightly",
ROUND(
ROUND((((TRUNC($AN636/2,0)+0.99))*VLOOKUP((TRUNC($AN636/2,0)+0.99),'Tax scales - NAT 3539'!$A$99:$C$123,2,1)-VLOOKUP((TRUNC($AN636/2,0)+0.99),'Tax scales - NAT 3539'!$A$99:$C$123,3,1)),0)
*2,
0),
IF(AND($E$2="Monthly",ROUND($AN636-TRUNC($AN636),2)=0.33),
ROUND(
ROUND(((TRUNC(($AN636+0.01)*3/13,0)+0.99)*VLOOKUP((TRUNC(($AN636+0.01)*3/13,0)+0.99),'Tax scales - NAT 3539'!$A$99:$C$123,2,1)-VLOOKUP((TRUNC(($AN636+0.01)*3/13,0)+0.99),'Tax scales - NAT 3539'!$A$99:$C$123,3,1)),0)
*13/3,
0),
IF($E$2="Monthly",
ROUND(
ROUND(((TRUNC($AN636*3/13,0)+0.99)*VLOOKUP((TRUNC($AN636*3/13,0)+0.99),'Tax scales - NAT 3539'!$A$99:$C$123,2,1)-VLOOKUP((TRUNC($AN636*3/13,0)+0.99),'Tax scales - NAT 3539'!$A$99:$C$123,3,1)),0)
*13/3,
0),
""))),
""),
"")</f>
        <v/>
      </c>
      <c r="AY636" s="118" t="str">
        <f>IFERROR(
IF(VLOOKUP($C636,'Employee information'!$B:$M,COLUMNS('Employee information'!$B:$M),0)=66,
IF($E$2="Fortnightly",
ROUND(
ROUND((((TRUNC($AN636/2,0)+0.99))*VLOOKUP((TRUNC($AN636/2,0)+0.99),'Tax scales - NAT 3539'!$A$127:$C$154,2,1)-VLOOKUP((TRUNC($AN636/2,0)+0.99),'Tax scales - NAT 3539'!$A$127:$C$154,3,1)),0)
*2,
0),
IF(AND($E$2="Monthly",ROUND($AN636-TRUNC($AN636),2)=0.33),
ROUND(
ROUND(((TRUNC(($AN636+0.01)*3/13,0)+0.99)*VLOOKUP((TRUNC(($AN636+0.01)*3/13,0)+0.99),'Tax scales - NAT 3539'!$A$127:$C$154,2,1)-VLOOKUP((TRUNC(($AN636+0.01)*3/13,0)+0.99),'Tax scales - NAT 3539'!$A$127:$C$154,3,1)),0)
*13/3,
0),
IF($E$2="Monthly",
ROUND(
ROUND(((TRUNC($AN636*3/13,0)+0.99)*VLOOKUP((TRUNC($AN636*3/13,0)+0.99),'Tax scales - NAT 3539'!$A$127:$C$154,2,1)-VLOOKUP((TRUNC($AN636*3/13,0)+0.99),'Tax scales - NAT 3539'!$A$127:$C$154,3,1)),0)
*13/3,
0),
""))),
""),
"")</f>
        <v/>
      </c>
      <c r="AZ636" s="118">
        <f>IFERROR(
HLOOKUP(VLOOKUP($C636,'Employee information'!$B:$M,COLUMNS('Employee information'!$B:$M),0),'PAYG worksheet'!$AO$619:$AY$638,COUNTA($C$620:$C636)+1,0),
0)</f>
        <v>0</v>
      </c>
      <c r="BA636" s="118"/>
      <c r="BB636" s="118">
        <f t="shared" si="666"/>
        <v>0</v>
      </c>
      <c r="BC636" s="119">
        <f>IFERROR(
IF(OR($AE636=1,$AE636=""),SUM($P636,$AA636,$AC636,$AK636)*VLOOKUP($C636,'Employee information'!$B:$Q,COLUMNS('Employee information'!$B:$H),0),
IF($AE636=0,SUM($P636,$AA636,$AK636)*VLOOKUP($C636,'Employee information'!$B:$Q,COLUMNS('Employee information'!$B:$H),0),
0)),
0)</f>
        <v>0</v>
      </c>
      <c r="BE636" s="114">
        <f t="shared" si="651"/>
        <v>0</v>
      </c>
      <c r="BF636" s="114">
        <f t="shared" si="652"/>
        <v>0</v>
      </c>
      <c r="BG636" s="114">
        <f t="shared" si="653"/>
        <v>0</v>
      </c>
      <c r="BH636" s="114">
        <f t="shared" si="654"/>
        <v>0</v>
      </c>
      <c r="BI636" s="114">
        <f t="shared" si="655"/>
        <v>0</v>
      </c>
      <c r="BJ636" s="114">
        <f t="shared" si="656"/>
        <v>0</v>
      </c>
      <c r="BK636" s="114">
        <f t="shared" si="657"/>
        <v>0</v>
      </c>
      <c r="BL636" s="114">
        <f t="shared" si="667"/>
        <v>0</v>
      </c>
      <c r="BM636" s="114">
        <f t="shared" si="658"/>
        <v>0</v>
      </c>
    </row>
    <row r="637" spans="1:65" x14ac:dyDescent="0.25">
      <c r="A637" s="228">
        <f t="shared" si="646"/>
        <v>22</v>
      </c>
      <c r="C637" s="278"/>
      <c r="E637" s="103">
        <f>IF($C637="",0,
IF(AND($E$2="Monthly",$A637&gt;12),0,
IF($E$2="Monthly",VLOOKUP($C637,'Employee information'!$B:$AM,COLUMNS('Employee information'!$B:S),0),
IF($E$2="Fortnightly",VLOOKUP($C637,'Employee information'!$B:$AM,COLUMNS('Employee information'!$B:R),0),
0))))</f>
        <v>0</v>
      </c>
      <c r="F637" s="106"/>
      <c r="G637" s="106"/>
      <c r="H637" s="106"/>
      <c r="I637" s="106"/>
      <c r="J637" s="103">
        <f t="shared" si="659"/>
        <v>0</v>
      </c>
      <c r="L637" s="113">
        <f>IF(AND($E$2="Monthly",$A637&gt;12),"",
IFERROR($J637*VLOOKUP($C637,'Employee information'!$B:$AI,COLUMNS('Employee information'!$B:$P),0),0))</f>
        <v>0</v>
      </c>
      <c r="M637" s="114">
        <f t="shared" si="660"/>
        <v>0</v>
      </c>
      <c r="O637" s="103">
        <f t="shared" si="661"/>
        <v>0</v>
      </c>
      <c r="P637" s="113">
        <f>IFERROR(
IF(AND($E$2="Monthly",$A637&gt;12),0,
$O637*VLOOKUP($C637,'Employee information'!$B:$AI,COLUMNS('Employee information'!$B:$P),0)),
0)</f>
        <v>0</v>
      </c>
      <c r="R637" s="114">
        <f t="shared" si="647"/>
        <v>0</v>
      </c>
      <c r="T637" s="103"/>
      <c r="U637" s="103"/>
      <c r="V637" s="282" t="str">
        <f>IF($C637="","",
IF(AND($E$2="Monthly",$A637&gt;12),"",
$T637*VLOOKUP($C637,'Employee information'!$B:$P,COLUMNS('Employee information'!$B:$P),0)))</f>
        <v/>
      </c>
      <c r="W637" s="282" t="str">
        <f>IF($C637="","",
IF(AND($E$2="Monthly",$A637&gt;12),"",
$U637*VLOOKUP($C637,'Employee information'!$B:$P,COLUMNS('Employee information'!$B:$P),0)))</f>
        <v/>
      </c>
      <c r="X637" s="114">
        <f t="shared" si="648"/>
        <v>0</v>
      </c>
      <c r="Y637" s="114">
        <f t="shared" si="649"/>
        <v>0</v>
      </c>
      <c r="AA637" s="118">
        <f>IFERROR(
IF(OR('Basic payroll data'!$D$12="",'Basic payroll data'!$D$12="No"),0,
$T637*VLOOKUP($C637,'Employee information'!$B:$P,COLUMNS('Employee information'!$B:$P),0)*AL_loading_perc),
0)</f>
        <v>0</v>
      </c>
      <c r="AC637" s="118"/>
      <c r="AD637" s="118"/>
      <c r="AE637" s="283" t="str">
        <f t="shared" si="662"/>
        <v/>
      </c>
      <c r="AF637" s="283" t="str">
        <f t="shared" si="663"/>
        <v/>
      </c>
      <c r="AG637" s="118"/>
      <c r="AH637" s="118"/>
      <c r="AI637" s="283" t="str">
        <f t="shared" si="664"/>
        <v/>
      </c>
      <c r="AJ637" s="118"/>
      <c r="AK637" s="118"/>
      <c r="AM637" s="118">
        <f t="shared" si="665"/>
        <v>0</v>
      </c>
      <c r="AN637" s="118">
        <f t="shared" si="650"/>
        <v>0</v>
      </c>
      <c r="AO637" s="118" t="str">
        <f>IFERROR(
IF(VLOOKUP($C637,'Employee information'!$B:$M,COLUMNS('Employee information'!$B:$M),0)=1,
IF($E$2="Fortnightly",
ROUND(
ROUND((((TRUNC($AN637/2,0)+0.99))*VLOOKUP((TRUNC($AN637/2,0)+0.99),'Tax scales - NAT 1004'!$A$12:$C$18,2,1)-VLOOKUP((TRUNC($AN637/2,0)+0.99),'Tax scales - NAT 1004'!$A$12:$C$18,3,1)),0)
*2,
0),
IF(AND($E$2="Monthly",ROUND($AN637-TRUNC($AN637),2)=0.33),
ROUND(
ROUND(((TRUNC(($AN637+0.01)*3/13,0)+0.99)*VLOOKUP((TRUNC(($AN637+0.01)*3/13,0)+0.99),'Tax scales - NAT 1004'!$A$12:$C$18,2,1)-VLOOKUP((TRUNC(($AN637+0.01)*3/13,0)+0.99),'Tax scales - NAT 1004'!$A$12:$C$18,3,1)),0)
*13/3,
0),
IF($E$2="Monthly",
ROUND(
ROUND(((TRUNC($AN637*3/13,0)+0.99)*VLOOKUP((TRUNC($AN637*3/13,0)+0.99),'Tax scales - NAT 1004'!$A$12:$C$18,2,1)-VLOOKUP((TRUNC($AN637*3/13,0)+0.99),'Tax scales - NAT 1004'!$A$12:$C$18,3,1)),0)
*13/3,
0),
""))),
""),
"")</f>
        <v/>
      </c>
      <c r="AP637" s="118" t="str">
        <f>IFERROR(
IF(VLOOKUP($C637,'Employee information'!$B:$M,COLUMNS('Employee information'!$B:$M),0)=2,
IF($E$2="Fortnightly",
ROUND(
ROUND((((TRUNC($AN637/2,0)+0.99))*VLOOKUP((TRUNC($AN637/2,0)+0.99),'Tax scales - NAT 1004'!$A$25:$C$33,2,1)-VLOOKUP((TRUNC($AN637/2,0)+0.99),'Tax scales - NAT 1004'!$A$25:$C$33,3,1)),0)
*2,
0),
IF(AND($E$2="Monthly",ROUND($AN637-TRUNC($AN637),2)=0.33),
ROUND(
ROUND(((TRUNC(($AN637+0.01)*3/13,0)+0.99)*VLOOKUP((TRUNC(($AN637+0.01)*3/13,0)+0.99),'Tax scales - NAT 1004'!$A$25:$C$33,2,1)-VLOOKUP((TRUNC(($AN637+0.01)*3/13,0)+0.99),'Tax scales - NAT 1004'!$A$25:$C$33,3,1)),0)
*13/3,
0),
IF($E$2="Monthly",
ROUND(
ROUND(((TRUNC($AN637*3/13,0)+0.99)*VLOOKUP((TRUNC($AN637*3/13,0)+0.99),'Tax scales - NAT 1004'!$A$25:$C$33,2,1)-VLOOKUP((TRUNC($AN637*3/13,0)+0.99),'Tax scales - NAT 1004'!$A$25:$C$33,3,1)),0)
*13/3,
0),
""))),
""),
"")</f>
        <v/>
      </c>
      <c r="AQ637" s="118" t="str">
        <f>IFERROR(
IF(VLOOKUP($C637,'Employee information'!$B:$M,COLUMNS('Employee information'!$B:$M),0)=3,
IF($E$2="Fortnightly",
ROUND(
ROUND((((TRUNC($AN637/2,0)+0.99))*VLOOKUP((TRUNC($AN637/2,0)+0.99),'Tax scales - NAT 1004'!$A$39:$C$41,2,1)-VLOOKUP((TRUNC($AN637/2,0)+0.99),'Tax scales - NAT 1004'!$A$39:$C$41,3,1)),0)
*2,
0),
IF(AND($E$2="Monthly",ROUND($AN637-TRUNC($AN637),2)=0.33),
ROUND(
ROUND(((TRUNC(($AN637+0.01)*3/13,0)+0.99)*VLOOKUP((TRUNC(($AN637+0.01)*3/13,0)+0.99),'Tax scales - NAT 1004'!$A$39:$C$41,2,1)-VLOOKUP((TRUNC(($AN637+0.01)*3/13,0)+0.99),'Tax scales - NAT 1004'!$A$39:$C$41,3,1)),0)
*13/3,
0),
IF($E$2="Monthly",
ROUND(
ROUND(((TRUNC($AN637*3/13,0)+0.99)*VLOOKUP((TRUNC($AN637*3/13,0)+0.99),'Tax scales - NAT 1004'!$A$39:$C$41,2,1)-VLOOKUP((TRUNC($AN637*3/13,0)+0.99),'Tax scales - NAT 1004'!$A$39:$C$41,3,1)),0)
*13/3,
0),
""))),
""),
"")</f>
        <v/>
      </c>
      <c r="AR637" s="118" t="str">
        <f>IFERROR(
IF(AND(VLOOKUP($C637,'Employee information'!$B:$M,COLUMNS('Employee information'!$B:$M),0)=4,
VLOOKUP($C637,'Employee information'!$B:$J,COLUMNS('Employee information'!$B:$J),0)="Resident"),
TRUNC(TRUNC($AN637)*'Tax scales - NAT 1004'!$B$47),
IF(AND(VLOOKUP($C637,'Employee information'!$B:$M,COLUMNS('Employee information'!$B:$M),0)=4,
VLOOKUP($C637,'Employee information'!$B:$J,COLUMNS('Employee information'!$B:$J),0)="Foreign resident"),
TRUNC(TRUNC($AN637)*'Tax scales - NAT 1004'!$B$48),
"")),
"")</f>
        <v/>
      </c>
      <c r="AS637" s="118" t="str">
        <f>IFERROR(
IF(VLOOKUP($C637,'Employee information'!$B:$M,COLUMNS('Employee information'!$B:$M),0)=5,
IF($E$2="Fortnightly",
ROUND(
ROUND((((TRUNC($AN637/2,0)+0.99))*VLOOKUP((TRUNC($AN637/2,0)+0.99),'Tax scales - NAT 1004'!$A$53:$C$59,2,1)-VLOOKUP((TRUNC($AN637/2,0)+0.99),'Tax scales - NAT 1004'!$A$53:$C$59,3,1)),0)
*2,
0),
IF(AND($E$2="Monthly",ROUND($AN637-TRUNC($AN637),2)=0.33),
ROUND(
ROUND(((TRUNC(($AN637+0.01)*3/13,0)+0.99)*VLOOKUP((TRUNC(($AN637+0.01)*3/13,0)+0.99),'Tax scales - NAT 1004'!$A$53:$C$59,2,1)-VLOOKUP((TRUNC(($AN637+0.01)*3/13,0)+0.99),'Tax scales - NAT 1004'!$A$53:$C$59,3,1)),0)
*13/3,
0),
IF($E$2="Monthly",
ROUND(
ROUND(((TRUNC($AN637*3/13,0)+0.99)*VLOOKUP((TRUNC($AN637*3/13,0)+0.99),'Tax scales - NAT 1004'!$A$53:$C$59,2,1)-VLOOKUP((TRUNC($AN637*3/13,0)+0.99),'Tax scales - NAT 1004'!$A$53:$C$59,3,1)),0)
*13/3,
0),
""))),
""),
"")</f>
        <v/>
      </c>
      <c r="AT637" s="118" t="str">
        <f>IFERROR(
IF(VLOOKUP($C637,'Employee information'!$B:$M,COLUMNS('Employee information'!$B:$M),0)=6,
IF($E$2="Fortnightly",
ROUND(
ROUND((((TRUNC($AN637/2,0)+0.99))*VLOOKUP((TRUNC($AN637/2,0)+0.99),'Tax scales - NAT 1004'!$A$65:$C$73,2,1)-VLOOKUP((TRUNC($AN637/2,0)+0.99),'Tax scales - NAT 1004'!$A$65:$C$73,3,1)),0)
*2,
0),
IF(AND($E$2="Monthly",ROUND($AN637-TRUNC($AN637),2)=0.33),
ROUND(
ROUND(((TRUNC(($AN637+0.01)*3/13,0)+0.99)*VLOOKUP((TRUNC(($AN637+0.01)*3/13,0)+0.99),'Tax scales - NAT 1004'!$A$65:$C$73,2,1)-VLOOKUP((TRUNC(($AN637+0.01)*3/13,0)+0.99),'Tax scales - NAT 1004'!$A$65:$C$73,3,1)),0)
*13/3,
0),
IF($E$2="Monthly",
ROUND(
ROUND(((TRUNC($AN637*3/13,0)+0.99)*VLOOKUP((TRUNC($AN637*3/13,0)+0.99),'Tax scales - NAT 1004'!$A$65:$C$73,2,1)-VLOOKUP((TRUNC($AN637*3/13,0)+0.99),'Tax scales - NAT 1004'!$A$65:$C$73,3,1)),0)
*13/3,
0),
""))),
""),
"")</f>
        <v/>
      </c>
      <c r="AU637" s="118" t="str">
        <f>IFERROR(
IF(VLOOKUP($C637,'Employee information'!$B:$M,COLUMNS('Employee information'!$B:$M),0)=11,
IF($E$2="Fortnightly",
ROUND(
ROUND((((TRUNC($AN637/2,0)+0.99))*VLOOKUP((TRUNC($AN637/2,0)+0.99),'Tax scales - NAT 3539'!$A$14:$C$38,2,1)-VLOOKUP((TRUNC($AN637/2,0)+0.99),'Tax scales - NAT 3539'!$A$14:$C$38,3,1)),0)
*2,
0),
IF(AND($E$2="Monthly",ROUND($AN637-TRUNC($AN637),2)=0.33),
ROUND(
ROUND(((TRUNC(($AN637+0.01)*3/13,0)+0.99)*VLOOKUP((TRUNC(($AN637+0.01)*3/13,0)+0.99),'Tax scales - NAT 3539'!$A$14:$C$38,2,1)-VLOOKUP((TRUNC(($AN637+0.01)*3/13,0)+0.99),'Tax scales - NAT 3539'!$A$14:$C$38,3,1)),0)
*13/3,
0),
IF($E$2="Monthly",
ROUND(
ROUND(((TRUNC($AN637*3/13,0)+0.99)*VLOOKUP((TRUNC($AN637*3/13,0)+0.99),'Tax scales - NAT 3539'!$A$14:$C$38,2,1)-VLOOKUP((TRUNC($AN637*3/13,0)+0.99),'Tax scales - NAT 3539'!$A$14:$C$38,3,1)),0)
*13/3,
0),
""))),
""),
"")</f>
        <v/>
      </c>
      <c r="AV637" s="118" t="str">
        <f>IFERROR(
IF(VLOOKUP($C637,'Employee information'!$B:$M,COLUMNS('Employee information'!$B:$M),0)=22,
IF($E$2="Fortnightly",
ROUND(
ROUND((((TRUNC($AN637/2,0)+0.99))*VLOOKUP((TRUNC($AN637/2,0)+0.99),'Tax scales - NAT 3539'!$A$43:$C$69,2,1)-VLOOKUP((TRUNC($AN637/2,0)+0.99),'Tax scales - NAT 3539'!$A$43:$C$69,3,1)),0)
*2,
0),
IF(AND($E$2="Monthly",ROUND($AN637-TRUNC($AN637),2)=0.33),
ROUND(
ROUND(((TRUNC(($AN637+0.01)*3/13,0)+0.99)*VLOOKUP((TRUNC(($AN637+0.01)*3/13,0)+0.99),'Tax scales - NAT 3539'!$A$43:$C$69,2,1)-VLOOKUP((TRUNC(($AN637+0.01)*3/13,0)+0.99),'Tax scales - NAT 3539'!$A$43:$C$69,3,1)),0)
*13/3,
0),
IF($E$2="Monthly",
ROUND(
ROUND(((TRUNC($AN637*3/13,0)+0.99)*VLOOKUP((TRUNC($AN637*3/13,0)+0.99),'Tax scales - NAT 3539'!$A$43:$C$69,2,1)-VLOOKUP((TRUNC($AN637*3/13,0)+0.99),'Tax scales - NAT 3539'!$A$43:$C$69,3,1)),0)
*13/3,
0),
""))),
""),
"")</f>
        <v/>
      </c>
      <c r="AW637" s="118" t="str">
        <f>IFERROR(
IF(VLOOKUP($C637,'Employee information'!$B:$M,COLUMNS('Employee information'!$B:$M),0)=33,
IF($E$2="Fortnightly",
ROUND(
ROUND((((TRUNC($AN637/2,0)+0.99))*VLOOKUP((TRUNC($AN637/2,0)+0.99),'Tax scales - NAT 3539'!$A$74:$C$94,2,1)-VLOOKUP((TRUNC($AN637/2,0)+0.99),'Tax scales - NAT 3539'!$A$74:$C$94,3,1)),0)
*2,
0),
IF(AND($E$2="Monthly",ROUND($AN637-TRUNC($AN637),2)=0.33),
ROUND(
ROUND(((TRUNC(($AN637+0.01)*3/13,0)+0.99)*VLOOKUP((TRUNC(($AN637+0.01)*3/13,0)+0.99),'Tax scales - NAT 3539'!$A$74:$C$94,2,1)-VLOOKUP((TRUNC(($AN637+0.01)*3/13,0)+0.99),'Tax scales - NAT 3539'!$A$74:$C$94,3,1)),0)
*13/3,
0),
IF($E$2="Monthly",
ROUND(
ROUND(((TRUNC($AN637*3/13,0)+0.99)*VLOOKUP((TRUNC($AN637*3/13,0)+0.99),'Tax scales - NAT 3539'!$A$74:$C$94,2,1)-VLOOKUP((TRUNC($AN637*3/13,0)+0.99),'Tax scales - NAT 3539'!$A$74:$C$94,3,1)),0)
*13/3,
0),
""))),
""),
"")</f>
        <v/>
      </c>
      <c r="AX637" s="118" t="str">
        <f>IFERROR(
IF(VLOOKUP($C637,'Employee information'!$B:$M,COLUMNS('Employee information'!$B:$M),0)=55,
IF($E$2="Fortnightly",
ROUND(
ROUND((((TRUNC($AN637/2,0)+0.99))*VLOOKUP((TRUNC($AN637/2,0)+0.99),'Tax scales - NAT 3539'!$A$99:$C$123,2,1)-VLOOKUP((TRUNC($AN637/2,0)+0.99),'Tax scales - NAT 3539'!$A$99:$C$123,3,1)),0)
*2,
0),
IF(AND($E$2="Monthly",ROUND($AN637-TRUNC($AN637),2)=0.33),
ROUND(
ROUND(((TRUNC(($AN637+0.01)*3/13,0)+0.99)*VLOOKUP((TRUNC(($AN637+0.01)*3/13,0)+0.99),'Tax scales - NAT 3539'!$A$99:$C$123,2,1)-VLOOKUP((TRUNC(($AN637+0.01)*3/13,0)+0.99),'Tax scales - NAT 3539'!$A$99:$C$123,3,1)),0)
*13/3,
0),
IF($E$2="Monthly",
ROUND(
ROUND(((TRUNC($AN637*3/13,0)+0.99)*VLOOKUP((TRUNC($AN637*3/13,0)+0.99),'Tax scales - NAT 3539'!$A$99:$C$123,2,1)-VLOOKUP((TRUNC($AN637*3/13,0)+0.99),'Tax scales - NAT 3539'!$A$99:$C$123,3,1)),0)
*13/3,
0),
""))),
""),
"")</f>
        <v/>
      </c>
      <c r="AY637" s="118" t="str">
        <f>IFERROR(
IF(VLOOKUP($C637,'Employee information'!$B:$M,COLUMNS('Employee information'!$B:$M),0)=66,
IF($E$2="Fortnightly",
ROUND(
ROUND((((TRUNC($AN637/2,0)+0.99))*VLOOKUP((TRUNC($AN637/2,0)+0.99),'Tax scales - NAT 3539'!$A$127:$C$154,2,1)-VLOOKUP((TRUNC($AN637/2,0)+0.99),'Tax scales - NAT 3539'!$A$127:$C$154,3,1)),0)
*2,
0),
IF(AND($E$2="Monthly",ROUND($AN637-TRUNC($AN637),2)=0.33),
ROUND(
ROUND(((TRUNC(($AN637+0.01)*3/13,0)+0.99)*VLOOKUP((TRUNC(($AN637+0.01)*3/13,0)+0.99),'Tax scales - NAT 3539'!$A$127:$C$154,2,1)-VLOOKUP((TRUNC(($AN637+0.01)*3/13,0)+0.99),'Tax scales - NAT 3539'!$A$127:$C$154,3,1)),0)
*13/3,
0),
IF($E$2="Monthly",
ROUND(
ROUND(((TRUNC($AN637*3/13,0)+0.99)*VLOOKUP((TRUNC($AN637*3/13,0)+0.99),'Tax scales - NAT 3539'!$A$127:$C$154,2,1)-VLOOKUP((TRUNC($AN637*3/13,0)+0.99),'Tax scales - NAT 3539'!$A$127:$C$154,3,1)),0)
*13/3,
0),
""))),
""),
"")</f>
        <v/>
      </c>
      <c r="AZ637" s="118">
        <f>IFERROR(
HLOOKUP(VLOOKUP($C637,'Employee information'!$B:$M,COLUMNS('Employee information'!$B:$M),0),'PAYG worksheet'!$AO$619:$AY$638,COUNTA($C$620:$C637)+1,0),
0)</f>
        <v>0</v>
      </c>
      <c r="BA637" s="118"/>
      <c r="BB637" s="118">
        <f t="shared" si="666"/>
        <v>0</v>
      </c>
      <c r="BC637" s="119">
        <f>IFERROR(
IF(OR($AE637=1,$AE637=""),SUM($P637,$AA637,$AC637,$AK637)*VLOOKUP($C637,'Employee information'!$B:$Q,COLUMNS('Employee information'!$B:$H),0),
IF($AE637=0,SUM($P637,$AA637,$AK637)*VLOOKUP($C637,'Employee information'!$B:$Q,COLUMNS('Employee information'!$B:$H),0),
0)),
0)</f>
        <v>0</v>
      </c>
      <c r="BE637" s="114">
        <f t="shared" si="651"/>
        <v>0</v>
      </c>
      <c r="BF637" s="114">
        <f t="shared" si="652"/>
        <v>0</v>
      </c>
      <c r="BG637" s="114">
        <f t="shared" si="653"/>
        <v>0</v>
      </c>
      <c r="BH637" s="114">
        <f t="shared" si="654"/>
        <v>0</v>
      </c>
      <c r="BI637" s="114">
        <f t="shared" si="655"/>
        <v>0</v>
      </c>
      <c r="BJ637" s="114">
        <f t="shared" si="656"/>
        <v>0</v>
      </c>
      <c r="BK637" s="114">
        <f t="shared" si="657"/>
        <v>0</v>
      </c>
      <c r="BL637" s="114">
        <f t="shared" si="667"/>
        <v>0</v>
      </c>
      <c r="BM637" s="114">
        <f t="shared" si="658"/>
        <v>0</v>
      </c>
    </row>
    <row r="638" spans="1:65" x14ac:dyDescent="0.25">
      <c r="A638" s="228">
        <f t="shared" si="646"/>
        <v>22</v>
      </c>
      <c r="C638" s="278"/>
      <c r="E638" s="103">
        <f>IF($C638="",0,
IF(AND($E$2="Monthly",$A638&gt;12),0,
IF($E$2="Monthly",VLOOKUP($C638,'Employee information'!$B:$AM,COLUMNS('Employee information'!$B:S),0),
IF($E$2="Fortnightly",VLOOKUP($C638,'Employee information'!$B:$AM,COLUMNS('Employee information'!$B:R),0),
0))))</f>
        <v>0</v>
      </c>
      <c r="F638" s="106"/>
      <c r="G638" s="106"/>
      <c r="H638" s="106"/>
      <c r="I638" s="106"/>
      <c r="J638" s="103">
        <f t="shared" si="659"/>
        <v>0</v>
      </c>
      <c r="L638" s="113">
        <f>IF(AND($E$2="Monthly",$A638&gt;12),"",
IFERROR($J638*VLOOKUP($C638,'Employee information'!$B:$AI,COLUMNS('Employee information'!$B:$P),0),0))</f>
        <v>0</v>
      </c>
      <c r="M638" s="114">
        <f t="shared" si="660"/>
        <v>0</v>
      </c>
      <c r="O638" s="103">
        <f t="shared" si="661"/>
        <v>0</v>
      </c>
      <c r="P638" s="113">
        <f>IFERROR(
IF(AND($E$2="Monthly",$A638&gt;12),0,
$O638*VLOOKUP($C638,'Employee information'!$B:$AI,COLUMNS('Employee information'!$B:$P),0)),
0)</f>
        <v>0</v>
      </c>
      <c r="R638" s="114">
        <f t="shared" si="647"/>
        <v>0</v>
      </c>
      <c r="T638" s="103"/>
      <c r="U638" s="103"/>
      <c r="V638" s="282" t="str">
        <f>IF($C638="","",
IF(AND($E$2="Monthly",$A638&gt;12),"",
$T638*VLOOKUP($C638,'Employee information'!$B:$P,COLUMNS('Employee information'!$B:$P),0)))</f>
        <v/>
      </c>
      <c r="W638" s="282" t="str">
        <f>IF($C638="","",
IF(AND($E$2="Monthly",$A638&gt;12),"",
$U638*VLOOKUP($C638,'Employee information'!$B:$P,COLUMNS('Employee information'!$B:$P),0)))</f>
        <v/>
      </c>
      <c r="X638" s="114">
        <f t="shared" si="648"/>
        <v>0</v>
      </c>
      <c r="Y638" s="114">
        <f t="shared" si="649"/>
        <v>0</v>
      </c>
      <c r="AA638" s="118">
        <f>IFERROR(
IF(OR('Basic payroll data'!$D$12="",'Basic payroll data'!$D$12="No"),0,
$T638*VLOOKUP($C638,'Employee information'!$B:$P,COLUMNS('Employee information'!$B:$P),0)*AL_loading_perc),
0)</f>
        <v>0</v>
      </c>
      <c r="AC638" s="118"/>
      <c r="AD638" s="118"/>
      <c r="AE638" s="283" t="str">
        <f t="shared" si="662"/>
        <v/>
      </c>
      <c r="AF638" s="283" t="str">
        <f t="shared" si="663"/>
        <v/>
      </c>
      <c r="AG638" s="118"/>
      <c r="AH638" s="118"/>
      <c r="AI638" s="283" t="str">
        <f t="shared" si="664"/>
        <v/>
      </c>
      <c r="AJ638" s="118"/>
      <c r="AK638" s="118"/>
      <c r="AM638" s="118">
        <f t="shared" si="665"/>
        <v>0</v>
      </c>
      <c r="AN638" s="118">
        <f t="shared" si="650"/>
        <v>0</v>
      </c>
      <c r="AO638" s="118" t="str">
        <f>IFERROR(
IF(VLOOKUP($C638,'Employee information'!$B:$M,COLUMNS('Employee information'!$B:$M),0)=1,
IF($E$2="Fortnightly",
ROUND(
ROUND((((TRUNC($AN638/2,0)+0.99))*VLOOKUP((TRUNC($AN638/2,0)+0.99),'Tax scales - NAT 1004'!$A$12:$C$18,2,1)-VLOOKUP((TRUNC($AN638/2,0)+0.99),'Tax scales - NAT 1004'!$A$12:$C$18,3,1)),0)
*2,
0),
IF(AND($E$2="Monthly",ROUND($AN638-TRUNC($AN638),2)=0.33),
ROUND(
ROUND(((TRUNC(($AN638+0.01)*3/13,0)+0.99)*VLOOKUP((TRUNC(($AN638+0.01)*3/13,0)+0.99),'Tax scales - NAT 1004'!$A$12:$C$18,2,1)-VLOOKUP((TRUNC(($AN638+0.01)*3/13,0)+0.99),'Tax scales - NAT 1004'!$A$12:$C$18,3,1)),0)
*13/3,
0),
IF($E$2="Monthly",
ROUND(
ROUND(((TRUNC($AN638*3/13,0)+0.99)*VLOOKUP((TRUNC($AN638*3/13,0)+0.99),'Tax scales - NAT 1004'!$A$12:$C$18,2,1)-VLOOKUP((TRUNC($AN638*3/13,0)+0.99),'Tax scales - NAT 1004'!$A$12:$C$18,3,1)),0)
*13/3,
0),
""))),
""),
"")</f>
        <v/>
      </c>
      <c r="AP638" s="118" t="str">
        <f>IFERROR(
IF(VLOOKUP($C638,'Employee information'!$B:$M,COLUMNS('Employee information'!$B:$M),0)=2,
IF($E$2="Fortnightly",
ROUND(
ROUND((((TRUNC($AN638/2,0)+0.99))*VLOOKUP((TRUNC($AN638/2,0)+0.99),'Tax scales - NAT 1004'!$A$25:$C$33,2,1)-VLOOKUP((TRUNC($AN638/2,0)+0.99),'Tax scales - NAT 1004'!$A$25:$C$33,3,1)),0)
*2,
0),
IF(AND($E$2="Monthly",ROUND($AN638-TRUNC($AN638),2)=0.33),
ROUND(
ROUND(((TRUNC(($AN638+0.01)*3/13,0)+0.99)*VLOOKUP((TRUNC(($AN638+0.01)*3/13,0)+0.99),'Tax scales - NAT 1004'!$A$25:$C$33,2,1)-VLOOKUP((TRUNC(($AN638+0.01)*3/13,0)+0.99),'Tax scales - NAT 1004'!$A$25:$C$33,3,1)),0)
*13/3,
0),
IF($E$2="Monthly",
ROUND(
ROUND(((TRUNC($AN638*3/13,0)+0.99)*VLOOKUP((TRUNC($AN638*3/13,0)+0.99),'Tax scales - NAT 1004'!$A$25:$C$33,2,1)-VLOOKUP((TRUNC($AN638*3/13,0)+0.99),'Tax scales - NAT 1004'!$A$25:$C$33,3,1)),0)
*13/3,
0),
""))),
""),
"")</f>
        <v/>
      </c>
      <c r="AQ638" s="118" t="str">
        <f>IFERROR(
IF(VLOOKUP($C638,'Employee information'!$B:$M,COLUMNS('Employee information'!$B:$M),0)=3,
IF($E$2="Fortnightly",
ROUND(
ROUND((((TRUNC($AN638/2,0)+0.99))*VLOOKUP((TRUNC($AN638/2,0)+0.99),'Tax scales - NAT 1004'!$A$39:$C$41,2,1)-VLOOKUP((TRUNC($AN638/2,0)+0.99),'Tax scales - NAT 1004'!$A$39:$C$41,3,1)),0)
*2,
0),
IF(AND($E$2="Monthly",ROUND($AN638-TRUNC($AN638),2)=0.33),
ROUND(
ROUND(((TRUNC(($AN638+0.01)*3/13,0)+0.99)*VLOOKUP((TRUNC(($AN638+0.01)*3/13,0)+0.99),'Tax scales - NAT 1004'!$A$39:$C$41,2,1)-VLOOKUP((TRUNC(($AN638+0.01)*3/13,0)+0.99),'Tax scales - NAT 1004'!$A$39:$C$41,3,1)),0)
*13/3,
0),
IF($E$2="Monthly",
ROUND(
ROUND(((TRUNC($AN638*3/13,0)+0.99)*VLOOKUP((TRUNC($AN638*3/13,0)+0.99),'Tax scales - NAT 1004'!$A$39:$C$41,2,1)-VLOOKUP((TRUNC($AN638*3/13,0)+0.99),'Tax scales - NAT 1004'!$A$39:$C$41,3,1)),0)
*13/3,
0),
""))),
""),
"")</f>
        <v/>
      </c>
      <c r="AR638" s="118" t="str">
        <f>IFERROR(
IF(AND(VLOOKUP($C638,'Employee information'!$B:$M,COLUMNS('Employee information'!$B:$M),0)=4,
VLOOKUP($C638,'Employee information'!$B:$J,COLUMNS('Employee information'!$B:$J),0)="Resident"),
TRUNC(TRUNC($AN638)*'Tax scales - NAT 1004'!$B$47),
IF(AND(VLOOKUP($C638,'Employee information'!$B:$M,COLUMNS('Employee information'!$B:$M),0)=4,
VLOOKUP($C638,'Employee information'!$B:$J,COLUMNS('Employee information'!$B:$J),0)="Foreign resident"),
TRUNC(TRUNC($AN638)*'Tax scales - NAT 1004'!$B$48),
"")),
"")</f>
        <v/>
      </c>
      <c r="AS638" s="118" t="str">
        <f>IFERROR(
IF(VLOOKUP($C638,'Employee information'!$B:$M,COLUMNS('Employee information'!$B:$M),0)=5,
IF($E$2="Fortnightly",
ROUND(
ROUND((((TRUNC($AN638/2,0)+0.99))*VLOOKUP((TRUNC($AN638/2,0)+0.99),'Tax scales - NAT 1004'!$A$53:$C$59,2,1)-VLOOKUP((TRUNC($AN638/2,0)+0.99),'Tax scales - NAT 1004'!$A$53:$C$59,3,1)),0)
*2,
0),
IF(AND($E$2="Monthly",ROUND($AN638-TRUNC($AN638),2)=0.33),
ROUND(
ROUND(((TRUNC(($AN638+0.01)*3/13,0)+0.99)*VLOOKUP((TRUNC(($AN638+0.01)*3/13,0)+0.99),'Tax scales - NAT 1004'!$A$53:$C$59,2,1)-VLOOKUP((TRUNC(($AN638+0.01)*3/13,0)+0.99),'Tax scales - NAT 1004'!$A$53:$C$59,3,1)),0)
*13/3,
0),
IF($E$2="Monthly",
ROUND(
ROUND(((TRUNC($AN638*3/13,0)+0.99)*VLOOKUP((TRUNC($AN638*3/13,0)+0.99),'Tax scales - NAT 1004'!$A$53:$C$59,2,1)-VLOOKUP((TRUNC($AN638*3/13,0)+0.99),'Tax scales - NAT 1004'!$A$53:$C$59,3,1)),0)
*13/3,
0),
""))),
""),
"")</f>
        <v/>
      </c>
      <c r="AT638" s="118" t="str">
        <f>IFERROR(
IF(VLOOKUP($C638,'Employee information'!$B:$M,COLUMNS('Employee information'!$B:$M),0)=6,
IF($E$2="Fortnightly",
ROUND(
ROUND((((TRUNC($AN638/2,0)+0.99))*VLOOKUP((TRUNC($AN638/2,0)+0.99),'Tax scales - NAT 1004'!$A$65:$C$73,2,1)-VLOOKUP((TRUNC($AN638/2,0)+0.99),'Tax scales - NAT 1004'!$A$65:$C$73,3,1)),0)
*2,
0),
IF(AND($E$2="Monthly",ROUND($AN638-TRUNC($AN638),2)=0.33),
ROUND(
ROUND(((TRUNC(($AN638+0.01)*3/13,0)+0.99)*VLOOKUP((TRUNC(($AN638+0.01)*3/13,0)+0.99),'Tax scales - NAT 1004'!$A$65:$C$73,2,1)-VLOOKUP((TRUNC(($AN638+0.01)*3/13,0)+0.99),'Tax scales - NAT 1004'!$A$65:$C$73,3,1)),0)
*13/3,
0),
IF($E$2="Monthly",
ROUND(
ROUND(((TRUNC($AN638*3/13,0)+0.99)*VLOOKUP((TRUNC($AN638*3/13,0)+0.99),'Tax scales - NAT 1004'!$A$65:$C$73,2,1)-VLOOKUP((TRUNC($AN638*3/13,0)+0.99),'Tax scales - NAT 1004'!$A$65:$C$73,3,1)),0)
*13/3,
0),
""))),
""),
"")</f>
        <v/>
      </c>
      <c r="AU638" s="118" t="str">
        <f>IFERROR(
IF(VLOOKUP($C638,'Employee information'!$B:$M,COLUMNS('Employee information'!$B:$M),0)=11,
IF($E$2="Fortnightly",
ROUND(
ROUND((((TRUNC($AN638/2,0)+0.99))*VLOOKUP((TRUNC($AN638/2,0)+0.99),'Tax scales - NAT 3539'!$A$14:$C$38,2,1)-VLOOKUP((TRUNC($AN638/2,0)+0.99),'Tax scales - NAT 3539'!$A$14:$C$38,3,1)),0)
*2,
0),
IF(AND($E$2="Monthly",ROUND($AN638-TRUNC($AN638),2)=0.33),
ROUND(
ROUND(((TRUNC(($AN638+0.01)*3/13,0)+0.99)*VLOOKUP((TRUNC(($AN638+0.01)*3/13,0)+0.99),'Tax scales - NAT 3539'!$A$14:$C$38,2,1)-VLOOKUP((TRUNC(($AN638+0.01)*3/13,0)+0.99),'Tax scales - NAT 3539'!$A$14:$C$38,3,1)),0)
*13/3,
0),
IF($E$2="Monthly",
ROUND(
ROUND(((TRUNC($AN638*3/13,0)+0.99)*VLOOKUP((TRUNC($AN638*3/13,0)+0.99),'Tax scales - NAT 3539'!$A$14:$C$38,2,1)-VLOOKUP((TRUNC($AN638*3/13,0)+0.99),'Tax scales - NAT 3539'!$A$14:$C$38,3,1)),0)
*13/3,
0),
""))),
""),
"")</f>
        <v/>
      </c>
      <c r="AV638" s="118" t="str">
        <f>IFERROR(
IF(VLOOKUP($C638,'Employee information'!$B:$M,COLUMNS('Employee information'!$B:$M),0)=22,
IF($E$2="Fortnightly",
ROUND(
ROUND((((TRUNC($AN638/2,0)+0.99))*VLOOKUP((TRUNC($AN638/2,0)+0.99),'Tax scales - NAT 3539'!$A$43:$C$69,2,1)-VLOOKUP((TRUNC($AN638/2,0)+0.99),'Tax scales - NAT 3539'!$A$43:$C$69,3,1)),0)
*2,
0),
IF(AND($E$2="Monthly",ROUND($AN638-TRUNC($AN638),2)=0.33),
ROUND(
ROUND(((TRUNC(($AN638+0.01)*3/13,0)+0.99)*VLOOKUP((TRUNC(($AN638+0.01)*3/13,0)+0.99),'Tax scales - NAT 3539'!$A$43:$C$69,2,1)-VLOOKUP((TRUNC(($AN638+0.01)*3/13,0)+0.99),'Tax scales - NAT 3539'!$A$43:$C$69,3,1)),0)
*13/3,
0),
IF($E$2="Monthly",
ROUND(
ROUND(((TRUNC($AN638*3/13,0)+0.99)*VLOOKUP((TRUNC($AN638*3/13,0)+0.99),'Tax scales - NAT 3539'!$A$43:$C$69,2,1)-VLOOKUP((TRUNC($AN638*3/13,0)+0.99),'Tax scales - NAT 3539'!$A$43:$C$69,3,1)),0)
*13/3,
0),
""))),
""),
"")</f>
        <v/>
      </c>
      <c r="AW638" s="118" t="str">
        <f>IFERROR(
IF(VLOOKUP($C638,'Employee information'!$B:$M,COLUMNS('Employee information'!$B:$M),0)=33,
IF($E$2="Fortnightly",
ROUND(
ROUND((((TRUNC($AN638/2,0)+0.99))*VLOOKUP((TRUNC($AN638/2,0)+0.99),'Tax scales - NAT 3539'!$A$74:$C$94,2,1)-VLOOKUP((TRUNC($AN638/2,0)+0.99),'Tax scales - NAT 3539'!$A$74:$C$94,3,1)),0)
*2,
0),
IF(AND($E$2="Monthly",ROUND($AN638-TRUNC($AN638),2)=0.33),
ROUND(
ROUND(((TRUNC(($AN638+0.01)*3/13,0)+0.99)*VLOOKUP((TRUNC(($AN638+0.01)*3/13,0)+0.99),'Tax scales - NAT 3539'!$A$74:$C$94,2,1)-VLOOKUP((TRUNC(($AN638+0.01)*3/13,0)+0.99),'Tax scales - NAT 3539'!$A$74:$C$94,3,1)),0)
*13/3,
0),
IF($E$2="Monthly",
ROUND(
ROUND(((TRUNC($AN638*3/13,0)+0.99)*VLOOKUP((TRUNC($AN638*3/13,0)+0.99),'Tax scales - NAT 3539'!$A$74:$C$94,2,1)-VLOOKUP((TRUNC($AN638*3/13,0)+0.99),'Tax scales - NAT 3539'!$A$74:$C$94,3,1)),0)
*13/3,
0),
""))),
""),
"")</f>
        <v/>
      </c>
      <c r="AX638" s="118" t="str">
        <f>IFERROR(
IF(VLOOKUP($C638,'Employee information'!$B:$M,COLUMNS('Employee information'!$B:$M),0)=55,
IF($E$2="Fortnightly",
ROUND(
ROUND((((TRUNC($AN638/2,0)+0.99))*VLOOKUP((TRUNC($AN638/2,0)+0.99),'Tax scales - NAT 3539'!$A$99:$C$123,2,1)-VLOOKUP((TRUNC($AN638/2,0)+0.99),'Tax scales - NAT 3539'!$A$99:$C$123,3,1)),0)
*2,
0),
IF(AND($E$2="Monthly",ROUND($AN638-TRUNC($AN638),2)=0.33),
ROUND(
ROUND(((TRUNC(($AN638+0.01)*3/13,0)+0.99)*VLOOKUP((TRUNC(($AN638+0.01)*3/13,0)+0.99),'Tax scales - NAT 3539'!$A$99:$C$123,2,1)-VLOOKUP((TRUNC(($AN638+0.01)*3/13,0)+0.99),'Tax scales - NAT 3539'!$A$99:$C$123,3,1)),0)
*13/3,
0),
IF($E$2="Monthly",
ROUND(
ROUND(((TRUNC($AN638*3/13,0)+0.99)*VLOOKUP((TRUNC($AN638*3/13,0)+0.99),'Tax scales - NAT 3539'!$A$99:$C$123,2,1)-VLOOKUP((TRUNC($AN638*3/13,0)+0.99),'Tax scales - NAT 3539'!$A$99:$C$123,3,1)),0)
*13/3,
0),
""))),
""),
"")</f>
        <v/>
      </c>
      <c r="AY638" s="118" t="str">
        <f>IFERROR(
IF(VLOOKUP($C638,'Employee information'!$B:$M,COLUMNS('Employee information'!$B:$M),0)=66,
IF($E$2="Fortnightly",
ROUND(
ROUND((((TRUNC($AN638/2,0)+0.99))*VLOOKUP((TRUNC($AN638/2,0)+0.99),'Tax scales - NAT 3539'!$A$127:$C$154,2,1)-VLOOKUP((TRUNC($AN638/2,0)+0.99),'Tax scales - NAT 3539'!$A$127:$C$154,3,1)),0)
*2,
0),
IF(AND($E$2="Monthly",ROUND($AN638-TRUNC($AN638),2)=0.33),
ROUND(
ROUND(((TRUNC(($AN638+0.01)*3/13,0)+0.99)*VLOOKUP((TRUNC(($AN638+0.01)*3/13,0)+0.99),'Tax scales - NAT 3539'!$A$127:$C$154,2,1)-VLOOKUP((TRUNC(($AN638+0.01)*3/13,0)+0.99),'Tax scales - NAT 3539'!$A$127:$C$154,3,1)),0)
*13/3,
0),
IF($E$2="Monthly",
ROUND(
ROUND(((TRUNC($AN638*3/13,0)+0.99)*VLOOKUP((TRUNC($AN638*3/13,0)+0.99),'Tax scales - NAT 3539'!$A$127:$C$154,2,1)-VLOOKUP((TRUNC($AN638*3/13,0)+0.99),'Tax scales - NAT 3539'!$A$127:$C$154,3,1)),0)
*13/3,
0),
""))),
""),
"")</f>
        <v/>
      </c>
      <c r="AZ638" s="118">
        <f>IFERROR(
HLOOKUP(VLOOKUP($C638,'Employee information'!$B:$M,COLUMNS('Employee information'!$B:$M),0),'PAYG worksheet'!$AO$619:$AY$638,COUNTA($C$620:$C638)+1,0),
0)</f>
        <v>0</v>
      </c>
      <c r="BA638" s="118"/>
      <c r="BB638" s="118">
        <f t="shared" si="666"/>
        <v>0</v>
      </c>
      <c r="BC638" s="119">
        <f>IFERROR(
IF(OR($AE638=1,$AE638=""),SUM($P638,$AA638,$AC638,$AK638)*VLOOKUP($C638,'Employee information'!$B:$Q,COLUMNS('Employee information'!$B:$H),0),
IF($AE638=0,SUM($P638,$AA638,$AK638)*VLOOKUP($C638,'Employee information'!$B:$Q,COLUMNS('Employee information'!$B:$H),0),
0)),
0)</f>
        <v>0</v>
      </c>
      <c r="BE638" s="114">
        <f t="shared" si="651"/>
        <v>0</v>
      </c>
      <c r="BF638" s="114">
        <f t="shared" si="652"/>
        <v>0</v>
      </c>
      <c r="BG638" s="114">
        <f t="shared" si="653"/>
        <v>0</v>
      </c>
      <c r="BH638" s="114">
        <f t="shared" si="654"/>
        <v>0</v>
      </c>
      <c r="BI638" s="114">
        <f t="shared" si="655"/>
        <v>0</v>
      </c>
      <c r="BJ638" s="114">
        <f t="shared" si="656"/>
        <v>0</v>
      </c>
      <c r="BK638" s="114">
        <f t="shared" si="657"/>
        <v>0</v>
      </c>
      <c r="BL638" s="114">
        <f t="shared" si="667"/>
        <v>0</v>
      </c>
      <c r="BM638" s="114">
        <f t="shared" si="658"/>
        <v>0</v>
      </c>
    </row>
    <row r="639" spans="1:65" x14ac:dyDescent="0.25">
      <c r="C639" s="284" t="s">
        <v>39</v>
      </c>
      <c r="D639" s="223"/>
      <c r="E639" s="111">
        <f>SUM(E620:E638)</f>
        <v>345</v>
      </c>
      <c r="F639" s="112">
        <f t="shared" ref="F639:H639" si="668">SUM(F620:F638)</f>
        <v>0</v>
      </c>
      <c r="G639" s="112">
        <f t="shared" si="668"/>
        <v>0</v>
      </c>
      <c r="H639" s="112">
        <f t="shared" si="668"/>
        <v>0</v>
      </c>
      <c r="I639" s="112"/>
      <c r="J639" s="111">
        <f t="shared" ref="J639" si="669">SUM(J620:J638)</f>
        <v>345</v>
      </c>
      <c r="K639" s="223"/>
      <c r="L639" s="115">
        <f>SUM(L620:L638)</f>
        <v>19122.576396206536</v>
      </c>
      <c r="M639" s="115">
        <f>SUM(M620:M638)</f>
        <v>423212.06533192832</v>
      </c>
      <c r="N639" s="223"/>
      <c r="O639" s="116">
        <f>SUM(O620:O638)</f>
        <v>345</v>
      </c>
      <c r="P639" s="117">
        <f>SUM(P620:P638)</f>
        <v>19122.576396206536</v>
      </c>
      <c r="R639" s="117">
        <f>SUM(R620:R638)</f>
        <v>423212.06533192832</v>
      </c>
      <c r="S639" s="223"/>
      <c r="T639" s="116">
        <f>SUM(T620:T638)</f>
        <v>0</v>
      </c>
      <c r="U639" s="116">
        <f t="shared" ref="U639:Y639" si="670">SUM(U620:U638)</f>
        <v>0</v>
      </c>
      <c r="V639" s="285">
        <f t="shared" si="670"/>
        <v>0</v>
      </c>
      <c r="W639" s="285">
        <f t="shared" si="670"/>
        <v>0</v>
      </c>
      <c r="X639" s="285">
        <f t="shared" si="670"/>
        <v>1538.4615384615386</v>
      </c>
      <c r="Y639" s="285">
        <f t="shared" si="670"/>
        <v>801.28205128205127</v>
      </c>
      <c r="Z639" s="223"/>
      <c r="AA639" s="117">
        <f t="shared" ref="AA639" si="671">SUM(AA620:AA638)</f>
        <v>0</v>
      </c>
      <c r="AC639" s="117">
        <f t="shared" ref="AC639" si="672">SUM(AC620:AC638)</f>
        <v>0</v>
      </c>
      <c r="AD639" s="117"/>
      <c r="AE639" s="117"/>
      <c r="AF639" s="117"/>
      <c r="AG639" s="117">
        <f t="shared" ref="AG639" si="673">SUM(AG620:AG638)</f>
        <v>0</v>
      </c>
      <c r="AH639" s="117"/>
      <c r="AI639" s="117"/>
      <c r="AJ639" s="117">
        <f>SUM(AJ620:AJ638)</f>
        <v>0</v>
      </c>
      <c r="AK639" s="117">
        <f>SUM(AK620:AK638)</f>
        <v>0</v>
      </c>
      <c r="AM639" s="117">
        <f t="shared" ref="AM639:AN639" si="674">SUM(AM620:AM638)</f>
        <v>19122.576396206536</v>
      </c>
      <c r="AN639" s="117">
        <f t="shared" si="674"/>
        <v>19122.576396206536</v>
      </c>
      <c r="AO639" s="117"/>
      <c r="AP639" s="117"/>
      <c r="AQ639" s="117"/>
      <c r="AR639" s="117"/>
      <c r="AS639" s="117"/>
      <c r="AT639" s="117"/>
      <c r="AU639" s="117"/>
      <c r="AV639" s="117"/>
      <c r="AW639" s="117"/>
      <c r="AX639" s="117"/>
      <c r="AY639" s="117"/>
      <c r="AZ639" s="117">
        <f>SUM(AZ620:AZ638)</f>
        <v>7481</v>
      </c>
      <c r="BA639" s="117">
        <f>SUM(BA620:BA638)</f>
        <v>0</v>
      </c>
      <c r="BB639" s="117">
        <f>SUM(BB620:BB638)</f>
        <v>11641.576396206534</v>
      </c>
      <c r="BC639" s="117">
        <f t="shared" ref="BC639" si="675">SUM(BC620:BC638)</f>
        <v>1816.6447576396208</v>
      </c>
      <c r="BD639" s="136"/>
      <c r="BE639" s="117">
        <f t="shared" ref="BE639:BM639" si="676">SUM(BE620:BE638)</f>
        <v>423452.06533192832</v>
      </c>
      <c r="BF639" s="117">
        <f t="shared" si="676"/>
        <v>423312.06533192832</v>
      </c>
      <c r="BG639" s="117">
        <f t="shared" si="676"/>
        <v>0</v>
      </c>
      <c r="BH639" s="117">
        <f t="shared" si="676"/>
        <v>140</v>
      </c>
      <c r="BI639" s="117">
        <f t="shared" si="676"/>
        <v>165396</v>
      </c>
      <c r="BJ639" s="117">
        <f t="shared" si="676"/>
        <v>0</v>
      </c>
      <c r="BK639" s="117">
        <f t="shared" si="676"/>
        <v>0</v>
      </c>
      <c r="BL639" s="117">
        <f t="shared" si="676"/>
        <v>100</v>
      </c>
      <c r="BM639" s="117">
        <f t="shared" si="676"/>
        <v>40214.646206533187</v>
      </c>
    </row>
    <row r="641" spans="1:65" x14ac:dyDescent="0.25">
      <c r="B641" s="228">
        <v>23</v>
      </c>
      <c r="C641" s="230" t="s">
        <v>2</v>
      </c>
      <c r="E641" s="232">
        <v>44116</v>
      </c>
      <c r="F641" s="148" t="s">
        <v>91</v>
      </c>
      <c r="L641" s="286"/>
      <c r="T641" s="127"/>
      <c r="U641" s="127"/>
      <c r="V641" s="127"/>
      <c r="W641" s="127"/>
      <c r="X641" s="127"/>
      <c r="Y641" s="127"/>
    </row>
    <row r="642" spans="1:65" x14ac:dyDescent="0.25">
      <c r="C642" s="230" t="s">
        <v>3</v>
      </c>
      <c r="E642" s="232">
        <v>44127</v>
      </c>
      <c r="F642" s="148" t="s">
        <v>90</v>
      </c>
      <c r="G642" s="229"/>
      <c r="H642" s="229"/>
      <c r="I642" s="229"/>
      <c r="J642" s="229"/>
      <c r="L642" s="164"/>
      <c r="T642" s="127"/>
      <c r="U642" s="127"/>
      <c r="V642" s="127"/>
      <c r="W642" s="127"/>
      <c r="X642" s="127"/>
      <c r="Y642" s="127"/>
    </row>
    <row r="643" spans="1:65" x14ac:dyDescent="0.25">
      <c r="C643" s="233"/>
    </row>
    <row r="644" spans="1:65" ht="34.5" customHeight="1" x14ac:dyDescent="0.25">
      <c r="C644" s="234"/>
      <c r="D644" s="235"/>
      <c r="E644" s="441" t="s">
        <v>4</v>
      </c>
      <c r="F644" s="442"/>
      <c r="G644" s="442"/>
      <c r="H644" s="442"/>
      <c r="I644" s="442"/>
      <c r="J644" s="443"/>
      <c r="L644" s="444" t="s">
        <v>253</v>
      </c>
      <c r="M644" s="445"/>
      <c r="N644" s="235"/>
      <c r="O644" s="444" t="s">
        <v>148</v>
      </c>
      <c r="P644" s="445"/>
      <c r="R644" s="235"/>
      <c r="T644" s="446" t="s">
        <v>269</v>
      </c>
      <c r="U644" s="447"/>
      <c r="V644" s="447"/>
      <c r="W644" s="447"/>
      <c r="X644" s="447"/>
      <c r="Y644" s="447"/>
      <c r="Z644" s="447"/>
      <c r="AA644" s="447"/>
      <c r="AC644" s="438" t="s">
        <v>274</v>
      </c>
      <c r="AD644" s="438"/>
      <c r="AE644" s="438"/>
      <c r="AF644" s="438"/>
      <c r="AG644" s="438"/>
      <c r="AH644" s="438"/>
      <c r="AI644" s="438"/>
      <c r="AJ644" s="438"/>
      <c r="AK644" s="438"/>
      <c r="AM644" s="439" t="s">
        <v>270</v>
      </c>
      <c r="AN644" s="439"/>
      <c r="AO644" s="439"/>
      <c r="AP644" s="439"/>
      <c r="AQ644" s="439"/>
      <c r="AR644" s="439"/>
      <c r="AS644" s="439"/>
      <c r="AT644" s="439"/>
      <c r="AU644" s="439"/>
      <c r="AV644" s="439"/>
      <c r="AW644" s="439"/>
      <c r="AX644" s="439"/>
      <c r="AY644" s="439"/>
      <c r="AZ644" s="439"/>
      <c r="BA644" s="439"/>
      <c r="BB644" s="439"/>
      <c r="BC644" s="440"/>
      <c r="BE644" s="439" t="s">
        <v>246</v>
      </c>
      <c r="BF644" s="439"/>
      <c r="BG644" s="439"/>
      <c r="BH644" s="439"/>
      <c r="BI644" s="439"/>
      <c r="BJ644" s="439"/>
      <c r="BK644" s="439"/>
      <c r="BL644" s="439"/>
      <c r="BM644" s="439"/>
    </row>
    <row r="645" spans="1:65" x14ac:dyDescent="0.25">
      <c r="C645" s="236"/>
      <c r="E645" s="229"/>
      <c r="F645" s="229"/>
      <c r="G645" s="229"/>
      <c r="H645" s="229"/>
      <c r="I645" s="229"/>
      <c r="J645" s="229"/>
      <c r="L645" s="164"/>
      <c r="O645" s="229"/>
      <c r="P645" s="164"/>
      <c r="T645" s="127"/>
      <c r="U645" s="127"/>
      <c r="V645" s="127"/>
      <c r="W645" s="127"/>
      <c r="X645" s="127"/>
      <c r="Y645" s="127"/>
      <c r="AA645" s="229"/>
      <c r="AC645" s="229"/>
      <c r="AD645" s="229"/>
      <c r="AE645" s="229"/>
      <c r="AF645" s="229"/>
      <c r="AG645" s="229"/>
      <c r="AH645" s="229"/>
      <c r="AI645" s="229"/>
      <c r="AJ645" s="229"/>
      <c r="AK645" s="127"/>
      <c r="AM645" s="229"/>
      <c r="AN645" s="229"/>
      <c r="AO645" s="229"/>
      <c r="AP645" s="229"/>
      <c r="AQ645" s="229"/>
      <c r="AR645" s="229"/>
      <c r="AS645" s="229"/>
      <c r="AT645" s="229"/>
      <c r="AU645" s="229"/>
      <c r="AV645" s="229"/>
      <c r="AW645" s="229"/>
      <c r="AX645" s="229"/>
      <c r="AY645" s="229"/>
      <c r="AZ645" s="229"/>
      <c r="BA645" s="229"/>
      <c r="BB645" s="229"/>
      <c r="BC645" s="229"/>
    </row>
    <row r="646" spans="1:65" ht="60" x14ac:dyDescent="0.25">
      <c r="C646" s="238" t="s">
        <v>5</v>
      </c>
      <c r="D646" s="239"/>
      <c r="E646" s="240" t="s">
        <v>268</v>
      </c>
      <c r="F646" s="241" t="s">
        <v>271</v>
      </c>
      <c r="G646" s="242" t="s">
        <v>267</v>
      </c>
      <c r="H646" s="243" t="s">
        <v>266</v>
      </c>
      <c r="I646" s="242" t="s">
        <v>265</v>
      </c>
      <c r="J646" s="244" t="s">
        <v>6</v>
      </c>
      <c r="L646" s="245" t="s">
        <v>7</v>
      </c>
      <c r="M646" s="246" t="s">
        <v>254</v>
      </c>
      <c r="N646" s="247"/>
      <c r="O646" s="248" t="s">
        <v>272</v>
      </c>
      <c r="P646" s="249" t="s">
        <v>200</v>
      </c>
      <c r="R646" s="250" t="s">
        <v>151</v>
      </c>
      <c r="T646" s="251" t="s">
        <v>8</v>
      </c>
      <c r="U646" s="252" t="s">
        <v>9</v>
      </c>
      <c r="V646" s="252" t="s">
        <v>120</v>
      </c>
      <c r="W646" s="252" t="s">
        <v>121</v>
      </c>
      <c r="X646" s="253" t="s">
        <v>118</v>
      </c>
      <c r="Y646" s="254" t="s">
        <v>119</v>
      </c>
      <c r="AA646" s="255" t="s">
        <v>84</v>
      </c>
      <c r="AC646" s="256" t="s">
        <v>142</v>
      </c>
      <c r="AD646" s="256" t="s">
        <v>138</v>
      </c>
      <c r="AE646" s="257" t="s">
        <v>147</v>
      </c>
      <c r="AF646" s="257" t="s">
        <v>149</v>
      </c>
      <c r="AG646" s="256" t="s">
        <v>305</v>
      </c>
      <c r="AH646" s="256" t="s">
        <v>306</v>
      </c>
      <c r="AI646" s="257" t="s">
        <v>150</v>
      </c>
      <c r="AJ646" s="258" t="s">
        <v>250</v>
      </c>
      <c r="AK646" s="259" t="s">
        <v>373</v>
      </c>
      <c r="AM646" s="260" t="s">
        <v>256</v>
      </c>
      <c r="AN646" s="261" t="s">
        <v>372</v>
      </c>
      <c r="AO646" s="253" t="s">
        <v>170</v>
      </c>
      <c r="AP646" s="253" t="s">
        <v>171</v>
      </c>
      <c r="AQ646" s="253" t="s">
        <v>172</v>
      </c>
      <c r="AR646" s="253" t="s">
        <v>173</v>
      </c>
      <c r="AS646" s="253" t="s">
        <v>174</v>
      </c>
      <c r="AT646" s="253" t="s">
        <v>175</v>
      </c>
      <c r="AU646" s="262" t="s">
        <v>210</v>
      </c>
      <c r="AV646" s="262" t="s">
        <v>211</v>
      </c>
      <c r="AW646" s="262" t="s">
        <v>212</v>
      </c>
      <c r="AX646" s="262" t="s">
        <v>213</v>
      </c>
      <c r="AY646" s="263" t="s">
        <v>214</v>
      </c>
      <c r="AZ646" s="264" t="s">
        <v>111</v>
      </c>
      <c r="BA646" s="265" t="s">
        <v>199</v>
      </c>
      <c r="BB646" s="252" t="s">
        <v>223</v>
      </c>
      <c r="BC646" s="260" t="s">
        <v>112</v>
      </c>
      <c r="BE646" s="260" t="s">
        <v>257</v>
      </c>
      <c r="BF646" s="266" t="s">
        <v>255</v>
      </c>
      <c r="BG646" s="262" t="s">
        <v>247</v>
      </c>
      <c r="BH646" s="262" t="s">
        <v>248</v>
      </c>
      <c r="BI646" s="260" t="s">
        <v>249</v>
      </c>
      <c r="BJ646" s="253" t="s">
        <v>199</v>
      </c>
      <c r="BK646" s="262" t="s">
        <v>251</v>
      </c>
      <c r="BL646" s="259" t="s">
        <v>373</v>
      </c>
      <c r="BM646" s="260" t="s">
        <v>252</v>
      </c>
    </row>
    <row r="647" spans="1:65" x14ac:dyDescent="0.25">
      <c r="T647" s="120"/>
      <c r="U647" s="120"/>
      <c r="V647" s="120"/>
      <c r="W647" s="120"/>
      <c r="X647" s="120"/>
      <c r="Y647" s="120"/>
      <c r="AM647" s="267" t="s">
        <v>322</v>
      </c>
      <c r="AN647" s="237"/>
      <c r="AO647" s="237"/>
      <c r="AP647" s="237"/>
      <c r="AQ647" s="237"/>
      <c r="AR647" s="237"/>
      <c r="AS647" s="237"/>
      <c r="AT647" s="237"/>
      <c r="AU647" s="237"/>
      <c r="AV647" s="237"/>
      <c r="AW647" s="237"/>
      <c r="AX647" s="237"/>
      <c r="AY647" s="237"/>
      <c r="AZ647" s="436" t="s">
        <v>320</v>
      </c>
      <c r="BA647" s="437"/>
      <c r="BB647" s="237"/>
      <c r="BC647" s="267" t="s">
        <v>321</v>
      </c>
    </row>
    <row r="648" spans="1:65" x14ac:dyDescent="0.25">
      <c r="A648" s="228">
        <f t="shared" ref="A648:A667" si="677">IF($E$642="","",$B$641)</f>
        <v>23</v>
      </c>
      <c r="C648" s="268"/>
      <c r="D648" s="239"/>
      <c r="E648" s="269"/>
      <c r="F648" s="270"/>
      <c r="G648" s="271"/>
      <c r="H648" s="272"/>
      <c r="I648" s="271"/>
      <c r="J648" s="273"/>
      <c r="O648" s="274"/>
      <c r="P648" s="247"/>
      <c r="T648" s="271"/>
      <c r="U648" s="271"/>
      <c r="V648" s="275"/>
      <c r="W648" s="269"/>
      <c r="X648" s="269"/>
      <c r="Y648" s="269"/>
      <c r="AA648" s="271"/>
      <c r="AC648" s="271"/>
      <c r="AD648" s="271"/>
      <c r="AE648" s="271"/>
      <c r="AF648" s="271"/>
      <c r="AG648" s="271"/>
      <c r="AH648" s="271"/>
      <c r="AI648" s="271"/>
      <c r="AJ648" s="271"/>
      <c r="AK648" s="275"/>
      <c r="AM648" s="271"/>
      <c r="AN648" s="271"/>
      <c r="AO648" s="276">
        <v>1</v>
      </c>
      <c r="AP648" s="276">
        <v>2</v>
      </c>
      <c r="AQ648" s="276">
        <v>3</v>
      </c>
      <c r="AR648" s="277">
        <v>4</v>
      </c>
      <c r="AS648" s="276">
        <v>5</v>
      </c>
      <c r="AT648" s="276">
        <v>6</v>
      </c>
      <c r="AU648" s="276">
        <v>11</v>
      </c>
      <c r="AV648" s="276">
        <v>22</v>
      </c>
      <c r="AW648" s="276">
        <v>33</v>
      </c>
      <c r="AX648" s="276">
        <v>55</v>
      </c>
      <c r="AY648" s="276">
        <v>66</v>
      </c>
      <c r="AZ648" s="271"/>
      <c r="BA648" s="271"/>
      <c r="BB648" s="271"/>
      <c r="BC648" s="273"/>
    </row>
    <row r="649" spans="1:65" x14ac:dyDescent="0.25">
      <c r="A649" s="228">
        <f t="shared" si="677"/>
        <v>23</v>
      </c>
      <c r="C649" s="278" t="s">
        <v>12</v>
      </c>
      <c r="E649" s="103">
        <f>IF($C649="",0,
IF(AND($E$2="Monthly",$A649&gt;12),0,
IF($E$2="Monthly",VLOOKUP($C649,'Employee information'!$B:$AM,COLUMNS('Employee information'!$B:S),0),
IF($E$2="Fortnightly",VLOOKUP($C649,'Employee information'!$B:$AM,COLUMNS('Employee information'!$B:R),0),
0))))</f>
        <v>75</v>
      </c>
      <c r="F649" s="279"/>
      <c r="G649" s="106"/>
      <c r="H649" s="280"/>
      <c r="I649" s="106"/>
      <c r="J649" s="103">
        <f>IF($E$2="Monthly",
IF(AND($E$2="Monthly",$H649&lt;&gt;""),$H649,
IF(AND($E$2="Monthly",$E649=0),SUM($F649:$G649),
$E649)),
IF($E$2="Fortnightly",
IF(AND($E$2="Fortnightly",$H649&lt;&gt;""),$H649,
IF(AND($E$2="Fortnightly",$F649&lt;&gt;"",$E649&lt;&gt;0),$F649,
IF(AND($E$2="Fortnightly",$E649=0),SUM($F649:$G649),
$E649)))))</f>
        <v>75</v>
      </c>
      <c r="L649" s="113">
        <f>IF(AND($E$2="Monthly",$A649&gt;12),"",
IFERROR($J649*VLOOKUP($C649,'Employee information'!$B:$AI,COLUMNS('Employee information'!$B:$P),0),0))</f>
        <v>3697.576396206533</v>
      </c>
      <c r="M649" s="114">
        <f>IF(AND($E$2="Monthly",$A649&gt;12),"",
SUMIFS($L:$L,$C:$C,$C649,$A:$A,"&lt;="&amp;$A649)
)</f>
        <v>85044.257112750289</v>
      </c>
      <c r="O649" s="103">
        <f>IF($E$2="Monthly",
IF(AND($E$2="Monthly",$H649&lt;&gt;""),$H649,
IF(AND($E$2="Monthly",$E649=0),$F649,
$E649)),
IF($E$2="Fortnightly",
IF(AND($E$2="Fortnightly",$H649&lt;&gt;""),$H649,
IF(AND($E$2="Fortnightly",$F649&lt;&gt;"",$E649&lt;&gt;0),$F649,
IF(AND($E$2="Fortnightly",$E649=0),$F649,
$E649)))))</f>
        <v>75</v>
      </c>
      <c r="P649" s="113">
        <f>IFERROR(
IF(AND($E$2="Monthly",$A649&gt;12),0,
$O649*VLOOKUP($C649,'Employee information'!$B:$AI,COLUMNS('Employee information'!$B:$P),0)),
0)</f>
        <v>3697.576396206533</v>
      </c>
      <c r="R649" s="114">
        <f t="shared" ref="R649:R667" si="678">IF(AND($E$2="Monthly",$A649&gt;12),"",
SUMIFS($P:$P,$C:$C,$C649,$A:$A,"&lt;="&amp;$A649)
)</f>
        <v>85044.257112750289</v>
      </c>
      <c r="T649" s="281"/>
      <c r="U649" s="103"/>
      <c r="V649" s="282">
        <f>IF($C649="","",
IF(AND($E$2="Monthly",$A649&gt;12),"",
$T649*VLOOKUP($C649,'Employee information'!$B:$P,COLUMNS('Employee information'!$B:$P),0)))</f>
        <v>0</v>
      </c>
      <c r="W649" s="282">
        <f>IF($C649="","",
IF(AND($E$2="Monthly",$A649&gt;12),"",
$U649*VLOOKUP($C649,'Employee information'!$B:$P,COLUMNS('Employee information'!$B:$P),0)))</f>
        <v>0</v>
      </c>
      <c r="X649" s="114">
        <f t="shared" ref="X649:X667" si="679">IF(AND($E$2="Monthly",$A649&gt;12),"",
SUMIFS($V:$V,$C:$C,$C649,$A:$A,"&lt;="&amp;$A649)
)</f>
        <v>0</v>
      </c>
      <c r="Y649" s="114">
        <f t="shared" ref="Y649:Y667" si="680">IF(AND($E$2="Monthly",$A649&gt;12),"",
SUMIFS($W:$W,$C:$C,$C649,$A:$A,"&lt;="&amp;$A649)
)</f>
        <v>0</v>
      </c>
      <c r="AA649" s="118">
        <f>IFERROR(
IF(OR('Basic payroll data'!$D$12="",'Basic payroll data'!$D$12="No"),0,
$T649*VLOOKUP($C649,'Employee information'!$B:$P,COLUMNS('Employee information'!$B:$P),0)*AL_loading_perc),
0)</f>
        <v>0</v>
      </c>
      <c r="AC649" s="118"/>
      <c r="AD649" s="118"/>
      <c r="AE649" s="283" t="str">
        <f>IF(LEFT($AD649,6)="Is OTE",1,
IF(LEFT($AD649,10)="Is not OTE",0,
""))</f>
        <v/>
      </c>
      <c r="AF649" s="283" t="str">
        <f>IF(RIGHT($AD649,12)="tax withheld",1,
IF(RIGHT($AD649,16)="tax not withheld",0,
""))</f>
        <v/>
      </c>
      <c r="AG649" s="118"/>
      <c r="AH649" s="118"/>
      <c r="AI649" s="283" t="str">
        <f>IF($AH649="FBT",0,
IF($AH649="Not FBT",1,
""))</f>
        <v/>
      </c>
      <c r="AJ649" s="118"/>
      <c r="AK649" s="118"/>
      <c r="AM649" s="118">
        <f>SUM($L649,$AA649,$AC649,$AG649,$AK649)-$AJ649</f>
        <v>3697.576396206533</v>
      </c>
      <c r="AN649" s="118">
        <f t="shared" ref="AN649:AN667" si="681">IF(AND(OR($AF649=1,$AF649=""),OR($AI649=1,$AI649="")),SUM($L649,$AA649,$AC649,$AG649,$AK649)-$AJ649,
IF(AND(OR($AF649=1,$AF649=""),$AI649=0),SUM($L649,$AA649,$AC649,$AK649)-$AJ649,
IF(AND($AF649=0,OR($AI649=1,$AI649="")),SUM($L649,$AA649,$AG649,$AK649)-$AJ649,
IF(AND($AF649=0,$AI649=0),SUM($L649,$AA649,$AK649)-$AJ649,
""))))</f>
        <v>3697.576396206533</v>
      </c>
      <c r="AO649" s="118" t="str">
        <f>IFERROR(
IF(VLOOKUP($C649,'Employee information'!$B:$M,COLUMNS('Employee information'!$B:$M),0)=1,
IF($E$2="Fortnightly",
ROUND(
ROUND((((TRUNC($AN649/2,0)+0.99))*VLOOKUP((TRUNC($AN649/2,0)+0.99),'Tax scales - NAT 1004'!$A$12:$C$18,2,1)-VLOOKUP((TRUNC($AN649/2,0)+0.99),'Tax scales - NAT 1004'!$A$12:$C$18,3,1)),0)
*2,
0),
IF(AND($E$2="Monthly",ROUND($AN649-TRUNC($AN649),2)=0.33),
ROUND(
ROUND(((TRUNC(($AN649+0.01)*3/13,0)+0.99)*VLOOKUP((TRUNC(($AN649+0.01)*3/13,0)+0.99),'Tax scales - NAT 1004'!$A$12:$C$18,2,1)-VLOOKUP((TRUNC(($AN649+0.01)*3/13,0)+0.99),'Tax scales - NAT 1004'!$A$12:$C$18,3,1)),0)
*13/3,
0),
IF($E$2="Monthly",
ROUND(
ROUND(((TRUNC($AN649*3/13,0)+0.99)*VLOOKUP((TRUNC($AN649*3/13,0)+0.99),'Tax scales - NAT 1004'!$A$12:$C$18,2,1)-VLOOKUP((TRUNC($AN649*3/13,0)+0.99),'Tax scales - NAT 1004'!$A$12:$C$18,3,1)),0)
*13/3,
0),
""))),
""),
"")</f>
        <v/>
      </c>
      <c r="AP649" s="118" t="str">
        <f>IFERROR(
IF(VLOOKUP($C649,'Employee information'!$B:$M,COLUMNS('Employee information'!$B:$M),0)=2,
IF($E$2="Fortnightly",
ROUND(
ROUND((((TRUNC($AN649/2,0)+0.99))*VLOOKUP((TRUNC($AN649/2,0)+0.99),'Tax scales - NAT 1004'!$A$25:$C$33,2,1)-VLOOKUP((TRUNC($AN649/2,0)+0.99),'Tax scales - NAT 1004'!$A$25:$C$33,3,1)),0)
*2,
0),
IF(AND($E$2="Monthly",ROUND($AN649-TRUNC($AN649),2)=0.33),
ROUND(
ROUND(((TRUNC(($AN649+0.01)*3/13,0)+0.99)*VLOOKUP((TRUNC(($AN649+0.01)*3/13,0)+0.99),'Tax scales - NAT 1004'!$A$25:$C$33,2,1)-VLOOKUP((TRUNC(($AN649+0.01)*3/13,0)+0.99),'Tax scales - NAT 1004'!$A$25:$C$33,3,1)),0)
*13/3,
0),
IF($E$2="Monthly",
ROUND(
ROUND(((TRUNC($AN649*3/13,0)+0.99)*VLOOKUP((TRUNC($AN649*3/13,0)+0.99),'Tax scales - NAT 1004'!$A$25:$C$33,2,1)-VLOOKUP((TRUNC($AN649*3/13,0)+0.99),'Tax scales - NAT 1004'!$A$25:$C$33,3,1)),0)
*13/3,
0),
""))),
""),
"")</f>
        <v/>
      </c>
      <c r="AQ649" s="118" t="str">
        <f>IFERROR(
IF(VLOOKUP($C649,'Employee information'!$B:$M,COLUMNS('Employee information'!$B:$M),0)=3,
IF($E$2="Fortnightly",
ROUND(
ROUND((((TRUNC($AN649/2,0)+0.99))*VLOOKUP((TRUNC($AN649/2,0)+0.99),'Tax scales - NAT 1004'!$A$39:$C$41,2,1)-VLOOKUP((TRUNC($AN649/2,0)+0.99),'Tax scales - NAT 1004'!$A$39:$C$41,3,1)),0)
*2,
0),
IF(AND($E$2="Monthly",ROUND($AN649-TRUNC($AN649),2)=0.33),
ROUND(
ROUND(((TRUNC(($AN649+0.01)*3/13,0)+0.99)*VLOOKUP((TRUNC(($AN649+0.01)*3/13,0)+0.99),'Tax scales - NAT 1004'!$A$39:$C$41,2,1)-VLOOKUP((TRUNC(($AN649+0.01)*3/13,0)+0.99),'Tax scales - NAT 1004'!$A$39:$C$41,3,1)),0)
*13/3,
0),
IF($E$2="Monthly",
ROUND(
ROUND(((TRUNC($AN649*3/13,0)+0.99)*VLOOKUP((TRUNC($AN649*3/13,0)+0.99),'Tax scales - NAT 1004'!$A$39:$C$41,2,1)-VLOOKUP((TRUNC($AN649*3/13,0)+0.99),'Tax scales - NAT 1004'!$A$39:$C$41,3,1)),0)
*13/3,
0),
""))),
""),
"")</f>
        <v/>
      </c>
      <c r="AR649" s="118" t="str">
        <f>IFERROR(
IF(AND(VLOOKUP($C649,'Employee information'!$B:$M,COLUMNS('Employee information'!$B:$M),0)=4,
VLOOKUP($C649,'Employee information'!$B:$J,COLUMNS('Employee information'!$B:$J),0)="Resident"),
TRUNC(TRUNC($AN649)*'Tax scales - NAT 1004'!$B$47),
IF(AND(VLOOKUP($C649,'Employee information'!$B:$M,COLUMNS('Employee information'!$B:$M),0)=4,
VLOOKUP($C649,'Employee information'!$B:$J,COLUMNS('Employee information'!$B:$J),0)="Foreign resident"),
TRUNC(TRUNC($AN649)*'Tax scales - NAT 1004'!$B$48),
"")),
"")</f>
        <v/>
      </c>
      <c r="AS649" s="118" t="str">
        <f>IFERROR(
IF(VLOOKUP($C649,'Employee information'!$B:$M,COLUMNS('Employee information'!$B:$M),0)=5,
IF($E$2="Fortnightly",
ROUND(
ROUND((((TRUNC($AN649/2,0)+0.99))*VLOOKUP((TRUNC($AN649/2,0)+0.99),'Tax scales - NAT 1004'!$A$53:$C$59,2,1)-VLOOKUP((TRUNC($AN649/2,0)+0.99),'Tax scales - NAT 1004'!$A$53:$C$59,3,1)),0)
*2,
0),
IF(AND($E$2="Monthly",ROUND($AN649-TRUNC($AN649),2)=0.33),
ROUND(
ROUND(((TRUNC(($AN649+0.01)*3/13,0)+0.99)*VLOOKUP((TRUNC(($AN649+0.01)*3/13,0)+0.99),'Tax scales - NAT 1004'!$A$53:$C$59,2,1)-VLOOKUP((TRUNC(($AN649+0.01)*3/13,0)+0.99),'Tax scales - NAT 1004'!$A$53:$C$59,3,1)),0)
*13/3,
0),
IF($E$2="Monthly",
ROUND(
ROUND(((TRUNC($AN649*3/13,0)+0.99)*VLOOKUP((TRUNC($AN649*3/13,0)+0.99),'Tax scales - NAT 1004'!$A$53:$C$59,2,1)-VLOOKUP((TRUNC($AN649*3/13,0)+0.99),'Tax scales - NAT 1004'!$A$53:$C$59,3,1)),0)
*13/3,
0),
""))),
""),
"")</f>
        <v/>
      </c>
      <c r="AT649" s="118" t="str">
        <f>IFERROR(
IF(VLOOKUP($C649,'Employee information'!$B:$M,COLUMNS('Employee information'!$B:$M),0)=6,
IF($E$2="Fortnightly",
ROUND(
ROUND((((TRUNC($AN649/2,0)+0.99))*VLOOKUP((TRUNC($AN649/2,0)+0.99),'Tax scales - NAT 1004'!$A$65:$C$73,2,1)-VLOOKUP((TRUNC($AN649/2,0)+0.99),'Tax scales - NAT 1004'!$A$65:$C$73,3,1)),0)
*2,
0),
IF(AND($E$2="Monthly",ROUND($AN649-TRUNC($AN649),2)=0.33),
ROUND(
ROUND(((TRUNC(($AN649+0.01)*3/13,0)+0.99)*VLOOKUP((TRUNC(($AN649+0.01)*3/13,0)+0.99),'Tax scales - NAT 1004'!$A$65:$C$73,2,1)-VLOOKUP((TRUNC(($AN649+0.01)*3/13,0)+0.99),'Tax scales - NAT 1004'!$A$65:$C$73,3,1)),0)
*13/3,
0),
IF($E$2="Monthly",
ROUND(
ROUND(((TRUNC($AN649*3/13,0)+0.99)*VLOOKUP((TRUNC($AN649*3/13,0)+0.99),'Tax scales - NAT 1004'!$A$65:$C$73,2,1)-VLOOKUP((TRUNC($AN649*3/13,0)+0.99),'Tax scales - NAT 1004'!$A$65:$C$73,3,1)),0)
*13/3,
0),
""))),
""),
"")</f>
        <v/>
      </c>
      <c r="AU649" s="118">
        <f>IFERROR(
IF(VLOOKUP($C649,'Employee information'!$B:$M,COLUMNS('Employee information'!$B:$M),0)=11,
IF($E$2="Fortnightly",
ROUND(
ROUND((((TRUNC($AN649/2,0)+0.99))*VLOOKUP((TRUNC($AN649/2,0)+0.99),'Tax scales - NAT 3539'!$A$14:$C$38,2,1)-VLOOKUP((TRUNC($AN649/2,0)+0.99),'Tax scales - NAT 3539'!$A$14:$C$38,3,1)),0)
*2,
0),
IF(AND($E$2="Monthly",ROUND($AN649-TRUNC($AN649),2)=0.33),
ROUND(
ROUND(((TRUNC(($AN649+0.01)*3/13,0)+0.99)*VLOOKUP((TRUNC(($AN649+0.01)*3/13,0)+0.99),'Tax scales - NAT 3539'!$A$14:$C$38,2,1)-VLOOKUP((TRUNC(($AN649+0.01)*3/13,0)+0.99),'Tax scales - NAT 3539'!$A$14:$C$38,3,1)),0)
*13/3,
0),
IF($E$2="Monthly",
ROUND(
ROUND(((TRUNC($AN649*3/13,0)+0.99)*VLOOKUP((TRUNC($AN649*3/13,0)+0.99),'Tax scales - NAT 3539'!$A$14:$C$38,2,1)-VLOOKUP((TRUNC($AN649*3/13,0)+0.99),'Tax scales - NAT 3539'!$A$14:$C$38,3,1)),0)
*13/3,
0),
""))),
""),
"")</f>
        <v>1448</v>
      </c>
      <c r="AV649" s="118" t="str">
        <f>IFERROR(
IF(VLOOKUP($C649,'Employee information'!$B:$M,COLUMNS('Employee information'!$B:$M),0)=22,
IF($E$2="Fortnightly",
ROUND(
ROUND((((TRUNC($AN649/2,0)+0.99))*VLOOKUP((TRUNC($AN649/2,0)+0.99),'Tax scales - NAT 3539'!$A$43:$C$69,2,1)-VLOOKUP((TRUNC($AN649/2,0)+0.99),'Tax scales - NAT 3539'!$A$43:$C$69,3,1)),0)
*2,
0),
IF(AND($E$2="Monthly",ROUND($AN649-TRUNC($AN649),2)=0.33),
ROUND(
ROUND(((TRUNC(($AN649+0.01)*3/13,0)+0.99)*VLOOKUP((TRUNC(($AN649+0.01)*3/13,0)+0.99),'Tax scales - NAT 3539'!$A$43:$C$69,2,1)-VLOOKUP((TRUNC(($AN649+0.01)*3/13,0)+0.99),'Tax scales - NAT 3539'!$A$43:$C$69,3,1)),0)
*13/3,
0),
IF($E$2="Monthly",
ROUND(
ROUND(((TRUNC($AN649*3/13,0)+0.99)*VLOOKUP((TRUNC($AN649*3/13,0)+0.99),'Tax scales - NAT 3539'!$A$43:$C$69,2,1)-VLOOKUP((TRUNC($AN649*3/13,0)+0.99),'Tax scales - NAT 3539'!$A$43:$C$69,3,1)),0)
*13/3,
0),
""))),
""),
"")</f>
        <v/>
      </c>
      <c r="AW649" s="118" t="str">
        <f>IFERROR(
IF(VLOOKUP($C649,'Employee information'!$B:$M,COLUMNS('Employee information'!$B:$M),0)=33,
IF($E$2="Fortnightly",
ROUND(
ROUND((((TRUNC($AN649/2,0)+0.99))*VLOOKUP((TRUNC($AN649/2,0)+0.99),'Tax scales - NAT 3539'!$A$74:$C$94,2,1)-VLOOKUP((TRUNC($AN649/2,0)+0.99),'Tax scales - NAT 3539'!$A$74:$C$94,3,1)),0)
*2,
0),
IF(AND($E$2="Monthly",ROUND($AN649-TRUNC($AN649),2)=0.33),
ROUND(
ROUND(((TRUNC(($AN649+0.01)*3/13,0)+0.99)*VLOOKUP((TRUNC(($AN649+0.01)*3/13,0)+0.99),'Tax scales - NAT 3539'!$A$74:$C$94,2,1)-VLOOKUP((TRUNC(($AN649+0.01)*3/13,0)+0.99),'Tax scales - NAT 3539'!$A$74:$C$94,3,1)),0)
*13/3,
0),
IF($E$2="Monthly",
ROUND(
ROUND(((TRUNC($AN649*3/13,0)+0.99)*VLOOKUP((TRUNC($AN649*3/13,0)+0.99),'Tax scales - NAT 3539'!$A$74:$C$94,2,1)-VLOOKUP((TRUNC($AN649*3/13,0)+0.99),'Tax scales - NAT 3539'!$A$74:$C$94,3,1)),0)
*13/3,
0),
""))),
""),
"")</f>
        <v/>
      </c>
      <c r="AX649" s="118" t="str">
        <f>IFERROR(
IF(VLOOKUP($C649,'Employee information'!$B:$M,COLUMNS('Employee information'!$B:$M),0)=55,
IF($E$2="Fortnightly",
ROUND(
ROUND((((TRUNC($AN649/2,0)+0.99))*VLOOKUP((TRUNC($AN649/2,0)+0.99),'Tax scales - NAT 3539'!$A$99:$C$123,2,1)-VLOOKUP((TRUNC($AN649/2,0)+0.99),'Tax scales - NAT 3539'!$A$99:$C$123,3,1)),0)
*2,
0),
IF(AND($E$2="Monthly",ROUND($AN649-TRUNC($AN649),2)=0.33),
ROUND(
ROUND(((TRUNC(($AN649+0.01)*3/13,0)+0.99)*VLOOKUP((TRUNC(($AN649+0.01)*3/13,0)+0.99),'Tax scales - NAT 3539'!$A$99:$C$123,2,1)-VLOOKUP((TRUNC(($AN649+0.01)*3/13,0)+0.99),'Tax scales - NAT 3539'!$A$99:$C$123,3,1)),0)
*13/3,
0),
IF($E$2="Monthly",
ROUND(
ROUND(((TRUNC($AN649*3/13,0)+0.99)*VLOOKUP((TRUNC($AN649*3/13,0)+0.99),'Tax scales - NAT 3539'!$A$99:$C$123,2,1)-VLOOKUP((TRUNC($AN649*3/13,0)+0.99),'Tax scales - NAT 3539'!$A$99:$C$123,3,1)),0)
*13/3,
0),
""))),
""),
"")</f>
        <v/>
      </c>
      <c r="AY649" s="118" t="str">
        <f>IFERROR(
IF(VLOOKUP($C649,'Employee information'!$B:$M,COLUMNS('Employee information'!$B:$M),0)=66,
IF($E$2="Fortnightly",
ROUND(
ROUND((((TRUNC($AN649/2,0)+0.99))*VLOOKUP((TRUNC($AN649/2,0)+0.99),'Tax scales - NAT 3539'!$A$127:$C$154,2,1)-VLOOKUP((TRUNC($AN649/2,0)+0.99),'Tax scales - NAT 3539'!$A$127:$C$154,3,1)),0)
*2,
0),
IF(AND($E$2="Monthly",ROUND($AN649-TRUNC($AN649),2)=0.33),
ROUND(
ROUND(((TRUNC(($AN649+0.01)*3/13,0)+0.99)*VLOOKUP((TRUNC(($AN649+0.01)*3/13,0)+0.99),'Tax scales - NAT 3539'!$A$127:$C$154,2,1)-VLOOKUP((TRUNC(($AN649+0.01)*3/13,0)+0.99),'Tax scales - NAT 3539'!$A$127:$C$154,3,1)),0)
*13/3,
0),
IF($E$2="Monthly",
ROUND(
ROUND(((TRUNC($AN649*3/13,0)+0.99)*VLOOKUP((TRUNC($AN649*3/13,0)+0.99),'Tax scales - NAT 3539'!$A$127:$C$154,2,1)-VLOOKUP((TRUNC($AN649*3/13,0)+0.99),'Tax scales - NAT 3539'!$A$127:$C$154,3,1)),0)
*13/3,
0),
""))),
""),
"")</f>
        <v/>
      </c>
      <c r="AZ649" s="118">
        <f>IFERROR(
HLOOKUP(VLOOKUP($C649,'Employee information'!$B:$M,COLUMNS('Employee information'!$B:$M),0),'PAYG worksheet'!$AO$648:$AY$667,COUNTA($C$649:$C649)+1,0),
0)</f>
        <v>1448</v>
      </c>
      <c r="BA649" s="118"/>
      <c r="BB649" s="118">
        <f>IFERROR($AM649-$AZ649-$BA649,"")</f>
        <v>2249.576396206533</v>
      </c>
      <c r="BC649" s="119">
        <f>IFERROR(
IF(OR($AE649=1,$AE649=""),SUM($P649,$AA649,$AC649,$AK649)*VLOOKUP($C649,'Employee information'!$B:$Q,COLUMNS('Employee information'!$B:$H),0),
IF($AE649=0,SUM($P649,$AA649,$AK649)*VLOOKUP($C649,'Employee information'!$B:$Q,COLUMNS('Employee information'!$B:$H),0),
0)),
0)</f>
        <v>351.26975763962065</v>
      </c>
      <c r="BE649" s="114">
        <f t="shared" ref="BE649:BE667" si="682">IF(AND($E$2="Monthly",$A649&gt;12),"",
SUMIFS($AM:$AM,$C:$C,$C649,$A:$A,"&lt;="&amp;$A649)
)</f>
        <v>85044.257112750289</v>
      </c>
      <c r="BF649" s="114">
        <f t="shared" ref="BF649:BF667" si="683">IF(AND($E$2="Monthly",$A649&gt;12),"",
SUMIFS($AN:$AN,$C:$C,$C649,$A:$A,"&lt;="&amp;$A649)
)</f>
        <v>85044.257112750289</v>
      </c>
      <c r="BG649" s="114">
        <f t="shared" ref="BG649:BG667" si="684">IF(AND($E$2="Monthly",$A649&gt;12),"",
SUMIFS($AC:$AC,$C:$C,$C649,$A:$A,"&lt;="&amp;$A649)
)</f>
        <v>0</v>
      </c>
      <c r="BH649" s="114">
        <f t="shared" ref="BH649:BH667" si="685">IF(AND($E$2="Monthly",$A649&gt;12),"",
SUMIFS($AG:$AG,$C:$C,$C649,$A:$A,"&lt;="&amp;$A649)
)</f>
        <v>0</v>
      </c>
      <c r="BI649" s="114">
        <f t="shared" ref="BI649:BI667" si="686">IF(AND($E$2="Monthly",$A649&gt;12),"",
SUMIFS($AZ:$AZ,$C:$C,$C649,$A:$A,"&lt;="&amp;$A649)
)</f>
        <v>33304</v>
      </c>
      <c r="BJ649" s="114">
        <f t="shared" ref="BJ649:BJ667" si="687">IF(AND($E$2="Monthly",$A649&gt;12),"",
SUMIFS($BA:$BA,$C:$C,$C649,$A:$A,"&lt;="&amp;$A649)
)</f>
        <v>0</v>
      </c>
      <c r="BK649" s="114">
        <f t="shared" ref="BK649:BK667" si="688">IF(AND($E$2="Monthly",$A649&gt;12),"",
SUMIFS($AJ:$AJ,$C:$C,$C649,$A:$A,"&lt;="&amp;$A649)
)</f>
        <v>0</v>
      </c>
      <c r="BL649" s="114">
        <f>IF(AND($E$2="Monthly",$A649&gt;12),"",
SUMIFS($AK:$AK,$C:$C,$C649,$A:$A,"&lt;="&amp;$A649)
)</f>
        <v>0</v>
      </c>
      <c r="BM649" s="114">
        <f t="shared" ref="BM649:BM667" si="689">IF(AND($E$2="Monthly",$A649&gt;12),"",
SUMIFS($BC:$BC,$C:$C,$C649,$A:$A,"&lt;="&amp;$A649)
)</f>
        <v>8079.204425711273</v>
      </c>
    </row>
    <row r="650" spans="1:65" x14ac:dyDescent="0.25">
      <c r="A650" s="228">
        <f t="shared" si="677"/>
        <v>23</v>
      </c>
      <c r="C650" s="278" t="s">
        <v>13</v>
      </c>
      <c r="E650" s="103">
        <f>IF($C650="",0,
IF(AND($E$2="Monthly",$A650&gt;12),0,
IF($E$2="Monthly",VLOOKUP($C650,'Employee information'!$B:$AM,COLUMNS('Employee information'!$B:S),0),
IF($E$2="Fortnightly",VLOOKUP($C650,'Employee information'!$B:$AM,COLUMNS('Employee information'!$B:R),0),
0))))</f>
        <v>0</v>
      </c>
      <c r="F650" s="106"/>
      <c r="G650" s="106"/>
      <c r="H650" s="106"/>
      <c r="I650" s="106"/>
      <c r="J650" s="103">
        <f t="shared" ref="J650:J667" si="690">IF($E$2="Monthly",
IF(AND($E$2="Monthly",$H650&lt;&gt;""),$H650,
IF(AND($E$2="Monthly",$E650=0),SUM($F650:$G650),
$E650)),
IF($E$2="Fortnightly",
IF(AND($E$2="Fortnightly",$H650&lt;&gt;""),$H650,
IF(AND($E$2="Fortnightly",$F650&lt;&gt;"",$E650&lt;&gt;0),$F650,
IF(AND($E$2="Fortnightly",$E650=0),SUM($F650:$G650),
$E650)))))</f>
        <v>0</v>
      </c>
      <c r="L650" s="113">
        <f>IF(AND($E$2="Monthly",$A650&gt;12),"",
IFERROR($J650*VLOOKUP($C650,'Employee information'!$B:$AI,COLUMNS('Employee information'!$B:$P),0),0))</f>
        <v>0</v>
      </c>
      <c r="M650" s="114">
        <f t="shared" ref="M650:M667" si="691">IF(AND($E$2="Monthly",$A650&gt;12),"",
SUMIFS($L:$L,$C:$C,$C650,$A:$A,"&lt;="&amp;$A650)
)</f>
        <v>1615.3846153846152</v>
      </c>
      <c r="O650" s="103">
        <f t="shared" ref="O650:O667" si="692">IF($E$2="Monthly",
IF(AND($E$2="Monthly",$H650&lt;&gt;""),$H650,
IF(AND($E$2="Monthly",$E650=0),$F650,
$E650)),
IF($E$2="Fortnightly",
IF(AND($E$2="Fortnightly",$H650&lt;&gt;""),$H650,
IF(AND($E$2="Fortnightly",$F650&lt;&gt;"",$E650&lt;&gt;0),$F650,
IF(AND($E$2="Fortnightly",$E650=0),$F650,
$E650)))))</f>
        <v>0</v>
      </c>
      <c r="P650" s="113">
        <f>IFERROR(
IF(AND($E$2="Monthly",$A650&gt;12),0,
$O650*VLOOKUP($C650,'Employee information'!$B:$AI,COLUMNS('Employee information'!$B:$P),0)),
0)</f>
        <v>0</v>
      </c>
      <c r="R650" s="114">
        <f t="shared" si="678"/>
        <v>1615.3846153846152</v>
      </c>
      <c r="T650" s="103"/>
      <c r="U650" s="103"/>
      <c r="V650" s="282">
        <f>IF($C650="","",
IF(AND($E$2="Monthly",$A650&gt;12),"",
$T650*VLOOKUP($C650,'Employee information'!$B:$P,COLUMNS('Employee information'!$B:$P),0)))</f>
        <v>0</v>
      </c>
      <c r="W650" s="282">
        <f>IF($C650="","",
IF(AND($E$2="Monthly",$A650&gt;12),"",
$U650*VLOOKUP($C650,'Employee information'!$B:$P,COLUMNS('Employee information'!$B:$P),0)))</f>
        <v>0</v>
      </c>
      <c r="X650" s="114">
        <f t="shared" si="679"/>
        <v>0</v>
      </c>
      <c r="Y650" s="114">
        <f t="shared" si="680"/>
        <v>288.46153846153845</v>
      </c>
      <c r="AA650" s="118">
        <f>IFERROR(
IF(OR('Basic payroll data'!$D$12="",'Basic payroll data'!$D$12="No"),0,
$T650*VLOOKUP($C650,'Employee information'!$B:$P,COLUMNS('Employee information'!$B:$P),0)*AL_loading_perc),
0)</f>
        <v>0</v>
      </c>
      <c r="AC650" s="118"/>
      <c r="AD650" s="118"/>
      <c r="AE650" s="283" t="str">
        <f t="shared" ref="AE650:AE667" si="693">IF(LEFT($AD650,6)="Is OTE",1,
IF(LEFT($AD650,10)="Is not OTE",0,
""))</f>
        <v/>
      </c>
      <c r="AF650" s="283" t="str">
        <f t="shared" ref="AF650:AF667" si="694">IF(RIGHT($AD650,12)="tax withheld",1,
IF(RIGHT($AD650,16)="tax not withheld",0,
""))</f>
        <v/>
      </c>
      <c r="AG650" s="118"/>
      <c r="AH650" s="118"/>
      <c r="AI650" s="283" t="str">
        <f t="shared" ref="AI650:AI667" si="695">IF($AH650="FBT",0,
IF($AH650="Not FBT",1,
""))</f>
        <v/>
      </c>
      <c r="AJ650" s="118"/>
      <c r="AK650" s="118"/>
      <c r="AM650" s="118">
        <f t="shared" ref="AM650:AM667" si="696">SUM($L650,$AA650,$AC650,$AG650,$AK650)-$AJ650</f>
        <v>0</v>
      </c>
      <c r="AN650" s="118">
        <f t="shared" si="681"/>
        <v>0</v>
      </c>
      <c r="AO650" s="118" t="str">
        <f>IFERROR(
IF(VLOOKUP($C650,'Employee information'!$B:$M,COLUMNS('Employee information'!$B:$M),0)=1,
IF($E$2="Fortnightly",
ROUND(
ROUND((((TRUNC($AN650/2,0)+0.99))*VLOOKUP((TRUNC($AN650/2,0)+0.99),'Tax scales - NAT 1004'!$A$12:$C$18,2,1)-VLOOKUP((TRUNC($AN650/2,0)+0.99),'Tax scales - NAT 1004'!$A$12:$C$18,3,1)),0)
*2,
0),
IF(AND($E$2="Monthly",ROUND($AN650-TRUNC($AN650),2)=0.33),
ROUND(
ROUND(((TRUNC(($AN650+0.01)*3/13,0)+0.99)*VLOOKUP((TRUNC(($AN650+0.01)*3/13,0)+0.99),'Tax scales - NAT 1004'!$A$12:$C$18,2,1)-VLOOKUP((TRUNC(($AN650+0.01)*3/13,0)+0.99),'Tax scales - NAT 1004'!$A$12:$C$18,3,1)),0)
*13/3,
0),
IF($E$2="Monthly",
ROUND(
ROUND(((TRUNC($AN650*3/13,0)+0.99)*VLOOKUP((TRUNC($AN650*3/13,0)+0.99),'Tax scales - NAT 1004'!$A$12:$C$18,2,1)-VLOOKUP((TRUNC($AN650*3/13,0)+0.99),'Tax scales - NAT 1004'!$A$12:$C$18,3,1)),0)
*13/3,
0),
""))),
""),
"")</f>
        <v/>
      </c>
      <c r="AP650" s="118" t="str">
        <f>IFERROR(
IF(VLOOKUP($C650,'Employee information'!$B:$M,COLUMNS('Employee information'!$B:$M),0)=2,
IF($E$2="Fortnightly",
ROUND(
ROUND((((TRUNC($AN650/2,0)+0.99))*VLOOKUP((TRUNC($AN650/2,0)+0.99),'Tax scales - NAT 1004'!$A$25:$C$33,2,1)-VLOOKUP((TRUNC($AN650/2,0)+0.99),'Tax scales - NAT 1004'!$A$25:$C$33,3,1)),0)
*2,
0),
IF(AND($E$2="Monthly",ROUND($AN650-TRUNC($AN650),2)=0.33),
ROUND(
ROUND(((TRUNC(($AN650+0.01)*3/13,0)+0.99)*VLOOKUP((TRUNC(($AN650+0.01)*3/13,0)+0.99),'Tax scales - NAT 1004'!$A$25:$C$33,2,1)-VLOOKUP((TRUNC(($AN650+0.01)*3/13,0)+0.99),'Tax scales - NAT 1004'!$A$25:$C$33,3,1)),0)
*13/3,
0),
IF($E$2="Monthly",
ROUND(
ROUND(((TRUNC($AN650*3/13,0)+0.99)*VLOOKUP((TRUNC($AN650*3/13,0)+0.99),'Tax scales - NAT 1004'!$A$25:$C$33,2,1)-VLOOKUP((TRUNC($AN650*3/13,0)+0.99),'Tax scales - NAT 1004'!$A$25:$C$33,3,1)),0)
*13/3,
0),
""))),
""),
"")</f>
        <v/>
      </c>
      <c r="AQ650" s="118" t="str">
        <f>IFERROR(
IF(VLOOKUP($C650,'Employee information'!$B:$M,COLUMNS('Employee information'!$B:$M),0)=3,
IF($E$2="Fortnightly",
ROUND(
ROUND((((TRUNC($AN650/2,0)+0.99))*VLOOKUP((TRUNC($AN650/2,0)+0.99),'Tax scales - NAT 1004'!$A$39:$C$41,2,1)-VLOOKUP((TRUNC($AN650/2,0)+0.99),'Tax scales - NAT 1004'!$A$39:$C$41,3,1)),0)
*2,
0),
IF(AND($E$2="Monthly",ROUND($AN650-TRUNC($AN650),2)=0.33),
ROUND(
ROUND(((TRUNC(($AN650+0.01)*3/13,0)+0.99)*VLOOKUP((TRUNC(($AN650+0.01)*3/13,0)+0.99),'Tax scales - NAT 1004'!$A$39:$C$41,2,1)-VLOOKUP((TRUNC(($AN650+0.01)*3/13,0)+0.99),'Tax scales - NAT 1004'!$A$39:$C$41,3,1)),0)
*13/3,
0),
IF($E$2="Monthly",
ROUND(
ROUND(((TRUNC($AN650*3/13,0)+0.99)*VLOOKUP((TRUNC($AN650*3/13,0)+0.99),'Tax scales - NAT 1004'!$A$39:$C$41,2,1)-VLOOKUP((TRUNC($AN650*3/13,0)+0.99),'Tax scales - NAT 1004'!$A$39:$C$41,3,1)),0)
*13/3,
0),
""))),
""),
"")</f>
        <v/>
      </c>
      <c r="AR650" s="118" t="str">
        <f>IFERROR(
IF(AND(VLOOKUP($C650,'Employee information'!$B:$M,COLUMNS('Employee information'!$B:$M),0)=4,
VLOOKUP($C650,'Employee information'!$B:$J,COLUMNS('Employee information'!$B:$J),0)="Resident"),
TRUNC(TRUNC($AN650)*'Tax scales - NAT 1004'!$B$47),
IF(AND(VLOOKUP($C650,'Employee information'!$B:$M,COLUMNS('Employee information'!$B:$M),0)=4,
VLOOKUP($C650,'Employee information'!$B:$J,COLUMNS('Employee information'!$B:$J),0)="Foreign resident"),
TRUNC(TRUNC($AN650)*'Tax scales - NAT 1004'!$B$48),
"")),
"")</f>
        <v/>
      </c>
      <c r="AS650" s="118" t="str">
        <f>IFERROR(
IF(VLOOKUP($C650,'Employee information'!$B:$M,COLUMNS('Employee information'!$B:$M),0)=5,
IF($E$2="Fortnightly",
ROUND(
ROUND((((TRUNC($AN650/2,0)+0.99))*VLOOKUP((TRUNC($AN650/2,0)+0.99),'Tax scales - NAT 1004'!$A$53:$C$59,2,1)-VLOOKUP((TRUNC($AN650/2,0)+0.99),'Tax scales - NAT 1004'!$A$53:$C$59,3,1)),0)
*2,
0),
IF(AND($E$2="Monthly",ROUND($AN650-TRUNC($AN650),2)=0.33),
ROUND(
ROUND(((TRUNC(($AN650+0.01)*3/13,0)+0.99)*VLOOKUP((TRUNC(($AN650+0.01)*3/13,0)+0.99),'Tax scales - NAT 1004'!$A$53:$C$59,2,1)-VLOOKUP((TRUNC(($AN650+0.01)*3/13,0)+0.99),'Tax scales - NAT 1004'!$A$53:$C$59,3,1)),0)
*13/3,
0),
IF($E$2="Monthly",
ROUND(
ROUND(((TRUNC($AN650*3/13,0)+0.99)*VLOOKUP((TRUNC($AN650*3/13,0)+0.99),'Tax scales - NAT 1004'!$A$53:$C$59,2,1)-VLOOKUP((TRUNC($AN650*3/13,0)+0.99),'Tax scales - NAT 1004'!$A$53:$C$59,3,1)),0)
*13/3,
0),
""))),
""),
"")</f>
        <v/>
      </c>
      <c r="AT650" s="118" t="str">
        <f>IFERROR(
IF(VLOOKUP($C650,'Employee information'!$B:$M,COLUMNS('Employee information'!$B:$M),0)=6,
IF($E$2="Fortnightly",
ROUND(
ROUND((((TRUNC($AN650/2,0)+0.99))*VLOOKUP((TRUNC($AN650/2,0)+0.99),'Tax scales - NAT 1004'!$A$65:$C$73,2,1)-VLOOKUP((TRUNC($AN650/2,0)+0.99),'Tax scales - NAT 1004'!$A$65:$C$73,3,1)),0)
*2,
0),
IF(AND($E$2="Monthly",ROUND($AN650-TRUNC($AN650),2)=0.33),
ROUND(
ROUND(((TRUNC(($AN650+0.01)*3/13,0)+0.99)*VLOOKUP((TRUNC(($AN650+0.01)*3/13,0)+0.99),'Tax scales - NAT 1004'!$A$65:$C$73,2,1)-VLOOKUP((TRUNC(($AN650+0.01)*3/13,0)+0.99),'Tax scales - NAT 1004'!$A$65:$C$73,3,1)),0)
*13/3,
0),
IF($E$2="Monthly",
ROUND(
ROUND(((TRUNC($AN650*3/13,0)+0.99)*VLOOKUP((TRUNC($AN650*3/13,0)+0.99),'Tax scales - NAT 1004'!$A$65:$C$73,2,1)-VLOOKUP((TRUNC($AN650*3/13,0)+0.99),'Tax scales - NAT 1004'!$A$65:$C$73,3,1)),0)
*13/3,
0),
""))),
""),
"")</f>
        <v/>
      </c>
      <c r="AU650" s="118">
        <f>IFERROR(
IF(VLOOKUP($C650,'Employee information'!$B:$M,COLUMNS('Employee information'!$B:$M),0)=11,
IF($E$2="Fortnightly",
ROUND(
ROUND((((TRUNC($AN650/2,0)+0.99))*VLOOKUP((TRUNC($AN650/2,0)+0.99),'Tax scales - NAT 3539'!$A$14:$C$38,2,1)-VLOOKUP((TRUNC($AN650/2,0)+0.99),'Tax scales - NAT 3539'!$A$14:$C$38,3,1)),0)
*2,
0),
IF(AND($E$2="Monthly",ROUND($AN650-TRUNC($AN650),2)=0.33),
ROUND(
ROUND(((TRUNC(($AN650+0.01)*3/13,0)+0.99)*VLOOKUP((TRUNC(($AN650+0.01)*3/13,0)+0.99),'Tax scales - NAT 3539'!$A$14:$C$38,2,1)-VLOOKUP((TRUNC(($AN650+0.01)*3/13,0)+0.99),'Tax scales - NAT 3539'!$A$14:$C$38,3,1)),0)
*13/3,
0),
IF($E$2="Monthly",
ROUND(
ROUND(((TRUNC($AN650*3/13,0)+0.99)*VLOOKUP((TRUNC($AN650*3/13,0)+0.99),'Tax scales - NAT 3539'!$A$14:$C$38,2,1)-VLOOKUP((TRUNC($AN650*3/13,0)+0.99),'Tax scales - NAT 3539'!$A$14:$C$38,3,1)),0)
*13/3,
0),
""))),
""),
"")</f>
        <v>0</v>
      </c>
      <c r="AV650" s="118" t="str">
        <f>IFERROR(
IF(VLOOKUP($C650,'Employee information'!$B:$M,COLUMNS('Employee information'!$B:$M),0)=22,
IF($E$2="Fortnightly",
ROUND(
ROUND((((TRUNC($AN650/2,0)+0.99))*VLOOKUP((TRUNC($AN650/2,0)+0.99),'Tax scales - NAT 3539'!$A$43:$C$69,2,1)-VLOOKUP((TRUNC($AN650/2,0)+0.99),'Tax scales - NAT 3539'!$A$43:$C$69,3,1)),0)
*2,
0),
IF(AND($E$2="Monthly",ROUND($AN650-TRUNC($AN650),2)=0.33),
ROUND(
ROUND(((TRUNC(($AN650+0.01)*3/13,0)+0.99)*VLOOKUP((TRUNC(($AN650+0.01)*3/13,0)+0.99),'Tax scales - NAT 3539'!$A$43:$C$69,2,1)-VLOOKUP((TRUNC(($AN650+0.01)*3/13,0)+0.99),'Tax scales - NAT 3539'!$A$43:$C$69,3,1)),0)
*13/3,
0),
IF($E$2="Monthly",
ROUND(
ROUND(((TRUNC($AN650*3/13,0)+0.99)*VLOOKUP((TRUNC($AN650*3/13,0)+0.99),'Tax scales - NAT 3539'!$A$43:$C$69,2,1)-VLOOKUP((TRUNC($AN650*3/13,0)+0.99),'Tax scales - NAT 3539'!$A$43:$C$69,3,1)),0)
*13/3,
0),
""))),
""),
"")</f>
        <v/>
      </c>
      <c r="AW650" s="118" t="str">
        <f>IFERROR(
IF(VLOOKUP($C650,'Employee information'!$B:$M,COLUMNS('Employee information'!$B:$M),0)=33,
IF($E$2="Fortnightly",
ROUND(
ROUND((((TRUNC($AN650/2,0)+0.99))*VLOOKUP((TRUNC($AN650/2,0)+0.99),'Tax scales - NAT 3539'!$A$74:$C$94,2,1)-VLOOKUP((TRUNC($AN650/2,0)+0.99),'Tax scales - NAT 3539'!$A$74:$C$94,3,1)),0)
*2,
0),
IF(AND($E$2="Monthly",ROUND($AN650-TRUNC($AN650),2)=0.33),
ROUND(
ROUND(((TRUNC(($AN650+0.01)*3/13,0)+0.99)*VLOOKUP((TRUNC(($AN650+0.01)*3/13,0)+0.99),'Tax scales - NAT 3539'!$A$74:$C$94,2,1)-VLOOKUP((TRUNC(($AN650+0.01)*3/13,0)+0.99),'Tax scales - NAT 3539'!$A$74:$C$94,3,1)),0)
*13/3,
0),
IF($E$2="Monthly",
ROUND(
ROUND(((TRUNC($AN650*3/13,0)+0.99)*VLOOKUP((TRUNC($AN650*3/13,0)+0.99),'Tax scales - NAT 3539'!$A$74:$C$94,2,1)-VLOOKUP((TRUNC($AN650*3/13,0)+0.99),'Tax scales - NAT 3539'!$A$74:$C$94,3,1)),0)
*13/3,
0),
""))),
""),
"")</f>
        <v/>
      </c>
      <c r="AX650" s="118" t="str">
        <f>IFERROR(
IF(VLOOKUP($C650,'Employee information'!$B:$M,COLUMNS('Employee information'!$B:$M),0)=55,
IF($E$2="Fortnightly",
ROUND(
ROUND((((TRUNC($AN650/2,0)+0.99))*VLOOKUP((TRUNC($AN650/2,0)+0.99),'Tax scales - NAT 3539'!$A$99:$C$123,2,1)-VLOOKUP((TRUNC($AN650/2,0)+0.99),'Tax scales - NAT 3539'!$A$99:$C$123,3,1)),0)
*2,
0),
IF(AND($E$2="Monthly",ROUND($AN650-TRUNC($AN650),2)=0.33),
ROUND(
ROUND(((TRUNC(($AN650+0.01)*3/13,0)+0.99)*VLOOKUP((TRUNC(($AN650+0.01)*3/13,0)+0.99),'Tax scales - NAT 3539'!$A$99:$C$123,2,1)-VLOOKUP((TRUNC(($AN650+0.01)*3/13,0)+0.99),'Tax scales - NAT 3539'!$A$99:$C$123,3,1)),0)
*13/3,
0),
IF($E$2="Monthly",
ROUND(
ROUND(((TRUNC($AN650*3/13,0)+0.99)*VLOOKUP((TRUNC($AN650*3/13,0)+0.99),'Tax scales - NAT 3539'!$A$99:$C$123,2,1)-VLOOKUP((TRUNC($AN650*3/13,0)+0.99),'Tax scales - NAT 3539'!$A$99:$C$123,3,1)),0)
*13/3,
0),
""))),
""),
"")</f>
        <v/>
      </c>
      <c r="AY650" s="118" t="str">
        <f>IFERROR(
IF(VLOOKUP($C650,'Employee information'!$B:$M,COLUMNS('Employee information'!$B:$M),0)=66,
IF($E$2="Fortnightly",
ROUND(
ROUND((((TRUNC($AN650/2,0)+0.99))*VLOOKUP((TRUNC($AN650/2,0)+0.99),'Tax scales - NAT 3539'!$A$127:$C$154,2,1)-VLOOKUP((TRUNC($AN650/2,0)+0.99),'Tax scales - NAT 3539'!$A$127:$C$154,3,1)),0)
*2,
0),
IF(AND($E$2="Monthly",ROUND($AN650-TRUNC($AN650),2)=0.33),
ROUND(
ROUND(((TRUNC(($AN650+0.01)*3/13,0)+0.99)*VLOOKUP((TRUNC(($AN650+0.01)*3/13,0)+0.99),'Tax scales - NAT 3539'!$A$127:$C$154,2,1)-VLOOKUP((TRUNC(($AN650+0.01)*3/13,0)+0.99),'Tax scales - NAT 3539'!$A$127:$C$154,3,1)),0)
*13/3,
0),
IF($E$2="Monthly",
ROUND(
ROUND(((TRUNC($AN650*3/13,0)+0.99)*VLOOKUP((TRUNC($AN650*3/13,0)+0.99),'Tax scales - NAT 3539'!$A$127:$C$154,2,1)-VLOOKUP((TRUNC($AN650*3/13,0)+0.99),'Tax scales - NAT 3539'!$A$127:$C$154,3,1)),0)
*13/3,
0),
""))),
""),
"")</f>
        <v/>
      </c>
      <c r="AZ650" s="118">
        <f>IFERROR(
HLOOKUP(VLOOKUP($C650,'Employee information'!$B:$M,COLUMNS('Employee information'!$B:$M),0),'PAYG worksheet'!$AO$648:$AY$667,COUNTA($C$649:$C650)+1,0),
0)</f>
        <v>0</v>
      </c>
      <c r="BA650" s="118"/>
      <c r="BB650" s="118">
        <f t="shared" ref="BB650:BB667" si="697">IFERROR($AM650-$AZ650-$BA650,"")</f>
        <v>0</v>
      </c>
      <c r="BC650" s="119">
        <f>IFERROR(
IF(OR($AE650=1,$AE650=""),SUM($P650,$AA650,$AC650,$AK650)*VLOOKUP($C650,'Employee information'!$B:$Q,COLUMNS('Employee information'!$B:$H),0),
IF($AE650=0,SUM($P650,$AA650,$AK650)*VLOOKUP($C650,'Employee information'!$B:$Q,COLUMNS('Employee information'!$B:$H),0),
0)),
0)</f>
        <v>0</v>
      </c>
      <c r="BE650" s="114">
        <f t="shared" si="682"/>
        <v>1615.3846153846152</v>
      </c>
      <c r="BF650" s="114">
        <f t="shared" si="683"/>
        <v>1615.3846153846152</v>
      </c>
      <c r="BG650" s="114">
        <f t="shared" si="684"/>
        <v>0</v>
      </c>
      <c r="BH650" s="114">
        <f t="shared" si="685"/>
        <v>0</v>
      </c>
      <c r="BI650" s="114">
        <f t="shared" si="686"/>
        <v>474</v>
      </c>
      <c r="BJ650" s="114">
        <f t="shared" si="687"/>
        <v>0</v>
      </c>
      <c r="BK650" s="114">
        <f t="shared" si="688"/>
        <v>0</v>
      </c>
      <c r="BL650" s="114">
        <f t="shared" ref="BL650:BL667" si="698">IF(AND($E$2="Monthly",$A650&gt;12),"",
SUMIFS($AK:$AK,$C:$C,$C650,$A:$A,"&lt;="&amp;$A650)
)</f>
        <v>0</v>
      </c>
      <c r="BM650" s="114">
        <f t="shared" si="689"/>
        <v>153.46153846153845</v>
      </c>
    </row>
    <row r="651" spans="1:65" x14ac:dyDescent="0.25">
      <c r="A651" s="228">
        <f t="shared" si="677"/>
        <v>23</v>
      </c>
      <c r="C651" s="278" t="s">
        <v>14</v>
      </c>
      <c r="E651" s="103">
        <f>IF($C651="",0,
IF(AND($E$2="Monthly",$A651&gt;12),0,
IF($E$2="Monthly",VLOOKUP($C651,'Employee information'!$B:$AM,COLUMNS('Employee information'!$B:S),0),
IF($E$2="Fortnightly",VLOOKUP($C651,'Employee information'!$B:$AM,COLUMNS('Employee information'!$B:R),0),
0))))</f>
        <v>0</v>
      </c>
      <c r="F651" s="106"/>
      <c r="G651" s="106"/>
      <c r="H651" s="106"/>
      <c r="I651" s="106"/>
      <c r="J651" s="103">
        <f t="shared" si="690"/>
        <v>0</v>
      </c>
      <c r="L651" s="113">
        <f>IF(AND($E$2="Monthly",$A651&gt;12),"",
IFERROR($J651*VLOOKUP($C651,'Employee information'!$B:$AI,COLUMNS('Employee information'!$B:$P),0),0))</f>
        <v>0</v>
      </c>
      <c r="M651" s="114">
        <f t="shared" si="691"/>
        <v>900</v>
      </c>
      <c r="O651" s="103">
        <f t="shared" si="692"/>
        <v>0</v>
      </c>
      <c r="P651" s="113">
        <f>IFERROR(
IF(AND($E$2="Monthly",$A651&gt;12),0,
$O651*VLOOKUP($C651,'Employee information'!$B:$AI,COLUMNS('Employee information'!$B:$P),0)),
0)</f>
        <v>0</v>
      </c>
      <c r="R651" s="114">
        <f t="shared" si="678"/>
        <v>900</v>
      </c>
      <c r="T651" s="103"/>
      <c r="U651" s="103"/>
      <c r="V651" s="282">
        <f>IF($C651="","",
IF(AND($E$2="Monthly",$A651&gt;12),"",
$T651*VLOOKUP($C651,'Employee information'!$B:$P,COLUMNS('Employee information'!$B:$P),0)))</f>
        <v>0</v>
      </c>
      <c r="W651" s="282">
        <f>IF($C651="","",
IF(AND($E$2="Monthly",$A651&gt;12),"",
$U651*VLOOKUP($C651,'Employee information'!$B:$P,COLUMNS('Employee information'!$B:$P),0)))</f>
        <v>0</v>
      </c>
      <c r="X651" s="114">
        <f t="shared" si="679"/>
        <v>0</v>
      </c>
      <c r="Y651" s="114">
        <f t="shared" si="680"/>
        <v>0</v>
      </c>
      <c r="AA651" s="118">
        <f>IFERROR(
IF(OR('Basic payroll data'!$D$12="",'Basic payroll data'!$D$12="No"),0,
$T651*VLOOKUP($C651,'Employee information'!$B:$P,COLUMNS('Employee information'!$B:$P),0)*AL_loading_perc),
0)</f>
        <v>0</v>
      </c>
      <c r="AC651" s="118"/>
      <c r="AD651" s="118"/>
      <c r="AE651" s="283" t="str">
        <f t="shared" si="693"/>
        <v/>
      </c>
      <c r="AF651" s="283" t="str">
        <f t="shared" si="694"/>
        <v/>
      </c>
      <c r="AG651" s="118"/>
      <c r="AH651" s="118"/>
      <c r="AI651" s="283" t="str">
        <f t="shared" si="695"/>
        <v/>
      </c>
      <c r="AJ651" s="118"/>
      <c r="AK651" s="118"/>
      <c r="AM651" s="118">
        <f t="shared" si="696"/>
        <v>0</v>
      </c>
      <c r="AN651" s="118">
        <f t="shared" si="681"/>
        <v>0</v>
      </c>
      <c r="AO651" s="118" t="str">
        <f>IFERROR(
IF(VLOOKUP($C651,'Employee information'!$B:$M,COLUMNS('Employee information'!$B:$M),0)=1,
IF($E$2="Fortnightly",
ROUND(
ROUND((((TRUNC($AN651/2,0)+0.99))*VLOOKUP((TRUNC($AN651/2,0)+0.99),'Tax scales - NAT 1004'!$A$12:$C$18,2,1)-VLOOKUP((TRUNC($AN651/2,0)+0.99),'Tax scales - NAT 1004'!$A$12:$C$18,3,1)),0)
*2,
0),
IF(AND($E$2="Monthly",ROUND($AN651-TRUNC($AN651),2)=0.33),
ROUND(
ROUND(((TRUNC(($AN651+0.01)*3/13,0)+0.99)*VLOOKUP((TRUNC(($AN651+0.01)*3/13,0)+0.99),'Tax scales - NAT 1004'!$A$12:$C$18,2,1)-VLOOKUP((TRUNC(($AN651+0.01)*3/13,0)+0.99),'Tax scales - NAT 1004'!$A$12:$C$18,3,1)),0)
*13/3,
0),
IF($E$2="Monthly",
ROUND(
ROUND(((TRUNC($AN651*3/13,0)+0.99)*VLOOKUP((TRUNC($AN651*3/13,0)+0.99),'Tax scales - NAT 1004'!$A$12:$C$18,2,1)-VLOOKUP((TRUNC($AN651*3/13,0)+0.99),'Tax scales - NAT 1004'!$A$12:$C$18,3,1)),0)
*13/3,
0),
""))),
""),
"")</f>
        <v/>
      </c>
      <c r="AP651" s="118" t="str">
        <f>IFERROR(
IF(VLOOKUP($C651,'Employee information'!$B:$M,COLUMNS('Employee information'!$B:$M),0)=2,
IF($E$2="Fortnightly",
ROUND(
ROUND((((TRUNC($AN651/2,0)+0.99))*VLOOKUP((TRUNC($AN651/2,0)+0.99),'Tax scales - NAT 1004'!$A$25:$C$33,2,1)-VLOOKUP((TRUNC($AN651/2,0)+0.99),'Tax scales - NAT 1004'!$A$25:$C$33,3,1)),0)
*2,
0),
IF(AND($E$2="Monthly",ROUND($AN651-TRUNC($AN651),2)=0.33),
ROUND(
ROUND(((TRUNC(($AN651+0.01)*3/13,0)+0.99)*VLOOKUP((TRUNC(($AN651+0.01)*3/13,0)+0.99),'Tax scales - NAT 1004'!$A$25:$C$33,2,1)-VLOOKUP((TRUNC(($AN651+0.01)*3/13,0)+0.99),'Tax scales - NAT 1004'!$A$25:$C$33,3,1)),0)
*13/3,
0),
IF($E$2="Monthly",
ROUND(
ROUND(((TRUNC($AN651*3/13,0)+0.99)*VLOOKUP((TRUNC($AN651*3/13,0)+0.99),'Tax scales - NAT 1004'!$A$25:$C$33,2,1)-VLOOKUP((TRUNC($AN651*3/13,0)+0.99),'Tax scales - NAT 1004'!$A$25:$C$33,3,1)),0)
*13/3,
0),
""))),
""),
"")</f>
        <v/>
      </c>
      <c r="AQ651" s="118" t="str">
        <f>IFERROR(
IF(VLOOKUP($C651,'Employee information'!$B:$M,COLUMNS('Employee information'!$B:$M),0)=3,
IF($E$2="Fortnightly",
ROUND(
ROUND((((TRUNC($AN651/2,0)+0.99))*VLOOKUP((TRUNC($AN651/2,0)+0.99),'Tax scales - NAT 1004'!$A$39:$C$41,2,1)-VLOOKUP((TRUNC($AN651/2,0)+0.99),'Tax scales - NAT 1004'!$A$39:$C$41,3,1)),0)
*2,
0),
IF(AND($E$2="Monthly",ROUND($AN651-TRUNC($AN651),2)=0.33),
ROUND(
ROUND(((TRUNC(($AN651+0.01)*3/13,0)+0.99)*VLOOKUP((TRUNC(($AN651+0.01)*3/13,0)+0.99),'Tax scales - NAT 1004'!$A$39:$C$41,2,1)-VLOOKUP((TRUNC(($AN651+0.01)*3/13,0)+0.99),'Tax scales - NAT 1004'!$A$39:$C$41,3,1)),0)
*13/3,
0),
IF($E$2="Monthly",
ROUND(
ROUND(((TRUNC($AN651*3/13,0)+0.99)*VLOOKUP((TRUNC($AN651*3/13,0)+0.99),'Tax scales - NAT 1004'!$A$39:$C$41,2,1)-VLOOKUP((TRUNC($AN651*3/13,0)+0.99),'Tax scales - NAT 1004'!$A$39:$C$41,3,1)),0)
*13/3,
0),
""))),
""),
"")</f>
        <v/>
      </c>
      <c r="AR651" s="118" t="str">
        <f>IFERROR(
IF(AND(VLOOKUP($C651,'Employee information'!$B:$M,COLUMNS('Employee information'!$B:$M),0)=4,
VLOOKUP($C651,'Employee information'!$B:$J,COLUMNS('Employee information'!$B:$J),0)="Resident"),
TRUNC(TRUNC($AN651)*'Tax scales - NAT 1004'!$B$47),
IF(AND(VLOOKUP($C651,'Employee information'!$B:$M,COLUMNS('Employee information'!$B:$M),0)=4,
VLOOKUP($C651,'Employee information'!$B:$J,COLUMNS('Employee information'!$B:$J),0)="Foreign resident"),
TRUNC(TRUNC($AN651)*'Tax scales - NAT 1004'!$B$48),
"")),
"")</f>
        <v/>
      </c>
      <c r="AS651" s="118" t="str">
        <f>IFERROR(
IF(VLOOKUP($C651,'Employee information'!$B:$M,COLUMNS('Employee information'!$B:$M),0)=5,
IF($E$2="Fortnightly",
ROUND(
ROUND((((TRUNC($AN651/2,0)+0.99))*VLOOKUP((TRUNC($AN651/2,0)+0.99),'Tax scales - NAT 1004'!$A$53:$C$59,2,1)-VLOOKUP((TRUNC($AN651/2,0)+0.99),'Tax scales - NAT 1004'!$A$53:$C$59,3,1)),0)
*2,
0),
IF(AND($E$2="Monthly",ROUND($AN651-TRUNC($AN651),2)=0.33),
ROUND(
ROUND(((TRUNC(($AN651+0.01)*3/13,0)+0.99)*VLOOKUP((TRUNC(($AN651+0.01)*3/13,0)+0.99),'Tax scales - NAT 1004'!$A$53:$C$59,2,1)-VLOOKUP((TRUNC(($AN651+0.01)*3/13,0)+0.99),'Tax scales - NAT 1004'!$A$53:$C$59,3,1)),0)
*13/3,
0),
IF($E$2="Monthly",
ROUND(
ROUND(((TRUNC($AN651*3/13,0)+0.99)*VLOOKUP((TRUNC($AN651*3/13,0)+0.99),'Tax scales - NAT 1004'!$A$53:$C$59,2,1)-VLOOKUP((TRUNC($AN651*3/13,0)+0.99),'Tax scales - NAT 1004'!$A$53:$C$59,3,1)),0)
*13/3,
0),
""))),
""),
"")</f>
        <v/>
      </c>
      <c r="AT651" s="118" t="str">
        <f>IFERROR(
IF(VLOOKUP($C651,'Employee information'!$B:$M,COLUMNS('Employee information'!$B:$M),0)=6,
IF($E$2="Fortnightly",
ROUND(
ROUND((((TRUNC($AN651/2,0)+0.99))*VLOOKUP((TRUNC($AN651/2,0)+0.99),'Tax scales - NAT 1004'!$A$65:$C$73,2,1)-VLOOKUP((TRUNC($AN651/2,0)+0.99),'Tax scales - NAT 1004'!$A$65:$C$73,3,1)),0)
*2,
0),
IF(AND($E$2="Monthly",ROUND($AN651-TRUNC($AN651),2)=0.33),
ROUND(
ROUND(((TRUNC(($AN651+0.01)*3/13,0)+0.99)*VLOOKUP((TRUNC(($AN651+0.01)*3/13,0)+0.99),'Tax scales - NAT 1004'!$A$65:$C$73,2,1)-VLOOKUP((TRUNC(($AN651+0.01)*3/13,0)+0.99),'Tax scales - NAT 1004'!$A$65:$C$73,3,1)),0)
*13/3,
0),
IF($E$2="Monthly",
ROUND(
ROUND(((TRUNC($AN651*3/13,0)+0.99)*VLOOKUP((TRUNC($AN651*3/13,0)+0.99),'Tax scales - NAT 1004'!$A$65:$C$73,2,1)-VLOOKUP((TRUNC($AN651*3/13,0)+0.99),'Tax scales - NAT 1004'!$A$65:$C$73,3,1)),0)
*13/3,
0),
""))),
""),
"")</f>
        <v/>
      </c>
      <c r="AU651" s="118" t="str">
        <f>IFERROR(
IF(VLOOKUP($C651,'Employee information'!$B:$M,COLUMNS('Employee information'!$B:$M),0)=11,
IF($E$2="Fortnightly",
ROUND(
ROUND((((TRUNC($AN651/2,0)+0.99))*VLOOKUP((TRUNC($AN651/2,0)+0.99),'Tax scales - NAT 3539'!$A$14:$C$38,2,1)-VLOOKUP((TRUNC($AN651/2,0)+0.99),'Tax scales - NAT 3539'!$A$14:$C$38,3,1)),0)
*2,
0),
IF(AND($E$2="Monthly",ROUND($AN651-TRUNC($AN651),2)=0.33),
ROUND(
ROUND(((TRUNC(($AN651+0.01)*3/13,0)+0.99)*VLOOKUP((TRUNC(($AN651+0.01)*3/13,0)+0.99),'Tax scales - NAT 3539'!$A$14:$C$38,2,1)-VLOOKUP((TRUNC(($AN651+0.01)*3/13,0)+0.99),'Tax scales - NAT 3539'!$A$14:$C$38,3,1)),0)
*13/3,
0),
IF($E$2="Monthly",
ROUND(
ROUND(((TRUNC($AN651*3/13,0)+0.99)*VLOOKUP((TRUNC($AN651*3/13,0)+0.99),'Tax scales - NAT 3539'!$A$14:$C$38,2,1)-VLOOKUP((TRUNC($AN651*3/13,0)+0.99),'Tax scales - NAT 3539'!$A$14:$C$38,3,1)),0)
*13/3,
0),
""))),
""),
"")</f>
        <v/>
      </c>
      <c r="AV651" s="118" t="str">
        <f>IFERROR(
IF(VLOOKUP($C651,'Employee information'!$B:$M,COLUMNS('Employee information'!$B:$M),0)=22,
IF($E$2="Fortnightly",
ROUND(
ROUND((((TRUNC($AN651/2,0)+0.99))*VLOOKUP((TRUNC($AN651/2,0)+0.99),'Tax scales - NAT 3539'!$A$43:$C$69,2,1)-VLOOKUP((TRUNC($AN651/2,0)+0.99),'Tax scales - NAT 3539'!$A$43:$C$69,3,1)),0)
*2,
0),
IF(AND($E$2="Monthly",ROUND($AN651-TRUNC($AN651),2)=0.33),
ROUND(
ROUND(((TRUNC(($AN651+0.01)*3/13,0)+0.99)*VLOOKUP((TRUNC(($AN651+0.01)*3/13,0)+0.99),'Tax scales - NAT 3539'!$A$43:$C$69,2,1)-VLOOKUP((TRUNC(($AN651+0.01)*3/13,0)+0.99),'Tax scales - NAT 3539'!$A$43:$C$69,3,1)),0)
*13/3,
0),
IF($E$2="Monthly",
ROUND(
ROUND(((TRUNC($AN651*3/13,0)+0.99)*VLOOKUP((TRUNC($AN651*3/13,0)+0.99),'Tax scales - NAT 3539'!$A$43:$C$69,2,1)-VLOOKUP((TRUNC($AN651*3/13,0)+0.99),'Tax scales - NAT 3539'!$A$43:$C$69,3,1)),0)
*13/3,
0),
""))),
""),
"")</f>
        <v/>
      </c>
      <c r="AW651" s="118">
        <f>IFERROR(
IF(VLOOKUP($C651,'Employee information'!$B:$M,COLUMNS('Employee information'!$B:$M),0)=33,
IF($E$2="Fortnightly",
ROUND(
ROUND((((TRUNC($AN651/2,0)+0.99))*VLOOKUP((TRUNC($AN651/2,0)+0.99),'Tax scales - NAT 3539'!$A$74:$C$94,2,1)-VLOOKUP((TRUNC($AN651/2,0)+0.99),'Tax scales - NAT 3539'!$A$74:$C$94,3,1)),0)
*2,
0),
IF(AND($E$2="Monthly",ROUND($AN651-TRUNC($AN651),2)=0.33),
ROUND(
ROUND(((TRUNC(($AN651+0.01)*3/13,0)+0.99)*VLOOKUP((TRUNC(($AN651+0.01)*3/13,0)+0.99),'Tax scales - NAT 3539'!$A$74:$C$94,2,1)-VLOOKUP((TRUNC(($AN651+0.01)*3/13,0)+0.99),'Tax scales - NAT 3539'!$A$74:$C$94,3,1)),0)
*13/3,
0),
IF($E$2="Monthly",
ROUND(
ROUND(((TRUNC($AN651*3/13,0)+0.99)*VLOOKUP((TRUNC($AN651*3/13,0)+0.99),'Tax scales - NAT 3539'!$A$74:$C$94,2,1)-VLOOKUP((TRUNC($AN651*3/13,0)+0.99),'Tax scales - NAT 3539'!$A$74:$C$94,3,1)),0)
*13/3,
0),
""))),
""),
"")</f>
        <v>0</v>
      </c>
      <c r="AX651" s="118" t="str">
        <f>IFERROR(
IF(VLOOKUP($C651,'Employee information'!$B:$M,COLUMNS('Employee information'!$B:$M),0)=55,
IF($E$2="Fortnightly",
ROUND(
ROUND((((TRUNC($AN651/2,0)+0.99))*VLOOKUP((TRUNC($AN651/2,0)+0.99),'Tax scales - NAT 3539'!$A$99:$C$123,2,1)-VLOOKUP((TRUNC($AN651/2,0)+0.99),'Tax scales - NAT 3539'!$A$99:$C$123,3,1)),0)
*2,
0),
IF(AND($E$2="Monthly",ROUND($AN651-TRUNC($AN651),2)=0.33),
ROUND(
ROUND(((TRUNC(($AN651+0.01)*3/13,0)+0.99)*VLOOKUP((TRUNC(($AN651+0.01)*3/13,0)+0.99),'Tax scales - NAT 3539'!$A$99:$C$123,2,1)-VLOOKUP((TRUNC(($AN651+0.01)*3/13,0)+0.99),'Tax scales - NAT 3539'!$A$99:$C$123,3,1)),0)
*13/3,
0),
IF($E$2="Monthly",
ROUND(
ROUND(((TRUNC($AN651*3/13,0)+0.99)*VLOOKUP((TRUNC($AN651*3/13,0)+0.99),'Tax scales - NAT 3539'!$A$99:$C$123,2,1)-VLOOKUP((TRUNC($AN651*3/13,0)+0.99),'Tax scales - NAT 3539'!$A$99:$C$123,3,1)),0)
*13/3,
0),
""))),
""),
"")</f>
        <v/>
      </c>
      <c r="AY651" s="118" t="str">
        <f>IFERROR(
IF(VLOOKUP($C651,'Employee information'!$B:$M,COLUMNS('Employee information'!$B:$M),0)=66,
IF($E$2="Fortnightly",
ROUND(
ROUND((((TRUNC($AN651/2,0)+0.99))*VLOOKUP((TRUNC($AN651/2,0)+0.99),'Tax scales - NAT 3539'!$A$127:$C$154,2,1)-VLOOKUP((TRUNC($AN651/2,0)+0.99),'Tax scales - NAT 3539'!$A$127:$C$154,3,1)),0)
*2,
0),
IF(AND($E$2="Monthly",ROUND($AN651-TRUNC($AN651),2)=0.33),
ROUND(
ROUND(((TRUNC(($AN651+0.01)*3/13,0)+0.99)*VLOOKUP((TRUNC(($AN651+0.01)*3/13,0)+0.99),'Tax scales - NAT 3539'!$A$127:$C$154,2,1)-VLOOKUP((TRUNC(($AN651+0.01)*3/13,0)+0.99),'Tax scales - NAT 3539'!$A$127:$C$154,3,1)),0)
*13/3,
0),
IF($E$2="Monthly",
ROUND(
ROUND(((TRUNC($AN651*3/13,0)+0.99)*VLOOKUP((TRUNC($AN651*3/13,0)+0.99),'Tax scales - NAT 3539'!$A$127:$C$154,2,1)-VLOOKUP((TRUNC($AN651*3/13,0)+0.99),'Tax scales - NAT 3539'!$A$127:$C$154,3,1)),0)
*13/3,
0),
""))),
""),
"")</f>
        <v/>
      </c>
      <c r="AZ651" s="118">
        <f>IFERROR(
HLOOKUP(VLOOKUP($C651,'Employee information'!$B:$M,COLUMNS('Employee information'!$B:$M),0),'PAYG worksheet'!$AO$648:$AY$667,COUNTA($C$649:$C651)+1,0),
0)</f>
        <v>0</v>
      </c>
      <c r="BA651" s="118"/>
      <c r="BB651" s="118">
        <f t="shared" si="697"/>
        <v>0</v>
      </c>
      <c r="BC651" s="119">
        <f>IFERROR(
IF(OR($AE651=1,$AE651=""),SUM($P651,$AA651,$AC651,$AK651)*VLOOKUP($C651,'Employee information'!$B:$Q,COLUMNS('Employee information'!$B:$H),0),
IF($AE651=0,SUM($P651,$AA651,$AK651)*VLOOKUP($C651,'Employee information'!$B:$Q,COLUMNS('Employee information'!$B:$H),0),
0)),
0)</f>
        <v>0</v>
      </c>
      <c r="BE651" s="114">
        <f t="shared" si="682"/>
        <v>900</v>
      </c>
      <c r="BF651" s="114">
        <f t="shared" si="683"/>
        <v>900</v>
      </c>
      <c r="BG651" s="114">
        <f t="shared" si="684"/>
        <v>0</v>
      </c>
      <c r="BH651" s="114">
        <f t="shared" si="685"/>
        <v>0</v>
      </c>
      <c r="BI651" s="114">
        <f t="shared" si="686"/>
        <v>292</v>
      </c>
      <c r="BJ651" s="114">
        <f t="shared" si="687"/>
        <v>0</v>
      </c>
      <c r="BK651" s="114">
        <f t="shared" si="688"/>
        <v>0</v>
      </c>
      <c r="BL651" s="114">
        <f t="shared" si="698"/>
        <v>0</v>
      </c>
      <c r="BM651" s="114">
        <f t="shared" si="689"/>
        <v>85.5</v>
      </c>
    </row>
    <row r="652" spans="1:65" x14ac:dyDescent="0.25">
      <c r="A652" s="228">
        <f t="shared" si="677"/>
        <v>23</v>
      </c>
      <c r="C652" s="278" t="s">
        <v>15</v>
      </c>
      <c r="E652" s="103">
        <f>IF($C652="",0,
IF(AND($E$2="Monthly",$A652&gt;12),0,
IF($E$2="Monthly",VLOOKUP($C652,'Employee information'!$B:$AM,COLUMNS('Employee information'!$B:S),0),
IF($E$2="Fortnightly",VLOOKUP($C652,'Employee information'!$B:$AM,COLUMNS('Employee information'!$B:R),0),
0))))</f>
        <v>75</v>
      </c>
      <c r="F652" s="106"/>
      <c r="G652" s="106"/>
      <c r="H652" s="106"/>
      <c r="I652" s="106"/>
      <c r="J652" s="103">
        <f t="shared" si="690"/>
        <v>75</v>
      </c>
      <c r="L652" s="113">
        <f>IF(AND($E$2="Monthly",$A652&gt;12),"",
IFERROR($J652*VLOOKUP($C652,'Employee information'!$B:$AI,COLUMNS('Employee information'!$B:$P),0),0))</f>
        <v>7692.3076923076924</v>
      </c>
      <c r="M652" s="114">
        <f t="shared" si="691"/>
        <v>176923.07692307688</v>
      </c>
      <c r="O652" s="103">
        <f t="shared" si="692"/>
        <v>75</v>
      </c>
      <c r="P652" s="113">
        <f>IFERROR(
IF(AND($E$2="Monthly",$A652&gt;12),0,
$O652*VLOOKUP($C652,'Employee information'!$B:$AI,COLUMNS('Employee information'!$B:$P),0)),
0)</f>
        <v>7692.3076923076924</v>
      </c>
      <c r="R652" s="114">
        <f t="shared" si="678"/>
        <v>176923.07692307688</v>
      </c>
      <c r="T652" s="103"/>
      <c r="U652" s="103"/>
      <c r="V652" s="282">
        <f>IF($C652="","",
IF(AND($E$2="Monthly",$A652&gt;12),"",
$T652*VLOOKUP($C652,'Employee information'!$B:$P,COLUMNS('Employee information'!$B:$P),0)))</f>
        <v>0</v>
      </c>
      <c r="W652" s="282">
        <f>IF($C652="","",
IF(AND($E$2="Monthly",$A652&gt;12),"",
$U652*VLOOKUP($C652,'Employee information'!$B:$P,COLUMNS('Employee information'!$B:$P),0)))</f>
        <v>0</v>
      </c>
      <c r="X652" s="114">
        <f t="shared" si="679"/>
        <v>1538.4615384615386</v>
      </c>
      <c r="Y652" s="114">
        <f t="shared" si="680"/>
        <v>512.82051282051282</v>
      </c>
      <c r="AA652" s="118">
        <f>IFERROR(
IF(OR('Basic payroll data'!$D$12="",'Basic payroll data'!$D$12="No"),0,
$T652*VLOOKUP($C652,'Employee information'!$B:$P,COLUMNS('Employee information'!$B:$P),0)*AL_loading_perc),
0)</f>
        <v>0</v>
      </c>
      <c r="AC652" s="118"/>
      <c r="AD652" s="118"/>
      <c r="AE652" s="283" t="str">
        <f t="shared" si="693"/>
        <v/>
      </c>
      <c r="AF652" s="283" t="str">
        <f t="shared" si="694"/>
        <v/>
      </c>
      <c r="AG652" s="118"/>
      <c r="AH652" s="118"/>
      <c r="AI652" s="283" t="str">
        <f t="shared" si="695"/>
        <v/>
      </c>
      <c r="AJ652" s="118"/>
      <c r="AK652" s="118"/>
      <c r="AM652" s="118">
        <f t="shared" si="696"/>
        <v>7692.3076923076924</v>
      </c>
      <c r="AN652" s="118">
        <f t="shared" si="681"/>
        <v>7692.3076923076924</v>
      </c>
      <c r="AO652" s="118" t="str">
        <f>IFERROR(
IF(VLOOKUP($C652,'Employee information'!$B:$M,COLUMNS('Employee information'!$B:$M),0)=1,
IF($E$2="Fortnightly",
ROUND(
ROUND((((TRUNC($AN652/2,0)+0.99))*VLOOKUP((TRUNC($AN652/2,0)+0.99),'Tax scales - NAT 1004'!$A$12:$C$18,2,1)-VLOOKUP((TRUNC($AN652/2,0)+0.99),'Tax scales - NAT 1004'!$A$12:$C$18,3,1)),0)
*2,
0),
IF(AND($E$2="Monthly",ROUND($AN652-TRUNC($AN652),2)=0.33),
ROUND(
ROUND(((TRUNC(($AN652+0.01)*3/13,0)+0.99)*VLOOKUP((TRUNC(($AN652+0.01)*3/13,0)+0.99),'Tax scales - NAT 1004'!$A$12:$C$18,2,1)-VLOOKUP((TRUNC(($AN652+0.01)*3/13,0)+0.99),'Tax scales - NAT 1004'!$A$12:$C$18,3,1)),0)
*13/3,
0),
IF($E$2="Monthly",
ROUND(
ROUND(((TRUNC($AN652*3/13,0)+0.99)*VLOOKUP((TRUNC($AN652*3/13,0)+0.99),'Tax scales - NAT 1004'!$A$12:$C$18,2,1)-VLOOKUP((TRUNC($AN652*3/13,0)+0.99),'Tax scales - NAT 1004'!$A$12:$C$18,3,1)),0)
*13/3,
0),
""))),
""),
"")</f>
        <v/>
      </c>
      <c r="AP652" s="118" t="str">
        <f>IFERROR(
IF(VLOOKUP($C652,'Employee information'!$B:$M,COLUMNS('Employee information'!$B:$M),0)=2,
IF($E$2="Fortnightly",
ROUND(
ROUND((((TRUNC($AN652/2,0)+0.99))*VLOOKUP((TRUNC($AN652/2,0)+0.99),'Tax scales - NAT 1004'!$A$25:$C$33,2,1)-VLOOKUP((TRUNC($AN652/2,0)+0.99),'Tax scales - NAT 1004'!$A$25:$C$33,3,1)),0)
*2,
0),
IF(AND($E$2="Monthly",ROUND($AN652-TRUNC($AN652),2)=0.33),
ROUND(
ROUND(((TRUNC(($AN652+0.01)*3/13,0)+0.99)*VLOOKUP((TRUNC(($AN652+0.01)*3/13,0)+0.99),'Tax scales - NAT 1004'!$A$25:$C$33,2,1)-VLOOKUP((TRUNC(($AN652+0.01)*3/13,0)+0.99),'Tax scales - NAT 1004'!$A$25:$C$33,3,1)),0)
*13/3,
0),
IF($E$2="Monthly",
ROUND(
ROUND(((TRUNC($AN652*3/13,0)+0.99)*VLOOKUP((TRUNC($AN652*3/13,0)+0.99),'Tax scales - NAT 1004'!$A$25:$C$33,2,1)-VLOOKUP((TRUNC($AN652*3/13,0)+0.99),'Tax scales - NAT 1004'!$A$25:$C$33,3,1)),0)
*13/3,
0),
""))),
""),
"")</f>
        <v/>
      </c>
      <c r="AQ652" s="118" t="str">
        <f>IFERROR(
IF(VLOOKUP($C652,'Employee information'!$B:$M,COLUMNS('Employee information'!$B:$M),0)=3,
IF($E$2="Fortnightly",
ROUND(
ROUND((((TRUNC($AN652/2,0)+0.99))*VLOOKUP((TRUNC($AN652/2,0)+0.99),'Tax scales - NAT 1004'!$A$39:$C$41,2,1)-VLOOKUP((TRUNC($AN652/2,0)+0.99),'Tax scales - NAT 1004'!$A$39:$C$41,3,1)),0)
*2,
0),
IF(AND($E$2="Monthly",ROUND($AN652-TRUNC($AN652),2)=0.33),
ROUND(
ROUND(((TRUNC(($AN652+0.01)*3/13,0)+0.99)*VLOOKUP((TRUNC(($AN652+0.01)*3/13,0)+0.99),'Tax scales - NAT 1004'!$A$39:$C$41,2,1)-VLOOKUP((TRUNC(($AN652+0.01)*3/13,0)+0.99),'Tax scales - NAT 1004'!$A$39:$C$41,3,1)),0)
*13/3,
0),
IF($E$2="Monthly",
ROUND(
ROUND(((TRUNC($AN652*3/13,0)+0.99)*VLOOKUP((TRUNC($AN652*3/13,0)+0.99),'Tax scales - NAT 1004'!$A$39:$C$41,2,1)-VLOOKUP((TRUNC($AN652*3/13,0)+0.99),'Tax scales - NAT 1004'!$A$39:$C$41,3,1)),0)
*13/3,
0),
""))),
""),
"")</f>
        <v/>
      </c>
      <c r="AR652" s="118" t="str">
        <f>IFERROR(
IF(AND(VLOOKUP($C652,'Employee information'!$B:$M,COLUMNS('Employee information'!$B:$M),0)=4,
VLOOKUP($C652,'Employee information'!$B:$J,COLUMNS('Employee information'!$B:$J),0)="Resident"),
TRUNC(TRUNC($AN652)*'Tax scales - NAT 1004'!$B$47),
IF(AND(VLOOKUP($C652,'Employee information'!$B:$M,COLUMNS('Employee information'!$B:$M),0)=4,
VLOOKUP($C652,'Employee information'!$B:$J,COLUMNS('Employee information'!$B:$J),0)="Foreign resident"),
TRUNC(TRUNC($AN652)*'Tax scales - NAT 1004'!$B$48),
"")),
"")</f>
        <v/>
      </c>
      <c r="AS652" s="118" t="str">
        <f>IFERROR(
IF(VLOOKUP($C652,'Employee information'!$B:$M,COLUMNS('Employee information'!$B:$M),0)=5,
IF($E$2="Fortnightly",
ROUND(
ROUND((((TRUNC($AN652/2,0)+0.99))*VLOOKUP((TRUNC($AN652/2,0)+0.99),'Tax scales - NAT 1004'!$A$53:$C$59,2,1)-VLOOKUP((TRUNC($AN652/2,0)+0.99),'Tax scales - NAT 1004'!$A$53:$C$59,3,1)),0)
*2,
0),
IF(AND($E$2="Monthly",ROUND($AN652-TRUNC($AN652),2)=0.33),
ROUND(
ROUND(((TRUNC(($AN652+0.01)*3/13,0)+0.99)*VLOOKUP((TRUNC(($AN652+0.01)*3/13,0)+0.99),'Tax scales - NAT 1004'!$A$53:$C$59,2,1)-VLOOKUP((TRUNC(($AN652+0.01)*3/13,0)+0.99),'Tax scales - NAT 1004'!$A$53:$C$59,3,1)),0)
*13/3,
0),
IF($E$2="Monthly",
ROUND(
ROUND(((TRUNC($AN652*3/13,0)+0.99)*VLOOKUP((TRUNC($AN652*3/13,0)+0.99),'Tax scales - NAT 1004'!$A$53:$C$59,2,1)-VLOOKUP((TRUNC($AN652*3/13,0)+0.99),'Tax scales - NAT 1004'!$A$53:$C$59,3,1)),0)
*13/3,
0),
""))),
""),
"")</f>
        <v/>
      </c>
      <c r="AT652" s="118" t="str">
        <f>IFERROR(
IF(VLOOKUP($C652,'Employee information'!$B:$M,COLUMNS('Employee information'!$B:$M),0)=6,
IF($E$2="Fortnightly",
ROUND(
ROUND((((TRUNC($AN652/2,0)+0.99))*VLOOKUP((TRUNC($AN652/2,0)+0.99),'Tax scales - NAT 1004'!$A$65:$C$73,2,1)-VLOOKUP((TRUNC($AN652/2,0)+0.99),'Tax scales - NAT 1004'!$A$65:$C$73,3,1)),0)
*2,
0),
IF(AND($E$2="Monthly",ROUND($AN652-TRUNC($AN652),2)=0.33),
ROUND(
ROUND(((TRUNC(($AN652+0.01)*3/13,0)+0.99)*VLOOKUP((TRUNC(($AN652+0.01)*3/13,0)+0.99),'Tax scales - NAT 1004'!$A$65:$C$73,2,1)-VLOOKUP((TRUNC(($AN652+0.01)*3/13,0)+0.99),'Tax scales - NAT 1004'!$A$65:$C$73,3,1)),0)
*13/3,
0),
IF($E$2="Monthly",
ROUND(
ROUND(((TRUNC($AN652*3/13,0)+0.99)*VLOOKUP((TRUNC($AN652*3/13,0)+0.99),'Tax scales - NAT 1004'!$A$65:$C$73,2,1)-VLOOKUP((TRUNC($AN652*3/13,0)+0.99),'Tax scales - NAT 1004'!$A$65:$C$73,3,1)),0)
*13/3,
0),
""))),
""),
"")</f>
        <v/>
      </c>
      <c r="AU652" s="118" t="str">
        <f>IFERROR(
IF(VLOOKUP($C652,'Employee information'!$B:$M,COLUMNS('Employee information'!$B:$M),0)=11,
IF($E$2="Fortnightly",
ROUND(
ROUND((((TRUNC($AN652/2,0)+0.99))*VLOOKUP((TRUNC($AN652/2,0)+0.99),'Tax scales - NAT 3539'!$A$14:$C$38,2,1)-VLOOKUP((TRUNC($AN652/2,0)+0.99),'Tax scales - NAT 3539'!$A$14:$C$38,3,1)),0)
*2,
0),
IF(AND($E$2="Monthly",ROUND($AN652-TRUNC($AN652),2)=0.33),
ROUND(
ROUND(((TRUNC(($AN652+0.01)*3/13,0)+0.99)*VLOOKUP((TRUNC(($AN652+0.01)*3/13,0)+0.99),'Tax scales - NAT 3539'!$A$14:$C$38,2,1)-VLOOKUP((TRUNC(($AN652+0.01)*3/13,0)+0.99),'Tax scales - NAT 3539'!$A$14:$C$38,3,1)),0)
*13/3,
0),
IF($E$2="Monthly",
ROUND(
ROUND(((TRUNC($AN652*3/13,0)+0.99)*VLOOKUP((TRUNC($AN652*3/13,0)+0.99),'Tax scales - NAT 3539'!$A$14:$C$38,2,1)-VLOOKUP((TRUNC($AN652*3/13,0)+0.99),'Tax scales - NAT 3539'!$A$14:$C$38,3,1)),0)
*13/3,
0),
""))),
""),
"")</f>
        <v/>
      </c>
      <c r="AV652" s="118" t="str">
        <f>IFERROR(
IF(VLOOKUP($C652,'Employee information'!$B:$M,COLUMNS('Employee information'!$B:$M),0)=22,
IF($E$2="Fortnightly",
ROUND(
ROUND((((TRUNC($AN652/2,0)+0.99))*VLOOKUP((TRUNC($AN652/2,0)+0.99),'Tax scales - NAT 3539'!$A$43:$C$69,2,1)-VLOOKUP((TRUNC($AN652/2,0)+0.99),'Tax scales - NAT 3539'!$A$43:$C$69,3,1)),0)
*2,
0),
IF(AND($E$2="Monthly",ROUND($AN652-TRUNC($AN652),2)=0.33),
ROUND(
ROUND(((TRUNC(($AN652+0.01)*3/13,0)+0.99)*VLOOKUP((TRUNC(($AN652+0.01)*3/13,0)+0.99),'Tax scales - NAT 3539'!$A$43:$C$69,2,1)-VLOOKUP((TRUNC(($AN652+0.01)*3/13,0)+0.99),'Tax scales - NAT 3539'!$A$43:$C$69,3,1)),0)
*13/3,
0),
IF($E$2="Monthly",
ROUND(
ROUND(((TRUNC($AN652*3/13,0)+0.99)*VLOOKUP((TRUNC($AN652*3/13,0)+0.99),'Tax scales - NAT 3539'!$A$43:$C$69,2,1)-VLOOKUP((TRUNC($AN652*3/13,0)+0.99),'Tax scales - NAT 3539'!$A$43:$C$69,3,1)),0)
*13/3,
0),
""))),
""),
"")</f>
        <v/>
      </c>
      <c r="AW652" s="118" t="str">
        <f>IFERROR(
IF(VLOOKUP($C652,'Employee information'!$B:$M,COLUMNS('Employee information'!$B:$M),0)=33,
IF($E$2="Fortnightly",
ROUND(
ROUND((((TRUNC($AN652/2,0)+0.99))*VLOOKUP((TRUNC($AN652/2,0)+0.99),'Tax scales - NAT 3539'!$A$74:$C$94,2,1)-VLOOKUP((TRUNC($AN652/2,0)+0.99),'Tax scales - NAT 3539'!$A$74:$C$94,3,1)),0)
*2,
0),
IF(AND($E$2="Monthly",ROUND($AN652-TRUNC($AN652),2)=0.33),
ROUND(
ROUND(((TRUNC(($AN652+0.01)*3/13,0)+0.99)*VLOOKUP((TRUNC(($AN652+0.01)*3/13,0)+0.99),'Tax scales - NAT 3539'!$A$74:$C$94,2,1)-VLOOKUP((TRUNC(($AN652+0.01)*3/13,0)+0.99),'Tax scales - NAT 3539'!$A$74:$C$94,3,1)),0)
*13/3,
0),
IF($E$2="Monthly",
ROUND(
ROUND(((TRUNC($AN652*3/13,0)+0.99)*VLOOKUP((TRUNC($AN652*3/13,0)+0.99),'Tax scales - NAT 3539'!$A$74:$C$94,2,1)-VLOOKUP((TRUNC($AN652*3/13,0)+0.99),'Tax scales - NAT 3539'!$A$74:$C$94,3,1)),0)
*13/3,
0),
""))),
""),
"")</f>
        <v/>
      </c>
      <c r="AX652" s="118">
        <f>IFERROR(
IF(VLOOKUP($C652,'Employee information'!$B:$M,COLUMNS('Employee information'!$B:$M),0)=55,
IF($E$2="Fortnightly",
ROUND(
ROUND((((TRUNC($AN652/2,0)+0.99))*VLOOKUP((TRUNC($AN652/2,0)+0.99),'Tax scales - NAT 3539'!$A$99:$C$123,2,1)-VLOOKUP((TRUNC($AN652/2,0)+0.99),'Tax scales - NAT 3539'!$A$99:$C$123,3,1)),0)
*2,
0),
IF(AND($E$2="Monthly",ROUND($AN652-TRUNC($AN652),2)=0.33),
ROUND(
ROUND(((TRUNC(($AN652+0.01)*3/13,0)+0.99)*VLOOKUP((TRUNC(($AN652+0.01)*3/13,0)+0.99),'Tax scales - NAT 3539'!$A$99:$C$123,2,1)-VLOOKUP((TRUNC(($AN652+0.01)*3/13,0)+0.99),'Tax scales - NAT 3539'!$A$99:$C$123,3,1)),0)
*13/3,
0),
IF($E$2="Monthly",
ROUND(
ROUND(((TRUNC($AN652*3/13,0)+0.99)*VLOOKUP((TRUNC($AN652*3/13,0)+0.99),'Tax scales - NAT 3539'!$A$99:$C$123,2,1)-VLOOKUP((TRUNC($AN652*3/13,0)+0.99),'Tax scales - NAT 3539'!$A$99:$C$123,3,1)),0)
*13/3,
0),
""))),
""),
"")</f>
        <v>3104</v>
      </c>
      <c r="AY652" s="118" t="str">
        <f>IFERROR(
IF(VLOOKUP($C652,'Employee information'!$B:$M,COLUMNS('Employee information'!$B:$M),0)=66,
IF($E$2="Fortnightly",
ROUND(
ROUND((((TRUNC($AN652/2,0)+0.99))*VLOOKUP((TRUNC($AN652/2,0)+0.99),'Tax scales - NAT 3539'!$A$127:$C$154,2,1)-VLOOKUP((TRUNC($AN652/2,0)+0.99),'Tax scales - NAT 3539'!$A$127:$C$154,3,1)),0)
*2,
0),
IF(AND($E$2="Monthly",ROUND($AN652-TRUNC($AN652),2)=0.33),
ROUND(
ROUND(((TRUNC(($AN652+0.01)*3/13,0)+0.99)*VLOOKUP((TRUNC(($AN652+0.01)*3/13,0)+0.99),'Tax scales - NAT 3539'!$A$127:$C$154,2,1)-VLOOKUP((TRUNC(($AN652+0.01)*3/13,0)+0.99),'Tax scales - NAT 3539'!$A$127:$C$154,3,1)),0)
*13/3,
0),
IF($E$2="Monthly",
ROUND(
ROUND(((TRUNC($AN652*3/13,0)+0.99)*VLOOKUP((TRUNC($AN652*3/13,0)+0.99),'Tax scales - NAT 3539'!$A$127:$C$154,2,1)-VLOOKUP((TRUNC($AN652*3/13,0)+0.99),'Tax scales - NAT 3539'!$A$127:$C$154,3,1)),0)
*13/3,
0),
""))),
""),
"")</f>
        <v/>
      </c>
      <c r="AZ652" s="118">
        <f>IFERROR(
HLOOKUP(VLOOKUP($C652,'Employee information'!$B:$M,COLUMNS('Employee information'!$B:$M),0),'PAYG worksheet'!$AO$648:$AY$667,COUNTA($C$649:$C652)+1,0),
0)</f>
        <v>3104</v>
      </c>
      <c r="BA652" s="118"/>
      <c r="BB652" s="118">
        <f t="shared" si="697"/>
        <v>4588.3076923076924</v>
      </c>
      <c r="BC652" s="119">
        <f>IFERROR(
IF(OR($AE652=1,$AE652=""),SUM($P652,$AA652,$AC652,$AK652)*VLOOKUP($C652,'Employee information'!$B:$Q,COLUMNS('Employee information'!$B:$H),0),
IF($AE652=0,SUM($P652,$AA652,$AK652)*VLOOKUP($C652,'Employee information'!$B:$Q,COLUMNS('Employee information'!$B:$H),0),
0)),
0)</f>
        <v>730.76923076923083</v>
      </c>
      <c r="BE652" s="114">
        <f t="shared" si="682"/>
        <v>177063.07692307688</v>
      </c>
      <c r="BF652" s="114">
        <f t="shared" si="683"/>
        <v>176923.07692307688</v>
      </c>
      <c r="BG652" s="114">
        <f t="shared" si="684"/>
        <v>0</v>
      </c>
      <c r="BH652" s="114">
        <f t="shared" si="685"/>
        <v>140</v>
      </c>
      <c r="BI652" s="114">
        <f t="shared" si="686"/>
        <v>71392</v>
      </c>
      <c r="BJ652" s="114">
        <f t="shared" si="687"/>
        <v>0</v>
      </c>
      <c r="BK652" s="114">
        <f t="shared" si="688"/>
        <v>0</v>
      </c>
      <c r="BL652" s="114">
        <f t="shared" si="698"/>
        <v>0</v>
      </c>
      <c r="BM652" s="114">
        <f t="shared" si="689"/>
        <v>16807.692307692305</v>
      </c>
    </row>
    <row r="653" spans="1:65" x14ac:dyDescent="0.25">
      <c r="A653" s="228">
        <f t="shared" si="677"/>
        <v>23</v>
      </c>
      <c r="C653" s="278" t="s">
        <v>16</v>
      </c>
      <c r="E653" s="103">
        <f>IF($C653="",0,
IF(AND($E$2="Monthly",$A653&gt;12),0,
IF($E$2="Monthly",VLOOKUP($C653,'Employee information'!$B:$AM,COLUMNS('Employee information'!$B:S),0),
IF($E$2="Fortnightly",VLOOKUP($C653,'Employee information'!$B:$AM,COLUMNS('Employee information'!$B:R),0),
0))))</f>
        <v>75</v>
      </c>
      <c r="F653" s="106"/>
      <c r="G653" s="106"/>
      <c r="H653" s="106"/>
      <c r="I653" s="106"/>
      <c r="J653" s="103">
        <f t="shared" si="690"/>
        <v>75</v>
      </c>
      <c r="L653" s="113">
        <f>IF(AND($E$2="Monthly",$A653&gt;12),"",
IFERROR($J653*VLOOKUP($C653,'Employee information'!$B:$AI,COLUMNS('Employee information'!$B:$P),0),0))</f>
        <v>4125</v>
      </c>
      <c r="M653" s="114">
        <f t="shared" si="691"/>
        <v>94875</v>
      </c>
      <c r="O653" s="103">
        <f t="shared" si="692"/>
        <v>75</v>
      </c>
      <c r="P653" s="113">
        <f>IFERROR(
IF(AND($E$2="Monthly",$A653&gt;12),0,
$O653*VLOOKUP($C653,'Employee information'!$B:$AI,COLUMNS('Employee information'!$B:$P),0)),
0)</f>
        <v>4125</v>
      </c>
      <c r="R653" s="114">
        <f t="shared" si="678"/>
        <v>94875</v>
      </c>
      <c r="T653" s="103"/>
      <c r="U653" s="103"/>
      <c r="V653" s="282">
        <f>IF($C653="","",
IF(AND($E$2="Monthly",$A653&gt;12),"",
$T653*VLOOKUP($C653,'Employee information'!$B:$P,COLUMNS('Employee information'!$B:$P),0)))</f>
        <v>0</v>
      </c>
      <c r="W653" s="282">
        <f>IF($C653="","",
IF(AND($E$2="Monthly",$A653&gt;12),"",
$U653*VLOOKUP($C653,'Employee information'!$B:$P,COLUMNS('Employee information'!$B:$P),0)))</f>
        <v>0</v>
      </c>
      <c r="X653" s="114">
        <f t="shared" si="679"/>
        <v>0</v>
      </c>
      <c r="Y653" s="114">
        <f t="shared" si="680"/>
        <v>0</v>
      </c>
      <c r="AA653" s="118">
        <f>IFERROR(
IF(OR('Basic payroll data'!$D$12="",'Basic payroll data'!$D$12="No"),0,
$T653*VLOOKUP($C653,'Employee information'!$B:$P,COLUMNS('Employee information'!$B:$P),0)*AL_loading_perc),
0)</f>
        <v>0</v>
      </c>
      <c r="AC653" s="118"/>
      <c r="AD653" s="118"/>
      <c r="AE653" s="283" t="str">
        <f t="shared" si="693"/>
        <v/>
      </c>
      <c r="AF653" s="283" t="str">
        <f t="shared" si="694"/>
        <v/>
      </c>
      <c r="AG653" s="118"/>
      <c r="AH653" s="118"/>
      <c r="AI653" s="283" t="str">
        <f t="shared" si="695"/>
        <v/>
      </c>
      <c r="AJ653" s="118"/>
      <c r="AK653" s="118"/>
      <c r="AM653" s="118">
        <f t="shared" si="696"/>
        <v>4125</v>
      </c>
      <c r="AN653" s="118">
        <f t="shared" si="681"/>
        <v>4125</v>
      </c>
      <c r="AO653" s="118" t="str">
        <f>IFERROR(
IF(VLOOKUP($C653,'Employee information'!$B:$M,COLUMNS('Employee information'!$B:$M),0)=1,
IF($E$2="Fortnightly",
ROUND(
ROUND((((TRUNC($AN653/2,0)+0.99))*VLOOKUP((TRUNC($AN653/2,0)+0.99),'Tax scales - NAT 1004'!$A$12:$C$18,2,1)-VLOOKUP((TRUNC($AN653/2,0)+0.99),'Tax scales - NAT 1004'!$A$12:$C$18,3,1)),0)
*2,
0),
IF(AND($E$2="Monthly",ROUND($AN653-TRUNC($AN653),2)=0.33),
ROUND(
ROUND(((TRUNC(($AN653+0.01)*3/13,0)+0.99)*VLOOKUP((TRUNC(($AN653+0.01)*3/13,0)+0.99),'Tax scales - NAT 1004'!$A$12:$C$18,2,1)-VLOOKUP((TRUNC(($AN653+0.01)*3/13,0)+0.99),'Tax scales - NAT 1004'!$A$12:$C$18,3,1)),0)
*13/3,
0),
IF($E$2="Monthly",
ROUND(
ROUND(((TRUNC($AN653*3/13,0)+0.99)*VLOOKUP((TRUNC($AN653*3/13,0)+0.99),'Tax scales - NAT 1004'!$A$12:$C$18,2,1)-VLOOKUP((TRUNC($AN653*3/13,0)+0.99),'Tax scales - NAT 1004'!$A$12:$C$18,3,1)),0)
*13/3,
0),
""))),
""),
"")</f>
        <v/>
      </c>
      <c r="AP653" s="118" t="str">
        <f>IFERROR(
IF(VLOOKUP($C653,'Employee information'!$B:$M,COLUMNS('Employee information'!$B:$M),0)=2,
IF($E$2="Fortnightly",
ROUND(
ROUND((((TRUNC($AN653/2,0)+0.99))*VLOOKUP((TRUNC($AN653/2,0)+0.99),'Tax scales - NAT 1004'!$A$25:$C$33,2,1)-VLOOKUP((TRUNC($AN653/2,0)+0.99),'Tax scales - NAT 1004'!$A$25:$C$33,3,1)),0)
*2,
0),
IF(AND($E$2="Monthly",ROUND($AN653-TRUNC($AN653),2)=0.33),
ROUND(
ROUND(((TRUNC(($AN653+0.01)*3/13,0)+0.99)*VLOOKUP((TRUNC(($AN653+0.01)*3/13,0)+0.99),'Tax scales - NAT 1004'!$A$25:$C$33,2,1)-VLOOKUP((TRUNC(($AN653+0.01)*3/13,0)+0.99),'Tax scales - NAT 1004'!$A$25:$C$33,3,1)),0)
*13/3,
0),
IF($E$2="Monthly",
ROUND(
ROUND(((TRUNC($AN653*3/13,0)+0.99)*VLOOKUP((TRUNC($AN653*3/13,0)+0.99),'Tax scales - NAT 1004'!$A$25:$C$33,2,1)-VLOOKUP((TRUNC($AN653*3/13,0)+0.99),'Tax scales - NAT 1004'!$A$25:$C$33,3,1)),0)
*13/3,
0),
""))),
""),
"")</f>
        <v/>
      </c>
      <c r="AQ653" s="118" t="str">
        <f>IFERROR(
IF(VLOOKUP($C653,'Employee information'!$B:$M,COLUMNS('Employee information'!$B:$M),0)=3,
IF($E$2="Fortnightly",
ROUND(
ROUND((((TRUNC($AN653/2,0)+0.99))*VLOOKUP((TRUNC($AN653/2,0)+0.99),'Tax scales - NAT 1004'!$A$39:$C$41,2,1)-VLOOKUP((TRUNC($AN653/2,0)+0.99),'Tax scales - NAT 1004'!$A$39:$C$41,3,1)),0)
*2,
0),
IF(AND($E$2="Monthly",ROUND($AN653-TRUNC($AN653),2)=0.33),
ROUND(
ROUND(((TRUNC(($AN653+0.01)*3/13,0)+0.99)*VLOOKUP((TRUNC(($AN653+0.01)*3/13,0)+0.99),'Tax scales - NAT 1004'!$A$39:$C$41,2,1)-VLOOKUP((TRUNC(($AN653+0.01)*3/13,0)+0.99),'Tax scales - NAT 1004'!$A$39:$C$41,3,1)),0)
*13/3,
0),
IF($E$2="Monthly",
ROUND(
ROUND(((TRUNC($AN653*3/13,0)+0.99)*VLOOKUP((TRUNC($AN653*3/13,0)+0.99),'Tax scales - NAT 1004'!$A$39:$C$41,2,1)-VLOOKUP((TRUNC($AN653*3/13,0)+0.99),'Tax scales - NAT 1004'!$A$39:$C$41,3,1)),0)
*13/3,
0),
""))),
""),
"")</f>
        <v/>
      </c>
      <c r="AR653" s="118" t="str">
        <f>IFERROR(
IF(AND(VLOOKUP($C653,'Employee information'!$B:$M,COLUMNS('Employee information'!$B:$M),0)=4,
VLOOKUP($C653,'Employee information'!$B:$J,COLUMNS('Employee information'!$B:$J),0)="Resident"),
TRUNC(TRUNC($AN653)*'Tax scales - NAT 1004'!$B$47),
IF(AND(VLOOKUP($C653,'Employee information'!$B:$M,COLUMNS('Employee information'!$B:$M),0)=4,
VLOOKUP($C653,'Employee information'!$B:$J,COLUMNS('Employee information'!$B:$J),0)="Foreign resident"),
TRUNC(TRUNC($AN653)*'Tax scales - NAT 1004'!$B$48),
"")),
"")</f>
        <v/>
      </c>
      <c r="AS653" s="118" t="str">
        <f>IFERROR(
IF(VLOOKUP($C653,'Employee information'!$B:$M,COLUMNS('Employee information'!$B:$M),0)=5,
IF($E$2="Fortnightly",
ROUND(
ROUND((((TRUNC($AN653/2,0)+0.99))*VLOOKUP((TRUNC($AN653/2,0)+0.99),'Tax scales - NAT 1004'!$A$53:$C$59,2,1)-VLOOKUP((TRUNC($AN653/2,0)+0.99),'Tax scales - NAT 1004'!$A$53:$C$59,3,1)),0)
*2,
0),
IF(AND($E$2="Monthly",ROUND($AN653-TRUNC($AN653),2)=0.33),
ROUND(
ROUND(((TRUNC(($AN653+0.01)*3/13,0)+0.99)*VLOOKUP((TRUNC(($AN653+0.01)*3/13,0)+0.99),'Tax scales - NAT 1004'!$A$53:$C$59,2,1)-VLOOKUP((TRUNC(($AN653+0.01)*3/13,0)+0.99),'Tax scales - NAT 1004'!$A$53:$C$59,3,1)),0)
*13/3,
0),
IF($E$2="Monthly",
ROUND(
ROUND(((TRUNC($AN653*3/13,0)+0.99)*VLOOKUP((TRUNC($AN653*3/13,0)+0.99),'Tax scales - NAT 1004'!$A$53:$C$59,2,1)-VLOOKUP((TRUNC($AN653*3/13,0)+0.99),'Tax scales - NAT 1004'!$A$53:$C$59,3,1)),0)
*13/3,
0),
""))),
""),
"")</f>
        <v/>
      </c>
      <c r="AT653" s="118" t="str">
        <f>IFERROR(
IF(VLOOKUP($C653,'Employee information'!$B:$M,COLUMNS('Employee information'!$B:$M),0)=6,
IF($E$2="Fortnightly",
ROUND(
ROUND((((TRUNC($AN653/2,0)+0.99))*VLOOKUP((TRUNC($AN653/2,0)+0.99),'Tax scales - NAT 1004'!$A$65:$C$73,2,1)-VLOOKUP((TRUNC($AN653/2,0)+0.99),'Tax scales - NAT 1004'!$A$65:$C$73,3,1)),0)
*2,
0),
IF(AND($E$2="Monthly",ROUND($AN653-TRUNC($AN653),2)=0.33),
ROUND(
ROUND(((TRUNC(($AN653+0.01)*3/13,0)+0.99)*VLOOKUP((TRUNC(($AN653+0.01)*3/13,0)+0.99),'Tax scales - NAT 1004'!$A$65:$C$73,2,1)-VLOOKUP((TRUNC(($AN653+0.01)*3/13,0)+0.99),'Tax scales - NAT 1004'!$A$65:$C$73,3,1)),0)
*13/3,
0),
IF($E$2="Monthly",
ROUND(
ROUND(((TRUNC($AN653*3/13,0)+0.99)*VLOOKUP((TRUNC($AN653*3/13,0)+0.99),'Tax scales - NAT 1004'!$A$65:$C$73,2,1)-VLOOKUP((TRUNC($AN653*3/13,0)+0.99),'Tax scales - NAT 1004'!$A$65:$C$73,3,1)),0)
*13/3,
0),
""))),
""),
"")</f>
        <v/>
      </c>
      <c r="AU653" s="118">
        <f>IFERROR(
IF(VLOOKUP($C653,'Employee information'!$B:$M,COLUMNS('Employee information'!$B:$M),0)=11,
IF($E$2="Fortnightly",
ROUND(
ROUND((((TRUNC($AN653/2,0)+0.99))*VLOOKUP((TRUNC($AN653/2,0)+0.99),'Tax scales - NAT 3539'!$A$14:$C$38,2,1)-VLOOKUP((TRUNC($AN653/2,0)+0.99),'Tax scales - NAT 3539'!$A$14:$C$38,3,1)),0)
*2,
0),
IF(AND($E$2="Monthly",ROUND($AN653-TRUNC($AN653),2)=0.33),
ROUND(
ROUND(((TRUNC(($AN653+0.01)*3/13,0)+0.99)*VLOOKUP((TRUNC(($AN653+0.01)*3/13,0)+0.99),'Tax scales - NAT 3539'!$A$14:$C$38,2,1)-VLOOKUP((TRUNC(($AN653+0.01)*3/13,0)+0.99),'Tax scales - NAT 3539'!$A$14:$C$38,3,1)),0)
*13/3,
0),
IF($E$2="Monthly",
ROUND(
ROUND(((TRUNC($AN653*3/13,0)+0.99)*VLOOKUP((TRUNC($AN653*3/13,0)+0.99),'Tax scales - NAT 3539'!$A$14:$C$38,2,1)-VLOOKUP((TRUNC($AN653*3/13,0)+0.99),'Tax scales - NAT 3539'!$A$14:$C$38,3,1)),0)
*13/3,
0),
""))),
""),
"")</f>
        <v>1680</v>
      </c>
      <c r="AV653" s="118" t="str">
        <f>IFERROR(
IF(VLOOKUP($C653,'Employee information'!$B:$M,COLUMNS('Employee information'!$B:$M),0)=22,
IF($E$2="Fortnightly",
ROUND(
ROUND((((TRUNC($AN653/2,0)+0.99))*VLOOKUP((TRUNC($AN653/2,0)+0.99),'Tax scales - NAT 3539'!$A$43:$C$69,2,1)-VLOOKUP((TRUNC($AN653/2,0)+0.99),'Tax scales - NAT 3539'!$A$43:$C$69,3,1)),0)
*2,
0),
IF(AND($E$2="Monthly",ROUND($AN653-TRUNC($AN653),2)=0.33),
ROUND(
ROUND(((TRUNC(($AN653+0.01)*3/13,0)+0.99)*VLOOKUP((TRUNC(($AN653+0.01)*3/13,0)+0.99),'Tax scales - NAT 3539'!$A$43:$C$69,2,1)-VLOOKUP((TRUNC(($AN653+0.01)*3/13,0)+0.99),'Tax scales - NAT 3539'!$A$43:$C$69,3,1)),0)
*13/3,
0),
IF($E$2="Monthly",
ROUND(
ROUND(((TRUNC($AN653*3/13,0)+0.99)*VLOOKUP((TRUNC($AN653*3/13,0)+0.99),'Tax scales - NAT 3539'!$A$43:$C$69,2,1)-VLOOKUP((TRUNC($AN653*3/13,0)+0.99),'Tax scales - NAT 3539'!$A$43:$C$69,3,1)),0)
*13/3,
0),
""))),
""),
"")</f>
        <v/>
      </c>
      <c r="AW653" s="118" t="str">
        <f>IFERROR(
IF(VLOOKUP($C653,'Employee information'!$B:$M,COLUMNS('Employee information'!$B:$M),0)=33,
IF($E$2="Fortnightly",
ROUND(
ROUND((((TRUNC($AN653/2,0)+0.99))*VLOOKUP((TRUNC($AN653/2,0)+0.99),'Tax scales - NAT 3539'!$A$74:$C$94,2,1)-VLOOKUP((TRUNC($AN653/2,0)+0.99),'Tax scales - NAT 3539'!$A$74:$C$94,3,1)),0)
*2,
0),
IF(AND($E$2="Monthly",ROUND($AN653-TRUNC($AN653),2)=0.33),
ROUND(
ROUND(((TRUNC(($AN653+0.01)*3/13,0)+0.99)*VLOOKUP((TRUNC(($AN653+0.01)*3/13,0)+0.99),'Tax scales - NAT 3539'!$A$74:$C$94,2,1)-VLOOKUP((TRUNC(($AN653+0.01)*3/13,0)+0.99),'Tax scales - NAT 3539'!$A$74:$C$94,3,1)),0)
*13/3,
0),
IF($E$2="Monthly",
ROUND(
ROUND(((TRUNC($AN653*3/13,0)+0.99)*VLOOKUP((TRUNC($AN653*3/13,0)+0.99),'Tax scales - NAT 3539'!$A$74:$C$94,2,1)-VLOOKUP((TRUNC($AN653*3/13,0)+0.99),'Tax scales - NAT 3539'!$A$74:$C$94,3,1)),0)
*13/3,
0),
""))),
""),
"")</f>
        <v/>
      </c>
      <c r="AX653" s="118" t="str">
        <f>IFERROR(
IF(VLOOKUP($C653,'Employee information'!$B:$M,COLUMNS('Employee information'!$B:$M),0)=55,
IF($E$2="Fortnightly",
ROUND(
ROUND((((TRUNC($AN653/2,0)+0.99))*VLOOKUP((TRUNC($AN653/2,0)+0.99),'Tax scales - NAT 3539'!$A$99:$C$123,2,1)-VLOOKUP((TRUNC($AN653/2,0)+0.99),'Tax scales - NAT 3539'!$A$99:$C$123,3,1)),0)
*2,
0),
IF(AND($E$2="Monthly",ROUND($AN653-TRUNC($AN653),2)=0.33),
ROUND(
ROUND(((TRUNC(($AN653+0.01)*3/13,0)+0.99)*VLOOKUP((TRUNC(($AN653+0.01)*3/13,0)+0.99),'Tax scales - NAT 3539'!$A$99:$C$123,2,1)-VLOOKUP((TRUNC(($AN653+0.01)*3/13,0)+0.99),'Tax scales - NAT 3539'!$A$99:$C$123,3,1)),0)
*13/3,
0),
IF($E$2="Monthly",
ROUND(
ROUND(((TRUNC($AN653*3/13,0)+0.99)*VLOOKUP((TRUNC($AN653*3/13,0)+0.99),'Tax scales - NAT 3539'!$A$99:$C$123,2,1)-VLOOKUP((TRUNC($AN653*3/13,0)+0.99),'Tax scales - NAT 3539'!$A$99:$C$123,3,1)),0)
*13/3,
0),
""))),
""),
"")</f>
        <v/>
      </c>
      <c r="AY653" s="118" t="str">
        <f>IFERROR(
IF(VLOOKUP($C653,'Employee information'!$B:$M,COLUMNS('Employee information'!$B:$M),0)=66,
IF($E$2="Fortnightly",
ROUND(
ROUND((((TRUNC($AN653/2,0)+0.99))*VLOOKUP((TRUNC($AN653/2,0)+0.99),'Tax scales - NAT 3539'!$A$127:$C$154,2,1)-VLOOKUP((TRUNC($AN653/2,0)+0.99),'Tax scales - NAT 3539'!$A$127:$C$154,3,1)),0)
*2,
0),
IF(AND($E$2="Monthly",ROUND($AN653-TRUNC($AN653),2)=0.33),
ROUND(
ROUND(((TRUNC(($AN653+0.01)*3/13,0)+0.99)*VLOOKUP((TRUNC(($AN653+0.01)*3/13,0)+0.99),'Tax scales - NAT 3539'!$A$127:$C$154,2,1)-VLOOKUP((TRUNC(($AN653+0.01)*3/13,0)+0.99),'Tax scales - NAT 3539'!$A$127:$C$154,3,1)),0)
*13/3,
0),
IF($E$2="Monthly",
ROUND(
ROUND(((TRUNC($AN653*3/13,0)+0.99)*VLOOKUP((TRUNC($AN653*3/13,0)+0.99),'Tax scales - NAT 3539'!$A$127:$C$154,2,1)-VLOOKUP((TRUNC($AN653*3/13,0)+0.99),'Tax scales - NAT 3539'!$A$127:$C$154,3,1)),0)
*13/3,
0),
""))),
""),
"")</f>
        <v/>
      </c>
      <c r="AZ653" s="118">
        <f>IFERROR(
HLOOKUP(VLOOKUP($C653,'Employee information'!$B:$M,COLUMNS('Employee information'!$B:$M),0),'PAYG worksheet'!$AO$648:$AY$667,COUNTA($C$649:$C653)+1,0),
0)</f>
        <v>1680</v>
      </c>
      <c r="BA653" s="118"/>
      <c r="BB653" s="118">
        <f t="shared" si="697"/>
        <v>2445</v>
      </c>
      <c r="BC653" s="119">
        <f>IFERROR(
IF(OR($AE653=1,$AE653=""),SUM($P653,$AA653,$AC653,$AK653)*VLOOKUP($C653,'Employee information'!$B:$Q,COLUMNS('Employee information'!$B:$H),0),
IF($AE653=0,SUM($P653,$AA653,$AK653)*VLOOKUP($C653,'Employee information'!$B:$Q,COLUMNS('Employee information'!$B:$H),0),
0)),
0)</f>
        <v>391.875</v>
      </c>
      <c r="BE653" s="114">
        <f t="shared" si="682"/>
        <v>94975</v>
      </c>
      <c r="BF653" s="114">
        <f t="shared" si="683"/>
        <v>94975</v>
      </c>
      <c r="BG653" s="114">
        <f t="shared" si="684"/>
        <v>0</v>
      </c>
      <c r="BH653" s="114">
        <f t="shared" si="685"/>
        <v>0</v>
      </c>
      <c r="BI653" s="114">
        <f t="shared" si="686"/>
        <v>38688</v>
      </c>
      <c r="BJ653" s="114">
        <f t="shared" si="687"/>
        <v>0</v>
      </c>
      <c r="BK653" s="114">
        <f t="shared" si="688"/>
        <v>0</v>
      </c>
      <c r="BL653" s="114">
        <f t="shared" si="698"/>
        <v>100</v>
      </c>
      <c r="BM653" s="114">
        <f t="shared" si="689"/>
        <v>9022.625</v>
      </c>
    </row>
    <row r="654" spans="1:65" x14ac:dyDescent="0.25">
      <c r="A654" s="228">
        <f t="shared" si="677"/>
        <v>23</v>
      </c>
      <c r="C654" s="278" t="s">
        <v>17</v>
      </c>
      <c r="E654" s="103">
        <f>IF($C654="",0,
IF(AND($E$2="Monthly",$A654&gt;12),0,
IF($E$2="Monthly",VLOOKUP($C654,'Employee information'!$B:$AM,COLUMNS('Employee information'!$B:S),0),
IF($E$2="Fortnightly",VLOOKUP($C654,'Employee information'!$B:$AM,COLUMNS('Employee information'!$B:R),0),
0))))</f>
        <v>75</v>
      </c>
      <c r="F654" s="106"/>
      <c r="G654" s="106"/>
      <c r="H654" s="106"/>
      <c r="I654" s="106"/>
      <c r="J654" s="103">
        <f t="shared" si="690"/>
        <v>75</v>
      </c>
      <c r="L654" s="113">
        <f>IF(AND($E$2="Monthly",$A654&gt;12),"",
IFERROR($J654*VLOOKUP($C654,'Employee information'!$B:$AI,COLUMNS('Employee information'!$B:$P),0),0))</f>
        <v>2500</v>
      </c>
      <c r="M654" s="114">
        <f t="shared" si="691"/>
        <v>57500</v>
      </c>
      <c r="O654" s="103">
        <f t="shared" si="692"/>
        <v>75</v>
      </c>
      <c r="P654" s="113">
        <f>IFERROR(
IF(AND($E$2="Monthly",$A654&gt;12),0,
$O654*VLOOKUP($C654,'Employee information'!$B:$AI,COLUMNS('Employee information'!$B:$P),0)),
0)</f>
        <v>2500</v>
      </c>
      <c r="R654" s="114">
        <f t="shared" si="678"/>
        <v>57500</v>
      </c>
      <c r="T654" s="103"/>
      <c r="U654" s="103"/>
      <c r="V654" s="282">
        <f>IF($C654="","",
IF(AND($E$2="Monthly",$A654&gt;12),"",
$T654*VLOOKUP($C654,'Employee information'!$B:$P,COLUMNS('Employee information'!$B:$P),0)))</f>
        <v>0</v>
      </c>
      <c r="W654" s="282">
        <f>IF($C654="","",
IF(AND($E$2="Monthly",$A654&gt;12),"",
$U654*VLOOKUP($C654,'Employee information'!$B:$P,COLUMNS('Employee information'!$B:$P),0)))</f>
        <v>0</v>
      </c>
      <c r="X654" s="114">
        <f t="shared" si="679"/>
        <v>0</v>
      </c>
      <c r="Y654" s="114">
        <f t="shared" si="680"/>
        <v>0</v>
      </c>
      <c r="AA654" s="118">
        <f>IFERROR(
IF(OR('Basic payroll data'!$D$12="",'Basic payroll data'!$D$12="No"),0,
$T654*VLOOKUP($C654,'Employee information'!$B:$P,COLUMNS('Employee information'!$B:$P),0)*AL_loading_perc),
0)</f>
        <v>0</v>
      </c>
      <c r="AC654" s="118"/>
      <c r="AD654" s="118"/>
      <c r="AE654" s="283" t="str">
        <f t="shared" si="693"/>
        <v/>
      </c>
      <c r="AF654" s="283" t="str">
        <f t="shared" si="694"/>
        <v/>
      </c>
      <c r="AG654" s="118"/>
      <c r="AH654" s="118"/>
      <c r="AI654" s="283" t="str">
        <f t="shared" si="695"/>
        <v/>
      </c>
      <c r="AJ654" s="118"/>
      <c r="AK654" s="118"/>
      <c r="AM654" s="118">
        <f t="shared" si="696"/>
        <v>2500</v>
      </c>
      <c r="AN654" s="118">
        <f t="shared" si="681"/>
        <v>2500</v>
      </c>
      <c r="AO654" s="118" t="str">
        <f>IFERROR(
IF(VLOOKUP($C654,'Employee information'!$B:$M,COLUMNS('Employee information'!$B:$M),0)=1,
IF($E$2="Fortnightly",
ROUND(
ROUND((((TRUNC($AN654/2,0)+0.99))*VLOOKUP((TRUNC($AN654/2,0)+0.99),'Tax scales - NAT 1004'!$A$12:$C$18,2,1)-VLOOKUP((TRUNC($AN654/2,0)+0.99),'Tax scales - NAT 1004'!$A$12:$C$18,3,1)),0)
*2,
0),
IF(AND($E$2="Monthly",ROUND($AN654-TRUNC($AN654),2)=0.33),
ROUND(
ROUND(((TRUNC(($AN654+0.01)*3/13,0)+0.99)*VLOOKUP((TRUNC(($AN654+0.01)*3/13,0)+0.99),'Tax scales - NAT 1004'!$A$12:$C$18,2,1)-VLOOKUP((TRUNC(($AN654+0.01)*3/13,0)+0.99),'Tax scales - NAT 1004'!$A$12:$C$18,3,1)),0)
*13/3,
0),
IF($E$2="Monthly",
ROUND(
ROUND(((TRUNC($AN654*3/13,0)+0.99)*VLOOKUP((TRUNC($AN654*3/13,0)+0.99),'Tax scales - NAT 1004'!$A$12:$C$18,2,1)-VLOOKUP((TRUNC($AN654*3/13,0)+0.99),'Tax scales - NAT 1004'!$A$12:$C$18,3,1)),0)
*13/3,
0),
""))),
""),
"")</f>
        <v/>
      </c>
      <c r="AP654" s="118" t="str">
        <f>IFERROR(
IF(VLOOKUP($C654,'Employee information'!$B:$M,COLUMNS('Employee information'!$B:$M),0)=2,
IF($E$2="Fortnightly",
ROUND(
ROUND((((TRUNC($AN654/2,0)+0.99))*VLOOKUP((TRUNC($AN654/2,0)+0.99),'Tax scales - NAT 1004'!$A$25:$C$33,2,1)-VLOOKUP((TRUNC($AN654/2,0)+0.99),'Tax scales - NAT 1004'!$A$25:$C$33,3,1)),0)
*2,
0),
IF(AND($E$2="Monthly",ROUND($AN654-TRUNC($AN654),2)=0.33),
ROUND(
ROUND(((TRUNC(($AN654+0.01)*3/13,0)+0.99)*VLOOKUP((TRUNC(($AN654+0.01)*3/13,0)+0.99),'Tax scales - NAT 1004'!$A$25:$C$33,2,1)-VLOOKUP((TRUNC(($AN654+0.01)*3/13,0)+0.99),'Tax scales - NAT 1004'!$A$25:$C$33,3,1)),0)
*13/3,
0),
IF($E$2="Monthly",
ROUND(
ROUND(((TRUNC($AN654*3/13,0)+0.99)*VLOOKUP((TRUNC($AN654*3/13,0)+0.99),'Tax scales - NAT 1004'!$A$25:$C$33,2,1)-VLOOKUP((TRUNC($AN654*3/13,0)+0.99),'Tax scales - NAT 1004'!$A$25:$C$33,3,1)),0)
*13/3,
0),
""))),
""),
"")</f>
        <v/>
      </c>
      <c r="AQ654" s="118" t="str">
        <f>IFERROR(
IF(VLOOKUP($C654,'Employee information'!$B:$M,COLUMNS('Employee information'!$B:$M),0)=3,
IF($E$2="Fortnightly",
ROUND(
ROUND((((TRUNC($AN654/2,0)+0.99))*VLOOKUP((TRUNC($AN654/2,0)+0.99),'Tax scales - NAT 1004'!$A$39:$C$41,2,1)-VLOOKUP((TRUNC($AN654/2,0)+0.99),'Tax scales - NAT 1004'!$A$39:$C$41,3,1)),0)
*2,
0),
IF(AND($E$2="Monthly",ROUND($AN654-TRUNC($AN654),2)=0.33),
ROUND(
ROUND(((TRUNC(($AN654+0.01)*3/13,0)+0.99)*VLOOKUP((TRUNC(($AN654+0.01)*3/13,0)+0.99),'Tax scales - NAT 1004'!$A$39:$C$41,2,1)-VLOOKUP((TRUNC(($AN654+0.01)*3/13,0)+0.99),'Tax scales - NAT 1004'!$A$39:$C$41,3,1)),0)
*13/3,
0),
IF($E$2="Monthly",
ROUND(
ROUND(((TRUNC($AN654*3/13,0)+0.99)*VLOOKUP((TRUNC($AN654*3/13,0)+0.99),'Tax scales - NAT 1004'!$A$39:$C$41,2,1)-VLOOKUP((TRUNC($AN654*3/13,0)+0.99),'Tax scales - NAT 1004'!$A$39:$C$41,3,1)),0)
*13/3,
0),
""))),
""),
"")</f>
        <v/>
      </c>
      <c r="AR654" s="118">
        <f>IFERROR(
IF(AND(VLOOKUP($C654,'Employee information'!$B:$M,COLUMNS('Employee information'!$B:$M),0)=4,
VLOOKUP($C654,'Employee information'!$B:$J,COLUMNS('Employee information'!$B:$J),0)="Resident"),
TRUNC(TRUNC($AN654)*'Tax scales - NAT 1004'!$B$47),
IF(AND(VLOOKUP($C654,'Employee information'!$B:$M,COLUMNS('Employee information'!$B:$M),0)=4,
VLOOKUP($C654,'Employee information'!$B:$J,COLUMNS('Employee information'!$B:$J),0)="Foreign resident"),
TRUNC(TRUNC($AN654)*'Tax scales - NAT 1004'!$B$48),
"")),
"")</f>
        <v>1175</v>
      </c>
      <c r="AS654" s="118" t="str">
        <f>IFERROR(
IF(VLOOKUP($C654,'Employee information'!$B:$M,COLUMNS('Employee information'!$B:$M),0)=5,
IF($E$2="Fortnightly",
ROUND(
ROUND((((TRUNC($AN654/2,0)+0.99))*VLOOKUP((TRUNC($AN654/2,0)+0.99),'Tax scales - NAT 1004'!$A$53:$C$59,2,1)-VLOOKUP((TRUNC($AN654/2,0)+0.99),'Tax scales - NAT 1004'!$A$53:$C$59,3,1)),0)
*2,
0),
IF(AND($E$2="Monthly",ROUND($AN654-TRUNC($AN654),2)=0.33),
ROUND(
ROUND(((TRUNC(($AN654+0.01)*3/13,0)+0.99)*VLOOKUP((TRUNC(($AN654+0.01)*3/13,0)+0.99),'Tax scales - NAT 1004'!$A$53:$C$59,2,1)-VLOOKUP((TRUNC(($AN654+0.01)*3/13,0)+0.99),'Tax scales - NAT 1004'!$A$53:$C$59,3,1)),0)
*13/3,
0),
IF($E$2="Monthly",
ROUND(
ROUND(((TRUNC($AN654*3/13,0)+0.99)*VLOOKUP((TRUNC($AN654*3/13,0)+0.99),'Tax scales - NAT 1004'!$A$53:$C$59,2,1)-VLOOKUP((TRUNC($AN654*3/13,0)+0.99),'Tax scales - NAT 1004'!$A$53:$C$59,3,1)),0)
*13/3,
0),
""))),
""),
"")</f>
        <v/>
      </c>
      <c r="AT654" s="118" t="str">
        <f>IFERROR(
IF(VLOOKUP($C654,'Employee information'!$B:$M,COLUMNS('Employee information'!$B:$M),0)=6,
IF($E$2="Fortnightly",
ROUND(
ROUND((((TRUNC($AN654/2,0)+0.99))*VLOOKUP((TRUNC($AN654/2,0)+0.99),'Tax scales - NAT 1004'!$A$65:$C$73,2,1)-VLOOKUP((TRUNC($AN654/2,0)+0.99),'Tax scales - NAT 1004'!$A$65:$C$73,3,1)),0)
*2,
0),
IF(AND($E$2="Monthly",ROUND($AN654-TRUNC($AN654),2)=0.33),
ROUND(
ROUND(((TRUNC(($AN654+0.01)*3/13,0)+0.99)*VLOOKUP((TRUNC(($AN654+0.01)*3/13,0)+0.99),'Tax scales - NAT 1004'!$A$65:$C$73,2,1)-VLOOKUP((TRUNC(($AN654+0.01)*3/13,0)+0.99),'Tax scales - NAT 1004'!$A$65:$C$73,3,1)),0)
*13/3,
0),
IF($E$2="Monthly",
ROUND(
ROUND(((TRUNC($AN654*3/13,0)+0.99)*VLOOKUP((TRUNC($AN654*3/13,0)+0.99),'Tax scales - NAT 1004'!$A$65:$C$73,2,1)-VLOOKUP((TRUNC($AN654*3/13,0)+0.99),'Tax scales - NAT 1004'!$A$65:$C$73,3,1)),0)
*13/3,
0),
""))),
""),
"")</f>
        <v/>
      </c>
      <c r="AU654" s="118" t="str">
        <f>IFERROR(
IF(VLOOKUP($C654,'Employee information'!$B:$M,COLUMNS('Employee information'!$B:$M),0)=11,
IF($E$2="Fortnightly",
ROUND(
ROUND((((TRUNC($AN654/2,0)+0.99))*VLOOKUP((TRUNC($AN654/2,0)+0.99),'Tax scales - NAT 3539'!$A$14:$C$38,2,1)-VLOOKUP((TRUNC($AN654/2,0)+0.99),'Tax scales - NAT 3539'!$A$14:$C$38,3,1)),0)
*2,
0),
IF(AND($E$2="Monthly",ROUND($AN654-TRUNC($AN654),2)=0.33),
ROUND(
ROUND(((TRUNC(($AN654+0.01)*3/13,0)+0.99)*VLOOKUP((TRUNC(($AN654+0.01)*3/13,0)+0.99),'Tax scales - NAT 3539'!$A$14:$C$38,2,1)-VLOOKUP((TRUNC(($AN654+0.01)*3/13,0)+0.99),'Tax scales - NAT 3539'!$A$14:$C$38,3,1)),0)
*13/3,
0),
IF($E$2="Monthly",
ROUND(
ROUND(((TRUNC($AN654*3/13,0)+0.99)*VLOOKUP((TRUNC($AN654*3/13,0)+0.99),'Tax scales - NAT 3539'!$A$14:$C$38,2,1)-VLOOKUP((TRUNC($AN654*3/13,0)+0.99),'Tax scales - NAT 3539'!$A$14:$C$38,3,1)),0)
*13/3,
0),
""))),
""),
"")</f>
        <v/>
      </c>
      <c r="AV654" s="118" t="str">
        <f>IFERROR(
IF(VLOOKUP($C654,'Employee information'!$B:$M,COLUMNS('Employee information'!$B:$M),0)=22,
IF($E$2="Fortnightly",
ROUND(
ROUND((((TRUNC($AN654/2,0)+0.99))*VLOOKUP((TRUNC($AN654/2,0)+0.99),'Tax scales - NAT 3539'!$A$43:$C$69,2,1)-VLOOKUP((TRUNC($AN654/2,0)+0.99),'Tax scales - NAT 3539'!$A$43:$C$69,3,1)),0)
*2,
0),
IF(AND($E$2="Monthly",ROUND($AN654-TRUNC($AN654),2)=0.33),
ROUND(
ROUND(((TRUNC(($AN654+0.01)*3/13,0)+0.99)*VLOOKUP((TRUNC(($AN654+0.01)*3/13,0)+0.99),'Tax scales - NAT 3539'!$A$43:$C$69,2,1)-VLOOKUP((TRUNC(($AN654+0.01)*3/13,0)+0.99),'Tax scales - NAT 3539'!$A$43:$C$69,3,1)),0)
*13/3,
0),
IF($E$2="Monthly",
ROUND(
ROUND(((TRUNC($AN654*3/13,0)+0.99)*VLOOKUP((TRUNC($AN654*3/13,0)+0.99),'Tax scales - NAT 3539'!$A$43:$C$69,2,1)-VLOOKUP((TRUNC($AN654*3/13,0)+0.99),'Tax scales - NAT 3539'!$A$43:$C$69,3,1)),0)
*13/3,
0),
""))),
""),
"")</f>
        <v/>
      </c>
      <c r="AW654" s="118" t="str">
        <f>IFERROR(
IF(VLOOKUP($C654,'Employee information'!$B:$M,COLUMNS('Employee information'!$B:$M),0)=33,
IF($E$2="Fortnightly",
ROUND(
ROUND((((TRUNC($AN654/2,0)+0.99))*VLOOKUP((TRUNC($AN654/2,0)+0.99),'Tax scales - NAT 3539'!$A$74:$C$94,2,1)-VLOOKUP((TRUNC($AN654/2,0)+0.99),'Tax scales - NAT 3539'!$A$74:$C$94,3,1)),0)
*2,
0),
IF(AND($E$2="Monthly",ROUND($AN654-TRUNC($AN654),2)=0.33),
ROUND(
ROUND(((TRUNC(($AN654+0.01)*3/13,0)+0.99)*VLOOKUP((TRUNC(($AN654+0.01)*3/13,0)+0.99),'Tax scales - NAT 3539'!$A$74:$C$94,2,1)-VLOOKUP((TRUNC(($AN654+0.01)*3/13,0)+0.99),'Tax scales - NAT 3539'!$A$74:$C$94,3,1)),0)
*13/3,
0),
IF($E$2="Monthly",
ROUND(
ROUND(((TRUNC($AN654*3/13,0)+0.99)*VLOOKUP((TRUNC($AN654*3/13,0)+0.99),'Tax scales - NAT 3539'!$A$74:$C$94,2,1)-VLOOKUP((TRUNC($AN654*3/13,0)+0.99),'Tax scales - NAT 3539'!$A$74:$C$94,3,1)),0)
*13/3,
0),
""))),
""),
"")</f>
        <v/>
      </c>
      <c r="AX654" s="118" t="str">
        <f>IFERROR(
IF(VLOOKUP($C654,'Employee information'!$B:$M,COLUMNS('Employee information'!$B:$M),0)=55,
IF($E$2="Fortnightly",
ROUND(
ROUND((((TRUNC($AN654/2,0)+0.99))*VLOOKUP((TRUNC($AN654/2,0)+0.99),'Tax scales - NAT 3539'!$A$99:$C$123,2,1)-VLOOKUP((TRUNC($AN654/2,0)+0.99),'Tax scales - NAT 3539'!$A$99:$C$123,3,1)),0)
*2,
0),
IF(AND($E$2="Monthly",ROUND($AN654-TRUNC($AN654),2)=0.33),
ROUND(
ROUND(((TRUNC(($AN654+0.01)*3/13,0)+0.99)*VLOOKUP((TRUNC(($AN654+0.01)*3/13,0)+0.99),'Tax scales - NAT 3539'!$A$99:$C$123,2,1)-VLOOKUP((TRUNC(($AN654+0.01)*3/13,0)+0.99),'Tax scales - NAT 3539'!$A$99:$C$123,3,1)),0)
*13/3,
0),
IF($E$2="Monthly",
ROUND(
ROUND(((TRUNC($AN654*3/13,0)+0.99)*VLOOKUP((TRUNC($AN654*3/13,0)+0.99),'Tax scales - NAT 3539'!$A$99:$C$123,2,1)-VLOOKUP((TRUNC($AN654*3/13,0)+0.99),'Tax scales - NAT 3539'!$A$99:$C$123,3,1)),0)
*13/3,
0),
""))),
""),
"")</f>
        <v/>
      </c>
      <c r="AY654" s="118" t="str">
        <f>IFERROR(
IF(VLOOKUP($C654,'Employee information'!$B:$M,COLUMNS('Employee information'!$B:$M),0)=66,
IF($E$2="Fortnightly",
ROUND(
ROUND((((TRUNC($AN654/2,0)+0.99))*VLOOKUP((TRUNC($AN654/2,0)+0.99),'Tax scales - NAT 3539'!$A$127:$C$154,2,1)-VLOOKUP((TRUNC($AN654/2,0)+0.99),'Tax scales - NAT 3539'!$A$127:$C$154,3,1)),0)
*2,
0),
IF(AND($E$2="Monthly",ROUND($AN654-TRUNC($AN654),2)=0.33),
ROUND(
ROUND(((TRUNC(($AN654+0.01)*3/13,0)+0.99)*VLOOKUP((TRUNC(($AN654+0.01)*3/13,0)+0.99),'Tax scales - NAT 3539'!$A$127:$C$154,2,1)-VLOOKUP((TRUNC(($AN654+0.01)*3/13,0)+0.99),'Tax scales - NAT 3539'!$A$127:$C$154,3,1)),0)
*13/3,
0),
IF($E$2="Monthly",
ROUND(
ROUND(((TRUNC($AN654*3/13,0)+0.99)*VLOOKUP((TRUNC($AN654*3/13,0)+0.99),'Tax scales - NAT 3539'!$A$127:$C$154,2,1)-VLOOKUP((TRUNC($AN654*3/13,0)+0.99),'Tax scales - NAT 3539'!$A$127:$C$154,3,1)),0)
*13/3,
0),
""))),
""),
"")</f>
        <v/>
      </c>
      <c r="AZ654" s="118">
        <f>IFERROR(
HLOOKUP(VLOOKUP($C654,'Employee information'!$B:$M,COLUMNS('Employee information'!$B:$M),0),'PAYG worksheet'!$AO$648:$AY$667,COUNTA($C$649:$C654)+1,0),
0)</f>
        <v>1175</v>
      </c>
      <c r="BA654" s="118"/>
      <c r="BB654" s="118">
        <f t="shared" si="697"/>
        <v>1325</v>
      </c>
      <c r="BC654" s="119">
        <f>IFERROR(
IF(OR($AE654=1,$AE654=""),SUM($P654,$AA654,$AC654,$AK654)*VLOOKUP($C654,'Employee information'!$B:$Q,COLUMNS('Employee information'!$B:$H),0),
IF($AE654=0,SUM($P654,$AA654,$AK654)*VLOOKUP($C654,'Employee information'!$B:$Q,COLUMNS('Employee information'!$B:$H),0),
0)),
0)</f>
        <v>237.5</v>
      </c>
      <c r="BE654" s="114">
        <f t="shared" si="682"/>
        <v>57500</v>
      </c>
      <c r="BF654" s="114">
        <f t="shared" si="683"/>
        <v>57500</v>
      </c>
      <c r="BG654" s="114">
        <f t="shared" si="684"/>
        <v>0</v>
      </c>
      <c r="BH654" s="114">
        <f t="shared" si="685"/>
        <v>0</v>
      </c>
      <c r="BI654" s="114">
        <f t="shared" si="686"/>
        <v>27025</v>
      </c>
      <c r="BJ654" s="114">
        <f t="shared" si="687"/>
        <v>0</v>
      </c>
      <c r="BK654" s="114">
        <f t="shared" si="688"/>
        <v>0</v>
      </c>
      <c r="BL654" s="114">
        <f t="shared" si="698"/>
        <v>0</v>
      </c>
      <c r="BM654" s="114">
        <f t="shared" si="689"/>
        <v>5462.5</v>
      </c>
    </row>
    <row r="655" spans="1:65" x14ac:dyDescent="0.25">
      <c r="A655" s="228">
        <f t="shared" si="677"/>
        <v>23</v>
      </c>
      <c r="C655" s="278" t="s">
        <v>95</v>
      </c>
      <c r="E655" s="103">
        <f>IF($C655="",0,
IF(AND($E$2="Monthly",$A655&gt;12),0,
IF($E$2="Monthly",VLOOKUP($C655,'Employee information'!$B:$AM,COLUMNS('Employee information'!$B:S),0),
IF($E$2="Fortnightly",VLOOKUP($C655,'Employee information'!$B:$AM,COLUMNS('Employee information'!$B:R),0),
0))))</f>
        <v>45</v>
      </c>
      <c r="F655" s="106"/>
      <c r="G655" s="106"/>
      <c r="H655" s="106"/>
      <c r="I655" s="106"/>
      <c r="J655" s="103">
        <f t="shared" si="690"/>
        <v>45</v>
      </c>
      <c r="L655" s="113">
        <f>IF(AND($E$2="Monthly",$A655&gt;12),"",
IFERROR($J655*VLOOKUP($C655,'Employee information'!$B:$AI,COLUMNS('Employee information'!$B:$P),0),0))</f>
        <v>1107.6923076923078</v>
      </c>
      <c r="M655" s="114">
        <f t="shared" si="691"/>
        <v>25476.923076923089</v>
      </c>
      <c r="O655" s="103">
        <f t="shared" si="692"/>
        <v>45</v>
      </c>
      <c r="P655" s="113">
        <f>IFERROR(
IF(AND($E$2="Monthly",$A655&gt;12),0,
$O655*VLOOKUP($C655,'Employee information'!$B:$AI,COLUMNS('Employee information'!$B:$P),0)),
0)</f>
        <v>1107.6923076923078</v>
      </c>
      <c r="R655" s="114">
        <f t="shared" si="678"/>
        <v>25476.923076923089</v>
      </c>
      <c r="T655" s="103"/>
      <c r="U655" s="103"/>
      <c r="V655" s="282">
        <f>IF($C655="","",
IF(AND($E$2="Monthly",$A655&gt;12),"",
$T655*VLOOKUP($C655,'Employee information'!$B:$P,COLUMNS('Employee information'!$B:$P),0)))</f>
        <v>0</v>
      </c>
      <c r="W655" s="282">
        <f>IF($C655="","",
IF(AND($E$2="Monthly",$A655&gt;12),"",
$U655*VLOOKUP($C655,'Employee information'!$B:$P,COLUMNS('Employee information'!$B:$P),0)))</f>
        <v>0</v>
      </c>
      <c r="X655" s="114">
        <f t="shared" si="679"/>
        <v>0</v>
      </c>
      <c r="Y655" s="114">
        <f t="shared" si="680"/>
        <v>0</v>
      </c>
      <c r="AA655" s="118">
        <f>IFERROR(
IF(OR('Basic payroll data'!$D$12="",'Basic payroll data'!$D$12="No"),0,
$T655*VLOOKUP($C655,'Employee information'!$B:$P,COLUMNS('Employee information'!$B:$P),0)*AL_loading_perc),
0)</f>
        <v>0</v>
      </c>
      <c r="AC655" s="118"/>
      <c r="AD655" s="118"/>
      <c r="AE655" s="283" t="str">
        <f t="shared" si="693"/>
        <v/>
      </c>
      <c r="AF655" s="283" t="str">
        <f t="shared" si="694"/>
        <v/>
      </c>
      <c r="AG655" s="118"/>
      <c r="AH655" s="118"/>
      <c r="AI655" s="283" t="str">
        <f t="shared" si="695"/>
        <v/>
      </c>
      <c r="AJ655" s="118"/>
      <c r="AK655" s="118"/>
      <c r="AM655" s="118">
        <f t="shared" si="696"/>
        <v>1107.6923076923078</v>
      </c>
      <c r="AN655" s="118">
        <f t="shared" si="681"/>
        <v>1107.6923076923078</v>
      </c>
      <c r="AO655" s="118" t="str">
        <f>IFERROR(
IF(VLOOKUP($C655,'Employee information'!$B:$M,COLUMNS('Employee information'!$B:$M),0)=1,
IF($E$2="Fortnightly",
ROUND(
ROUND((((TRUNC($AN655/2,0)+0.99))*VLOOKUP((TRUNC($AN655/2,0)+0.99),'Tax scales - NAT 1004'!$A$12:$C$18,2,1)-VLOOKUP((TRUNC($AN655/2,0)+0.99),'Tax scales - NAT 1004'!$A$12:$C$18,3,1)),0)
*2,
0),
IF(AND($E$2="Monthly",ROUND($AN655-TRUNC($AN655),2)=0.33),
ROUND(
ROUND(((TRUNC(($AN655+0.01)*3/13,0)+0.99)*VLOOKUP((TRUNC(($AN655+0.01)*3/13,0)+0.99),'Tax scales - NAT 1004'!$A$12:$C$18,2,1)-VLOOKUP((TRUNC(($AN655+0.01)*3/13,0)+0.99),'Tax scales - NAT 1004'!$A$12:$C$18,3,1)),0)
*13/3,
0),
IF($E$2="Monthly",
ROUND(
ROUND(((TRUNC($AN655*3/13,0)+0.99)*VLOOKUP((TRUNC($AN655*3/13,0)+0.99),'Tax scales - NAT 1004'!$A$12:$C$18,2,1)-VLOOKUP((TRUNC($AN655*3/13,0)+0.99),'Tax scales - NAT 1004'!$A$12:$C$18,3,1)),0)
*13/3,
0),
""))),
""),
"")</f>
        <v/>
      </c>
      <c r="AP655" s="118" t="str">
        <f>IFERROR(
IF(VLOOKUP($C655,'Employee information'!$B:$M,COLUMNS('Employee information'!$B:$M),0)=2,
IF($E$2="Fortnightly",
ROUND(
ROUND((((TRUNC($AN655/2,0)+0.99))*VLOOKUP((TRUNC($AN655/2,0)+0.99),'Tax scales - NAT 1004'!$A$25:$C$33,2,1)-VLOOKUP((TRUNC($AN655/2,0)+0.99),'Tax scales - NAT 1004'!$A$25:$C$33,3,1)),0)
*2,
0),
IF(AND($E$2="Monthly",ROUND($AN655-TRUNC($AN655),2)=0.33),
ROUND(
ROUND(((TRUNC(($AN655+0.01)*3/13,0)+0.99)*VLOOKUP((TRUNC(($AN655+0.01)*3/13,0)+0.99),'Tax scales - NAT 1004'!$A$25:$C$33,2,1)-VLOOKUP((TRUNC(($AN655+0.01)*3/13,0)+0.99),'Tax scales - NAT 1004'!$A$25:$C$33,3,1)),0)
*13/3,
0),
IF($E$2="Monthly",
ROUND(
ROUND(((TRUNC($AN655*3/13,0)+0.99)*VLOOKUP((TRUNC($AN655*3/13,0)+0.99),'Tax scales - NAT 1004'!$A$25:$C$33,2,1)-VLOOKUP((TRUNC($AN655*3/13,0)+0.99),'Tax scales - NAT 1004'!$A$25:$C$33,3,1)),0)
*13/3,
0),
""))),
""),
"")</f>
        <v/>
      </c>
      <c r="AQ655" s="118" t="str">
        <f>IFERROR(
IF(VLOOKUP($C655,'Employee information'!$B:$M,COLUMNS('Employee information'!$B:$M),0)=3,
IF($E$2="Fortnightly",
ROUND(
ROUND((((TRUNC($AN655/2,0)+0.99))*VLOOKUP((TRUNC($AN655/2,0)+0.99),'Tax scales - NAT 1004'!$A$39:$C$41,2,1)-VLOOKUP((TRUNC($AN655/2,0)+0.99),'Tax scales - NAT 1004'!$A$39:$C$41,3,1)),0)
*2,
0),
IF(AND($E$2="Monthly",ROUND($AN655-TRUNC($AN655),2)=0.33),
ROUND(
ROUND(((TRUNC(($AN655+0.01)*3/13,0)+0.99)*VLOOKUP((TRUNC(($AN655+0.01)*3/13,0)+0.99),'Tax scales - NAT 1004'!$A$39:$C$41,2,1)-VLOOKUP((TRUNC(($AN655+0.01)*3/13,0)+0.99),'Tax scales - NAT 1004'!$A$39:$C$41,3,1)),0)
*13/3,
0),
IF($E$2="Monthly",
ROUND(
ROUND(((TRUNC($AN655*3/13,0)+0.99)*VLOOKUP((TRUNC($AN655*3/13,0)+0.99),'Tax scales - NAT 1004'!$A$39:$C$41,2,1)-VLOOKUP((TRUNC($AN655*3/13,0)+0.99),'Tax scales - NAT 1004'!$A$39:$C$41,3,1)),0)
*13/3,
0),
""))),
""),
"")</f>
        <v/>
      </c>
      <c r="AR655" s="118" t="str">
        <f>IFERROR(
IF(AND(VLOOKUP($C655,'Employee information'!$B:$M,COLUMNS('Employee information'!$B:$M),0)=4,
VLOOKUP($C655,'Employee information'!$B:$J,COLUMNS('Employee information'!$B:$J),0)="Resident"),
TRUNC(TRUNC($AN655)*'Tax scales - NAT 1004'!$B$47),
IF(AND(VLOOKUP($C655,'Employee information'!$B:$M,COLUMNS('Employee information'!$B:$M),0)=4,
VLOOKUP($C655,'Employee information'!$B:$J,COLUMNS('Employee information'!$B:$J),0)="Foreign resident"),
TRUNC(TRUNC($AN655)*'Tax scales - NAT 1004'!$B$48),
"")),
"")</f>
        <v/>
      </c>
      <c r="AS655" s="118" t="str">
        <f>IFERROR(
IF(VLOOKUP($C655,'Employee information'!$B:$M,COLUMNS('Employee information'!$B:$M),0)=5,
IF($E$2="Fortnightly",
ROUND(
ROUND((((TRUNC($AN655/2,0)+0.99))*VLOOKUP((TRUNC($AN655/2,0)+0.99),'Tax scales - NAT 1004'!$A$53:$C$59,2,1)-VLOOKUP((TRUNC($AN655/2,0)+0.99),'Tax scales - NAT 1004'!$A$53:$C$59,3,1)),0)
*2,
0),
IF(AND($E$2="Monthly",ROUND($AN655-TRUNC($AN655),2)=0.33),
ROUND(
ROUND(((TRUNC(($AN655+0.01)*3/13,0)+0.99)*VLOOKUP((TRUNC(($AN655+0.01)*3/13,0)+0.99),'Tax scales - NAT 1004'!$A$53:$C$59,2,1)-VLOOKUP((TRUNC(($AN655+0.01)*3/13,0)+0.99),'Tax scales - NAT 1004'!$A$53:$C$59,3,1)),0)
*13/3,
0),
IF($E$2="Monthly",
ROUND(
ROUND(((TRUNC($AN655*3/13,0)+0.99)*VLOOKUP((TRUNC($AN655*3/13,0)+0.99),'Tax scales - NAT 1004'!$A$53:$C$59,2,1)-VLOOKUP((TRUNC($AN655*3/13,0)+0.99),'Tax scales - NAT 1004'!$A$53:$C$59,3,1)),0)
*13/3,
0),
""))),
""),
"")</f>
        <v/>
      </c>
      <c r="AT655" s="118" t="str">
        <f>IFERROR(
IF(VLOOKUP($C655,'Employee information'!$B:$M,COLUMNS('Employee information'!$B:$M),0)=6,
IF($E$2="Fortnightly",
ROUND(
ROUND((((TRUNC($AN655/2,0)+0.99))*VLOOKUP((TRUNC($AN655/2,0)+0.99),'Tax scales - NAT 1004'!$A$65:$C$73,2,1)-VLOOKUP((TRUNC($AN655/2,0)+0.99),'Tax scales - NAT 1004'!$A$65:$C$73,3,1)),0)
*2,
0),
IF(AND($E$2="Monthly",ROUND($AN655-TRUNC($AN655),2)=0.33),
ROUND(
ROUND(((TRUNC(($AN655+0.01)*3/13,0)+0.99)*VLOOKUP((TRUNC(($AN655+0.01)*3/13,0)+0.99),'Tax scales - NAT 1004'!$A$65:$C$73,2,1)-VLOOKUP((TRUNC(($AN655+0.01)*3/13,0)+0.99),'Tax scales - NAT 1004'!$A$65:$C$73,3,1)),0)
*13/3,
0),
IF($E$2="Monthly",
ROUND(
ROUND(((TRUNC($AN655*3/13,0)+0.99)*VLOOKUP((TRUNC($AN655*3/13,0)+0.99),'Tax scales - NAT 1004'!$A$65:$C$73,2,1)-VLOOKUP((TRUNC($AN655*3/13,0)+0.99),'Tax scales - NAT 1004'!$A$65:$C$73,3,1)),0)
*13/3,
0),
""))),
""),
"")</f>
        <v/>
      </c>
      <c r="AU655" s="118" t="str">
        <f>IFERROR(
IF(VLOOKUP($C655,'Employee information'!$B:$M,COLUMNS('Employee information'!$B:$M),0)=11,
IF($E$2="Fortnightly",
ROUND(
ROUND((((TRUNC($AN655/2,0)+0.99))*VLOOKUP((TRUNC($AN655/2,0)+0.99),'Tax scales - NAT 3539'!$A$14:$C$38,2,1)-VLOOKUP((TRUNC($AN655/2,0)+0.99),'Tax scales - NAT 3539'!$A$14:$C$38,3,1)),0)
*2,
0),
IF(AND($E$2="Monthly",ROUND($AN655-TRUNC($AN655),2)=0.33),
ROUND(
ROUND(((TRUNC(($AN655+0.01)*3/13,0)+0.99)*VLOOKUP((TRUNC(($AN655+0.01)*3/13,0)+0.99),'Tax scales - NAT 3539'!$A$14:$C$38,2,1)-VLOOKUP((TRUNC(($AN655+0.01)*3/13,0)+0.99),'Tax scales - NAT 3539'!$A$14:$C$38,3,1)),0)
*13/3,
0),
IF($E$2="Monthly",
ROUND(
ROUND(((TRUNC($AN655*3/13,0)+0.99)*VLOOKUP((TRUNC($AN655*3/13,0)+0.99),'Tax scales - NAT 3539'!$A$14:$C$38,2,1)-VLOOKUP((TRUNC($AN655*3/13,0)+0.99),'Tax scales - NAT 3539'!$A$14:$C$38,3,1)),0)
*13/3,
0),
""))),
""),
"")</f>
        <v/>
      </c>
      <c r="AV655" s="118" t="str">
        <f>IFERROR(
IF(VLOOKUP($C655,'Employee information'!$B:$M,COLUMNS('Employee information'!$B:$M),0)=22,
IF($E$2="Fortnightly",
ROUND(
ROUND((((TRUNC($AN655/2,0)+0.99))*VLOOKUP((TRUNC($AN655/2,0)+0.99),'Tax scales - NAT 3539'!$A$43:$C$69,2,1)-VLOOKUP((TRUNC($AN655/2,0)+0.99),'Tax scales - NAT 3539'!$A$43:$C$69,3,1)),0)
*2,
0),
IF(AND($E$2="Monthly",ROUND($AN655-TRUNC($AN655),2)=0.33),
ROUND(
ROUND(((TRUNC(($AN655+0.01)*3/13,0)+0.99)*VLOOKUP((TRUNC(($AN655+0.01)*3/13,0)+0.99),'Tax scales - NAT 3539'!$A$43:$C$69,2,1)-VLOOKUP((TRUNC(($AN655+0.01)*3/13,0)+0.99),'Tax scales - NAT 3539'!$A$43:$C$69,3,1)),0)
*13/3,
0),
IF($E$2="Monthly",
ROUND(
ROUND(((TRUNC($AN655*3/13,0)+0.99)*VLOOKUP((TRUNC($AN655*3/13,0)+0.99),'Tax scales - NAT 3539'!$A$43:$C$69,2,1)-VLOOKUP((TRUNC($AN655*3/13,0)+0.99),'Tax scales - NAT 3539'!$A$43:$C$69,3,1)),0)
*13/3,
0),
""))),
""),
"")</f>
        <v/>
      </c>
      <c r="AW655" s="118" t="str">
        <f>IFERROR(
IF(VLOOKUP($C655,'Employee information'!$B:$M,COLUMNS('Employee information'!$B:$M),0)=33,
IF($E$2="Fortnightly",
ROUND(
ROUND((((TRUNC($AN655/2,0)+0.99))*VLOOKUP((TRUNC($AN655/2,0)+0.99),'Tax scales - NAT 3539'!$A$74:$C$94,2,1)-VLOOKUP((TRUNC($AN655/2,0)+0.99),'Tax scales - NAT 3539'!$A$74:$C$94,3,1)),0)
*2,
0),
IF(AND($E$2="Monthly",ROUND($AN655-TRUNC($AN655),2)=0.33),
ROUND(
ROUND(((TRUNC(($AN655+0.01)*3/13,0)+0.99)*VLOOKUP((TRUNC(($AN655+0.01)*3/13,0)+0.99),'Tax scales - NAT 3539'!$A$74:$C$94,2,1)-VLOOKUP((TRUNC(($AN655+0.01)*3/13,0)+0.99),'Tax scales - NAT 3539'!$A$74:$C$94,3,1)),0)
*13/3,
0),
IF($E$2="Monthly",
ROUND(
ROUND(((TRUNC($AN655*3/13,0)+0.99)*VLOOKUP((TRUNC($AN655*3/13,0)+0.99),'Tax scales - NAT 3539'!$A$74:$C$94,2,1)-VLOOKUP((TRUNC($AN655*3/13,0)+0.99),'Tax scales - NAT 3539'!$A$74:$C$94,3,1)),0)
*13/3,
0),
""))),
""),
"")</f>
        <v/>
      </c>
      <c r="AX655" s="118" t="str">
        <f>IFERROR(
IF(VLOOKUP($C655,'Employee information'!$B:$M,COLUMNS('Employee information'!$B:$M),0)=55,
IF($E$2="Fortnightly",
ROUND(
ROUND((((TRUNC($AN655/2,0)+0.99))*VLOOKUP((TRUNC($AN655/2,0)+0.99),'Tax scales - NAT 3539'!$A$99:$C$123,2,1)-VLOOKUP((TRUNC($AN655/2,0)+0.99),'Tax scales - NAT 3539'!$A$99:$C$123,3,1)),0)
*2,
0),
IF(AND($E$2="Monthly",ROUND($AN655-TRUNC($AN655),2)=0.33),
ROUND(
ROUND(((TRUNC(($AN655+0.01)*3/13,0)+0.99)*VLOOKUP((TRUNC(($AN655+0.01)*3/13,0)+0.99),'Tax scales - NAT 3539'!$A$99:$C$123,2,1)-VLOOKUP((TRUNC(($AN655+0.01)*3/13,0)+0.99),'Tax scales - NAT 3539'!$A$99:$C$123,3,1)),0)
*13/3,
0),
IF($E$2="Monthly",
ROUND(
ROUND(((TRUNC($AN655*3/13,0)+0.99)*VLOOKUP((TRUNC($AN655*3/13,0)+0.99),'Tax scales - NAT 3539'!$A$99:$C$123,2,1)-VLOOKUP((TRUNC($AN655*3/13,0)+0.99),'Tax scales - NAT 3539'!$A$99:$C$123,3,1)),0)
*13/3,
0),
""))),
""),
"")</f>
        <v/>
      </c>
      <c r="AY655" s="118">
        <f>IFERROR(
IF(VLOOKUP($C655,'Employee information'!$B:$M,COLUMNS('Employee information'!$B:$M),0)=66,
IF($E$2="Fortnightly",
ROUND(
ROUND((((TRUNC($AN655/2,0)+0.99))*VLOOKUP((TRUNC($AN655/2,0)+0.99),'Tax scales - NAT 3539'!$A$127:$C$154,2,1)-VLOOKUP((TRUNC($AN655/2,0)+0.99),'Tax scales - NAT 3539'!$A$127:$C$154,3,1)),0)
*2,
0),
IF(AND($E$2="Monthly",ROUND($AN655-TRUNC($AN655),2)=0.33),
ROUND(
ROUND(((TRUNC(($AN655+0.01)*3/13,0)+0.99)*VLOOKUP((TRUNC(($AN655+0.01)*3/13,0)+0.99),'Tax scales - NAT 3539'!$A$127:$C$154,2,1)-VLOOKUP((TRUNC(($AN655+0.01)*3/13,0)+0.99),'Tax scales - NAT 3539'!$A$127:$C$154,3,1)),0)
*13/3,
0),
IF($E$2="Monthly",
ROUND(
ROUND(((TRUNC($AN655*3/13,0)+0.99)*VLOOKUP((TRUNC($AN655*3/13,0)+0.99),'Tax scales - NAT 3539'!$A$127:$C$154,2,1)-VLOOKUP((TRUNC($AN655*3/13,0)+0.99),'Tax scales - NAT 3539'!$A$127:$C$154,3,1)),0)
*13/3,
0),
""))),
""),
"")</f>
        <v>74</v>
      </c>
      <c r="AZ655" s="118">
        <f>IFERROR(
HLOOKUP(VLOOKUP($C655,'Employee information'!$B:$M,COLUMNS('Employee information'!$B:$M),0),'PAYG worksheet'!$AO$648:$AY$667,COUNTA($C$649:$C655)+1,0),
0)</f>
        <v>74</v>
      </c>
      <c r="BA655" s="118"/>
      <c r="BB655" s="118">
        <f t="shared" si="697"/>
        <v>1033.6923076923078</v>
      </c>
      <c r="BC655" s="119">
        <f>IFERROR(
IF(OR($AE655=1,$AE655=""),SUM($P655,$AA655,$AC655,$AK655)*VLOOKUP($C655,'Employee information'!$B:$Q,COLUMNS('Employee information'!$B:$H),0),
IF($AE655=0,SUM($P655,$AA655,$AK655)*VLOOKUP($C655,'Employee information'!$B:$Q,COLUMNS('Employee information'!$B:$H),0),
0)),
0)</f>
        <v>105.23076923076924</v>
      </c>
      <c r="BE655" s="114">
        <f t="shared" si="682"/>
        <v>25476.923076923089</v>
      </c>
      <c r="BF655" s="114">
        <f t="shared" si="683"/>
        <v>25476.923076923089</v>
      </c>
      <c r="BG655" s="114">
        <f t="shared" si="684"/>
        <v>0</v>
      </c>
      <c r="BH655" s="114">
        <f t="shared" si="685"/>
        <v>0</v>
      </c>
      <c r="BI655" s="114">
        <f t="shared" si="686"/>
        <v>1702</v>
      </c>
      <c r="BJ655" s="114">
        <f t="shared" si="687"/>
        <v>0</v>
      </c>
      <c r="BK655" s="114">
        <f t="shared" si="688"/>
        <v>0</v>
      </c>
      <c r="BL655" s="114">
        <f t="shared" si="698"/>
        <v>0</v>
      </c>
      <c r="BM655" s="114">
        <f t="shared" si="689"/>
        <v>2420.3076923076924</v>
      </c>
    </row>
    <row r="656" spans="1:65" x14ac:dyDescent="0.25">
      <c r="A656" s="228">
        <f t="shared" si="677"/>
        <v>23</v>
      </c>
      <c r="C656" s="278"/>
      <c r="E656" s="103">
        <f>IF($C656="",0,
IF(AND($E$2="Monthly",$A656&gt;12),0,
IF($E$2="Monthly",VLOOKUP($C656,'Employee information'!$B:$AM,COLUMNS('Employee information'!$B:S),0),
IF($E$2="Fortnightly",VLOOKUP($C656,'Employee information'!$B:$AM,COLUMNS('Employee information'!$B:R),0),
0))))</f>
        <v>0</v>
      </c>
      <c r="F656" s="106"/>
      <c r="G656" s="106"/>
      <c r="H656" s="106"/>
      <c r="I656" s="106"/>
      <c r="J656" s="103">
        <f>IF($E$2="Monthly",
IF(AND($E$2="Monthly",$H656&lt;&gt;""),$H656,
IF(AND($E$2="Monthly",$E656=0),SUM($F656:$G656),
$E656)),
IF($E$2="Fortnightly",
IF(AND($E$2="Fortnightly",$H656&lt;&gt;""),$H656,
IF(AND($E$2="Fortnightly",$F656&lt;&gt;"",$E656&lt;&gt;0),$F656,
IF(AND($E$2="Fortnightly",$E656=0),SUM($F656:$G656),
$E656)))))</f>
        <v>0</v>
      </c>
      <c r="L656" s="113">
        <f>IF(AND($E$2="Monthly",$A656&gt;12),"",
IFERROR($J656*VLOOKUP($C656,'Employee information'!$B:$AI,COLUMNS('Employee information'!$B:$P),0),0))</f>
        <v>0</v>
      </c>
      <c r="M656" s="114">
        <f t="shared" si="691"/>
        <v>0</v>
      </c>
      <c r="O656" s="103">
        <f t="shared" si="692"/>
        <v>0</v>
      </c>
      <c r="P656" s="113">
        <f>IFERROR(
IF(AND($E$2="Monthly",$A656&gt;12),0,
$O656*VLOOKUP($C656,'Employee information'!$B:$AI,COLUMNS('Employee information'!$B:$P),0)),
0)</f>
        <v>0</v>
      </c>
      <c r="R656" s="114">
        <f t="shared" si="678"/>
        <v>0</v>
      </c>
      <c r="T656" s="103"/>
      <c r="U656" s="103"/>
      <c r="V656" s="282" t="str">
        <f>IF($C656="","",
IF(AND($E$2="Monthly",$A656&gt;12),"",
$T656*VLOOKUP($C656,'Employee information'!$B:$P,COLUMNS('Employee information'!$B:$P),0)))</f>
        <v/>
      </c>
      <c r="W656" s="282" t="str">
        <f>IF($C656="","",
IF(AND($E$2="Monthly",$A656&gt;12),"",
$U656*VLOOKUP($C656,'Employee information'!$B:$P,COLUMNS('Employee information'!$B:$P),0)))</f>
        <v/>
      </c>
      <c r="X656" s="114">
        <f t="shared" si="679"/>
        <v>0</v>
      </c>
      <c r="Y656" s="114">
        <f t="shared" si="680"/>
        <v>0</v>
      </c>
      <c r="AA656" s="118">
        <f>IFERROR(
IF(OR('Basic payroll data'!$D$12="",'Basic payroll data'!$D$12="No"),0,
$T656*VLOOKUP($C656,'Employee information'!$B:$P,COLUMNS('Employee information'!$B:$P),0)*AL_loading_perc),
0)</f>
        <v>0</v>
      </c>
      <c r="AC656" s="118"/>
      <c r="AD656" s="118"/>
      <c r="AE656" s="283" t="str">
        <f t="shared" si="693"/>
        <v/>
      </c>
      <c r="AF656" s="283" t="str">
        <f t="shared" si="694"/>
        <v/>
      </c>
      <c r="AG656" s="118"/>
      <c r="AH656" s="118"/>
      <c r="AI656" s="283" t="str">
        <f t="shared" si="695"/>
        <v/>
      </c>
      <c r="AJ656" s="118"/>
      <c r="AK656" s="118"/>
      <c r="AM656" s="118">
        <f t="shared" si="696"/>
        <v>0</v>
      </c>
      <c r="AN656" s="118">
        <f t="shared" si="681"/>
        <v>0</v>
      </c>
      <c r="AO656" s="118" t="str">
        <f>IFERROR(
IF(VLOOKUP($C656,'Employee information'!$B:$M,COLUMNS('Employee information'!$B:$M),0)=1,
IF($E$2="Fortnightly",
ROUND(
ROUND((((TRUNC($AN656/2,0)+0.99))*VLOOKUP((TRUNC($AN656/2,0)+0.99),'Tax scales - NAT 1004'!$A$12:$C$18,2,1)-VLOOKUP((TRUNC($AN656/2,0)+0.99),'Tax scales - NAT 1004'!$A$12:$C$18,3,1)),0)
*2,
0),
IF(AND($E$2="Monthly",ROUND($AN656-TRUNC($AN656),2)=0.33),
ROUND(
ROUND(((TRUNC(($AN656+0.01)*3/13,0)+0.99)*VLOOKUP((TRUNC(($AN656+0.01)*3/13,0)+0.99),'Tax scales - NAT 1004'!$A$12:$C$18,2,1)-VLOOKUP((TRUNC(($AN656+0.01)*3/13,0)+0.99),'Tax scales - NAT 1004'!$A$12:$C$18,3,1)),0)
*13/3,
0),
IF($E$2="Monthly",
ROUND(
ROUND(((TRUNC($AN656*3/13,0)+0.99)*VLOOKUP((TRUNC($AN656*3/13,0)+0.99),'Tax scales - NAT 1004'!$A$12:$C$18,2,1)-VLOOKUP((TRUNC($AN656*3/13,0)+0.99),'Tax scales - NAT 1004'!$A$12:$C$18,3,1)),0)
*13/3,
0),
""))),
""),
"")</f>
        <v/>
      </c>
      <c r="AP656" s="118" t="str">
        <f>IFERROR(
IF(VLOOKUP($C656,'Employee information'!$B:$M,COLUMNS('Employee information'!$B:$M),0)=2,
IF($E$2="Fortnightly",
ROUND(
ROUND((((TRUNC($AN656/2,0)+0.99))*VLOOKUP((TRUNC($AN656/2,0)+0.99),'Tax scales - NAT 1004'!$A$25:$C$33,2,1)-VLOOKUP((TRUNC($AN656/2,0)+0.99),'Tax scales - NAT 1004'!$A$25:$C$33,3,1)),0)
*2,
0),
IF(AND($E$2="Monthly",ROUND($AN656-TRUNC($AN656),2)=0.33),
ROUND(
ROUND(((TRUNC(($AN656+0.01)*3/13,0)+0.99)*VLOOKUP((TRUNC(($AN656+0.01)*3/13,0)+0.99),'Tax scales - NAT 1004'!$A$25:$C$33,2,1)-VLOOKUP((TRUNC(($AN656+0.01)*3/13,0)+0.99),'Tax scales - NAT 1004'!$A$25:$C$33,3,1)),0)
*13/3,
0),
IF($E$2="Monthly",
ROUND(
ROUND(((TRUNC($AN656*3/13,0)+0.99)*VLOOKUP((TRUNC($AN656*3/13,0)+0.99),'Tax scales - NAT 1004'!$A$25:$C$33,2,1)-VLOOKUP((TRUNC($AN656*3/13,0)+0.99),'Tax scales - NAT 1004'!$A$25:$C$33,3,1)),0)
*13/3,
0),
""))),
""),
"")</f>
        <v/>
      </c>
      <c r="AQ656" s="118" t="str">
        <f>IFERROR(
IF(VLOOKUP($C656,'Employee information'!$B:$M,COLUMNS('Employee information'!$B:$M),0)=3,
IF($E$2="Fortnightly",
ROUND(
ROUND((((TRUNC($AN656/2,0)+0.99))*VLOOKUP((TRUNC($AN656/2,0)+0.99),'Tax scales - NAT 1004'!$A$39:$C$41,2,1)-VLOOKUP((TRUNC($AN656/2,0)+0.99),'Tax scales - NAT 1004'!$A$39:$C$41,3,1)),0)
*2,
0),
IF(AND($E$2="Monthly",ROUND($AN656-TRUNC($AN656),2)=0.33),
ROUND(
ROUND(((TRUNC(($AN656+0.01)*3/13,0)+0.99)*VLOOKUP((TRUNC(($AN656+0.01)*3/13,0)+0.99),'Tax scales - NAT 1004'!$A$39:$C$41,2,1)-VLOOKUP((TRUNC(($AN656+0.01)*3/13,0)+0.99),'Tax scales - NAT 1004'!$A$39:$C$41,3,1)),0)
*13/3,
0),
IF($E$2="Monthly",
ROUND(
ROUND(((TRUNC($AN656*3/13,0)+0.99)*VLOOKUP((TRUNC($AN656*3/13,0)+0.99),'Tax scales - NAT 1004'!$A$39:$C$41,2,1)-VLOOKUP((TRUNC($AN656*3/13,0)+0.99),'Tax scales - NAT 1004'!$A$39:$C$41,3,1)),0)
*13/3,
0),
""))),
""),
"")</f>
        <v/>
      </c>
      <c r="AR656" s="118" t="str">
        <f>IFERROR(
IF(AND(VLOOKUP($C656,'Employee information'!$B:$M,COLUMNS('Employee information'!$B:$M),0)=4,
VLOOKUP($C656,'Employee information'!$B:$J,COLUMNS('Employee information'!$B:$J),0)="Resident"),
TRUNC(TRUNC($AN656)*'Tax scales - NAT 1004'!$B$47),
IF(AND(VLOOKUP($C656,'Employee information'!$B:$M,COLUMNS('Employee information'!$B:$M),0)=4,
VLOOKUP($C656,'Employee information'!$B:$J,COLUMNS('Employee information'!$B:$J),0)="Foreign resident"),
TRUNC(TRUNC($AN656)*'Tax scales - NAT 1004'!$B$48),
"")),
"")</f>
        <v/>
      </c>
      <c r="AS656" s="118" t="str">
        <f>IFERROR(
IF(VLOOKUP($C656,'Employee information'!$B:$M,COLUMNS('Employee information'!$B:$M),0)=5,
IF($E$2="Fortnightly",
ROUND(
ROUND((((TRUNC($AN656/2,0)+0.99))*VLOOKUP((TRUNC($AN656/2,0)+0.99),'Tax scales - NAT 1004'!$A$53:$C$59,2,1)-VLOOKUP((TRUNC($AN656/2,0)+0.99),'Tax scales - NAT 1004'!$A$53:$C$59,3,1)),0)
*2,
0),
IF(AND($E$2="Monthly",ROUND($AN656-TRUNC($AN656),2)=0.33),
ROUND(
ROUND(((TRUNC(($AN656+0.01)*3/13,0)+0.99)*VLOOKUP((TRUNC(($AN656+0.01)*3/13,0)+0.99),'Tax scales - NAT 1004'!$A$53:$C$59,2,1)-VLOOKUP((TRUNC(($AN656+0.01)*3/13,0)+0.99),'Tax scales - NAT 1004'!$A$53:$C$59,3,1)),0)
*13/3,
0),
IF($E$2="Monthly",
ROUND(
ROUND(((TRUNC($AN656*3/13,0)+0.99)*VLOOKUP((TRUNC($AN656*3/13,0)+0.99),'Tax scales - NAT 1004'!$A$53:$C$59,2,1)-VLOOKUP((TRUNC($AN656*3/13,0)+0.99),'Tax scales - NAT 1004'!$A$53:$C$59,3,1)),0)
*13/3,
0),
""))),
""),
"")</f>
        <v/>
      </c>
      <c r="AT656" s="118" t="str">
        <f>IFERROR(
IF(VLOOKUP($C656,'Employee information'!$B:$M,COLUMNS('Employee information'!$B:$M),0)=6,
IF($E$2="Fortnightly",
ROUND(
ROUND((((TRUNC($AN656/2,0)+0.99))*VLOOKUP((TRUNC($AN656/2,0)+0.99),'Tax scales - NAT 1004'!$A$65:$C$73,2,1)-VLOOKUP((TRUNC($AN656/2,0)+0.99),'Tax scales - NAT 1004'!$A$65:$C$73,3,1)),0)
*2,
0),
IF(AND($E$2="Monthly",ROUND($AN656-TRUNC($AN656),2)=0.33),
ROUND(
ROUND(((TRUNC(($AN656+0.01)*3/13,0)+0.99)*VLOOKUP((TRUNC(($AN656+0.01)*3/13,0)+0.99),'Tax scales - NAT 1004'!$A$65:$C$73,2,1)-VLOOKUP((TRUNC(($AN656+0.01)*3/13,0)+0.99),'Tax scales - NAT 1004'!$A$65:$C$73,3,1)),0)
*13/3,
0),
IF($E$2="Monthly",
ROUND(
ROUND(((TRUNC($AN656*3/13,0)+0.99)*VLOOKUP((TRUNC($AN656*3/13,0)+0.99),'Tax scales - NAT 1004'!$A$65:$C$73,2,1)-VLOOKUP((TRUNC($AN656*3/13,0)+0.99),'Tax scales - NAT 1004'!$A$65:$C$73,3,1)),0)
*13/3,
0),
""))),
""),
"")</f>
        <v/>
      </c>
      <c r="AU656" s="118" t="str">
        <f>IFERROR(
IF(VLOOKUP($C656,'Employee information'!$B:$M,COLUMNS('Employee information'!$B:$M),0)=11,
IF($E$2="Fortnightly",
ROUND(
ROUND((((TRUNC($AN656/2,0)+0.99))*VLOOKUP((TRUNC($AN656/2,0)+0.99),'Tax scales - NAT 3539'!$A$14:$C$38,2,1)-VLOOKUP((TRUNC($AN656/2,0)+0.99),'Tax scales - NAT 3539'!$A$14:$C$38,3,1)),0)
*2,
0),
IF(AND($E$2="Monthly",ROUND($AN656-TRUNC($AN656),2)=0.33),
ROUND(
ROUND(((TRUNC(($AN656+0.01)*3/13,0)+0.99)*VLOOKUP((TRUNC(($AN656+0.01)*3/13,0)+0.99),'Tax scales - NAT 3539'!$A$14:$C$38,2,1)-VLOOKUP((TRUNC(($AN656+0.01)*3/13,0)+0.99),'Tax scales - NAT 3539'!$A$14:$C$38,3,1)),0)
*13/3,
0),
IF($E$2="Monthly",
ROUND(
ROUND(((TRUNC($AN656*3/13,0)+0.99)*VLOOKUP((TRUNC($AN656*3/13,0)+0.99),'Tax scales - NAT 3539'!$A$14:$C$38,2,1)-VLOOKUP((TRUNC($AN656*3/13,0)+0.99),'Tax scales - NAT 3539'!$A$14:$C$38,3,1)),0)
*13/3,
0),
""))),
""),
"")</f>
        <v/>
      </c>
      <c r="AV656" s="118" t="str">
        <f>IFERROR(
IF(VLOOKUP($C656,'Employee information'!$B:$M,COLUMNS('Employee information'!$B:$M),0)=22,
IF($E$2="Fortnightly",
ROUND(
ROUND((((TRUNC($AN656/2,0)+0.99))*VLOOKUP((TRUNC($AN656/2,0)+0.99),'Tax scales - NAT 3539'!$A$43:$C$69,2,1)-VLOOKUP((TRUNC($AN656/2,0)+0.99),'Tax scales - NAT 3539'!$A$43:$C$69,3,1)),0)
*2,
0),
IF(AND($E$2="Monthly",ROUND($AN656-TRUNC($AN656),2)=0.33),
ROUND(
ROUND(((TRUNC(($AN656+0.01)*3/13,0)+0.99)*VLOOKUP((TRUNC(($AN656+0.01)*3/13,0)+0.99),'Tax scales - NAT 3539'!$A$43:$C$69,2,1)-VLOOKUP((TRUNC(($AN656+0.01)*3/13,0)+0.99),'Tax scales - NAT 3539'!$A$43:$C$69,3,1)),0)
*13/3,
0),
IF($E$2="Monthly",
ROUND(
ROUND(((TRUNC($AN656*3/13,0)+0.99)*VLOOKUP((TRUNC($AN656*3/13,0)+0.99),'Tax scales - NAT 3539'!$A$43:$C$69,2,1)-VLOOKUP((TRUNC($AN656*3/13,0)+0.99),'Tax scales - NAT 3539'!$A$43:$C$69,3,1)),0)
*13/3,
0),
""))),
""),
"")</f>
        <v/>
      </c>
      <c r="AW656" s="118" t="str">
        <f>IFERROR(
IF(VLOOKUP($C656,'Employee information'!$B:$M,COLUMNS('Employee information'!$B:$M),0)=33,
IF($E$2="Fortnightly",
ROUND(
ROUND((((TRUNC($AN656/2,0)+0.99))*VLOOKUP((TRUNC($AN656/2,0)+0.99),'Tax scales - NAT 3539'!$A$74:$C$94,2,1)-VLOOKUP((TRUNC($AN656/2,0)+0.99),'Tax scales - NAT 3539'!$A$74:$C$94,3,1)),0)
*2,
0),
IF(AND($E$2="Monthly",ROUND($AN656-TRUNC($AN656),2)=0.33),
ROUND(
ROUND(((TRUNC(($AN656+0.01)*3/13,0)+0.99)*VLOOKUP((TRUNC(($AN656+0.01)*3/13,0)+0.99),'Tax scales - NAT 3539'!$A$74:$C$94,2,1)-VLOOKUP((TRUNC(($AN656+0.01)*3/13,0)+0.99),'Tax scales - NAT 3539'!$A$74:$C$94,3,1)),0)
*13/3,
0),
IF($E$2="Monthly",
ROUND(
ROUND(((TRUNC($AN656*3/13,0)+0.99)*VLOOKUP((TRUNC($AN656*3/13,0)+0.99),'Tax scales - NAT 3539'!$A$74:$C$94,2,1)-VLOOKUP((TRUNC($AN656*3/13,0)+0.99),'Tax scales - NAT 3539'!$A$74:$C$94,3,1)),0)
*13/3,
0),
""))),
""),
"")</f>
        <v/>
      </c>
      <c r="AX656" s="118" t="str">
        <f>IFERROR(
IF(VLOOKUP($C656,'Employee information'!$B:$M,COLUMNS('Employee information'!$B:$M),0)=55,
IF($E$2="Fortnightly",
ROUND(
ROUND((((TRUNC($AN656/2,0)+0.99))*VLOOKUP((TRUNC($AN656/2,0)+0.99),'Tax scales - NAT 3539'!$A$99:$C$123,2,1)-VLOOKUP((TRUNC($AN656/2,0)+0.99),'Tax scales - NAT 3539'!$A$99:$C$123,3,1)),0)
*2,
0),
IF(AND($E$2="Monthly",ROUND($AN656-TRUNC($AN656),2)=0.33),
ROUND(
ROUND(((TRUNC(($AN656+0.01)*3/13,0)+0.99)*VLOOKUP((TRUNC(($AN656+0.01)*3/13,0)+0.99),'Tax scales - NAT 3539'!$A$99:$C$123,2,1)-VLOOKUP((TRUNC(($AN656+0.01)*3/13,0)+0.99),'Tax scales - NAT 3539'!$A$99:$C$123,3,1)),0)
*13/3,
0),
IF($E$2="Monthly",
ROUND(
ROUND(((TRUNC($AN656*3/13,0)+0.99)*VLOOKUP((TRUNC($AN656*3/13,0)+0.99),'Tax scales - NAT 3539'!$A$99:$C$123,2,1)-VLOOKUP((TRUNC($AN656*3/13,0)+0.99),'Tax scales - NAT 3539'!$A$99:$C$123,3,1)),0)
*13/3,
0),
""))),
""),
"")</f>
        <v/>
      </c>
      <c r="AY656" s="118" t="str">
        <f>IFERROR(
IF(VLOOKUP($C656,'Employee information'!$B:$M,COLUMNS('Employee information'!$B:$M),0)=66,
IF($E$2="Fortnightly",
ROUND(
ROUND((((TRUNC($AN656/2,0)+0.99))*VLOOKUP((TRUNC($AN656/2,0)+0.99),'Tax scales - NAT 3539'!$A$127:$C$154,2,1)-VLOOKUP((TRUNC($AN656/2,0)+0.99),'Tax scales - NAT 3539'!$A$127:$C$154,3,1)),0)
*2,
0),
IF(AND($E$2="Monthly",ROUND($AN656-TRUNC($AN656),2)=0.33),
ROUND(
ROUND(((TRUNC(($AN656+0.01)*3/13,0)+0.99)*VLOOKUP((TRUNC(($AN656+0.01)*3/13,0)+0.99),'Tax scales - NAT 3539'!$A$127:$C$154,2,1)-VLOOKUP((TRUNC(($AN656+0.01)*3/13,0)+0.99),'Tax scales - NAT 3539'!$A$127:$C$154,3,1)),0)
*13/3,
0),
IF($E$2="Monthly",
ROUND(
ROUND(((TRUNC($AN656*3/13,0)+0.99)*VLOOKUP((TRUNC($AN656*3/13,0)+0.99),'Tax scales - NAT 3539'!$A$127:$C$154,2,1)-VLOOKUP((TRUNC($AN656*3/13,0)+0.99),'Tax scales - NAT 3539'!$A$127:$C$154,3,1)),0)
*13/3,
0),
""))),
""),
"")</f>
        <v/>
      </c>
      <c r="AZ656" s="118">
        <f>IFERROR(
HLOOKUP(VLOOKUP($C656,'Employee information'!$B:$M,COLUMNS('Employee information'!$B:$M),0),'PAYG worksheet'!$AO$648:$AY$667,COUNTA($C$649:$C656)+1,0),
0)</f>
        <v>0</v>
      </c>
      <c r="BA656" s="118"/>
      <c r="BB656" s="118">
        <f t="shared" si="697"/>
        <v>0</v>
      </c>
      <c r="BC656" s="119">
        <f>IFERROR(
IF(OR($AE656=1,$AE656=""),SUM($P656,$AA656,$AC656,$AK656)*VLOOKUP($C656,'Employee information'!$B:$Q,COLUMNS('Employee information'!$B:$H),0),
IF($AE656=0,SUM($P656,$AA656,$AK656)*VLOOKUP($C656,'Employee information'!$B:$Q,COLUMNS('Employee information'!$B:$H),0),
0)),
0)</f>
        <v>0</v>
      </c>
      <c r="BE656" s="114">
        <f t="shared" si="682"/>
        <v>0</v>
      </c>
      <c r="BF656" s="114">
        <f t="shared" si="683"/>
        <v>0</v>
      </c>
      <c r="BG656" s="114">
        <f t="shared" si="684"/>
        <v>0</v>
      </c>
      <c r="BH656" s="114">
        <f t="shared" si="685"/>
        <v>0</v>
      </c>
      <c r="BI656" s="114">
        <f t="shared" si="686"/>
        <v>0</v>
      </c>
      <c r="BJ656" s="114">
        <f t="shared" si="687"/>
        <v>0</v>
      </c>
      <c r="BK656" s="114">
        <f t="shared" si="688"/>
        <v>0</v>
      </c>
      <c r="BL656" s="114">
        <f t="shared" si="698"/>
        <v>0</v>
      </c>
      <c r="BM656" s="114">
        <f t="shared" si="689"/>
        <v>0</v>
      </c>
    </row>
    <row r="657" spans="1:65" x14ac:dyDescent="0.25">
      <c r="A657" s="228">
        <f t="shared" si="677"/>
        <v>23</v>
      </c>
      <c r="C657" s="278"/>
      <c r="E657" s="103">
        <f>IF($C657="",0,
IF(AND($E$2="Monthly",$A657&gt;12),0,
IF($E$2="Monthly",VLOOKUP($C657,'Employee information'!$B:$AM,COLUMNS('Employee information'!$B:S),0),
IF($E$2="Fortnightly",VLOOKUP($C657,'Employee information'!$B:$AM,COLUMNS('Employee information'!$B:R),0),
0))))</f>
        <v>0</v>
      </c>
      <c r="F657" s="106"/>
      <c r="G657" s="106"/>
      <c r="H657" s="106"/>
      <c r="I657" s="106"/>
      <c r="J657" s="103">
        <f t="shared" si="690"/>
        <v>0</v>
      </c>
      <c r="L657" s="113">
        <f>IF(AND($E$2="Monthly",$A657&gt;12),"",
IFERROR($J657*VLOOKUP($C657,'Employee information'!$B:$AI,COLUMNS('Employee information'!$B:$P),0),0))</f>
        <v>0</v>
      </c>
      <c r="M657" s="114">
        <f t="shared" si="691"/>
        <v>0</v>
      </c>
      <c r="O657" s="103">
        <f t="shared" si="692"/>
        <v>0</v>
      </c>
      <c r="P657" s="113">
        <f>IFERROR(
IF(AND($E$2="Monthly",$A657&gt;12),0,
$O657*VLOOKUP($C657,'Employee information'!$B:$AI,COLUMNS('Employee information'!$B:$P),0)),
0)</f>
        <v>0</v>
      </c>
      <c r="R657" s="114">
        <f t="shared" si="678"/>
        <v>0</v>
      </c>
      <c r="T657" s="103"/>
      <c r="U657" s="103"/>
      <c r="V657" s="282" t="str">
        <f>IF($C657="","",
IF(AND($E$2="Monthly",$A657&gt;12),"",
$T657*VLOOKUP($C657,'Employee information'!$B:$P,COLUMNS('Employee information'!$B:$P),0)))</f>
        <v/>
      </c>
      <c r="W657" s="282" t="str">
        <f>IF($C657="","",
IF(AND($E$2="Monthly",$A657&gt;12),"",
$U657*VLOOKUP($C657,'Employee information'!$B:$P,COLUMNS('Employee information'!$B:$P),0)))</f>
        <v/>
      </c>
      <c r="X657" s="114">
        <f t="shared" si="679"/>
        <v>0</v>
      </c>
      <c r="Y657" s="114">
        <f t="shared" si="680"/>
        <v>0</v>
      </c>
      <c r="AA657" s="118">
        <f>IFERROR(
IF(OR('Basic payroll data'!$D$12="",'Basic payroll data'!$D$12="No"),0,
$T657*VLOOKUP($C657,'Employee information'!$B:$P,COLUMNS('Employee information'!$B:$P),0)*AL_loading_perc),
0)</f>
        <v>0</v>
      </c>
      <c r="AC657" s="118"/>
      <c r="AD657" s="118"/>
      <c r="AE657" s="283" t="str">
        <f t="shared" si="693"/>
        <v/>
      </c>
      <c r="AF657" s="283" t="str">
        <f t="shared" si="694"/>
        <v/>
      </c>
      <c r="AG657" s="118"/>
      <c r="AH657" s="118"/>
      <c r="AI657" s="283" t="str">
        <f t="shared" si="695"/>
        <v/>
      </c>
      <c r="AJ657" s="118"/>
      <c r="AK657" s="118"/>
      <c r="AM657" s="118">
        <f t="shared" si="696"/>
        <v>0</v>
      </c>
      <c r="AN657" s="118">
        <f t="shared" si="681"/>
        <v>0</v>
      </c>
      <c r="AO657" s="118" t="str">
        <f>IFERROR(
IF(VLOOKUP($C657,'Employee information'!$B:$M,COLUMNS('Employee information'!$B:$M),0)=1,
IF($E$2="Fortnightly",
ROUND(
ROUND((((TRUNC($AN657/2,0)+0.99))*VLOOKUP((TRUNC($AN657/2,0)+0.99),'Tax scales - NAT 1004'!$A$12:$C$18,2,1)-VLOOKUP((TRUNC($AN657/2,0)+0.99),'Tax scales - NAT 1004'!$A$12:$C$18,3,1)),0)
*2,
0),
IF(AND($E$2="Monthly",ROUND($AN657-TRUNC($AN657),2)=0.33),
ROUND(
ROUND(((TRUNC(($AN657+0.01)*3/13,0)+0.99)*VLOOKUP((TRUNC(($AN657+0.01)*3/13,0)+0.99),'Tax scales - NAT 1004'!$A$12:$C$18,2,1)-VLOOKUP((TRUNC(($AN657+0.01)*3/13,0)+0.99),'Tax scales - NAT 1004'!$A$12:$C$18,3,1)),0)
*13/3,
0),
IF($E$2="Monthly",
ROUND(
ROUND(((TRUNC($AN657*3/13,0)+0.99)*VLOOKUP((TRUNC($AN657*3/13,0)+0.99),'Tax scales - NAT 1004'!$A$12:$C$18,2,1)-VLOOKUP((TRUNC($AN657*3/13,0)+0.99),'Tax scales - NAT 1004'!$A$12:$C$18,3,1)),0)
*13/3,
0),
""))),
""),
"")</f>
        <v/>
      </c>
      <c r="AP657" s="118" t="str">
        <f>IFERROR(
IF(VLOOKUP($C657,'Employee information'!$B:$M,COLUMNS('Employee information'!$B:$M),0)=2,
IF($E$2="Fortnightly",
ROUND(
ROUND((((TRUNC($AN657/2,0)+0.99))*VLOOKUP((TRUNC($AN657/2,0)+0.99),'Tax scales - NAT 1004'!$A$25:$C$33,2,1)-VLOOKUP((TRUNC($AN657/2,0)+0.99),'Tax scales - NAT 1004'!$A$25:$C$33,3,1)),0)
*2,
0),
IF(AND($E$2="Monthly",ROUND($AN657-TRUNC($AN657),2)=0.33),
ROUND(
ROUND(((TRUNC(($AN657+0.01)*3/13,0)+0.99)*VLOOKUP((TRUNC(($AN657+0.01)*3/13,0)+0.99),'Tax scales - NAT 1004'!$A$25:$C$33,2,1)-VLOOKUP((TRUNC(($AN657+0.01)*3/13,0)+0.99),'Tax scales - NAT 1004'!$A$25:$C$33,3,1)),0)
*13/3,
0),
IF($E$2="Monthly",
ROUND(
ROUND(((TRUNC($AN657*3/13,0)+0.99)*VLOOKUP((TRUNC($AN657*3/13,0)+0.99),'Tax scales - NAT 1004'!$A$25:$C$33,2,1)-VLOOKUP((TRUNC($AN657*3/13,0)+0.99),'Tax scales - NAT 1004'!$A$25:$C$33,3,1)),0)
*13/3,
0),
""))),
""),
"")</f>
        <v/>
      </c>
      <c r="AQ657" s="118" t="str">
        <f>IFERROR(
IF(VLOOKUP($C657,'Employee information'!$B:$M,COLUMNS('Employee information'!$B:$M),0)=3,
IF($E$2="Fortnightly",
ROUND(
ROUND((((TRUNC($AN657/2,0)+0.99))*VLOOKUP((TRUNC($AN657/2,0)+0.99),'Tax scales - NAT 1004'!$A$39:$C$41,2,1)-VLOOKUP((TRUNC($AN657/2,0)+0.99),'Tax scales - NAT 1004'!$A$39:$C$41,3,1)),0)
*2,
0),
IF(AND($E$2="Monthly",ROUND($AN657-TRUNC($AN657),2)=0.33),
ROUND(
ROUND(((TRUNC(($AN657+0.01)*3/13,0)+0.99)*VLOOKUP((TRUNC(($AN657+0.01)*3/13,0)+0.99),'Tax scales - NAT 1004'!$A$39:$C$41,2,1)-VLOOKUP((TRUNC(($AN657+0.01)*3/13,0)+0.99),'Tax scales - NAT 1004'!$A$39:$C$41,3,1)),0)
*13/3,
0),
IF($E$2="Monthly",
ROUND(
ROUND(((TRUNC($AN657*3/13,0)+0.99)*VLOOKUP((TRUNC($AN657*3/13,0)+0.99),'Tax scales - NAT 1004'!$A$39:$C$41,2,1)-VLOOKUP((TRUNC($AN657*3/13,0)+0.99),'Tax scales - NAT 1004'!$A$39:$C$41,3,1)),0)
*13/3,
0),
""))),
""),
"")</f>
        <v/>
      </c>
      <c r="AR657" s="118" t="str">
        <f>IFERROR(
IF(AND(VLOOKUP($C657,'Employee information'!$B:$M,COLUMNS('Employee information'!$B:$M),0)=4,
VLOOKUP($C657,'Employee information'!$B:$J,COLUMNS('Employee information'!$B:$J),0)="Resident"),
TRUNC(TRUNC($AN657)*'Tax scales - NAT 1004'!$B$47),
IF(AND(VLOOKUP($C657,'Employee information'!$B:$M,COLUMNS('Employee information'!$B:$M),0)=4,
VLOOKUP($C657,'Employee information'!$B:$J,COLUMNS('Employee information'!$B:$J),0)="Foreign resident"),
TRUNC(TRUNC($AN657)*'Tax scales - NAT 1004'!$B$48),
"")),
"")</f>
        <v/>
      </c>
      <c r="AS657" s="118" t="str">
        <f>IFERROR(
IF(VLOOKUP($C657,'Employee information'!$B:$M,COLUMNS('Employee information'!$B:$M),0)=5,
IF($E$2="Fortnightly",
ROUND(
ROUND((((TRUNC($AN657/2,0)+0.99))*VLOOKUP((TRUNC($AN657/2,0)+0.99),'Tax scales - NAT 1004'!$A$53:$C$59,2,1)-VLOOKUP((TRUNC($AN657/2,0)+0.99),'Tax scales - NAT 1004'!$A$53:$C$59,3,1)),0)
*2,
0),
IF(AND($E$2="Monthly",ROUND($AN657-TRUNC($AN657),2)=0.33),
ROUND(
ROUND(((TRUNC(($AN657+0.01)*3/13,0)+0.99)*VLOOKUP((TRUNC(($AN657+0.01)*3/13,0)+0.99),'Tax scales - NAT 1004'!$A$53:$C$59,2,1)-VLOOKUP((TRUNC(($AN657+0.01)*3/13,0)+0.99),'Tax scales - NAT 1004'!$A$53:$C$59,3,1)),0)
*13/3,
0),
IF($E$2="Monthly",
ROUND(
ROUND(((TRUNC($AN657*3/13,0)+0.99)*VLOOKUP((TRUNC($AN657*3/13,0)+0.99),'Tax scales - NAT 1004'!$A$53:$C$59,2,1)-VLOOKUP((TRUNC($AN657*3/13,0)+0.99),'Tax scales - NAT 1004'!$A$53:$C$59,3,1)),0)
*13/3,
0),
""))),
""),
"")</f>
        <v/>
      </c>
      <c r="AT657" s="118" t="str">
        <f>IFERROR(
IF(VLOOKUP($C657,'Employee information'!$B:$M,COLUMNS('Employee information'!$B:$M),0)=6,
IF($E$2="Fortnightly",
ROUND(
ROUND((((TRUNC($AN657/2,0)+0.99))*VLOOKUP((TRUNC($AN657/2,0)+0.99),'Tax scales - NAT 1004'!$A$65:$C$73,2,1)-VLOOKUP((TRUNC($AN657/2,0)+0.99),'Tax scales - NAT 1004'!$A$65:$C$73,3,1)),0)
*2,
0),
IF(AND($E$2="Monthly",ROUND($AN657-TRUNC($AN657),2)=0.33),
ROUND(
ROUND(((TRUNC(($AN657+0.01)*3/13,0)+0.99)*VLOOKUP((TRUNC(($AN657+0.01)*3/13,0)+0.99),'Tax scales - NAT 1004'!$A$65:$C$73,2,1)-VLOOKUP((TRUNC(($AN657+0.01)*3/13,0)+0.99),'Tax scales - NAT 1004'!$A$65:$C$73,3,1)),0)
*13/3,
0),
IF($E$2="Monthly",
ROUND(
ROUND(((TRUNC($AN657*3/13,0)+0.99)*VLOOKUP((TRUNC($AN657*3/13,0)+0.99),'Tax scales - NAT 1004'!$A$65:$C$73,2,1)-VLOOKUP((TRUNC($AN657*3/13,0)+0.99),'Tax scales - NAT 1004'!$A$65:$C$73,3,1)),0)
*13/3,
0),
""))),
""),
"")</f>
        <v/>
      </c>
      <c r="AU657" s="118" t="str">
        <f>IFERROR(
IF(VLOOKUP($C657,'Employee information'!$B:$M,COLUMNS('Employee information'!$B:$M),0)=11,
IF($E$2="Fortnightly",
ROUND(
ROUND((((TRUNC($AN657/2,0)+0.99))*VLOOKUP((TRUNC($AN657/2,0)+0.99),'Tax scales - NAT 3539'!$A$14:$C$38,2,1)-VLOOKUP((TRUNC($AN657/2,0)+0.99),'Tax scales - NAT 3539'!$A$14:$C$38,3,1)),0)
*2,
0),
IF(AND($E$2="Monthly",ROUND($AN657-TRUNC($AN657),2)=0.33),
ROUND(
ROUND(((TRUNC(($AN657+0.01)*3/13,0)+0.99)*VLOOKUP((TRUNC(($AN657+0.01)*3/13,0)+0.99),'Tax scales - NAT 3539'!$A$14:$C$38,2,1)-VLOOKUP((TRUNC(($AN657+0.01)*3/13,0)+0.99),'Tax scales - NAT 3539'!$A$14:$C$38,3,1)),0)
*13/3,
0),
IF($E$2="Monthly",
ROUND(
ROUND(((TRUNC($AN657*3/13,0)+0.99)*VLOOKUP((TRUNC($AN657*3/13,0)+0.99),'Tax scales - NAT 3539'!$A$14:$C$38,2,1)-VLOOKUP((TRUNC($AN657*3/13,0)+0.99),'Tax scales - NAT 3539'!$A$14:$C$38,3,1)),0)
*13/3,
0),
""))),
""),
"")</f>
        <v/>
      </c>
      <c r="AV657" s="118" t="str">
        <f>IFERROR(
IF(VLOOKUP($C657,'Employee information'!$B:$M,COLUMNS('Employee information'!$B:$M),0)=22,
IF($E$2="Fortnightly",
ROUND(
ROUND((((TRUNC($AN657/2,0)+0.99))*VLOOKUP((TRUNC($AN657/2,0)+0.99),'Tax scales - NAT 3539'!$A$43:$C$69,2,1)-VLOOKUP((TRUNC($AN657/2,0)+0.99),'Tax scales - NAT 3539'!$A$43:$C$69,3,1)),0)
*2,
0),
IF(AND($E$2="Monthly",ROUND($AN657-TRUNC($AN657),2)=0.33),
ROUND(
ROUND(((TRUNC(($AN657+0.01)*3/13,0)+0.99)*VLOOKUP((TRUNC(($AN657+0.01)*3/13,0)+0.99),'Tax scales - NAT 3539'!$A$43:$C$69,2,1)-VLOOKUP((TRUNC(($AN657+0.01)*3/13,0)+0.99),'Tax scales - NAT 3539'!$A$43:$C$69,3,1)),0)
*13/3,
0),
IF($E$2="Monthly",
ROUND(
ROUND(((TRUNC($AN657*3/13,0)+0.99)*VLOOKUP((TRUNC($AN657*3/13,0)+0.99),'Tax scales - NAT 3539'!$A$43:$C$69,2,1)-VLOOKUP((TRUNC($AN657*3/13,0)+0.99),'Tax scales - NAT 3539'!$A$43:$C$69,3,1)),0)
*13/3,
0),
""))),
""),
"")</f>
        <v/>
      </c>
      <c r="AW657" s="118" t="str">
        <f>IFERROR(
IF(VLOOKUP($C657,'Employee information'!$B:$M,COLUMNS('Employee information'!$B:$M),0)=33,
IF($E$2="Fortnightly",
ROUND(
ROUND((((TRUNC($AN657/2,0)+0.99))*VLOOKUP((TRUNC($AN657/2,0)+0.99),'Tax scales - NAT 3539'!$A$74:$C$94,2,1)-VLOOKUP((TRUNC($AN657/2,0)+0.99),'Tax scales - NAT 3539'!$A$74:$C$94,3,1)),0)
*2,
0),
IF(AND($E$2="Monthly",ROUND($AN657-TRUNC($AN657),2)=0.33),
ROUND(
ROUND(((TRUNC(($AN657+0.01)*3/13,0)+0.99)*VLOOKUP((TRUNC(($AN657+0.01)*3/13,0)+0.99),'Tax scales - NAT 3539'!$A$74:$C$94,2,1)-VLOOKUP((TRUNC(($AN657+0.01)*3/13,0)+0.99),'Tax scales - NAT 3539'!$A$74:$C$94,3,1)),0)
*13/3,
0),
IF($E$2="Monthly",
ROUND(
ROUND(((TRUNC($AN657*3/13,0)+0.99)*VLOOKUP((TRUNC($AN657*3/13,0)+0.99),'Tax scales - NAT 3539'!$A$74:$C$94,2,1)-VLOOKUP((TRUNC($AN657*3/13,0)+0.99),'Tax scales - NAT 3539'!$A$74:$C$94,3,1)),0)
*13/3,
0),
""))),
""),
"")</f>
        <v/>
      </c>
      <c r="AX657" s="118" t="str">
        <f>IFERROR(
IF(VLOOKUP($C657,'Employee information'!$B:$M,COLUMNS('Employee information'!$B:$M),0)=55,
IF($E$2="Fortnightly",
ROUND(
ROUND((((TRUNC($AN657/2,0)+0.99))*VLOOKUP((TRUNC($AN657/2,0)+0.99),'Tax scales - NAT 3539'!$A$99:$C$123,2,1)-VLOOKUP((TRUNC($AN657/2,0)+0.99),'Tax scales - NAT 3539'!$A$99:$C$123,3,1)),0)
*2,
0),
IF(AND($E$2="Monthly",ROUND($AN657-TRUNC($AN657),2)=0.33),
ROUND(
ROUND(((TRUNC(($AN657+0.01)*3/13,0)+0.99)*VLOOKUP((TRUNC(($AN657+0.01)*3/13,0)+0.99),'Tax scales - NAT 3539'!$A$99:$C$123,2,1)-VLOOKUP((TRUNC(($AN657+0.01)*3/13,0)+0.99),'Tax scales - NAT 3539'!$A$99:$C$123,3,1)),0)
*13/3,
0),
IF($E$2="Monthly",
ROUND(
ROUND(((TRUNC($AN657*3/13,0)+0.99)*VLOOKUP((TRUNC($AN657*3/13,0)+0.99),'Tax scales - NAT 3539'!$A$99:$C$123,2,1)-VLOOKUP((TRUNC($AN657*3/13,0)+0.99),'Tax scales - NAT 3539'!$A$99:$C$123,3,1)),0)
*13/3,
0),
""))),
""),
"")</f>
        <v/>
      </c>
      <c r="AY657" s="118" t="str">
        <f>IFERROR(
IF(VLOOKUP($C657,'Employee information'!$B:$M,COLUMNS('Employee information'!$B:$M),0)=66,
IF($E$2="Fortnightly",
ROUND(
ROUND((((TRUNC($AN657/2,0)+0.99))*VLOOKUP((TRUNC($AN657/2,0)+0.99),'Tax scales - NAT 3539'!$A$127:$C$154,2,1)-VLOOKUP((TRUNC($AN657/2,0)+0.99),'Tax scales - NAT 3539'!$A$127:$C$154,3,1)),0)
*2,
0),
IF(AND($E$2="Monthly",ROUND($AN657-TRUNC($AN657),2)=0.33),
ROUND(
ROUND(((TRUNC(($AN657+0.01)*3/13,0)+0.99)*VLOOKUP((TRUNC(($AN657+0.01)*3/13,0)+0.99),'Tax scales - NAT 3539'!$A$127:$C$154,2,1)-VLOOKUP((TRUNC(($AN657+0.01)*3/13,0)+0.99),'Tax scales - NAT 3539'!$A$127:$C$154,3,1)),0)
*13/3,
0),
IF($E$2="Monthly",
ROUND(
ROUND(((TRUNC($AN657*3/13,0)+0.99)*VLOOKUP((TRUNC($AN657*3/13,0)+0.99),'Tax scales - NAT 3539'!$A$127:$C$154,2,1)-VLOOKUP((TRUNC($AN657*3/13,0)+0.99),'Tax scales - NAT 3539'!$A$127:$C$154,3,1)),0)
*13/3,
0),
""))),
""),
"")</f>
        <v/>
      </c>
      <c r="AZ657" s="118">
        <f>IFERROR(
HLOOKUP(VLOOKUP($C657,'Employee information'!$B:$M,COLUMNS('Employee information'!$B:$M),0),'PAYG worksheet'!$AO$648:$AY$667,COUNTA($C$649:$C657)+1,0),
0)</f>
        <v>0</v>
      </c>
      <c r="BA657" s="118"/>
      <c r="BB657" s="118">
        <f t="shared" si="697"/>
        <v>0</v>
      </c>
      <c r="BC657" s="119">
        <f>IFERROR(
IF(OR($AE657=1,$AE657=""),SUM($P657,$AA657,$AC657,$AK657)*VLOOKUP($C657,'Employee information'!$B:$Q,COLUMNS('Employee information'!$B:$H),0),
IF($AE657=0,SUM($P657,$AA657,$AK657)*VLOOKUP($C657,'Employee information'!$B:$Q,COLUMNS('Employee information'!$B:$H),0),
0)),
0)</f>
        <v>0</v>
      </c>
      <c r="BE657" s="114">
        <f t="shared" si="682"/>
        <v>0</v>
      </c>
      <c r="BF657" s="114">
        <f t="shared" si="683"/>
        <v>0</v>
      </c>
      <c r="BG657" s="114">
        <f t="shared" si="684"/>
        <v>0</v>
      </c>
      <c r="BH657" s="114">
        <f t="shared" si="685"/>
        <v>0</v>
      </c>
      <c r="BI657" s="114">
        <f t="shared" si="686"/>
        <v>0</v>
      </c>
      <c r="BJ657" s="114">
        <f t="shared" si="687"/>
        <v>0</v>
      </c>
      <c r="BK657" s="114">
        <f t="shared" si="688"/>
        <v>0</v>
      </c>
      <c r="BL657" s="114">
        <f t="shared" si="698"/>
        <v>0</v>
      </c>
      <c r="BM657" s="114">
        <f t="shared" si="689"/>
        <v>0</v>
      </c>
    </row>
    <row r="658" spans="1:65" x14ac:dyDescent="0.25">
      <c r="A658" s="228">
        <f t="shared" si="677"/>
        <v>23</v>
      </c>
      <c r="C658" s="278"/>
      <c r="E658" s="103">
        <f>IF($C658="",0,
IF(AND($E$2="Monthly",$A658&gt;12),0,
IF($E$2="Monthly",VLOOKUP($C658,'Employee information'!$B:$AM,COLUMNS('Employee information'!$B:S),0),
IF($E$2="Fortnightly",VLOOKUP($C658,'Employee information'!$B:$AM,COLUMNS('Employee information'!$B:R),0),
0))))</f>
        <v>0</v>
      </c>
      <c r="F658" s="106"/>
      <c r="G658" s="106"/>
      <c r="H658" s="106"/>
      <c r="I658" s="106"/>
      <c r="J658" s="103">
        <f t="shared" si="690"/>
        <v>0</v>
      </c>
      <c r="L658" s="113">
        <f>IF(AND($E$2="Monthly",$A658&gt;12),"",
IFERROR($J658*VLOOKUP($C658,'Employee information'!$B:$AI,COLUMNS('Employee information'!$B:$P),0),0))</f>
        <v>0</v>
      </c>
      <c r="M658" s="114">
        <f t="shared" si="691"/>
        <v>0</v>
      </c>
      <c r="O658" s="103">
        <f>IF($E$2="Monthly",
IF(AND($E$2="Monthly",$H658&lt;&gt;""),$H658,
IF(AND($E$2="Monthly",$E658=0),$F658,
$E658)),
IF($E$2="Fortnightly",
IF(AND($E$2="Fortnightly",$H658&lt;&gt;""),$H658,
IF(AND($E$2="Fortnightly",$F658&lt;&gt;"",$E658&lt;&gt;0),$F658,
IF(AND($E$2="Fortnightly",$E658=0),$F658,
$E658)))))</f>
        <v>0</v>
      </c>
      <c r="P658" s="113">
        <f>IFERROR(
IF(AND($E$2="Monthly",$A658&gt;12),0,
$O658*VLOOKUP($C658,'Employee information'!$B:$AI,COLUMNS('Employee information'!$B:$P),0)),
0)</f>
        <v>0</v>
      </c>
      <c r="R658" s="114">
        <f t="shared" si="678"/>
        <v>0</v>
      </c>
      <c r="T658" s="103"/>
      <c r="U658" s="103"/>
      <c r="V658" s="282" t="str">
        <f>IF($C658="","",
IF(AND($E$2="Monthly",$A658&gt;12),"",
$T658*VLOOKUP($C658,'Employee information'!$B:$P,COLUMNS('Employee information'!$B:$P),0)))</f>
        <v/>
      </c>
      <c r="W658" s="282" t="str">
        <f>IF($C658="","",
IF(AND($E$2="Monthly",$A658&gt;12),"",
$U658*VLOOKUP($C658,'Employee information'!$B:$P,COLUMNS('Employee information'!$B:$P),0)))</f>
        <v/>
      </c>
      <c r="X658" s="114">
        <f t="shared" si="679"/>
        <v>0</v>
      </c>
      <c r="Y658" s="114">
        <f t="shared" si="680"/>
        <v>0</v>
      </c>
      <c r="AA658" s="118">
        <f>IFERROR(
IF(OR('Basic payroll data'!$D$12="",'Basic payroll data'!$D$12="No"),0,
$T658*VLOOKUP($C658,'Employee information'!$B:$P,COLUMNS('Employee information'!$B:$P),0)*AL_loading_perc),
0)</f>
        <v>0</v>
      </c>
      <c r="AC658" s="118"/>
      <c r="AD658" s="118"/>
      <c r="AE658" s="283" t="str">
        <f t="shared" si="693"/>
        <v/>
      </c>
      <c r="AF658" s="283" t="str">
        <f t="shared" si="694"/>
        <v/>
      </c>
      <c r="AG658" s="118"/>
      <c r="AH658" s="118"/>
      <c r="AI658" s="283" t="str">
        <f t="shared" si="695"/>
        <v/>
      </c>
      <c r="AJ658" s="118"/>
      <c r="AK658" s="118"/>
      <c r="AM658" s="118">
        <f t="shared" si="696"/>
        <v>0</v>
      </c>
      <c r="AN658" s="118">
        <f t="shared" si="681"/>
        <v>0</v>
      </c>
      <c r="AO658" s="118" t="str">
        <f>IFERROR(
IF(VLOOKUP($C658,'Employee information'!$B:$M,COLUMNS('Employee information'!$B:$M),0)=1,
IF($E$2="Fortnightly",
ROUND(
ROUND((((TRUNC($AN658/2,0)+0.99))*VLOOKUP((TRUNC($AN658/2,0)+0.99),'Tax scales - NAT 1004'!$A$12:$C$18,2,1)-VLOOKUP((TRUNC($AN658/2,0)+0.99),'Tax scales - NAT 1004'!$A$12:$C$18,3,1)),0)
*2,
0),
IF(AND($E$2="Monthly",ROUND($AN658-TRUNC($AN658),2)=0.33),
ROUND(
ROUND(((TRUNC(($AN658+0.01)*3/13,0)+0.99)*VLOOKUP((TRUNC(($AN658+0.01)*3/13,0)+0.99),'Tax scales - NAT 1004'!$A$12:$C$18,2,1)-VLOOKUP((TRUNC(($AN658+0.01)*3/13,0)+0.99),'Tax scales - NAT 1004'!$A$12:$C$18,3,1)),0)
*13/3,
0),
IF($E$2="Monthly",
ROUND(
ROUND(((TRUNC($AN658*3/13,0)+0.99)*VLOOKUP((TRUNC($AN658*3/13,0)+0.99),'Tax scales - NAT 1004'!$A$12:$C$18,2,1)-VLOOKUP((TRUNC($AN658*3/13,0)+0.99),'Tax scales - NAT 1004'!$A$12:$C$18,3,1)),0)
*13/3,
0),
""))),
""),
"")</f>
        <v/>
      </c>
      <c r="AP658" s="118" t="str">
        <f>IFERROR(
IF(VLOOKUP($C658,'Employee information'!$B:$M,COLUMNS('Employee information'!$B:$M),0)=2,
IF($E$2="Fortnightly",
ROUND(
ROUND((((TRUNC($AN658/2,0)+0.99))*VLOOKUP((TRUNC($AN658/2,0)+0.99),'Tax scales - NAT 1004'!$A$25:$C$33,2,1)-VLOOKUP((TRUNC($AN658/2,0)+0.99),'Tax scales - NAT 1004'!$A$25:$C$33,3,1)),0)
*2,
0),
IF(AND($E$2="Monthly",ROUND($AN658-TRUNC($AN658),2)=0.33),
ROUND(
ROUND(((TRUNC(($AN658+0.01)*3/13,0)+0.99)*VLOOKUP((TRUNC(($AN658+0.01)*3/13,0)+0.99),'Tax scales - NAT 1004'!$A$25:$C$33,2,1)-VLOOKUP((TRUNC(($AN658+0.01)*3/13,0)+0.99),'Tax scales - NAT 1004'!$A$25:$C$33,3,1)),0)
*13/3,
0),
IF($E$2="Monthly",
ROUND(
ROUND(((TRUNC($AN658*3/13,0)+0.99)*VLOOKUP((TRUNC($AN658*3/13,0)+0.99),'Tax scales - NAT 1004'!$A$25:$C$33,2,1)-VLOOKUP((TRUNC($AN658*3/13,0)+0.99),'Tax scales - NAT 1004'!$A$25:$C$33,3,1)),0)
*13/3,
0),
""))),
""),
"")</f>
        <v/>
      </c>
      <c r="AQ658" s="118" t="str">
        <f>IFERROR(
IF(VLOOKUP($C658,'Employee information'!$B:$M,COLUMNS('Employee information'!$B:$M),0)=3,
IF($E$2="Fortnightly",
ROUND(
ROUND((((TRUNC($AN658/2,0)+0.99))*VLOOKUP((TRUNC($AN658/2,0)+0.99),'Tax scales - NAT 1004'!$A$39:$C$41,2,1)-VLOOKUP((TRUNC($AN658/2,0)+0.99),'Tax scales - NAT 1004'!$A$39:$C$41,3,1)),0)
*2,
0),
IF(AND($E$2="Monthly",ROUND($AN658-TRUNC($AN658),2)=0.33),
ROUND(
ROUND(((TRUNC(($AN658+0.01)*3/13,0)+0.99)*VLOOKUP((TRUNC(($AN658+0.01)*3/13,0)+0.99),'Tax scales - NAT 1004'!$A$39:$C$41,2,1)-VLOOKUP((TRUNC(($AN658+0.01)*3/13,0)+0.99),'Tax scales - NAT 1004'!$A$39:$C$41,3,1)),0)
*13/3,
0),
IF($E$2="Monthly",
ROUND(
ROUND(((TRUNC($AN658*3/13,0)+0.99)*VLOOKUP((TRUNC($AN658*3/13,0)+0.99),'Tax scales - NAT 1004'!$A$39:$C$41,2,1)-VLOOKUP((TRUNC($AN658*3/13,0)+0.99),'Tax scales - NAT 1004'!$A$39:$C$41,3,1)),0)
*13/3,
0),
""))),
""),
"")</f>
        <v/>
      </c>
      <c r="AR658" s="118" t="str">
        <f>IFERROR(
IF(AND(VLOOKUP($C658,'Employee information'!$B:$M,COLUMNS('Employee information'!$B:$M),0)=4,
VLOOKUP($C658,'Employee information'!$B:$J,COLUMNS('Employee information'!$B:$J),0)="Resident"),
TRUNC(TRUNC($AN658)*'Tax scales - NAT 1004'!$B$47),
IF(AND(VLOOKUP($C658,'Employee information'!$B:$M,COLUMNS('Employee information'!$B:$M),0)=4,
VLOOKUP($C658,'Employee information'!$B:$J,COLUMNS('Employee information'!$B:$J),0)="Foreign resident"),
TRUNC(TRUNC($AN658)*'Tax scales - NAT 1004'!$B$48),
"")),
"")</f>
        <v/>
      </c>
      <c r="AS658" s="118" t="str">
        <f>IFERROR(
IF(VLOOKUP($C658,'Employee information'!$B:$M,COLUMNS('Employee information'!$B:$M),0)=5,
IF($E$2="Fortnightly",
ROUND(
ROUND((((TRUNC($AN658/2,0)+0.99))*VLOOKUP((TRUNC($AN658/2,0)+0.99),'Tax scales - NAT 1004'!$A$53:$C$59,2,1)-VLOOKUP((TRUNC($AN658/2,0)+0.99),'Tax scales - NAT 1004'!$A$53:$C$59,3,1)),0)
*2,
0),
IF(AND($E$2="Monthly",ROUND($AN658-TRUNC($AN658),2)=0.33),
ROUND(
ROUND(((TRUNC(($AN658+0.01)*3/13,0)+0.99)*VLOOKUP((TRUNC(($AN658+0.01)*3/13,0)+0.99),'Tax scales - NAT 1004'!$A$53:$C$59,2,1)-VLOOKUP((TRUNC(($AN658+0.01)*3/13,0)+0.99),'Tax scales - NAT 1004'!$A$53:$C$59,3,1)),0)
*13/3,
0),
IF($E$2="Monthly",
ROUND(
ROUND(((TRUNC($AN658*3/13,0)+0.99)*VLOOKUP((TRUNC($AN658*3/13,0)+0.99),'Tax scales - NAT 1004'!$A$53:$C$59,2,1)-VLOOKUP((TRUNC($AN658*3/13,0)+0.99),'Tax scales - NAT 1004'!$A$53:$C$59,3,1)),0)
*13/3,
0),
""))),
""),
"")</f>
        <v/>
      </c>
      <c r="AT658" s="118" t="str">
        <f>IFERROR(
IF(VLOOKUP($C658,'Employee information'!$B:$M,COLUMNS('Employee information'!$B:$M),0)=6,
IF($E$2="Fortnightly",
ROUND(
ROUND((((TRUNC($AN658/2,0)+0.99))*VLOOKUP((TRUNC($AN658/2,0)+0.99),'Tax scales - NAT 1004'!$A$65:$C$73,2,1)-VLOOKUP((TRUNC($AN658/2,0)+0.99),'Tax scales - NAT 1004'!$A$65:$C$73,3,1)),0)
*2,
0),
IF(AND($E$2="Monthly",ROUND($AN658-TRUNC($AN658),2)=0.33),
ROUND(
ROUND(((TRUNC(($AN658+0.01)*3/13,0)+0.99)*VLOOKUP((TRUNC(($AN658+0.01)*3/13,0)+0.99),'Tax scales - NAT 1004'!$A$65:$C$73,2,1)-VLOOKUP((TRUNC(($AN658+0.01)*3/13,0)+0.99),'Tax scales - NAT 1004'!$A$65:$C$73,3,1)),0)
*13/3,
0),
IF($E$2="Monthly",
ROUND(
ROUND(((TRUNC($AN658*3/13,0)+0.99)*VLOOKUP((TRUNC($AN658*3/13,0)+0.99),'Tax scales - NAT 1004'!$A$65:$C$73,2,1)-VLOOKUP((TRUNC($AN658*3/13,0)+0.99),'Tax scales - NAT 1004'!$A$65:$C$73,3,1)),0)
*13/3,
0),
""))),
""),
"")</f>
        <v/>
      </c>
      <c r="AU658" s="118" t="str">
        <f>IFERROR(
IF(VLOOKUP($C658,'Employee information'!$B:$M,COLUMNS('Employee information'!$B:$M),0)=11,
IF($E$2="Fortnightly",
ROUND(
ROUND((((TRUNC($AN658/2,0)+0.99))*VLOOKUP((TRUNC($AN658/2,0)+0.99),'Tax scales - NAT 3539'!$A$14:$C$38,2,1)-VLOOKUP((TRUNC($AN658/2,0)+0.99),'Tax scales - NAT 3539'!$A$14:$C$38,3,1)),0)
*2,
0),
IF(AND($E$2="Monthly",ROUND($AN658-TRUNC($AN658),2)=0.33),
ROUND(
ROUND(((TRUNC(($AN658+0.01)*3/13,0)+0.99)*VLOOKUP((TRUNC(($AN658+0.01)*3/13,0)+0.99),'Tax scales - NAT 3539'!$A$14:$C$38,2,1)-VLOOKUP((TRUNC(($AN658+0.01)*3/13,0)+0.99),'Tax scales - NAT 3539'!$A$14:$C$38,3,1)),0)
*13/3,
0),
IF($E$2="Monthly",
ROUND(
ROUND(((TRUNC($AN658*3/13,0)+0.99)*VLOOKUP((TRUNC($AN658*3/13,0)+0.99),'Tax scales - NAT 3539'!$A$14:$C$38,2,1)-VLOOKUP((TRUNC($AN658*3/13,0)+0.99),'Tax scales - NAT 3539'!$A$14:$C$38,3,1)),0)
*13/3,
0),
""))),
""),
"")</f>
        <v/>
      </c>
      <c r="AV658" s="118" t="str">
        <f>IFERROR(
IF(VLOOKUP($C658,'Employee information'!$B:$M,COLUMNS('Employee information'!$B:$M),0)=22,
IF($E$2="Fortnightly",
ROUND(
ROUND((((TRUNC($AN658/2,0)+0.99))*VLOOKUP((TRUNC($AN658/2,0)+0.99),'Tax scales - NAT 3539'!$A$43:$C$69,2,1)-VLOOKUP((TRUNC($AN658/2,0)+0.99),'Tax scales - NAT 3539'!$A$43:$C$69,3,1)),0)
*2,
0),
IF(AND($E$2="Monthly",ROUND($AN658-TRUNC($AN658),2)=0.33),
ROUND(
ROUND(((TRUNC(($AN658+0.01)*3/13,0)+0.99)*VLOOKUP((TRUNC(($AN658+0.01)*3/13,0)+0.99),'Tax scales - NAT 3539'!$A$43:$C$69,2,1)-VLOOKUP((TRUNC(($AN658+0.01)*3/13,0)+0.99),'Tax scales - NAT 3539'!$A$43:$C$69,3,1)),0)
*13/3,
0),
IF($E$2="Monthly",
ROUND(
ROUND(((TRUNC($AN658*3/13,0)+0.99)*VLOOKUP((TRUNC($AN658*3/13,0)+0.99),'Tax scales - NAT 3539'!$A$43:$C$69,2,1)-VLOOKUP((TRUNC($AN658*3/13,0)+0.99),'Tax scales - NAT 3539'!$A$43:$C$69,3,1)),0)
*13/3,
0),
""))),
""),
"")</f>
        <v/>
      </c>
      <c r="AW658" s="118" t="str">
        <f>IFERROR(
IF(VLOOKUP($C658,'Employee information'!$B:$M,COLUMNS('Employee information'!$B:$M),0)=33,
IF($E$2="Fortnightly",
ROUND(
ROUND((((TRUNC($AN658/2,0)+0.99))*VLOOKUP((TRUNC($AN658/2,0)+0.99),'Tax scales - NAT 3539'!$A$74:$C$94,2,1)-VLOOKUP((TRUNC($AN658/2,0)+0.99),'Tax scales - NAT 3539'!$A$74:$C$94,3,1)),0)
*2,
0),
IF(AND($E$2="Monthly",ROUND($AN658-TRUNC($AN658),2)=0.33),
ROUND(
ROUND(((TRUNC(($AN658+0.01)*3/13,0)+0.99)*VLOOKUP((TRUNC(($AN658+0.01)*3/13,0)+0.99),'Tax scales - NAT 3539'!$A$74:$C$94,2,1)-VLOOKUP((TRUNC(($AN658+0.01)*3/13,0)+0.99),'Tax scales - NAT 3539'!$A$74:$C$94,3,1)),0)
*13/3,
0),
IF($E$2="Monthly",
ROUND(
ROUND(((TRUNC($AN658*3/13,0)+0.99)*VLOOKUP((TRUNC($AN658*3/13,0)+0.99),'Tax scales - NAT 3539'!$A$74:$C$94,2,1)-VLOOKUP((TRUNC($AN658*3/13,0)+0.99),'Tax scales - NAT 3539'!$A$74:$C$94,3,1)),0)
*13/3,
0),
""))),
""),
"")</f>
        <v/>
      </c>
      <c r="AX658" s="118" t="str">
        <f>IFERROR(
IF(VLOOKUP($C658,'Employee information'!$B:$M,COLUMNS('Employee information'!$B:$M),0)=55,
IF($E$2="Fortnightly",
ROUND(
ROUND((((TRUNC($AN658/2,0)+0.99))*VLOOKUP((TRUNC($AN658/2,0)+0.99),'Tax scales - NAT 3539'!$A$99:$C$123,2,1)-VLOOKUP((TRUNC($AN658/2,0)+0.99),'Tax scales - NAT 3539'!$A$99:$C$123,3,1)),0)
*2,
0),
IF(AND($E$2="Monthly",ROUND($AN658-TRUNC($AN658),2)=0.33),
ROUND(
ROUND(((TRUNC(($AN658+0.01)*3/13,0)+0.99)*VLOOKUP((TRUNC(($AN658+0.01)*3/13,0)+0.99),'Tax scales - NAT 3539'!$A$99:$C$123,2,1)-VLOOKUP((TRUNC(($AN658+0.01)*3/13,0)+0.99),'Tax scales - NAT 3539'!$A$99:$C$123,3,1)),0)
*13/3,
0),
IF($E$2="Monthly",
ROUND(
ROUND(((TRUNC($AN658*3/13,0)+0.99)*VLOOKUP((TRUNC($AN658*3/13,0)+0.99),'Tax scales - NAT 3539'!$A$99:$C$123,2,1)-VLOOKUP((TRUNC($AN658*3/13,0)+0.99),'Tax scales - NAT 3539'!$A$99:$C$123,3,1)),0)
*13/3,
0),
""))),
""),
"")</f>
        <v/>
      </c>
      <c r="AY658" s="118" t="str">
        <f>IFERROR(
IF(VLOOKUP($C658,'Employee information'!$B:$M,COLUMNS('Employee information'!$B:$M),0)=66,
IF($E$2="Fortnightly",
ROUND(
ROUND((((TRUNC($AN658/2,0)+0.99))*VLOOKUP((TRUNC($AN658/2,0)+0.99),'Tax scales - NAT 3539'!$A$127:$C$154,2,1)-VLOOKUP((TRUNC($AN658/2,0)+0.99),'Tax scales - NAT 3539'!$A$127:$C$154,3,1)),0)
*2,
0),
IF(AND($E$2="Monthly",ROUND($AN658-TRUNC($AN658),2)=0.33),
ROUND(
ROUND(((TRUNC(($AN658+0.01)*3/13,0)+0.99)*VLOOKUP((TRUNC(($AN658+0.01)*3/13,0)+0.99),'Tax scales - NAT 3539'!$A$127:$C$154,2,1)-VLOOKUP((TRUNC(($AN658+0.01)*3/13,0)+0.99),'Tax scales - NAT 3539'!$A$127:$C$154,3,1)),0)
*13/3,
0),
IF($E$2="Monthly",
ROUND(
ROUND(((TRUNC($AN658*3/13,0)+0.99)*VLOOKUP((TRUNC($AN658*3/13,0)+0.99),'Tax scales - NAT 3539'!$A$127:$C$154,2,1)-VLOOKUP((TRUNC($AN658*3/13,0)+0.99),'Tax scales - NAT 3539'!$A$127:$C$154,3,1)),0)
*13/3,
0),
""))),
""),
"")</f>
        <v/>
      </c>
      <c r="AZ658" s="118">
        <f>IFERROR(
HLOOKUP(VLOOKUP($C658,'Employee information'!$B:$M,COLUMNS('Employee information'!$B:$M),0),'PAYG worksheet'!$AO$648:$AY$667,COUNTA($C$649:$C658)+1,0),
0)</f>
        <v>0</v>
      </c>
      <c r="BA658" s="118"/>
      <c r="BB658" s="118">
        <f t="shared" si="697"/>
        <v>0</v>
      </c>
      <c r="BC658" s="119">
        <f>IFERROR(
IF(OR($AE658=1,$AE658=""),SUM($P658,$AA658,$AC658,$AK658)*VLOOKUP($C658,'Employee information'!$B:$Q,COLUMNS('Employee information'!$B:$H),0),
IF($AE658=0,SUM($P658,$AA658,$AK658)*VLOOKUP($C658,'Employee information'!$B:$Q,COLUMNS('Employee information'!$B:$H),0),
0)),
0)</f>
        <v>0</v>
      </c>
      <c r="BE658" s="114">
        <f t="shared" si="682"/>
        <v>0</v>
      </c>
      <c r="BF658" s="114">
        <f t="shared" si="683"/>
        <v>0</v>
      </c>
      <c r="BG658" s="114">
        <f t="shared" si="684"/>
        <v>0</v>
      </c>
      <c r="BH658" s="114">
        <f t="shared" si="685"/>
        <v>0</v>
      </c>
      <c r="BI658" s="114">
        <f t="shared" si="686"/>
        <v>0</v>
      </c>
      <c r="BJ658" s="114">
        <f t="shared" si="687"/>
        <v>0</v>
      </c>
      <c r="BK658" s="114">
        <f t="shared" si="688"/>
        <v>0</v>
      </c>
      <c r="BL658" s="114">
        <f t="shared" si="698"/>
        <v>0</v>
      </c>
      <c r="BM658" s="114">
        <f t="shared" si="689"/>
        <v>0</v>
      </c>
    </row>
    <row r="659" spans="1:65" x14ac:dyDescent="0.25">
      <c r="A659" s="228">
        <f t="shared" si="677"/>
        <v>23</v>
      </c>
      <c r="C659" s="278"/>
      <c r="E659" s="103">
        <f>IF($C659="",0,
IF(AND($E$2="Monthly",$A659&gt;12),0,
IF($E$2="Monthly",VLOOKUP($C659,'Employee information'!$B:$AM,COLUMNS('Employee information'!$B:S),0),
IF($E$2="Fortnightly",VLOOKUP($C659,'Employee information'!$B:$AM,COLUMNS('Employee information'!$B:R),0),
0))))</f>
        <v>0</v>
      </c>
      <c r="F659" s="106"/>
      <c r="G659" s="106"/>
      <c r="H659" s="106"/>
      <c r="I659" s="106"/>
      <c r="J659" s="103">
        <f t="shared" si="690"/>
        <v>0</v>
      </c>
      <c r="L659" s="113">
        <f>IF(AND($E$2="Monthly",$A659&gt;12),"",
IFERROR($J659*VLOOKUP($C659,'Employee information'!$B:$AI,COLUMNS('Employee information'!$B:$P),0),0))</f>
        <v>0</v>
      </c>
      <c r="M659" s="114">
        <f t="shared" si="691"/>
        <v>0</v>
      </c>
      <c r="O659" s="103">
        <f t="shared" si="692"/>
        <v>0</v>
      </c>
      <c r="P659" s="113">
        <f>IFERROR(
IF(AND($E$2="Monthly",$A659&gt;12),0,
$O659*VLOOKUP($C659,'Employee information'!$B:$AI,COLUMNS('Employee information'!$B:$P),0)),
0)</f>
        <v>0</v>
      </c>
      <c r="R659" s="114">
        <f t="shared" si="678"/>
        <v>0</v>
      </c>
      <c r="T659" s="103"/>
      <c r="U659" s="103"/>
      <c r="V659" s="282" t="str">
        <f>IF($C659="","",
IF(AND($E$2="Monthly",$A659&gt;12),"",
$T659*VLOOKUP($C659,'Employee information'!$B:$P,COLUMNS('Employee information'!$B:$P),0)))</f>
        <v/>
      </c>
      <c r="W659" s="282" t="str">
        <f>IF($C659="","",
IF(AND($E$2="Monthly",$A659&gt;12),"",
$U659*VLOOKUP($C659,'Employee information'!$B:$P,COLUMNS('Employee information'!$B:$P),0)))</f>
        <v/>
      </c>
      <c r="X659" s="114">
        <f t="shared" si="679"/>
        <v>0</v>
      </c>
      <c r="Y659" s="114">
        <f t="shared" si="680"/>
        <v>0</v>
      </c>
      <c r="AA659" s="118">
        <f>IFERROR(
IF(OR('Basic payroll data'!$D$12="",'Basic payroll data'!$D$12="No"),0,
$T659*VLOOKUP($C659,'Employee information'!$B:$P,COLUMNS('Employee information'!$B:$P),0)*AL_loading_perc),
0)</f>
        <v>0</v>
      </c>
      <c r="AC659" s="118"/>
      <c r="AD659" s="118"/>
      <c r="AE659" s="283" t="str">
        <f t="shared" si="693"/>
        <v/>
      </c>
      <c r="AF659" s="283" t="str">
        <f t="shared" si="694"/>
        <v/>
      </c>
      <c r="AG659" s="118"/>
      <c r="AH659" s="118"/>
      <c r="AI659" s="283" t="str">
        <f t="shared" si="695"/>
        <v/>
      </c>
      <c r="AJ659" s="118"/>
      <c r="AK659" s="118"/>
      <c r="AM659" s="118">
        <f t="shared" si="696"/>
        <v>0</v>
      </c>
      <c r="AN659" s="118">
        <f t="shared" si="681"/>
        <v>0</v>
      </c>
      <c r="AO659" s="118" t="str">
        <f>IFERROR(
IF(VLOOKUP($C659,'Employee information'!$B:$M,COLUMNS('Employee information'!$B:$M),0)=1,
IF($E$2="Fortnightly",
ROUND(
ROUND((((TRUNC($AN659/2,0)+0.99))*VLOOKUP((TRUNC($AN659/2,0)+0.99),'Tax scales - NAT 1004'!$A$12:$C$18,2,1)-VLOOKUP((TRUNC($AN659/2,0)+0.99),'Tax scales - NAT 1004'!$A$12:$C$18,3,1)),0)
*2,
0),
IF(AND($E$2="Monthly",ROUND($AN659-TRUNC($AN659),2)=0.33),
ROUND(
ROUND(((TRUNC(($AN659+0.01)*3/13,0)+0.99)*VLOOKUP((TRUNC(($AN659+0.01)*3/13,0)+0.99),'Tax scales - NAT 1004'!$A$12:$C$18,2,1)-VLOOKUP((TRUNC(($AN659+0.01)*3/13,0)+0.99),'Tax scales - NAT 1004'!$A$12:$C$18,3,1)),0)
*13/3,
0),
IF($E$2="Monthly",
ROUND(
ROUND(((TRUNC($AN659*3/13,0)+0.99)*VLOOKUP((TRUNC($AN659*3/13,0)+0.99),'Tax scales - NAT 1004'!$A$12:$C$18,2,1)-VLOOKUP((TRUNC($AN659*3/13,0)+0.99),'Tax scales - NAT 1004'!$A$12:$C$18,3,1)),0)
*13/3,
0),
""))),
""),
"")</f>
        <v/>
      </c>
      <c r="AP659" s="118" t="str">
        <f>IFERROR(
IF(VLOOKUP($C659,'Employee information'!$B:$M,COLUMNS('Employee information'!$B:$M),0)=2,
IF($E$2="Fortnightly",
ROUND(
ROUND((((TRUNC($AN659/2,0)+0.99))*VLOOKUP((TRUNC($AN659/2,0)+0.99),'Tax scales - NAT 1004'!$A$25:$C$33,2,1)-VLOOKUP((TRUNC($AN659/2,0)+0.99),'Tax scales - NAT 1004'!$A$25:$C$33,3,1)),0)
*2,
0),
IF(AND($E$2="Monthly",ROUND($AN659-TRUNC($AN659),2)=0.33),
ROUND(
ROUND(((TRUNC(($AN659+0.01)*3/13,0)+0.99)*VLOOKUP((TRUNC(($AN659+0.01)*3/13,0)+0.99),'Tax scales - NAT 1004'!$A$25:$C$33,2,1)-VLOOKUP((TRUNC(($AN659+0.01)*3/13,0)+0.99),'Tax scales - NAT 1004'!$A$25:$C$33,3,1)),0)
*13/3,
0),
IF($E$2="Monthly",
ROUND(
ROUND(((TRUNC($AN659*3/13,0)+0.99)*VLOOKUP((TRUNC($AN659*3/13,0)+0.99),'Tax scales - NAT 1004'!$A$25:$C$33,2,1)-VLOOKUP((TRUNC($AN659*3/13,0)+0.99),'Tax scales - NAT 1004'!$A$25:$C$33,3,1)),0)
*13/3,
0),
""))),
""),
"")</f>
        <v/>
      </c>
      <c r="AQ659" s="118" t="str">
        <f>IFERROR(
IF(VLOOKUP($C659,'Employee information'!$B:$M,COLUMNS('Employee information'!$B:$M),0)=3,
IF($E$2="Fortnightly",
ROUND(
ROUND((((TRUNC($AN659/2,0)+0.99))*VLOOKUP((TRUNC($AN659/2,0)+0.99),'Tax scales - NAT 1004'!$A$39:$C$41,2,1)-VLOOKUP((TRUNC($AN659/2,0)+0.99),'Tax scales - NAT 1004'!$A$39:$C$41,3,1)),0)
*2,
0),
IF(AND($E$2="Monthly",ROUND($AN659-TRUNC($AN659),2)=0.33),
ROUND(
ROUND(((TRUNC(($AN659+0.01)*3/13,0)+0.99)*VLOOKUP((TRUNC(($AN659+0.01)*3/13,0)+0.99),'Tax scales - NAT 1004'!$A$39:$C$41,2,1)-VLOOKUP((TRUNC(($AN659+0.01)*3/13,0)+0.99),'Tax scales - NAT 1004'!$A$39:$C$41,3,1)),0)
*13/3,
0),
IF($E$2="Monthly",
ROUND(
ROUND(((TRUNC($AN659*3/13,0)+0.99)*VLOOKUP((TRUNC($AN659*3/13,0)+0.99),'Tax scales - NAT 1004'!$A$39:$C$41,2,1)-VLOOKUP((TRUNC($AN659*3/13,0)+0.99),'Tax scales - NAT 1004'!$A$39:$C$41,3,1)),0)
*13/3,
0),
""))),
""),
"")</f>
        <v/>
      </c>
      <c r="AR659" s="118" t="str">
        <f>IFERROR(
IF(AND(VLOOKUP($C659,'Employee information'!$B:$M,COLUMNS('Employee information'!$B:$M),0)=4,
VLOOKUP($C659,'Employee information'!$B:$J,COLUMNS('Employee information'!$B:$J),0)="Resident"),
TRUNC(TRUNC($AN659)*'Tax scales - NAT 1004'!$B$47),
IF(AND(VLOOKUP($C659,'Employee information'!$B:$M,COLUMNS('Employee information'!$B:$M),0)=4,
VLOOKUP($C659,'Employee information'!$B:$J,COLUMNS('Employee information'!$B:$J),0)="Foreign resident"),
TRUNC(TRUNC($AN659)*'Tax scales - NAT 1004'!$B$48),
"")),
"")</f>
        <v/>
      </c>
      <c r="AS659" s="118" t="str">
        <f>IFERROR(
IF(VLOOKUP($C659,'Employee information'!$B:$M,COLUMNS('Employee information'!$B:$M),0)=5,
IF($E$2="Fortnightly",
ROUND(
ROUND((((TRUNC($AN659/2,0)+0.99))*VLOOKUP((TRUNC($AN659/2,0)+0.99),'Tax scales - NAT 1004'!$A$53:$C$59,2,1)-VLOOKUP((TRUNC($AN659/2,0)+0.99),'Tax scales - NAT 1004'!$A$53:$C$59,3,1)),0)
*2,
0),
IF(AND($E$2="Monthly",ROUND($AN659-TRUNC($AN659),2)=0.33),
ROUND(
ROUND(((TRUNC(($AN659+0.01)*3/13,0)+0.99)*VLOOKUP((TRUNC(($AN659+0.01)*3/13,0)+0.99),'Tax scales - NAT 1004'!$A$53:$C$59,2,1)-VLOOKUP((TRUNC(($AN659+0.01)*3/13,0)+0.99),'Tax scales - NAT 1004'!$A$53:$C$59,3,1)),0)
*13/3,
0),
IF($E$2="Monthly",
ROUND(
ROUND(((TRUNC($AN659*3/13,0)+0.99)*VLOOKUP((TRUNC($AN659*3/13,0)+0.99),'Tax scales - NAT 1004'!$A$53:$C$59,2,1)-VLOOKUP((TRUNC($AN659*3/13,0)+0.99),'Tax scales - NAT 1004'!$A$53:$C$59,3,1)),0)
*13/3,
0),
""))),
""),
"")</f>
        <v/>
      </c>
      <c r="AT659" s="118" t="str">
        <f>IFERROR(
IF(VLOOKUP($C659,'Employee information'!$B:$M,COLUMNS('Employee information'!$B:$M),0)=6,
IF($E$2="Fortnightly",
ROUND(
ROUND((((TRUNC($AN659/2,0)+0.99))*VLOOKUP((TRUNC($AN659/2,0)+0.99),'Tax scales - NAT 1004'!$A$65:$C$73,2,1)-VLOOKUP((TRUNC($AN659/2,0)+0.99),'Tax scales - NAT 1004'!$A$65:$C$73,3,1)),0)
*2,
0),
IF(AND($E$2="Monthly",ROUND($AN659-TRUNC($AN659),2)=0.33),
ROUND(
ROUND(((TRUNC(($AN659+0.01)*3/13,0)+0.99)*VLOOKUP((TRUNC(($AN659+0.01)*3/13,0)+0.99),'Tax scales - NAT 1004'!$A$65:$C$73,2,1)-VLOOKUP((TRUNC(($AN659+0.01)*3/13,0)+0.99),'Tax scales - NAT 1004'!$A$65:$C$73,3,1)),0)
*13/3,
0),
IF($E$2="Monthly",
ROUND(
ROUND(((TRUNC($AN659*3/13,0)+0.99)*VLOOKUP((TRUNC($AN659*3/13,0)+0.99),'Tax scales - NAT 1004'!$A$65:$C$73,2,1)-VLOOKUP((TRUNC($AN659*3/13,0)+0.99),'Tax scales - NAT 1004'!$A$65:$C$73,3,1)),0)
*13/3,
0),
""))),
""),
"")</f>
        <v/>
      </c>
      <c r="AU659" s="118" t="str">
        <f>IFERROR(
IF(VLOOKUP($C659,'Employee information'!$B:$M,COLUMNS('Employee information'!$B:$M),0)=11,
IF($E$2="Fortnightly",
ROUND(
ROUND((((TRUNC($AN659/2,0)+0.99))*VLOOKUP((TRUNC($AN659/2,0)+0.99),'Tax scales - NAT 3539'!$A$14:$C$38,2,1)-VLOOKUP((TRUNC($AN659/2,0)+0.99),'Tax scales - NAT 3539'!$A$14:$C$38,3,1)),0)
*2,
0),
IF(AND($E$2="Monthly",ROUND($AN659-TRUNC($AN659),2)=0.33),
ROUND(
ROUND(((TRUNC(($AN659+0.01)*3/13,0)+0.99)*VLOOKUP((TRUNC(($AN659+0.01)*3/13,0)+0.99),'Tax scales - NAT 3539'!$A$14:$C$38,2,1)-VLOOKUP((TRUNC(($AN659+0.01)*3/13,0)+0.99),'Tax scales - NAT 3539'!$A$14:$C$38,3,1)),0)
*13/3,
0),
IF($E$2="Monthly",
ROUND(
ROUND(((TRUNC($AN659*3/13,0)+0.99)*VLOOKUP((TRUNC($AN659*3/13,0)+0.99),'Tax scales - NAT 3539'!$A$14:$C$38,2,1)-VLOOKUP((TRUNC($AN659*3/13,0)+0.99),'Tax scales - NAT 3539'!$A$14:$C$38,3,1)),0)
*13/3,
0),
""))),
""),
"")</f>
        <v/>
      </c>
      <c r="AV659" s="118" t="str">
        <f>IFERROR(
IF(VLOOKUP($C659,'Employee information'!$B:$M,COLUMNS('Employee information'!$B:$M),0)=22,
IF($E$2="Fortnightly",
ROUND(
ROUND((((TRUNC($AN659/2,0)+0.99))*VLOOKUP((TRUNC($AN659/2,0)+0.99),'Tax scales - NAT 3539'!$A$43:$C$69,2,1)-VLOOKUP((TRUNC($AN659/2,0)+0.99),'Tax scales - NAT 3539'!$A$43:$C$69,3,1)),0)
*2,
0),
IF(AND($E$2="Monthly",ROUND($AN659-TRUNC($AN659),2)=0.33),
ROUND(
ROUND(((TRUNC(($AN659+0.01)*3/13,0)+0.99)*VLOOKUP((TRUNC(($AN659+0.01)*3/13,0)+0.99),'Tax scales - NAT 3539'!$A$43:$C$69,2,1)-VLOOKUP((TRUNC(($AN659+0.01)*3/13,0)+0.99),'Tax scales - NAT 3539'!$A$43:$C$69,3,1)),0)
*13/3,
0),
IF($E$2="Monthly",
ROUND(
ROUND(((TRUNC($AN659*3/13,0)+0.99)*VLOOKUP((TRUNC($AN659*3/13,0)+0.99),'Tax scales - NAT 3539'!$A$43:$C$69,2,1)-VLOOKUP((TRUNC($AN659*3/13,0)+0.99),'Tax scales - NAT 3539'!$A$43:$C$69,3,1)),0)
*13/3,
0),
""))),
""),
"")</f>
        <v/>
      </c>
      <c r="AW659" s="118" t="str">
        <f>IFERROR(
IF(VLOOKUP($C659,'Employee information'!$B:$M,COLUMNS('Employee information'!$B:$M),0)=33,
IF($E$2="Fortnightly",
ROUND(
ROUND((((TRUNC($AN659/2,0)+0.99))*VLOOKUP((TRUNC($AN659/2,0)+0.99),'Tax scales - NAT 3539'!$A$74:$C$94,2,1)-VLOOKUP((TRUNC($AN659/2,0)+0.99),'Tax scales - NAT 3539'!$A$74:$C$94,3,1)),0)
*2,
0),
IF(AND($E$2="Monthly",ROUND($AN659-TRUNC($AN659),2)=0.33),
ROUND(
ROUND(((TRUNC(($AN659+0.01)*3/13,0)+0.99)*VLOOKUP((TRUNC(($AN659+0.01)*3/13,0)+0.99),'Tax scales - NAT 3539'!$A$74:$C$94,2,1)-VLOOKUP((TRUNC(($AN659+0.01)*3/13,0)+0.99),'Tax scales - NAT 3539'!$A$74:$C$94,3,1)),0)
*13/3,
0),
IF($E$2="Monthly",
ROUND(
ROUND(((TRUNC($AN659*3/13,0)+0.99)*VLOOKUP((TRUNC($AN659*3/13,0)+0.99),'Tax scales - NAT 3539'!$A$74:$C$94,2,1)-VLOOKUP((TRUNC($AN659*3/13,0)+0.99),'Tax scales - NAT 3539'!$A$74:$C$94,3,1)),0)
*13/3,
0),
""))),
""),
"")</f>
        <v/>
      </c>
      <c r="AX659" s="118" t="str">
        <f>IFERROR(
IF(VLOOKUP($C659,'Employee information'!$B:$M,COLUMNS('Employee information'!$B:$M),0)=55,
IF($E$2="Fortnightly",
ROUND(
ROUND((((TRUNC($AN659/2,0)+0.99))*VLOOKUP((TRUNC($AN659/2,0)+0.99),'Tax scales - NAT 3539'!$A$99:$C$123,2,1)-VLOOKUP((TRUNC($AN659/2,0)+0.99),'Tax scales - NAT 3539'!$A$99:$C$123,3,1)),0)
*2,
0),
IF(AND($E$2="Monthly",ROUND($AN659-TRUNC($AN659),2)=0.33),
ROUND(
ROUND(((TRUNC(($AN659+0.01)*3/13,0)+0.99)*VLOOKUP((TRUNC(($AN659+0.01)*3/13,0)+0.99),'Tax scales - NAT 3539'!$A$99:$C$123,2,1)-VLOOKUP((TRUNC(($AN659+0.01)*3/13,0)+0.99),'Tax scales - NAT 3539'!$A$99:$C$123,3,1)),0)
*13/3,
0),
IF($E$2="Monthly",
ROUND(
ROUND(((TRUNC($AN659*3/13,0)+0.99)*VLOOKUP((TRUNC($AN659*3/13,0)+0.99),'Tax scales - NAT 3539'!$A$99:$C$123,2,1)-VLOOKUP((TRUNC($AN659*3/13,0)+0.99),'Tax scales - NAT 3539'!$A$99:$C$123,3,1)),0)
*13/3,
0),
""))),
""),
"")</f>
        <v/>
      </c>
      <c r="AY659" s="118" t="str">
        <f>IFERROR(
IF(VLOOKUP($C659,'Employee information'!$B:$M,COLUMNS('Employee information'!$B:$M),0)=66,
IF($E$2="Fortnightly",
ROUND(
ROUND((((TRUNC($AN659/2,0)+0.99))*VLOOKUP((TRUNC($AN659/2,0)+0.99),'Tax scales - NAT 3539'!$A$127:$C$154,2,1)-VLOOKUP((TRUNC($AN659/2,0)+0.99),'Tax scales - NAT 3539'!$A$127:$C$154,3,1)),0)
*2,
0),
IF(AND($E$2="Monthly",ROUND($AN659-TRUNC($AN659),2)=0.33),
ROUND(
ROUND(((TRUNC(($AN659+0.01)*3/13,0)+0.99)*VLOOKUP((TRUNC(($AN659+0.01)*3/13,0)+0.99),'Tax scales - NAT 3539'!$A$127:$C$154,2,1)-VLOOKUP((TRUNC(($AN659+0.01)*3/13,0)+0.99),'Tax scales - NAT 3539'!$A$127:$C$154,3,1)),0)
*13/3,
0),
IF($E$2="Monthly",
ROUND(
ROUND(((TRUNC($AN659*3/13,0)+0.99)*VLOOKUP((TRUNC($AN659*3/13,0)+0.99),'Tax scales - NAT 3539'!$A$127:$C$154,2,1)-VLOOKUP((TRUNC($AN659*3/13,0)+0.99),'Tax scales - NAT 3539'!$A$127:$C$154,3,1)),0)
*13/3,
0),
""))),
""),
"")</f>
        <v/>
      </c>
      <c r="AZ659" s="118">
        <f>IFERROR(
HLOOKUP(VLOOKUP($C659,'Employee information'!$B:$M,COLUMNS('Employee information'!$B:$M),0),'PAYG worksheet'!$AO$648:$AY$667,COUNTA($C$649:$C659)+1,0),
0)</f>
        <v>0</v>
      </c>
      <c r="BA659" s="118"/>
      <c r="BB659" s="118">
        <f t="shared" si="697"/>
        <v>0</v>
      </c>
      <c r="BC659" s="119">
        <f>IFERROR(
IF(OR($AE659=1,$AE659=""),SUM($P659,$AA659,$AC659,$AK659)*VLOOKUP($C659,'Employee information'!$B:$Q,COLUMNS('Employee information'!$B:$H),0),
IF($AE659=0,SUM($P659,$AA659,$AK659)*VLOOKUP($C659,'Employee information'!$B:$Q,COLUMNS('Employee information'!$B:$H),0),
0)),
0)</f>
        <v>0</v>
      </c>
      <c r="BE659" s="114">
        <f t="shared" si="682"/>
        <v>0</v>
      </c>
      <c r="BF659" s="114">
        <f t="shared" si="683"/>
        <v>0</v>
      </c>
      <c r="BG659" s="114">
        <f t="shared" si="684"/>
        <v>0</v>
      </c>
      <c r="BH659" s="114">
        <f t="shared" si="685"/>
        <v>0</v>
      </c>
      <c r="BI659" s="114">
        <f t="shared" si="686"/>
        <v>0</v>
      </c>
      <c r="BJ659" s="114">
        <f t="shared" si="687"/>
        <v>0</v>
      </c>
      <c r="BK659" s="114">
        <f t="shared" si="688"/>
        <v>0</v>
      </c>
      <c r="BL659" s="114">
        <f t="shared" si="698"/>
        <v>0</v>
      </c>
      <c r="BM659" s="114">
        <f t="shared" si="689"/>
        <v>0</v>
      </c>
    </row>
    <row r="660" spans="1:65" x14ac:dyDescent="0.25">
      <c r="A660" s="228">
        <f t="shared" si="677"/>
        <v>23</v>
      </c>
      <c r="C660" s="278"/>
      <c r="E660" s="103">
        <f>IF($C660="",0,
IF(AND($E$2="Monthly",$A660&gt;12),0,
IF($E$2="Monthly",VLOOKUP($C660,'Employee information'!$B:$AM,COLUMNS('Employee information'!$B:S),0),
IF($E$2="Fortnightly",VLOOKUP($C660,'Employee information'!$B:$AM,COLUMNS('Employee information'!$B:R),0),
0))))</f>
        <v>0</v>
      </c>
      <c r="F660" s="106"/>
      <c r="G660" s="106"/>
      <c r="H660" s="106"/>
      <c r="I660" s="106"/>
      <c r="J660" s="103">
        <f t="shared" si="690"/>
        <v>0</v>
      </c>
      <c r="L660" s="113">
        <f>IF(AND($E$2="Monthly",$A660&gt;12),"",
IFERROR($J660*VLOOKUP($C660,'Employee information'!$B:$AI,COLUMNS('Employee information'!$B:$P),0),0))</f>
        <v>0</v>
      </c>
      <c r="M660" s="114">
        <f t="shared" si="691"/>
        <v>0</v>
      </c>
      <c r="O660" s="103">
        <f t="shared" si="692"/>
        <v>0</v>
      </c>
      <c r="P660" s="113">
        <f>IFERROR(
IF(AND($E$2="Monthly",$A660&gt;12),0,
$O660*VLOOKUP($C660,'Employee information'!$B:$AI,COLUMNS('Employee information'!$B:$P),0)),
0)</f>
        <v>0</v>
      </c>
      <c r="R660" s="114">
        <f t="shared" si="678"/>
        <v>0</v>
      </c>
      <c r="T660" s="103"/>
      <c r="U660" s="103"/>
      <c r="V660" s="282" t="str">
        <f>IF($C660="","",
IF(AND($E$2="Monthly",$A660&gt;12),"",
$T660*VLOOKUP($C660,'Employee information'!$B:$P,COLUMNS('Employee information'!$B:$P),0)))</f>
        <v/>
      </c>
      <c r="W660" s="282" t="str">
        <f>IF($C660="","",
IF(AND($E$2="Monthly",$A660&gt;12),"",
$U660*VLOOKUP($C660,'Employee information'!$B:$P,COLUMNS('Employee information'!$B:$P),0)))</f>
        <v/>
      </c>
      <c r="X660" s="114">
        <f t="shared" si="679"/>
        <v>0</v>
      </c>
      <c r="Y660" s="114">
        <f t="shared" si="680"/>
        <v>0</v>
      </c>
      <c r="AA660" s="118">
        <f>IFERROR(
IF(OR('Basic payroll data'!$D$12="",'Basic payroll data'!$D$12="No"),0,
$T660*VLOOKUP($C660,'Employee information'!$B:$P,COLUMNS('Employee information'!$B:$P),0)*AL_loading_perc),
0)</f>
        <v>0</v>
      </c>
      <c r="AC660" s="118"/>
      <c r="AD660" s="118"/>
      <c r="AE660" s="283" t="str">
        <f t="shared" si="693"/>
        <v/>
      </c>
      <c r="AF660" s="283" t="str">
        <f t="shared" si="694"/>
        <v/>
      </c>
      <c r="AG660" s="118"/>
      <c r="AH660" s="118"/>
      <c r="AI660" s="283" t="str">
        <f t="shared" si="695"/>
        <v/>
      </c>
      <c r="AJ660" s="118"/>
      <c r="AK660" s="118"/>
      <c r="AM660" s="118">
        <f t="shared" si="696"/>
        <v>0</v>
      </c>
      <c r="AN660" s="118">
        <f t="shared" si="681"/>
        <v>0</v>
      </c>
      <c r="AO660" s="118" t="str">
        <f>IFERROR(
IF(VLOOKUP($C660,'Employee information'!$B:$M,COLUMNS('Employee information'!$B:$M),0)=1,
IF($E$2="Fortnightly",
ROUND(
ROUND((((TRUNC($AN660/2,0)+0.99))*VLOOKUP((TRUNC($AN660/2,0)+0.99),'Tax scales - NAT 1004'!$A$12:$C$18,2,1)-VLOOKUP((TRUNC($AN660/2,0)+0.99),'Tax scales - NAT 1004'!$A$12:$C$18,3,1)),0)
*2,
0),
IF(AND($E$2="Monthly",ROUND($AN660-TRUNC($AN660),2)=0.33),
ROUND(
ROUND(((TRUNC(($AN660+0.01)*3/13,0)+0.99)*VLOOKUP((TRUNC(($AN660+0.01)*3/13,0)+0.99),'Tax scales - NAT 1004'!$A$12:$C$18,2,1)-VLOOKUP((TRUNC(($AN660+0.01)*3/13,0)+0.99),'Tax scales - NAT 1004'!$A$12:$C$18,3,1)),0)
*13/3,
0),
IF($E$2="Monthly",
ROUND(
ROUND(((TRUNC($AN660*3/13,0)+0.99)*VLOOKUP((TRUNC($AN660*3/13,0)+0.99),'Tax scales - NAT 1004'!$A$12:$C$18,2,1)-VLOOKUP((TRUNC($AN660*3/13,0)+0.99),'Tax scales - NAT 1004'!$A$12:$C$18,3,1)),0)
*13/3,
0),
""))),
""),
"")</f>
        <v/>
      </c>
      <c r="AP660" s="118" t="str">
        <f>IFERROR(
IF(VLOOKUP($C660,'Employee information'!$B:$M,COLUMNS('Employee information'!$B:$M),0)=2,
IF($E$2="Fortnightly",
ROUND(
ROUND((((TRUNC($AN660/2,0)+0.99))*VLOOKUP((TRUNC($AN660/2,0)+0.99),'Tax scales - NAT 1004'!$A$25:$C$33,2,1)-VLOOKUP((TRUNC($AN660/2,0)+0.99),'Tax scales - NAT 1004'!$A$25:$C$33,3,1)),0)
*2,
0),
IF(AND($E$2="Monthly",ROUND($AN660-TRUNC($AN660),2)=0.33),
ROUND(
ROUND(((TRUNC(($AN660+0.01)*3/13,0)+0.99)*VLOOKUP((TRUNC(($AN660+0.01)*3/13,0)+0.99),'Tax scales - NAT 1004'!$A$25:$C$33,2,1)-VLOOKUP((TRUNC(($AN660+0.01)*3/13,0)+0.99),'Tax scales - NAT 1004'!$A$25:$C$33,3,1)),0)
*13/3,
0),
IF($E$2="Monthly",
ROUND(
ROUND(((TRUNC($AN660*3/13,0)+0.99)*VLOOKUP((TRUNC($AN660*3/13,0)+0.99),'Tax scales - NAT 1004'!$A$25:$C$33,2,1)-VLOOKUP((TRUNC($AN660*3/13,0)+0.99),'Tax scales - NAT 1004'!$A$25:$C$33,3,1)),0)
*13/3,
0),
""))),
""),
"")</f>
        <v/>
      </c>
      <c r="AQ660" s="118" t="str">
        <f>IFERROR(
IF(VLOOKUP($C660,'Employee information'!$B:$M,COLUMNS('Employee information'!$B:$M),0)=3,
IF($E$2="Fortnightly",
ROUND(
ROUND((((TRUNC($AN660/2,0)+0.99))*VLOOKUP((TRUNC($AN660/2,0)+0.99),'Tax scales - NAT 1004'!$A$39:$C$41,2,1)-VLOOKUP((TRUNC($AN660/2,0)+0.99),'Tax scales - NAT 1004'!$A$39:$C$41,3,1)),0)
*2,
0),
IF(AND($E$2="Monthly",ROUND($AN660-TRUNC($AN660),2)=0.33),
ROUND(
ROUND(((TRUNC(($AN660+0.01)*3/13,0)+0.99)*VLOOKUP((TRUNC(($AN660+0.01)*3/13,0)+0.99),'Tax scales - NAT 1004'!$A$39:$C$41,2,1)-VLOOKUP((TRUNC(($AN660+0.01)*3/13,0)+0.99),'Tax scales - NAT 1004'!$A$39:$C$41,3,1)),0)
*13/3,
0),
IF($E$2="Monthly",
ROUND(
ROUND(((TRUNC($AN660*3/13,0)+0.99)*VLOOKUP((TRUNC($AN660*3/13,0)+0.99),'Tax scales - NAT 1004'!$A$39:$C$41,2,1)-VLOOKUP((TRUNC($AN660*3/13,0)+0.99),'Tax scales - NAT 1004'!$A$39:$C$41,3,1)),0)
*13/3,
0),
""))),
""),
"")</f>
        <v/>
      </c>
      <c r="AR660" s="118" t="str">
        <f>IFERROR(
IF(AND(VLOOKUP($C660,'Employee information'!$B:$M,COLUMNS('Employee information'!$B:$M),0)=4,
VLOOKUP($C660,'Employee information'!$B:$J,COLUMNS('Employee information'!$B:$J),0)="Resident"),
TRUNC(TRUNC($AN660)*'Tax scales - NAT 1004'!$B$47),
IF(AND(VLOOKUP($C660,'Employee information'!$B:$M,COLUMNS('Employee information'!$B:$M),0)=4,
VLOOKUP($C660,'Employee information'!$B:$J,COLUMNS('Employee information'!$B:$J),0)="Foreign resident"),
TRUNC(TRUNC($AN660)*'Tax scales - NAT 1004'!$B$48),
"")),
"")</f>
        <v/>
      </c>
      <c r="AS660" s="118" t="str">
        <f>IFERROR(
IF(VLOOKUP($C660,'Employee information'!$B:$M,COLUMNS('Employee information'!$B:$M),0)=5,
IF($E$2="Fortnightly",
ROUND(
ROUND((((TRUNC($AN660/2,0)+0.99))*VLOOKUP((TRUNC($AN660/2,0)+0.99),'Tax scales - NAT 1004'!$A$53:$C$59,2,1)-VLOOKUP((TRUNC($AN660/2,0)+0.99),'Tax scales - NAT 1004'!$A$53:$C$59,3,1)),0)
*2,
0),
IF(AND($E$2="Monthly",ROUND($AN660-TRUNC($AN660),2)=0.33),
ROUND(
ROUND(((TRUNC(($AN660+0.01)*3/13,0)+0.99)*VLOOKUP((TRUNC(($AN660+0.01)*3/13,0)+0.99),'Tax scales - NAT 1004'!$A$53:$C$59,2,1)-VLOOKUP((TRUNC(($AN660+0.01)*3/13,0)+0.99),'Tax scales - NAT 1004'!$A$53:$C$59,3,1)),0)
*13/3,
0),
IF($E$2="Monthly",
ROUND(
ROUND(((TRUNC($AN660*3/13,0)+0.99)*VLOOKUP((TRUNC($AN660*3/13,0)+0.99),'Tax scales - NAT 1004'!$A$53:$C$59,2,1)-VLOOKUP((TRUNC($AN660*3/13,0)+0.99),'Tax scales - NAT 1004'!$A$53:$C$59,3,1)),0)
*13/3,
0),
""))),
""),
"")</f>
        <v/>
      </c>
      <c r="AT660" s="118" t="str">
        <f>IFERROR(
IF(VLOOKUP($C660,'Employee information'!$B:$M,COLUMNS('Employee information'!$B:$M),0)=6,
IF($E$2="Fortnightly",
ROUND(
ROUND((((TRUNC($AN660/2,0)+0.99))*VLOOKUP((TRUNC($AN660/2,0)+0.99),'Tax scales - NAT 1004'!$A$65:$C$73,2,1)-VLOOKUP((TRUNC($AN660/2,0)+0.99),'Tax scales - NAT 1004'!$A$65:$C$73,3,1)),0)
*2,
0),
IF(AND($E$2="Monthly",ROUND($AN660-TRUNC($AN660),2)=0.33),
ROUND(
ROUND(((TRUNC(($AN660+0.01)*3/13,0)+0.99)*VLOOKUP((TRUNC(($AN660+0.01)*3/13,0)+0.99),'Tax scales - NAT 1004'!$A$65:$C$73,2,1)-VLOOKUP((TRUNC(($AN660+0.01)*3/13,0)+0.99),'Tax scales - NAT 1004'!$A$65:$C$73,3,1)),0)
*13/3,
0),
IF($E$2="Monthly",
ROUND(
ROUND(((TRUNC($AN660*3/13,0)+0.99)*VLOOKUP((TRUNC($AN660*3/13,0)+0.99),'Tax scales - NAT 1004'!$A$65:$C$73,2,1)-VLOOKUP((TRUNC($AN660*3/13,0)+0.99),'Tax scales - NAT 1004'!$A$65:$C$73,3,1)),0)
*13/3,
0),
""))),
""),
"")</f>
        <v/>
      </c>
      <c r="AU660" s="118" t="str">
        <f>IFERROR(
IF(VLOOKUP($C660,'Employee information'!$B:$M,COLUMNS('Employee information'!$B:$M),0)=11,
IF($E$2="Fortnightly",
ROUND(
ROUND((((TRUNC($AN660/2,0)+0.99))*VLOOKUP((TRUNC($AN660/2,0)+0.99),'Tax scales - NAT 3539'!$A$14:$C$38,2,1)-VLOOKUP((TRUNC($AN660/2,0)+0.99),'Tax scales - NAT 3539'!$A$14:$C$38,3,1)),0)
*2,
0),
IF(AND($E$2="Monthly",ROUND($AN660-TRUNC($AN660),2)=0.33),
ROUND(
ROUND(((TRUNC(($AN660+0.01)*3/13,0)+0.99)*VLOOKUP((TRUNC(($AN660+0.01)*3/13,0)+0.99),'Tax scales - NAT 3539'!$A$14:$C$38,2,1)-VLOOKUP((TRUNC(($AN660+0.01)*3/13,0)+0.99),'Tax scales - NAT 3539'!$A$14:$C$38,3,1)),0)
*13/3,
0),
IF($E$2="Monthly",
ROUND(
ROUND(((TRUNC($AN660*3/13,0)+0.99)*VLOOKUP((TRUNC($AN660*3/13,0)+0.99),'Tax scales - NAT 3539'!$A$14:$C$38,2,1)-VLOOKUP((TRUNC($AN660*3/13,0)+0.99),'Tax scales - NAT 3539'!$A$14:$C$38,3,1)),0)
*13/3,
0),
""))),
""),
"")</f>
        <v/>
      </c>
      <c r="AV660" s="118" t="str">
        <f>IFERROR(
IF(VLOOKUP($C660,'Employee information'!$B:$M,COLUMNS('Employee information'!$B:$M),0)=22,
IF($E$2="Fortnightly",
ROUND(
ROUND((((TRUNC($AN660/2,0)+0.99))*VLOOKUP((TRUNC($AN660/2,0)+0.99),'Tax scales - NAT 3539'!$A$43:$C$69,2,1)-VLOOKUP((TRUNC($AN660/2,0)+0.99),'Tax scales - NAT 3539'!$A$43:$C$69,3,1)),0)
*2,
0),
IF(AND($E$2="Monthly",ROUND($AN660-TRUNC($AN660),2)=0.33),
ROUND(
ROUND(((TRUNC(($AN660+0.01)*3/13,0)+0.99)*VLOOKUP((TRUNC(($AN660+0.01)*3/13,0)+0.99),'Tax scales - NAT 3539'!$A$43:$C$69,2,1)-VLOOKUP((TRUNC(($AN660+0.01)*3/13,0)+0.99),'Tax scales - NAT 3539'!$A$43:$C$69,3,1)),0)
*13/3,
0),
IF($E$2="Monthly",
ROUND(
ROUND(((TRUNC($AN660*3/13,0)+0.99)*VLOOKUP((TRUNC($AN660*3/13,0)+0.99),'Tax scales - NAT 3539'!$A$43:$C$69,2,1)-VLOOKUP((TRUNC($AN660*3/13,0)+0.99),'Tax scales - NAT 3539'!$A$43:$C$69,3,1)),0)
*13/3,
0),
""))),
""),
"")</f>
        <v/>
      </c>
      <c r="AW660" s="118" t="str">
        <f>IFERROR(
IF(VLOOKUP($C660,'Employee information'!$B:$M,COLUMNS('Employee information'!$B:$M),0)=33,
IF($E$2="Fortnightly",
ROUND(
ROUND((((TRUNC($AN660/2,0)+0.99))*VLOOKUP((TRUNC($AN660/2,0)+0.99),'Tax scales - NAT 3539'!$A$74:$C$94,2,1)-VLOOKUP((TRUNC($AN660/2,0)+0.99),'Tax scales - NAT 3539'!$A$74:$C$94,3,1)),0)
*2,
0),
IF(AND($E$2="Monthly",ROUND($AN660-TRUNC($AN660),2)=0.33),
ROUND(
ROUND(((TRUNC(($AN660+0.01)*3/13,0)+0.99)*VLOOKUP((TRUNC(($AN660+0.01)*3/13,0)+0.99),'Tax scales - NAT 3539'!$A$74:$C$94,2,1)-VLOOKUP((TRUNC(($AN660+0.01)*3/13,0)+0.99),'Tax scales - NAT 3539'!$A$74:$C$94,3,1)),0)
*13/3,
0),
IF($E$2="Monthly",
ROUND(
ROUND(((TRUNC($AN660*3/13,0)+0.99)*VLOOKUP((TRUNC($AN660*3/13,0)+0.99),'Tax scales - NAT 3539'!$A$74:$C$94,2,1)-VLOOKUP((TRUNC($AN660*3/13,0)+0.99),'Tax scales - NAT 3539'!$A$74:$C$94,3,1)),0)
*13/3,
0),
""))),
""),
"")</f>
        <v/>
      </c>
      <c r="AX660" s="118" t="str">
        <f>IFERROR(
IF(VLOOKUP($C660,'Employee information'!$B:$M,COLUMNS('Employee information'!$B:$M),0)=55,
IF($E$2="Fortnightly",
ROUND(
ROUND((((TRUNC($AN660/2,0)+0.99))*VLOOKUP((TRUNC($AN660/2,0)+0.99),'Tax scales - NAT 3539'!$A$99:$C$123,2,1)-VLOOKUP((TRUNC($AN660/2,0)+0.99),'Tax scales - NAT 3539'!$A$99:$C$123,3,1)),0)
*2,
0),
IF(AND($E$2="Monthly",ROUND($AN660-TRUNC($AN660),2)=0.33),
ROUND(
ROUND(((TRUNC(($AN660+0.01)*3/13,0)+0.99)*VLOOKUP((TRUNC(($AN660+0.01)*3/13,0)+0.99),'Tax scales - NAT 3539'!$A$99:$C$123,2,1)-VLOOKUP((TRUNC(($AN660+0.01)*3/13,0)+0.99),'Tax scales - NAT 3539'!$A$99:$C$123,3,1)),0)
*13/3,
0),
IF($E$2="Monthly",
ROUND(
ROUND(((TRUNC($AN660*3/13,0)+0.99)*VLOOKUP((TRUNC($AN660*3/13,0)+0.99),'Tax scales - NAT 3539'!$A$99:$C$123,2,1)-VLOOKUP((TRUNC($AN660*3/13,0)+0.99),'Tax scales - NAT 3539'!$A$99:$C$123,3,1)),0)
*13/3,
0),
""))),
""),
"")</f>
        <v/>
      </c>
      <c r="AY660" s="118" t="str">
        <f>IFERROR(
IF(VLOOKUP($C660,'Employee information'!$B:$M,COLUMNS('Employee information'!$B:$M),0)=66,
IF($E$2="Fortnightly",
ROUND(
ROUND((((TRUNC($AN660/2,0)+0.99))*VLOOKUP((TRUNC($AN660/2,0)+0.99),'Tax scales - NAT 3539'!$A$127:$C$154,2,1)-VLOOKUP((TRUNC($AN660/2,0)+0.99),'Tax scales - NAT 3539'!$A$127:$C$154,3,1)),0)
*2,
0),
IF(AND($E$2="Monthly",ROUND($AN660-TRUNC($AN660),2)=0.33),
ROUND(
ROUND(((TRUNC(($AN660+0.01)*3/13,0)+0.99)*VLOOKUP((TRUNC(($AN660+0.01)*3/13,0)+0.99),'Tax scales - NAT 3539'!$A$127:$C$154,2,1)-VLOOKUP((TRUNC(($AN660+0.01)*3/13,0)+0.99),'Tax scales - NAT 3539'!$A$127:$C$154,3,1)),0)
*13/3,
0),
IF($E$2="Monthly",
ROUND(
ROUND(((TRUNC($AN660*3/13,0)+0.99)*VLOOKUP((TRUNC($AN660*3/13,0)+0.99),'Tax scales - NAT 3539'!$A$127:$C$154,2,1)-VLOOKUP((TRUNC($AN660*3/13,0)+0.99),'Tax scales - NAT 3539'!$A$127:$C$154,3,1)),0)
*13/3,
0),
""))),
""),
"")</f>
        <v/>
      </c>
      <c r="AZ660" s="118">
        <f>IFERROR(
HLOOKUP(VLOOKUP($C660,'Employee information'!$B:$M,COLUMNS('Employee information'!$B:$M),0),'PAYG worksheet'!$AO$648:$AY$667,COUNTA($C$649:$C660)+1,0),
0)</f>
        <v>0</v>
      </c>
      <c r="BA660" s="118"/>
      <c r="BB660" s="118">
        <f t="shared" si="697"/>
        <v>0</v>
      </c>
      <c r="BC660" s="119">
        <f>IFERROR(
IF(OR($AE660=1,$AE660=""),SUM($P660,$AA660,$AC660,$AK660)*VLOOKUP($C660,'Employee information'!$B:$Q,COLUMNS('Employee information'!$B:$H),0),
IF($AE660=0,SUM($P660,$AA660,$AK660)*VLOOKUP($C660,'Employee information'!$B:$Q,COLUMNS('Employee information'!$B:$H),0),
0)),
0)</f>
        <v>0</v>
      </c>
      <c r="BE660" s="114">
        <f t="shared" si="682"/>
        <v>0</v>
      </c>
      <c r="BF660" s="114">
        <f t="shared" si="683"/>
        <v>0</v>
      </c>
      <c r="BG660" s="114">
        <f t="shared" si="684"/>
        <v>0</v>
      </c>
      <c r="BH660" s="114">
        <f t="shared" si="685"/>
        <v>0</v>
      </c>
      <c r="BI660" s="114">
        <f t="shared" si="686"/>
        <v>0</v>
      </c>
      <c r="BJ660" s="114">
        <f t="shared" si="687"/>
        <v>0</v>
      </c>
      <c r="BK660" s="114">
        <f t="shared" si="688"/>
        <v>0</v>
      </c>
      <c r="BL660" s="114">
        <f t="shared" si="698"/>
        <v>0</v>
      </c>
      <c r="BM660" s="114">
        <f t="shared" si="689"/>
        <v>0</v>
      </c>
    </row>
    <row r="661" spans="1:65" x14ac:dyDescent="0.25">
      <c r="A661" s="228">
        <f t="shared" si="677"/>
        <v>23</v>
      </c>
      <c r="C661" s="278"/>
      <c r="E661" s="103">
        <f>IF($C661="",0,
IF(AND($E$2="Monthly",$A661&gt;12),0,
IF($E$2="Monthly",VLOOKUP($C661,'Employee information'!$B:$AM,COLUMNS('Employee information'!$B:S),0),
IF($E$2="Fortnightly",VLOOKUP($C661,'Employee information'!$B:$AM,COLUMNS('Employee information'!$B:R),0),
0))))</f>
        <v>0</v>
      </c>
      <c r="F661" s="106"/>
      <c r="G661" s="106"/>
      <c r="H661" s="106"/>
      <c r="I661" s="106"/>
      <c r="J661" s="103">
        <f t="shared" si="690"/>
        <v>0</v>
      </c>
      <c r="L661" s="113">
        <f>IF(AND($E$2="Monthly",$A661&gt;12),"",
IFERROR($J661*VLOOKUP($C661,'Employee information'!$B:$AI,COLUMNS('Employee information'!$B:$P),0),0))</f>
        <v>0</v>
      </c>
      <c r="M661" s="114">
        <f t="shared" si="691"/>
        <v>0</v>
      </c>
      <c r="O661" s="103">
        <f t="shared" si="692"/>
        <v>0</v>
      </c>
      <c r="P661" s="113">
        <f>IFERROR(
IF(AND($E$2="Monthly",$A661&gt;12),0,
$O661*VLOOKUP($C661,'Employee information'!$B:$AI,COLUMNS('Employee information'!$B:$P),0)),
0)</f>
        <v>0</v>
      </c>
      <c r="R661" s="114">
        <f t="shared" si="678"/>
        <v>0</v>
      </c>
      <c r="T661" s="103"/>
      <c r="U661" s="103"/>
      <c r="V661" s="282" t="str">
        <f>IF($C661="","",
IF(AND($E$2="Monthly",$A661&gt;12),"",
$T661*VLOOKUP($C661,'Employee information'!$B:$P,COLUMNS('Employee information'!$B:$P),0)))</f>
        <v/>
      </c>
      <c r="W661" s="282" t="str">
        <f>IF($C661="","",
IF(AND($E$2="Monthly",$A661&gt;12),"",
$U661*VLOOKUP($C661,'Employee information'!$B:$P,COLUMNS('Employee information'!$B:$P),0)))</f>
        <v/>
      </c>
      <c r="X661" s="114">
        <f t="shared" si="679"/>
        <v>0</v>
      </c>
      <c r="Y661" s="114">
        <f t="shared" si="680"/>
        <v>0</v>
      </c>
      <c r="AA661" s="118">
        <f>IFERROR(
IF(OR('Basic payroll data'!$D$12="",'Basic payroll data'!$D$12="No"),0,
$T661*VLOOKUP($C661,'Employee information'!$B:$P,COLUMNS('Employee information'!$B:$P),0)*AL_loading_perc),
0)</f>
        <v>0</v>
      </c>
      <c r="AC661" s="118"/>
      <c r="AD661" s="118"/>
      <c r="AE661" s="283" t="str">
        <f t="shared" si="693"/>
        <v/>
      </c>
      <c r="AF661" s="283" t="str">
        <f t="shared" si="694"/>
        <v/>
      </c>
      <c r="AG661" s="118"/>
      <c r="AH661" s="118"/>
      <c r="AI661" s="283" t="str">
        <f t="shared" si="695"/>
        <v/>
      </c>
      <c r="AJ661" s="118"/>
      <c r="AK661" s="118"/>
      <c r="AM661" s="118">
        <f t="shared" si="696"/>
        <v>0</v>
      </c>
      <c r="AN661" s="118">
        <f t="shared" si="681"/>
        <v>0</v>
      </c>
      <c r="AO661" s="118" t="str">
        <f>IFERROR(
IF(VLOOKUP($C661,'Employee information'!$B:$M,COLUMNS('Employee information'!$B:$M),0)=1,
IF($E$2="Fortnightly",
ROUND(
ROUND((((TRUNC($AN661/2,0)+0.99))*VLOOKUP((TRUNC($AN661/2,0)+0.99),'Tax scales - NAT 1004'!$A$12:$C$18,2,1)-VLOOKUP((TRUNC($AN661/2,0)+0.99),'Tax scales - NAT 1004'!$A$12:$C$18,3,1)),0)
*2,
0),
IF(AND($E$2="Monthly",ROUND($AN661-TRUNC($AN661),2)=0.33),
ROUND(
ROUND(((TRUNC(($AN661+0.01)*3/13,0)+0.99)*VLOOKUP((TRUNC(($AN661+0.01)*3/13,0)+0.99),'Tax scales - NAT 1004'!$A$12:$C$18,2,1)-VLOOKUP((TRUNC(($AN661+0.01)*3/13,0)+0.99),'Tax scales - NAT 1004'!$A$12:$C$18,3,1)),0)
*13/3,
0),
IF($E$2="Monthly",
ROUND(
ROUND(((TRUNC($AN661*3/13,0)+0.99)*VLOOKUP((TRUNC($AN661*3/13,0)+0.99),'Tax scales - NAT 1004'!$A$12:$C$18,2,1)-VLOOKUP((TRUNC($AN661*3/13,0)+0.99),'Tax scales - NAT 1004'!$A$12:$C$18,3,1)),0)
*13/3,
0),
""))),
""),
"")</f>
        <v/>
      </c>
      <c r="AP661" s="118" t="str">
        <f>IFERROR(
IF(VLOOKUP($C661,'Employee information'!$B:$M,COLUMNS('Employee information'!$B:$M),0)=2,
IF($E$2="Fortnightly",
ROUND(
ROUND((((TRUNC($AN661/2,0)+0.99))*VLOOKUP((TRUNC($AN661/2,0)+0.99),'Tax scales - NAT 1004'!$A$25:$C$33,2,1)-VLOOKUP((TRUNC($AN661/2,0)+0.99),'Tax scales - NAT 1004'!$A$25:$C$33,3,1)),0)
*2,
0),
IF(AND($E$2="Monthly",ROUND($AN661-TRUNC($AN661),2)=0.33),
ROUND(
ROUND(((TRUNC(($AN661+0.01)*3/13,0)+0.99)*VLOOKUP((TRUNC(($AN661+0.01)*3/13,0)+0.99),'Tax scales - NAT 1004'!$A$25:$C$33,2,1)-VLOOKUP((TRUNC(($AN661+0.01)*3/13,0)+0.99),'Tax scales - NAT 1004'!$A$25:$C$33,3,1)),0)
*13/3,
0),
IF($E$2="Monthly",
ROUND(
ROUND(((TRUNC($AN661*3/13,0)+0.99)*VLOOKUP((TRUNC($AN661*3/13,0)+0.99),'Tax scales - NAT 1004'!$A$25:$C$33,2,1)-VLOOKUP((TRUNC($AN661*3/13,0)+0.99),'Tax scales - NAT 1004'!$A$25:$C$33,3,1)),0)
*13/3,
0),
""))),
""),
"")</f>
        <v/>
      </c>
      <c r="AQ661" s="118" t="str">
        <f>IFERROR(
IF(VLOOKUP($C661,'Employee information'!$B:$M,COLUMNS('Employee information'!$B:$M),0)=3,
IF($E$2="Fortnightly",
ROUND(
ROUND((((TRUNC($AN661/2,0)+0.99))*VLOOKUP((TRUNC($AN661/2,0)+0.99),'Tax scales - NAT 1004'!$A$39:$C$41,2,1)-VLOOKUP((TRUNC($AN661/2,0)+0.99),'Tax scales - NAT 1004'!$A$39:$C$41,3,1)),0)
*2,
0),
IF(AND($E$2="Monthly",ROUND($AN661-TRUNC($AN661),2)=0.33),
ROUND(
ROUND(((TRUNC(($AN661+0.01)*3/13,0)+0.99)*VLOOKUP((TRUNC(($AN661+0.01)*3/13,0)+0.99),'Tax scales - NAT 1004'!$A$39:$C$41,2,1)-VLOOKUP((TRUNC(($AN661+0.01)*3/13,0)+0.99),'Tax scales - NAT 1004'!$A$39:$C$41,3,1)),0)
*13/3,
0),
IF($E$2="Monthly",
ROUND(
ROUND(((TRUNC($AN661*3/13,0)+0.99)*VLOOKUP((TRUNC($AN661*3/13,0)+0.99),'Tax scales - NAT 1004'!$A$39:$C$41,2,1)-VLOOKUP((TRUNC($AN661*3/13,0)+0.99),'Tax scales - NAT 1004'!$A$39:$C$41,3,1)),0)
*13/3,
0),
""))),
""),
"")</f>
        <v/>
      </c>
      <c r="AR661" s="118" t="str">
        <f>IFERROR(
IF(AND(VLOOKUP($C661,'Employee information'!$B:$M,COLUMNS('Employee information'!$B:$M),0)=4,
VLOOKUP($C661,'Employee information'!$B:$J,COLUMNS('Employee information'!$B:$J),0)="Resident"),
TRUNC(TRUNC($AN661)*'Tax scales - NAT 1004'!$B$47),
IF(AND(VLOOKUP($C661,'Employee information'!$B:$M,COLUMNS('Employee information'!$B:$M),0)=4,
VLOOKUP($C661,'Employee information'!$B:$J,COLUMNS('Employee information'!$B:$J),0)="Foreign resident"),
TRUNC(TRUNC($AN661)*'Tax scales - NAT 1004'!$B$48),
"")),
"")</f>
        <v/>
      </c>
      <c r="AS661" s="118" t="str">
        <f>IFERROR(
IF(VLOOKUP($C661,'Employee information'!$B:$M,COLUMNS('Employee information'!$B:$M),0)=5,
IF($E$2="Fortnightly",
ROUND(
ROUND((((TRUNC($AN661/2,0)+0.99))*VLOOKUP((TRUNC($AN661/2,0)+0.99),'Tax scales - NAT 1004'!$A$53:$C$59,2,1)-VLOOKUP((TRUNC($AN661/2,0)+0.99),'Tax scales - NAT 1004'!$A$53:$C$59,3,1)),0)
*2,
0),
IF(AND($E$2="Monthly",ROUND($AN661-TRUNC($AN661),2)=0.33),
ROUND(
ROUND(((TRUNC(($AN661+0.01)*3/13,0)+0.99)*VLOOKUP((TRUNC(($AN661+0.01)*3/13,0)+0.99),'Tax scales - NAT 1004'!$A$53:$C$59,2,1)-VLOOKUP((TRUNC(($AN661+0.01)*3/13,0)+0.99),'Tax scales - NAT 1004'!$A$53:$C$59,3,1)),0)
*13/3,
0),
IF($E$2="Monthly",
ROUND(
ROUND(((TRUNC($AN661*3/13,0)+0.99)*VLOOKUP((TRUNC($AN661*3/13,0)+0.99),'Tax scales - NAT 1004'!$A$53:$C$59,2,1)-VLOOKUP((TRUNC($AN661*3/13,0)+0.99),'Tax scales - NAT 1004'!$A$53:$C$59,3,1)),0)
*13/3,
0),
""))),
""),
"")</f>
        <v/>
      </c>
      <c r="AT661" s="118" t="str">
        <f>IFERROR(
IF(VLOOKUP($C661,'Employee information'!$B:$M,COLUMNS('Employee information'!$B:$M),0)=6,
IF($E$2="Fortnightly",
ROUND(
ROUND((((TRUNC($AN661/2,0)+0.99))*VLOOKUP((TRUNC($AN661/2,0)+0.99),'Tax scales - NAT 1004'!$A$65:$C$73,2,1)-VLOOKUP((TRUNC($AN661/2,0)+0.99),'Tax scales - NAT 1004'!$A$65:$C$73,3,1)),0)
*2,
0),
IF(AND($E$2="Monthly",ROUND($AN661-TRUNC($AN661),2)=0.33),
ROUND(
ROUND(((TRUNC(($AN661+0.01)*3/13,0)+0.99)*VLOOKUP((TRUNC(($AN661+0.01)*3/13,0)+0.99),'Tax scales - NAT 1004'!$A$65:$C$73,2,1)-VLOOKUP((TRUNC(($AN661+0.01)*3/13,0)+0.99),'Tax scales - NAT 1004'!$A$65:$C$73,3,1)),0)
*13/3,
0),
IF($E$2="Monthly",
ROUND(
ROUND(((TRUNC($AN661*3/13,0)+0.99)*VLOOKUP((TRUNC($AN661*3/13,0)+0.99),'Tax scales - NAT 1004'!$A$65:$C$73,2,1)-VLOOKUP((TRUNC($AN661*3/13,0)+0.99),'Tax scales - NAT 1004'!$A$65:$C$73,3,1)),0)
*13/3,
0),
""))),
""),
"")</f>
        <v/>
      </c>
      <c r="AU661" s="118" t="str">
        <f>IFERROR(
IF(VLOOKUP($C661,'Employee information'!$B:$M,COLUMNS('Employee information'!$B:$M),0)=11,
IF($E$2="Fortnightly",
ROUND(
ROUND((((TRUNC($AN661/2,0)+0.99))*VLOOKUP((TRUNC($AN661/2,0)+0.99),'Tax scales - NAT 3539'!$A$14:$C$38,2,1)-VLOOKUP((TRUNC($AN661/2,0)+0.99),'Tax scales - NAT 3539'!$A$14:$C$38,3,1)),0)
*2,
0),
IF(AND($E$2="Monthly",ROUND($AN661-TRUNC($AN661),2)=0.33),
ROUND(
ROUND(((TRUNC(($AN661+0.01)*3/13,0)+0.99)*VLOOKUP((TRUNC(($AN661+0.01)*3/13,0)+0.99),'Tax scales - NAT 3539'!$A$14:$C$38,2,1)-VLOOKUP((TRUNC(($AN661+0.01)*3/13,0)+0.99),'Tax scales - NAT 3539'!$A$14:$C$38,3,1)),0)
*13/3,
0),
IF($E$2="Monthly",
ROUND(
ROUND(((TRUNC($AN661*3/13,0)+0.99)*VLOOKUP((TRUNC($AN661*3/13,0)+0.99),'Tax scales - NAT 3539'!$A$14:$C$38,2,1)-VLOOKUP((TRUNC($AN661*3/13,0)+0.99),'Tax scales - NAT 3539'!$A$14:$C$38,3,1)),0)
*13/3,
0),
""))),
""),
"")</f>
        <v/>
      </c>
      <c r="AV661" s="118" t="str">
        <f>IFERROR(
IF(VLOOKUP($C661,'Employee information'!$B:$M,COLUMNS('Employee information'!$B:$M),0)=22,
IF($E$2="Fortnightly",
ROUND(
ROUND((((TRUNC($AN661/2,0)+0.99))*VLOOKUP((TRUNC($AN661/2,0)+0.99),'Tax scales - NAT 3539'!$A$43:$C$69,2,1)-VLOOKUP((TRUNC($AN661/2,0)+0.99),'Tax scales - NAT 3539'!$A$43:$C$69,3,1)),0)
*2,
0),
IF(AND($E$2="Monthly",ROUND($AN661-TRUNC($AN661),2)=0.33),
ROUND(
ROUND(((TRUNC(($AN661+0.01)*3/13,0)+0.99)*VLOOKUP((TRUNC(($AN661+0.01)*3/13,0)+0.99),'Tax scales - NAT 3539'!$A$43:$C$69,2,1)-VLOOKUP((TRUNC(($AN661+0.01)*3/13,0)+0.99),'Tax scales - NAT 3539'!$A$43:$C$69,3,1)),0)
*13/3,
0),
IF($E$2="Monthly",
ROUND(
ROUND(((TRUNC($AN661*3/13,0)+0.99)*VLOOKUP((TRUNC($AN661*3/13,0)+0.99),'Tax scales - NAT 3539'!$A$43:$C$69,2,1)-VLOOKUP((TRUNC($AN661*3/13,0)+0.99),'Tax scales - NAT 3539'!$A$43:$C$69,3,1)),0)
*13/3,
0),
""))),
""),
"")</f>
        <v/>
      </c>
      <c r="AW661" s="118" t="str">
        <f>IFERROR(
IF(VLOOKUP($C661,'Employee information'!$B:$M,COLUMNS('Employee information'!$B:$M),0)=33,
IF($E$2="Fortnightly",
ROUND(
ROUND((((TRUNC($AN661/2,0)+0.99))*VLOOKUP((TRUNC($AN661/2,0)+0.99),'Tax scales - NAT 3539'!$A$74:$C$94,2,1)-VLOOKUP((TRUNC($AN661/2,0)+0.99),'Tax scales - NAT 3539'!$A$74:$C$94,3,1)),0)
*2,
0),
IF(AND($E$2="Monthly",ROUND($AN661-TRUNC($AN661),2)=0.33),
ROUND(
ROUND(((TRUNC(($AN661+0.01)*3/13,0)+0.99)*VLOOKUP((TRUNC(($AN661+0.01)*3/13,0)+0.99),'Tax scales - NAT 3539'!$A$74:$C$94,2,1)-VLOOKUP((TRUNC(($AN661+0.01)*3/13,0)+0.99),'Tax scales - NAT 3539'!$A$74:$C$94,3,1)),0)
*13/3,
0),
IF($E$2="Monthly",
ROUND(
ROUND(((TRUNC($AN661*3/13,0)+0.99)*VLOOKUP((TRUNC($AN661*3/13,0)+0.99),'Tax scales - NAT 3539'!$A$74:$C$94,2,1)-VLOOKUP((TRUNC($AN661*3/13,0)+0.99),'Tax scales - NAT 3539'!$A$74:$C$94,3,1)),0)
*13/3,
0),
""))),
""),
"")</f>
        <v/>
      </c>
      <c r="AX661" s="118" t="str">
        <f>IFERROR(
IF(VLOOKUP($C661,'Employee information'!$B:$M,COLUMNS('Employee information'!$B:$M),0)=55,
IF($E$2="Fortnightly",
ROUND(
ROUND((((TRUNC($AN661/2,0)+0.99))*VLOOKUP((TRUNC($AN661/2,0)+0.99),'Tax scales - NAT 3539'!$A$99:$C$123,2,1)-VLOOKUP((TRUNC($AN661/2,0)+0.99),'Tax scales - NAT 3539'!$A$99:$C$123,3,1)),0)
*2,
0),
IF(AND($E$2="Monthly",ROUND($AN661-TRUNC($AN661),2)=0.33),
ROUND(
ROUND(((TRUNC(($AN661+0.01)*3/13,0)+0.99)*VLOOKUP((TRUNC(($AN661+0.01)*3/13,0)+0.99),'Tax scales - NAT 3539'!$A$99:$C$123,2,1)-VLOOKUP((TRUNC(($AN661+0.01)*3/13,0)+0.99),'Tax scales - NAT 3539'!$A$99:$C$123,3,1)),0)
*13/3,
0),
IF($E$2="Monthly",
ROUND(
ROUND(((TRUNC($AN661*3/13,0)+0.99)*VLOOKUP((TRUNC($AN661*3/13,0)+0.99),'Tax scales - NAT 3539'!$A$99:$C$123,2,1)-VLOOKUP((TRUNC($AN661*3/13,0)+0.99),'Tax scales - NAT 3539'!$A$99:$C$123,3,1)),0)
*13/3,
0),
""))),
""),
"")</f>
        <v/>
      </c>
      <c r="AY661" s="118" t="str">
        <f>IFERROR(
IF(VLOOKUP($C661,'Employee information'!$B:$M,COLUMNS('Employee information'!$B:$M),0)=66,
IF($E$2="Fortnightly",
ROUND(
ROUND((((TRUNC($AN661/2,0)+0.99))*VLOOKUP((TRUNC($AN661/2,0)+0.99),'Tax scales - NAT 3539'!$A$127:$C$154,2,1)-VLOOKUP((TRUNC($AN661/2,0)+0.99),'Tax scales - NAT 3539'!$A$127:$C$154,3,1)),0)
*2,
0),
IF(AND($E$2="Monthly",ROUND($AN661-TRUNC($AN661),2)=0.33),
ROUND(
ROUND(((TRUNC(($AN661+0.01)*3/13,0)+0.99)*VLOOKUP((TRUNC(($AN661+0.01)*3/13,0)+0.99),'Tax scales - NAT 3539'!$A$127:$C$154,2,1)-VLOOKUP((TRUNC(($AN661+0.01)*3/13,0)+0.99),'Tax scales - NAT 3539'!$A$127:$C$154,3,1)),0)
*13/3,
0),
IF($E$2="Monthly",
ROUND(
ROUND(((TRUNC($AN661*3/13,0)+0.99)*VLOOKUP((TRUNC($AN661*3/13,0)+0.99),'Tax scales - NAT 3539'!$A$127:$C$154,2,1)-VLOOKUP((TRUNC($AN661*3/13,0)+0.99),'Tax scales - NAT 3539'!$A$127:$C$154,3,1)),0)
*13/3,
0),
""))),
""),
"")</f>
        <v/>
      </c>
      <c r="AZ661" s="118">
        <f>IFERROR(
HLOOKUP(VLOOKUP($C661,'Employee information'!$B:$M,COLUMNS('Employee information'!$B:$M),0),'PAYG worksheet'!$AO$648:$AY$667,COUNTA($C$649:$C661)+1,0),
0)</f>
        <v>0</v>
      </c>
      <c r="BA661" s="118"/>
      <c r="BB661" s="118">
        <f t="shared" si="697"/>
        <v>0</v>
      </c>
      <c r="BC661" s="119">
        <f>IFERROR(
IF(OR($AE661=1,$AE661=""),SUM($P661,$AA661,$AC661,$AK661)*VLOOKUP($C661,'Employee information'!$B:$Q,COLUMNS('Employee information'!$B:$H),0),
IF($AE661=0,SUM($P661,$AA661,$AK661)*VLOOKUP($C661,'Employee information'!$B:$Q,COLUMNS('Employee information'!$B:$H),0),
0)),
0)</f>
        <v>0</v>
      </c>
      <c r="BE661" s="114">
        <f t="shared" si="682"/>
        <v>0</v>
      </c>
      <c r="BF661" s="114">
        <f t="shared" si="683"/>
        <v>0</v>
      </c>
      <c r="BG661" s="114">
        <f t="shared" si="684"/>
        <v>0</v>
      </c>
      <c r="BH661" s="114">
        <f t="shared" si="685"/>
        <v>0</v>
      </c>
      <c r="BI661" s="114">
        <f t="shared" si="686"/>
        <v>0</v>
      </c>
      <c r="BJ661" s="114">
        <f t="shared" si="687"/>
        <v>0</v>
      </c>
      <c r="BK661" s="114">
        <f t="shared" si="688"/>
        <v>0</v>
      </c>
      <c r="BL661" s="114">
        <f t="shared" si="698"/>
        <v>0</v>
      </c>
      <c r="BM661" s="114">
        <f t="shared" si="689"/>
        <v>0</v>
      </c>
    </row>
    <row r="662" spans="1:65" x14ac:dyDescent="0.25">
      <c r="A662" s="228">
        <f t="shared" si="677"/>
        <v>23</v>
      </c>
      <c r="C662" s="278"/>
      <c r="E662" s="103">
        <f>IF($C662="",0,
IF(AND($E$2="Monthly",$A662&gt;12),0,
IF($E$2="Monthly",VLOOKUP($C662,'Employee information'!$B:$AM,COLUMNS('Employee information'!$B:S),0),
IF($E$2="Fortnightly",VLOOKUP($C662,'Employee information'!$B:$AM,COLUMNS('Employee information'!$B:R),0),
0))))</f>
        <v>0</v>
      </c>
      <c r="F662" s="106"/>
      <c r="G662" s="106"/>
      <c r="H662" s="106"/>
      <c r="I662" s="106"/>
      <c r="J662" s="103">
        <f t="shared" si="690"/>
        <v>0</v>
      </c>
      <c r="L662" s="113">
        <f>IF(AND($E$2="Monthly",$A662&gt;12),"",
IFERROR($J662*VLOOKUP($C662,'Employee information'!$B:$AI,COLUMNS('Employee information'!$B:$P),0),0))</f>
        <v>0</v>
      </c>
      <c r="M662" s="114">
        <f t="shared" si="691"/>
        <v>0</v>
      </c>
      <c r="O662" s="103">
        <f t="shared" si="692"/>
        <v>0</v>
      </c>
      <c r="P662" s="113">
        <f>IFERROR(
IF(AND($E$2="Monthly",$A662&gt;12),0,
$O662*VLOOKUP($C662,'Employee information'!$B:$AI,COLUMNS('Employee information'!$B:$P),0)),
0)</f>
        <v>0</v>
      </c>
      <c r="R662" s="114">
        <f t="shared" si="678"/>
        <v>0</v>
      </c>
      <c r="T662" s="103"/>
      <c r="U662" s="103"/>
      <c r="V662" s="282" t="str">
        <f>IF($C662="","",
IF(AND($E$2="Monthly",$A662&gt;12),"",
$T662*VLOOKUP($C662,'Employee information'!$B:$P,COLUMNS('Employee information'!$B:$P),0)))</f>
        <v/>
      </c>
      <c r="W662" s="282" t="str">
        <f>IF($C662="","",
IF(AND($E$2="Monthly",$A662&gt;12),"",
$U662*VLOOKUP($C662,'Employee information'!$B:$P,COLUMNS('Employee information'!$B:$P),0)))</f>
        <v/>
      </c>
      <c r="X662" s="114">
        <f t="shared" si="679"/>
        <v>0</v>
      </c>
      <c r="Y662" s="114">
        <f t="shared" si="680"/>
        <v>0</v>
      </c>
      <c r="AA662" s="118">
        <f>IFERROR(
IF(OR('Basic payroll data'!$D$12="",'Basic payroll data'!$D$12="No"),0,
$T662*VLOOKUP($C662,'Employee information'!$B:$P,COLUMNS('Employee information'!$B:$P),0)*AL_loading_perc),
0)</f>
        <v>0</v>
      </c>
      <c r="AC662" s="118"/>
      <c r="AD662" s="118"/>
      <c r="AE662" s="283" t="str">
        <f t="shared" si="693"/>
        <v/>
      </c>
      <c r="AF662" s="283" t="str">
        <f t="shared" si="694"/>
        <v/>
      </c>
      <c r="AG662" s="118"/>
      <c r="AH662" s="118"/>
      <c r="AI662" s="283" t="str">
        <f t="shared" si="695"/>
        <v/>
      </c>
      <c r="AJ662" s="118"/>
      <c r="AK662" s="118"/>
      <c r="AM662" s="118">
        <f t="shared" si="696"/>
        <v>0</v>
      </c>
      <c r="AN662" s="118">
        <f t="shared" si="681"/>
        <v>0</v>
      </c>
      <c r="AO662" s="118" t="str">
        <f>IFERROR(
IF(VLOOKUP($C662,'Employee information'!$B:$M,COLUMNS('Employee information'!$B:$M),0)=1,
IF($E$2="Fortnightly",
ROUND(
ROUND((((TRUNC($AN662/2,0)+0.99))*VLOOKUP((TRUNC($AN662/2,0)+0.99),'Tax scales - NAT 1004'!$A$12:$C$18,2,1)-VLOOKUP((TRUNC($AN662/2,0)+0.99),'Tax scales - NAT 1004'!$A$12:$C$18,3,1)),0)
*2,
0),
IF(AND($E$2="Monthly",ROUND($AN662-TRUNC($AN662),2)=0.33),
ROUND(
ROUND(((TRUNC(($AN662+0.01)*3/13,0)+0.99)*VLOOKUP((TRUNC(($AN662+0.01)*3/13,0)+0.99),'Tax scales - NAT 1004'!$A$12:$C$18,2,1)-VLOOKUP((TRUNC(($AN662+0.01)*3/13,0)+0.99),'Tax scales - NAT 1004'!$A$12:$C$18,3,1)),0)
*13/3,
0),
IF($E$2="Monthly",
ROUND(
ROUND(((TRUNC($AN662*3/13,0)+0.99)*VLOOKUP((TRUNC($AN662*3/13,0)+0.99),'Tax scales - NAT 1004'!$A$12:$C$18,2,1)-VLOOKUP((TRUNC($AN662*3/13,0)+0.99),'Tax scales - NAT 1004'!$A$12:$C$18,3,1)),0)
*13/3,
0),
""))),
""),
"")</f>
        <v/>
      </c>
      <c r="AP662" s="118" t="str">
        <f>IFERROR(
IF(VLOOKUP($C662,'Employee information'!$B:$M,COLUMNS('Employee information'!$B:$M),0)=2,
IF($E$2="Fortnightly",
ROUND(
ROUND((((TRUNC($AN662/2,0)+0.99))*VLOOKUP((TRUNC($AN662/2,0)+0.99),'Tax scales - NAT 1004'!$A$25:$C$33,2,1)-VLOOKUP((TRUNC($AN662/2,0)+0.99),'Tax scales - NAT 1004'!$A$25:$C$33,3,1)),0)
*2,
0),
IF(AND($E$2="Monthly",ROUND($AN662-TRUNC($AN662),2)=0.33),
ROUND(
ROUND(((TRUNC(($AN662+0.01)*3/13,0)+0.99)*VLOOKUP((TRUNC(($AN662+0.01)*3/13,0)+0.99),'Tax scales - NAT 1004'!$A$25:$C$33,2,1)-VLOOKUP((TRUNC(($AN662+0.01)*3/13,0)+0.99),'Tax scales - NAT 1004'!$A$25:$C$33,3,1)),0)
*13/3,
0),
IF($E$2="Monthly",
ROUND(
ROUND(((TRUNC($AN662*3/13,0)+0.99)*VLOOKUP((TRUNC($AN662*3/13,0)+0.99),'Tax scales - NAT 1004'!$A$25:$C$33,2,1)-VLOOKUP((TRUNC($AN662*3/13,0)+0.99),'Tax scales - NAT 1004'!$A$25:$C$33,3,1)),0)
*13/3,
0),
""))),
""),
"")</f>
        <v/>
      </c>
      <c r="AQ662" s="118" t="str">
        <f>IFERROR(
IF(VLOOKUP($C662,'Employee information'!$B:$M,COLUMNS('Employee information'!$B:$M),0)=3,
IF($E$2="Fortnightly",
ROUND(
ROUND((((TRUNC($AN662/2,0)+0.99))*VLOOKUP((TRUNC($AN662/2,0)+0.99),'Tax scales - NAT 1004'!$A$39:$C$41,2,1)-VLOOKUP((TRUNC($AN662/2,0)+0.99),'Tax scales - NAT 1004'!$A$39:$C$41,3,1)),0)
*2,
0),
IF(AND($E$2="Monthly",ROUND($AN662-TRUNC($AN662),2)=0.33),
ROUND(
ROUND(((TRUNC(($AN662+0.01)*3/13,0)+0.99)*VLOOKUP((TRUNC(($AN662+0.01)*3/13,0)+0.99),'Tax scales - NAT 1004'!$A$39:$C$41,2,1)-VLOOKUP((TRUNC(($AN662+0.01)*3/13,0)+0.99),'Tax scales - NAT 1004'!$A$39:$C$41,3,1)),0)
*13/3,
0),
IF($E$2="Monthly",
ROUND(
ROUND(((TRUNC($AN662*3/13,0)+0.99)*VLOOKUP((TRUNC($AN662*3/13,0)+0.99),'Tax scales - NAT 1004'!$A$39:$C$41,2,1)-VLOOKUP((TRUNC($AN662*3/13,0)+0.99),'Tax scales - NAT 1004'!$A$39:$C$41,3,1)),0)
*13/3,
0),
""))),
""),
"")</f>
        <v/>
      </c>
      <c r="AR662" s="118" t="str">
        <f>IFERROR(
IF(AND(VLOOKUP($C662,'Employee information'!$B:$M,COLUMNS('Employee information'!$B:$M),0)=4,
VLOOKUP($C662,'Employee information'!$B:$J,COLUMNS('Employee information'!$B:$J),0)="Resident"),
TRUNC(TRUNC($AN662)*'Tax scales - NAT 1004'!$B$47),
IF(AND(VLOOKUP($C662,'Employee information'!$B:$M,COLUMNS('Employee information'!$B:$M),0)=4,
VLOOKUP($C662,'Employee information'!$B:$J,COLUMNS('Employee information'!$B:$J),0)="Foreign resident"),
TRUNC(TRUNC($AN662)*'Tax scales - NAT 1004'!$B$48),
"")),
"")</f>
        <v/>
      </c>
      <c r="AS662" s="118" t="str">
        <f>IFERROR(
IF(VLOOKUP($C662,'Employee information'!$B:$M,COLUMNS('Employee information'!$B:$M),0)=5,
IF($E$2="Fortnightly",
ROUND(
ROUND((((TRUNC($AN662/2,0)+0.99))*VLOOKUP((TRUNC($AN662/2,0)+0.99),'Tax scales - NAT 1004'!$A$53:$C$59,2,1)-VLOOKUP((TRUNC($AN662/2,0)+0.99),'Tax scales - NAT 1004'!$A$53:$C$59,3,1)),0)
*2,
0),
IF(AND($E$2="Monthly",ROUND($AN662-TRUNC($AN662),2)=0.33),
ROUND(
ROUND(((TRUNC(($AN662+0.01)*3/13,0)+0.99)*VLOOKUP((TRUNC(($AN662+0.01)*3/13,0)+0.99),'Tax scales - NAT 1004'!$A$53:$C$59,2,1)-VLOOKUP((TRUNC(($AN662+0.01)*3/13,0)+0.99),'Tax scales - NAT 1004'!$A$53:$C$59,3,1)),0)
*13/3,
0),
IF($E$2="Monthly",
ROUND(
ROUND(((TRUNC($AN662*3/13,0)+0.99)*VLOOKUP((TRUNC($AN662*3/13,0)+0.99),'Tax scales - NAT 1004'!$A$53:$C$59,2,1)-VLOOKUP((TRUNC($AN662*3/13,0)+0.99),'Tax scales - NAT 1004'!$A$53:$C$59,3,1)),0)
*13/3,
0),
""))),
""),
"")</f>
        <v/>
      </c>
      <c r="AT662" s="118" t="str">
        <f>IFERROR(
IF(VLOOKUP($C662,'Employee information'!$B:$M,COLUMNS('Employee information'!$B:$M),0)=6,
IF($E$2="Fortnightly",
ROUND(
ROUND((((TRUNC($AN662/2,0)+0.99))*VLOOKUP((TRUNC($AN662/2,0)+0.99),'Tax scales - NAT 1004'!$A$65:$C$73,2,1)-VLOOKUP((TRUNC($AN662/2,0)+0.99),'Tax scales - NAT 1004'!$A$65:$C$73,3,1)),0)
*2,
0),
IF(AND($E$2="Monthly",ROUND($AN662-TRUNC($AN662),2)=0.33),
ROUND(
ROUND(((TRUNC(($AN662+0.01)*3/13,0)+0.99)*VLOOKUP((TRUNC(($AN662+0.01)*3/13,0)+0.99),'Tax scales - NAT 1004'!$A$65:$C$73,2,1)-VLOOKUP((TRUNC(($AN662+0.01)*3/13,0)+0.99),'Tax scales - NAT 1004'!$A$65:$C$73,3,1)),0)
*13/3,
0),
IF($E$2="Monthly",
ROUND(
ROUND(((TRUNC($AN662*3/13,0)+0.99)*VLOOKUP((TRUNC($AN662*3/13,0)+0.99),'Tax scales - NAT 1004'!$A$65:$C$73,2,1)-VLOOKUP((TRUNC($AN662*3/13,0)+0.99),'Tax scales - NAT 1004'!$A$65:$C$73,3,1)),0)
*13/3,
0),
""))),
""),
"")</f>
        <v/>
      </c>
      <c r="AU662" s="118" t="str">
        <f>IFERROR(
IF(VLOOKUP($C662,'Employee information'!$B:$M,COLUMNS('Employee information'!$B:$M),0)=11,
IF($E$2="Fortnightly",
ROUND(
ROUND((((TRUNC($AN662/2,0)+0.99))*VLOOKUP((TRUNC($AN662/2,0)+0.99),'Tax scales - NAT 3539'!$A$14:$C$38,2,1)-VLOOKUP((TRUNC($AN662/2,0)+0.99),'Tax scales - NAT 3539'!$A$14:$C$38,3,1)),0)
*2,
0),
IF(AND($E$2="Monthly",ROUND($AN662-TRUNC($AN662),2)=0.33),
ROUND(
ROUND(((TRUNC(($AN662+0.01)*3/13,0)+0.99)*VLOOKUP((TRUNC(($AN662+0.01)*3/13,0)+0.99),'Tax scales - NAT 3539'!$A$14:$C$38,2,1)-VLOOKUP((TRUNC(($AN662+0.01)*3/13,0)+0.99),'Tax scales - NAT 3539'!$A$14:$C$38,3,1)),0)
*13/3,
0),
IF($E$2="Monthly",
ROUND(
ROUND(((TRUNC($AN662*3/13,0)+0.99)*VLOOKUP((TRUNC($AN662*3/13,0)+0.99),'Tax scales - NAT 3539'!$A$14:$C$38,2,1)-VLOOKUP((TRUNC($AN662*3/13,0)+0.99),'Tax scales - NAT 3539'!$A$14:$C$38,3,1)),0)
*13/3,
0),
""))),
""),
"")</f>
        <v/>
      </c>
      <c r="AV662" s="118" t="str">
        <f>IFERROR(
IF(VLOOKUP($C662,'Employee information'!$B:$M,COLUMNS('Employee information'!$B:$M),0)=22,
IF($E$2="Fortnightly",
ROUND(
ROUND((((TRUNC($AN662/2,0)+0.99))*VLOOKUP((TRUNC($AN662/2,0)+0.99),'Tax scales - NAT 3539'!$A$43:$C$69,2,1)-VLOOKUP((TRUNC($AN662/2,0)+0.99),'Tax scales - NAT 3539'!$A$43:$C$69,3,1)),0)
*2,
0),
IF(AND($E$2="Monthly",ROUND($AN662-TRUNC($AN662),2)=0.33),
ROUND(
ROUND(((TRUNC(($AN662+0.01)*3/13,0)+0.99)*VLOOKUP((TRUNC(($AN662+0.01)*3/13,0)+0.99),'Tax scales - NAT 3539'!$A$43:$C$69,2,1)-VLOOKUP((TRUNC(($AN662+0.01)*3/13,0)+0.99),'Tax scales - NAT 3539'!$A$43:$C$69,3,1)),0)
*13/3,
0),
IF($E$2="Monthly",
ROUND(
ROUND(((TRUNC($AN662*3/13,0)+0.99)*VLOOKUP((TRUNC($AN662*3/13,0)+0.99),'Tax scales - NAT 3539'!$A$43:$C$69,2,1)-VLOOKUP((TRUNC($AN662*3/13,0)+0.99),'Tax scales - NAT 3539'!$A$43:$C$69,3,1)),0)
*13/3,
0),
""))),
""),
"")</f>
        <v/>
      </c>
      <c r="AW662" s="118" t="str">
        <f>IFERROR(
IF(VLOOKUP($C662,'Employee information'!$B:$M,COLUMNS('Employee information'!$B:$M),0)=33,
IF($E$2="Fortnightly",
ROUND(
ROUND((((TRUNC($AN662/2,0)+0.99))*VLOOKUP((TRUNC($AN662/2,0)+0.99),'Tax scales - NAT 3539'!$A$74:$C$94,2,1)-VLOOKUP((TRUNC($AN662/2,0)+0.99),'Tax scales - NAT 3539'!$A$74:$C$94,3,1)),0)
*2,
0),
IF(AND($E$2="Monthly",ROUND($AN662-TRUNC($AN662),2)=0.33),
ROUND(
ROUND(((TRUNC(($AN662+0.01)*3/13,0)+0.99)*VLOOKUP((TRUNC(($AN662+0.01)*3/13,0)+0.99),'Tax scales - NAT 3539'!$A$74:$C$94,2,1)-VLOOKUP((TRUNC(($AN662+0.01)*3/13,0)+0.99),'Tax scales - NAT 3539'!$A$74:$C$94,3,1)),0)
*13/3,
0),
IF($E$2="Monthly",
ROUND(
ROUND(((TRUNC($AN662*3/13,0)+0.99)*VLOOKUP((TRUNC($AN662*3/13,0)+0.99),'Tax scales - NAT 3539'!$A$74:$C$94,2,1)-VLOOKUP((TRUNC($AN662*3/13,0)+0.99),'Tax scales - NAT 3539'!$A$74:$C$94,3,1)),0)
*13/3,
0),
""))),
""),
"")</f>
        <v/>
      </c>
      <c r="AX662" s="118" t="str">
        <f>IFERROR(
IF(VLOOKUP($C662,'Employee information'!$B:$M,COLUMNS('Employee information'!$B:$M),0)=55,
IF($E$2="Fortnightly",
ROUND(
ROUND((((TRUNC($AN662/2,0)+0.99))*VLOOKUP((TRUNC($AN662/2,0)+0.99),'Tax scales - NAT 3539'!$A$99:$C$123,2,1)-VLOOKUP((TRUNC($AN662/2,0)+0.99),'Tax scales - NAT 3539'!$A$99:$C$123,3,1)),0)
*2,
0),
IF(AND($E$2="Monthly",ROUND($AN662-TRUNC($AN662),2)=0.33),
ROUND(
ROUND(((TRUNC(($AN662+0.01)*3/13,0)+0.99)*VLOOKUP((TRUNC(($AN662+0.01)*3/13,0)+0.99),'Tax scales - NAT 3539'!$A$99:$C$123,2,1)-VLOOKUP((TRUNC(($AN662+0.01)*3/13,0)+0.99),'Tax scales - NAT 3539'!$A$99:$C$123,3,1)),0)
*13/3,
0),
IF($E$2="Monthly",
ROUND(
ROUND(((TRUNC($AN662*3/13,0)+0.99)*VLOOKUP((TRUNC($AN662*3/13,0)+0.99),'Tax scales - NAT 3539'!$A$99:$C$123,2,1)-VLOOKUP((TRUNC($AN662*3/13,0)+0.99),'Tax scales - NAT 3539'!$A$99:$C$123,3,1)),0)
*13/3,
0),
""))),
""),
"")</f>
        <v/>
      </c>
      <c r="AY662" s="118" t="str">
        <f>IFERROR(
IF(VLOOKUP($C662,'Employee information'!$B:$M,COLUMNS('Employee information'!$B:$M),0)=66,
IF($E$2="Fortnightly",
ROUND(
ROUND((((TRUNC($AN662/2,0)+0.99))*VLOOKUP((TRUNC($AN662/2,0)+0.99),'Tax scales - NAT 3539'!$A$127:$C$154,2,1)-VLOOKUP((TRUNC($AN662/2,0)+0.99),'Tax scales - NAT 3539'!$A$127:$C$154,3,1)),0)
*2,
0),
IF(AND($E$2="Monthly",ROUND($AN662-TRUNC($AN662),2)=0.33),
ROUND(
ROUND(((TRUNC(($AN662+0.01)*3/13,0)+0.99)*VLOOKUP((TRUNC(($AN662+0.01)*3/13,0)+0.99),'Tax scales - NAT 3539'!$A$127:$C$154,2,1)-VLOOKUP((TRUNC(($AN662+0.01)*3/13,0)+0.99),'Tax scales - NAT 3539'!$A$127:$C$154,3,1)),0)
*13/3,
0),
IF($E$2="Monthly",
ROUND(
ROUND(((TRUNC($AN662*3/13,0)+0.99)*VLOOKUP((TRUNC($AN662*3/13,0)+0.99),'Tax scales - NAT 3539'!$A$127:$C$154,2,1)-VLOOKUP((TRUNC($AN662*3/13,0)+0.99),'Tax scales - NAT 3539'!$A$127:$C$154,3,1)),0)
*13/3,
0),
""))),
""),
"")</f>
        <v/>
      </c>
      <c r="AZ662" s="118">
        <f>IFERROR(
HLOOKUP(VLOOKUP($C662,'Employee information'!$B:$M,COLUMNS('Employee information'!$B:$M),0),'PAYG worksheet'!$AO$648:$AY$667,COUNTA($C$649:$C662)+1,0),
0)</f>
        <v>0</v>
      </c>
      <c r="BA662" s="118"/>
      <c r="BB662" s="118">
        <f t="shared" si="697"/>
        <v>0</v>
      </c>
      <c r="BC662" s="119">
        <f>IFERROR(
IF(OR($AE662=1,$AE662=""),SUM($P662,$AA662,$AC662,$AK662)*VLOOKUP($C662,'Employee information'!$B:$Q,COLUMNS('Employee information'!$B:$H),0),
IF($AE662=0,SUM($P662,$AA662,$AK662)*VLOOKUP($C662,'Employee information'!$B:$Q,COLUMNS('Employee information'!$B:$H),0),
0)),
0)</f>
        <v>0</v>
      </c>
      <c r="BE662" s="114">
        <f t="shared" si="682"/>
        <v>0</v>
      </c>
      <c r="BF662" s="114">
        <f t="shared" si="683"/>
        <v>0</v>
      </c>
      <c r="BG662" s="114">
        <f t="shared" si="684"/>
        <v>0</v>
      </c>
      <c r="BH662" s="114">
        <f t="shared" si="685"/>
        <v>0</v>
      </c>
      <c r="BI662" s="114">
        <f t="shared" si="686"/>
        <v>0</v>
      </c>
      <c r="BJ662" s="114">
        <f t="shared" si="687"/>
        <v>0</v>
      </c>
      <c r="BK662" s="114">
        <f t="shared" si="688"/>
        <v>0</v>
      </c>
      <c r="BL662" s="114">
        <f t="shared" si="698"/>
        <v>0</v>
      </c>
      <c r="BM662" s="114">
        <f t="shared" si="689"/>
        <v>0</v>
      </c>
    </row>
    <row r="663" spans="1:65" x14ac:dyDescent="0.25">
      <c r="A663" s="228">
        <f t="shared" si="677"/>
        <v>23</v>
      </c>
      <c r="C663" s="278"/>
      <c r="E663" s="103">
        <f>IF($C663="",0,
IF(AND($E$2="Monthly",$A663&gt;12),0,
IF($E$2="Monthly",VLOOKUP($C663,'Employee information'!$B:$AM,COLUMNS('Employee information'!$B:S),0),
IF($E$2="Fortnightly",VLOOKUP($C663,'Employee information'!$B:$AM,COLUMNS('Employee information'!$B:R),0),
0))))</f>
        <v>0</v>
      </c>
      <c r="F663" s="106"/>
      <c r="G663" s="106"/>
      <c r="H663" s="106"/>
      <c r="I663" s="106"/>
      <c r="J663" s="103">
        <f t="shared" si="690"/>
        <v>0</v>
      </c>
      <c r="L663" s="113">
        <f>IF(AND($E$2="Monthly",$A663&gt;12),"",
IFERROR($J663*VLOOKUP($C663,'Employee information'!$B:$AI,COLUMNS('Employee information'!$B:$P),0),0))</f>
        <v>0</v>
      </c>
      <c r="M663" s="114">
        <f t="shared" si="691"/>
        <v>0</v>
      </c>
      <c r="O663" s="103">
        <f t="shared" si="692"/>
        <v>0</v>
      </c>
      <c r="P663" s="113">
        <f>IFERROR(
IF(AND($E$2="Monthly",$A663&gt;12),0,
$O663*VLOOKUP($C663,'Employee information'!$B:$AI,COLUMNS('Employee information'!$B:$P),0)),
0)</f>
        <v>0</v>
      </c>
      <c r="R663" s="114">
        <f t="shared" si="678"/>
        <v>0</v>
      </c>
      <c r="T663" s="103"/>
      <c r="U663" s="103"/>
      <c r="V663" s="282" t="str">
        <f>IF($C663="","",
IF(AND($E$2="Monthly",$A663&gt;12),"",
$T663*VLOOKUP($C663,'Employee information'!$B:$P,COLUMNS('Employee information'!$B:$P),0)))</f>
        <v/>
      </c>
      <c r="W663" s="282" t="str">
        <f>IF($C663="","",
IF(AND($E$2="Monthly",$A663&gt;12),"",
$U663*VLOOKUP($C663,'Employee information'!$B:$P,COLUMNS('Employee information'!$B:$P),0)))</f>
        <v/>
      </c>
      <c r="X663" s="114">
        <f t="shared" si="679"/>
        <v>0</v>
      </c>
      <c r="Y663" s="114">
        <f t="shared" si="680"/>
        <v>0</v>
      </c>
      <c r="AA663" s="118">
        <f>IFERROR(
IF(OR('Basic payroll data'!$D$12="",'Basic payroll data'!$D$12="No"),0,
$T663*VLOOKUP($C663,'Employee information'!$B:$P,COLUMNS('Employee information'!$B:$P),0)*AL_loading_perc),
0)</f>
        <v>0</v>
      </c>
      <c r="AC663" s="118"/>
      <c r="AD663" s="118"/>
      <c r="AE663" s="283" t="str">
        <f t="shared" si="693"/>
        <v/>
      </c>
      <c r="AF663" s="283" t="str">
        <f t="shared" si="694"/>
        <v/>
      </c>
      <c r="AG663" s="118"/>
      <c r="AH663" s="118"/>
      <c r="AI663" s="283" t="str">
        <f t="shared" si="695"/>
        <v/>
      </c>
      <c r="AJ663" s="118"/>
      <c r="AK663" s="118"/>
      <c r="AM663" s="118">
        <f t="shared" si="696"/>
        <v>0</v>
      </c>
      <c r="AN663" s="118">
        <f t="shared" si="681"/>
        <v>0</v>
      </c>
      <c r="AO663" s="118" t="str">
        <f>IFERROR(
IF(VLOOKUP($C663,'Employee information'!$B:$M,COLUMNS('Employee information'!$B:$M),0)=1,
IF($E$2="Fortnightly",
ROUND(
ROUND((((TRUNC($AN663/2,0)+0.99))*VLOOKUP((TRUNC($AN663/2,0)+0.99),'Tax scales - NAT 1004'!$A$12:$C$18,2,1)-VLOOKUP((TRUNC($AN663/2,0)+0.99),'Tax scales - NAT 1004'!$A$12:$C$18,3,1)),0)
*2,
0),
IF(AND($E$2="Monthly",ROUND($AN663-TRUNC($AN663),2)=0.33),
ROUND(
ROUND(((TRUNC(($AN663+0.01)*3/13,0)+0.99)*VLOOKUP((TRUNC(($AN663+0.01)*3/13,0)+0.99),'Tax scales - NAT 1004'!$A$12:$C$18,2,1)-VLOOKUP((TRUNC(($AN663+0.01)*3/13,0)+0.99),'Tax scales - NAT 1004'!$A$12:$C$18,3,1)),0)
*13/3,
0),
IF($E$2="Monthly",
ROUND(
ROUND(((TRUNC($AN663*3/13,0)+0.99)*VLOOKUP((TRUNC($AN663*3/13,0)+0.99),'Tax scales - NAT 1004'!$A$12:$C$18,2,1)-VLOOKUP((TRUNC($AN663*3/13,0)+0.99),'Tax scales - NAT 1004'!$A$12:$C$18,3,1)),0)
*13/3,
0),
""))),
""),
"")</f>
        <v/>
      </c>
      <c r="AP663" s="118" t="str">
        <f>IFERROR(
IF(VLOOKUP($C663,'Employee information'!$B:$M,COLUMNS('Employee information'!$B:$M),0)=2,
IF($E$2="Fortnightly",
ROUND(
ROUND((((TRUNC($AN663/2,0)+0.99))*VLOOKUP((TRUNC($AN663/2,0)+0.99),'Tax scales - NAT 1004'!$A$25:$C$33,2,1)-VLOOKUP((TRUNC($AN663/2,0)+0.99),'Tax scales - NAT 1004'!$A$25:$C$33,3,1)),0)
*2,
0),
IF(AND($E$2="Monthly",ROUND($AN663-TRUNC($AN663),2)=0.33),
ROUND(
ROUND(((TRUNC(($AN663+0.01)*3/13,0)+0.99)*VLOOKUP((TRUNC(($AN663+0.01)*3/13,0)+0.99),'Tax scales - NAT 1004'!$A$25:$C$33,2,1)-VLOOKUP((TRUNC(($AN663+0.01)*3/13,0)+0.99),'Tax scales - NAT 1004'!$A$25:$C$33,3,1)),0)
*13/3,
0),
IF($E$2="Monthly",
ROUND(
ROUND(((TRUNC($AN663*3/13,0)+0.99)*VLOOKUP((TRUNC($AN663*3/13,0)+0.99),'Tax scales - NAT 1004'!$A$25:$C$33,2,1)-VLOOKUP((TRUNC($AN663*3/13,0)+0.99),'Tax scales - NAT 1004'!$A$25:$C$33,3,1)),0)
*13/3,
0),
""))),
""),
"")</f>
        <v/>
      </c>
      <c r="AQ663" s="118" t="str">
        <f>IFERROR(
IF(VLOOKUP($C663,'Employee information'!$B:$M,COLUMNS('Employee information'!$B:$M),0)=3,
IF($E$2="Fortnightly",
ROUND(
ROUND((((TRUNC($AN663/2,0)+0.99))*VLOOKUP((TRUNC($AN663/2,0)+0.99),'Tax scales - NAT 1004'!$A$39:$C$41,2,1)-VLOOKUP((TRUNC($AN663/2,0)+0.99),'Tax scales - NAT 1004'!$A$39:$C$41,3,1)),0)
*2,
0),
IF(AND($E$2="Monthly",ROUND($AN663-TRUNC($AN663),2)=0.33),
ROUND(
ROUND(((TRUNC(($AN663+0.01)*3/13,0)+0.99)*VLOOKUP((TRUNC(($AN663+0.01)*3/13,0)+0.99),'Tax scales - NAT 1004'!$A$39:$C$41,2,1)-VLOOKUP((TRUNC(($AN663+0.01)*3/13,0)+0.99),'Tax scales - NAT 1004'!$A$39:$C$41,3,1)),0)
*13/3,
0),
IF($E$2="Monthly",
ROUND(
ROUND(((TRUNC($AN663*3/13,0)+0.99)*VLOOKUP((TRUNC($AN663*3/13,0)+0.99),'Tax scales - NAT 1004'!$A$39:$C$41,2,1)-VLOOKUP((TRUNC($AN663*3/13,0)+0.99),'Tax scales - NAT 1004'!$A$39:$C$41,3,1)),0)
*13/3,
0),
""))),
""),
"")</f>
        <v/>
      </c>
      <c r="AR663" s="118" t="str">
        <f>IFERROR(
IF(AND(VLOOKUP($C663,'Employee information'!$B:$M,COLUMNS('Employee information'!$B:$M),0)=4,
VLOOKUP($C663,'Employee information'!$B:$J,COLUMNS('Employee information'!$B:$J),0)="Resident"),
TRUNC(TRUNC($AN663)*'Tax scales - NAT 1004'!$B$47),
IF(AND(VLOOKUP($C663,'Employee information'!$B:$M,COLUMNS('Employee information'!$B:$M),0)=4,
VLOOKUP($C663,'Employee information'!$B:$J,COLUMNS('Employee information'!$B:$J),0)="Foreign resident"),
TRUNC(TRUNC($AN663)*'Tax scales - NAT 1004'!$B$48),
"")),
"")</f>
        <v/>
      </c>
      <c r="AS663" s="118" t="str">
        <f>IFERROR(
IF(VLOOKUP($C663,'Employee information'!$B:$M,COLUMNS('Employee information'!$B:$M),0)=5,
IF($E$2="Fortnightly",
ROUND(
ROUND((((TRUNC($AN663/2,0)+0.99))*VLOOKUP((TRUNC($AN663/2,0)+0.99),'Tax scales - NAT 1004'!$A$53:$C$59,2,1)-VLOOKUP((TRUNC($AN663/2,0)+0.99),'Tax scales - NAT 1004'!$A$53:$C$59,3,1)),0)
*2,
0),
IF(AND($E$2="Monthly",ROUND($AN663-TRUNC($AN663),2)=0.33),
ROUND(
ROUND(((TRUNC(($AN663+0.01)*3/13,0)+0.99)*VLOOKUP((TRUNC(($AN663+0.01)*3/13,0)+0.99),'Tax scales - NAT 1004'!$A$53:$C$59,2,1)-VLOOKUP((TRUNC(($AN663+0.01)*3/13,0)+0.99),'Tax scales - NAT 1004'!$A$53:$C$59,3,1)),0)
*13/3,
0),
IF($E$2="Monthly",
ROUND(
ROUND(((TRUNC($AN663*3/13,0)+0.99)*VLOOKUP((TRUNC($AN663*3/13,0)+0.99),'Tax scales - NAT 1004'!$A$53:$C$59,2,1)-VLOOKUP((TRUNC($AN663*3/13,0)+0.99),'Tax scales - NAT 1004'!$A$53:$C$59,3,1)),0)
*13/3,
0),
""))),
""),
"")</f>
        <v/>
      </c>
      <c r="AT663" s="118" t="str">
        <f>IFERROR(
IF(VLOOKUP($C663,'Employee information'!$B:$M,COLUMNS('Employee information'!$B:$M),0)=6,
IF($E$2="Fortnightly",
ROUND(
ROUND((((TRUNC($AN663/2,0)+0.99))*VLOOKUP((TRUNC($AN663/2,0)+0.99),'Tax scales - NAT 1004'!$A$65:$C$73,2,1)-VLOOKUP((TRUNC($AN663/2,0)+0.99),'Tax scales - NAT 1004'!$A$65:$C$73,3,1)),0)
*2,
0),
IF(AND($E$2="Monthly",ROUND($AN663-TRUNC($AN663),2)=0.33),
ROUND(
ROUND(((TRUNC(($AN663+0.01)*3/13,0)+0.99)*VLOOKUP((TRUNC(($AN663+0.01)*3/13,0)+0.99),'Tax scales - NAT 1004'!$A$65:$C$73,2,1)-VLOOKUP((TRUNC(($AN663+0.01)*3/13,0)+0.99),'Tax scales - NAT 1004'!$A$65:$C$73,3,1)),0)
*13/3,
0),
IF($E$2="Monthly",
ROUND(
ROUND(((TRUNC($AN663*3/13,0)+0.99)*VLOOKUP((TRUNC($AN663*3/13,0)+0.99),'Tax scales - NAT 1004'!$A$65:$C$73,2,1)-VLOOKUP((TRUNC($AN663*3/13,0)+0.99),'Tax scales - NAT 1004'!$A$65:$C$73,3,1)),0)
*13/3,
0),
""))),
""),
"")</f>
        <v/>
      </c>
      <c r="AU663" s="118" t="str">
        <f>IFERROR(
IF(VLOOKUP($C663,'Employee information'!$B:$M,COLUMNS('Employee information'!$B:$M),0)=11,
IF($E$2="Fortnightly",
ROUND(
ROUND((((TRUNC($AN663/2,0)+0.99))*VLOOKUP((TRUNC($AN663/2,0)+0.99),'Tax scales - NAT 3539'!$A$14:$C$38,2,1)-VLOOKUP((TRUNC($AN663/2,0)+0.99),'Tax scales - NAT 3539'!$A$14:$C$38,3,1)),0)
*2,
0),
IF(AND($E$2="Monthly",ROUND($AN663-TRUNC($AN663),2)=0.33),
ROUND(
ROUND(((TRUNC(($AN663+0.01)*3/13,0)+0.99)*VLOOKUP((TRUNC(($AN663+0.01)*3/13,0)+0.99),'Tax scales - NAT 3539'!$A$14:$C$38,2,1)-VLOOKUP((TRUNC(($AN663+0.01)*3/13,0)+0.99),'Tax scales - NAT 3539'!$A$14:$C$38,3,1)),0)
*13/3,
0),
IF($E$2="Monthly",
ROUND(
ROUND(((TRUNC($AN663*3/13,0)+0.99)*VLOOKUP((TRUNC($AN663*3/13,0)+0.99),'Tax scales - NAT 3539'!$A$14:$C$38,2,1)-VLOOKUP((TRUNC($AN663*3/13,0)+0.99),'Tax scales - NAT 3539'!$A$14:$C$38,3,1)),0)
*13/3,
0),
""))),
""),
"")</f>
        <v/>
      </c>
      <c r="AV663" s="118" t="str">
        <f>IFERROR(
IF(VLOOKUP($C663,'Employee information'!$B:$M,COLUMNS('Employee information'!$B:$M),0)=22,
IF($E$2="Fortnightly",
ROUND(
ROUND((((TRUNC($AN663/2,0)+0.99))*VLOOKUP((TRUNC($AN663/2,0)+0.99),'Tax scales - NAT 3539'!$A$43:$C$69,2,1)-VLOOKUP((TRUNC($AN663/2,0)+0.99),'Tax scales - NAT 3539'!$A$43:$C$69,3,1)),0)
*2,
0),
IF(AND($E$2="Monthly",ROUND($AN663-TRUNC($AN663),2)=0.33),
ROUND(
ROUND(((TRUNC(($AN663+0.01)*3/13,0)+0.99)*VLOOKUP((TRUNC(($AN663+0.01)*3/13,0)+0.99),'Tax scales - NAT 3539'!$A$43:$C$69,2,1)-VLOOKUP((TRUNC(($AN663+0.01)*3/13,0)+0.99),'Tax scales - NAT 3539'!$A$43:$C$69,3,1)),0)
*13/3,
0),
IF($E$2="Monthly",
ROUND(
ROUND(((TRUNC($AN663*3/13,0)+0.99)*VLOOKUP((TRUNC($AN663*3/13,0)+0.99),'Tax scales - NAT 3539'!$A$43:$C$69,2,1)-VLOOKUP((TRUNC($AN663*3/13,0)+0.99),'Tax scales - NAT 3539'!$A$43:$C$69,3,1)),0)
*13/3,
0),
""))),
""),
"")</f>
        <v/>
      </c>
      <c r="AW663" s="118" t="str">
        <f>IFERROR(
IF(VLOOKUP($C663,'Employee information'!$B:$M,COLUMNS('Employee information'!$B:$M),0)=33,
IF($E$2="Fortnightly",
ROUND(
ROUND((((TRUNC($AN663/2,0)+0.99))*VLOOKUP((TRUNC($AN663/2,0)+0.99),'Tax scales - NAT 3539'!$A$74:$C$94,2,1)-VLOOKUP((TRUNC($AN663/2,0)+0.99),'Tax scales - NAT 3539'!$A$74:$C$94,3,1)),0)
*2,
0),
IF(AND($E$2="Monthly",ROUND($AN663-TRUNC($AN663),2)=0.33),
ROUND(
ROUND(((TRUNC(($AN663+0.01)*3/13,0)+0.99)*VLOOKUP((TRUNC(($AN663+0.01)*3/13,0)+0.99),'Tax scales - NAT 3539'!$A$74:$C$94,2,1)-VLOOKUP((TRUNC(($AN663+0.01)*3/13,0)+0.99),'Tax scales - NAT 3539'!$A$74:$C$94,3,1)),0)
*13/3,
0),
IF($E$2="Monthly",
ROUND(
ROUND(((TRUNC($AN663*3/13,0)+0.99)*VLOOKUP((TRUNC($AN663*3/13,0)+0.99),'Tax scales - NAT 3539'!$A$74:$C$94,2,1)-VLOOKUP((TRUNC($AN663*3/13,0)+0.99),'Tax scales - NAT 3539'!$A$74:$C$94,3,1)),0)
*13/3,
0),
""))),
""),
"")</f>
        <v/>
      </c>
      <c r="AX663" s="118" t="str">
        <f>IFERROR(
IF(VLOOKUP($C663,'Employee information'!$B:$M,COLUMNS('Employee information'!$B:$M),0)=55,
IF($E$2="Fortnightly",
ROUND(
ROUND((((TRUNC($AN663/2,0)+0.99))*VLOOKUP((TRUNC($AN663/2,0)+0.99),'Tax scales - NAT 3539'!$A$99:$C$123,2,1)-VLOOKUP((TRUNC($AN663/2,0)+0.99),'Tax scales - NAT 3539'!$A$99:$C$123,3,1)),0)
*2,
0),
IF(AND($E$2="Monthly",ROUND($AN663-TRUNC($AN663),2)=0.33),
ROUND(
ROUND(((TRUNC(($AN663+0.01)*3/13,0)+0.99)*VLOOKUP((TRUNC(($AN663+0.01)*3/13,0)+0.99),'Tax scales - NAT 3539'!$A$99:$C$123,2,1)-VLOOKUP((TRUNC(($AN663+0.01)*3/13,0)+0.99),'Tax scales - NAT 3539'!$A$99:$C$123,3,1)),0)
*13/3,
0),
IF($E$2="Monthly",
ROUND(
ROUND(((TRUNC($AN663*3/13,0)+0.99)*VLOOKUP((TRUNC($AN663*3/13,0)+0.99),'Tax scales - NAT 3539'!$A$99:$C$123,2,1)-VLOOKUP((TRUNC($AN663*3/13,0)+0.99),'Tax scales - NAT 3539'!$A$99:$C$123,3,1)),0)
*13/3,
0),
""))),
""),
"")</f>
        <v/>
      </c>
      <c r="AY663" s="118" t="str">
        <f>IFERROR(
IF(VLOOKUP($C663,'Employee information'!$B:$M,COLUMNS('Employee information'!$B:$M),0)=66,
IF($E$2="Fortnightly",
ROUND(
ROUND((((TRUNC($AN663/2,0)+0.99))*VLOOKUP((TRUNC($AN663/2,0)+0.99),'Tax scales - NAT 3539'!$A$127:$C$154,2,1)-VLOOKUP((TRUNC($AN663/2,0)+0.99),'Tax scales - NAT 3539'!$A$127:$C$154,3,1)),0)
*2,
0),
IF(AND($E$2="Monthly",ROUND($AN663-TRUNC($AN663),2)=0.33),
ROUND(
ROUND(((TRUNC(($AN663+0.01)*3/13,0)+0.99)*VLOOKUP((TRUNC(($AN663+0.01)*3/13,0)+0.99),'Tax scales - NAT 3539'!$A$127:$C$154,2,1)-VLOOKUP((TRUNC(($AN663+0.01)*3/13,0)+0.99),'Tax scales - NAT 3539'!$A$127:$C$154,3,1)),0)
*13/3,
0),
IF($E$2="Monthly",
ROUND(
ROUND(((TRUNC($AN663*3/13,0)+0.99)*VLOOKUP((TRUNC($AN663*3/13,0)+0.99),'Tax scales - NAT 3539'!$A$127:$C$154,2,1)-VLOOKUP((TRUNC($AN663*3/13,0)+0.99),'Tax scales - NAT 3539'!$A$127:$C$154,3,1)),0)
*13/3,
0),
""))),
""),
"")</f>
        <v/>
      </c>
      <c r="AZ663" s="118">
        <f>IFERROR(
HLOOKUP(VLOOKUP($C663,'Employee information'!$B:$M,COLUMNS('Employee information'!$B:$M),0),'PAYG worksheet'!$AO$648:$AY$667,COUNTA($C$649:$C663)+1,0),
0)</f>
        <v>0</v>
      </c>
      <c r="BA663" s="118"/>
      <c r="BB663" s="118">
        <f t="shared" si="697"/>
        <v>0</v>
      </c>
      <c r="BC663" s="119">
        <f>IFERROR(
IF(OR($AE663=1,$AE663=""),SUM($P663,$AA663,$AC663,$AK663)*VLOOKUP($C663,'Employee information'!$B:$Q,COLUMNS('Employee information'!$B:$H),0),
IF($AE663=0,SUM($P663,$AA663,$AK663)*VLOOKUP($C663,'Employee information'!$B:$Q,COLUMNS('Employee information'!$B:$H),0),
0)),
0)</f>
        <v>0</v>
      </c>
      <c r="BE663" s="114">
        <f t="shared" si="682"/>
        <v>0</v>
      </c>
      <c r="BF663" s="114">
        <f t="shared" si="683"/>
        <v>0</v>
      </c>
      <c r="BG663" s="114">
        <f t="shared" si="684"/>
        <v>0</v>
      </c>
      <c r="BH663" s="114">
        <f t="shared" si="685"/>
        <v>0</v>
      </c>
      <c r="BI663" s="114">
        <f t="shared" si="686"/>
        <v>0</v>
      </c>
      <c r="BJ663" s="114">
        <f t="shared" si="687"/>
        <v>0</v>
      </c>
      <c r="BK663" s="114">
        <f t="shared" si="688"/>
        <v>0</v>
      </c>
      <c r="BL663" s="114">
        <f t="shared" si="698"/>
        <v>0</v>
      </c>
      <c r="BM663" s="114">
        <f t="shared" si="689"/>
        <v>0</v>
      </c>
    </row>
    <row r="664" spans="1:65" x14ac:dyDescent="0.25">
      <c r="A664" s="228">
        <f t="shared" si="677"/>
        <v>23</v>
      </c>
      <c r="C664" s="278"/>
      <c r="E664" s="103">
        <f>IF($C664="",0,
IF(AND($E$2="Monthly",$A664&gt;12),0,
IF($E$2="Monthly",VLOOKUP($C664,'Employee information'!$B:$AM,COLUMNS('Employee information'!$B:S),0),
IF($E$2="Fortnightly",VLOOKUP($C664,'Employee information'!$B:$AM,COLUMNS('Employee information'!$B:R),0),
0))))</f>
        <v>0</v>
      </c>
      <c r="F664" s="106"/>
      <c r="G664" s="106"/>
      <c r="H664" s="106"/>
      <c r="I664" s="106"/>
      <c r="J664" s="103">
        <f t="shared" si="690"/>
        <v>0</v>
      </c>
      <c r="L664" s="113">
        <f>IF(AND($E$2="Monthly",$A664&gt;12),"",
IFERROR($J664*VLOOKUP($C664,'Employee information'!$B:$AI,COLUMNS('Employee information'!$B:$P),0),0))</f>
        <v>0</v>
      </c>
      <c r="M664" s="114">
        <f t="shared" si="691"/>
        <v>0</v>
      </c>
      <c r="O664" s="103">
        <f t="shared" si="692"/>
        <v>0</v>
      </c>
      <c r="P664" s="113">
        <f>IFERROR(
IF(AND($E$2="Monthly",$A664&gt;12),0,
$O664*VLOOKUP($C664,'Employee information'!$B:$AI,COLUMNS('Employee information'!$B:$P),0)),
0)</f>
        <v>0</v>
      </c>
      <c r="R664" s="114">
        <f t="shared" si="678"/>
        <v>0</v>
      </c>
      <c r="T664" s="103"/>
      <c r="U664" s="103"/>
      <c r="V664" s="282" t="str">
        <f>IF($C664="","",
IF(AND($E$2="Monthly",$A664&gt;12),"",
$T664*VLOOKUP($C664,'Employee information'!$B:$P,COLUMNS('Employee information'!$B:$P),0)))</f>
        <v/>
      </c>
      <c r="W664" s="282" t="str">
        <f>IF($C664="","",
IF(AND($E$2="Monthly",$A664&gt;12),"",
$U664*VLOOKUP($C664,'Employee information'!$B:$P,COLUMNS('Employee information'!$B:$P),0)))</f>
        <v/>
      </c>
      <c r="X664" s="114">
        <f t="shared" si="679"/>
        <v>0</v>
      </c>
      <c r="Y664" s="114">
        <f t="shared" si="680"/>
        <v>0</v>
      </c>
      <c r="AA664" s="118">
        <f>IFERROR(
IF(OR('Basic payroll data'!$D$12="",'Basic payroll data'!$D$12="No"),0,
$T664*VLOOKUP($C664,'Employee information'!$B:$P,COLUMNS('Employee information'!$B:$P),0)*AL_loading_perc),
0)</f>
        <v>0</v>
      </c>
      <c r="AC664" s="118"/>
      <c r="AD664" s="118"/>
      <c r="AE664" s="283" t="str">
        <f t="shared" si="693"/>
        <v/>
      </c>
      <c r="AF664" s="283" t="str">
        <f t="shared" si="694"/>
        <v/>
      </c>
      <c r="AG664" s="118"/>
      <c r="AH664" s="118"/>
      <c r="AI664" s="283" t="str">
        <f t="shared" si="695"/>
        <v/>
      </c>
      <c r="AJ664" s="118"/>
      <c r="AK664" s="118"/>
      <c r="AM664" s="118">
        <f t="shared" si="696"/>
        <v>0</v>
      </c>
      <c r="AN664" s="118">
        <f t="shared" si="681"/>
        <v>0</v>
      </c>
      <c r="AO664" s="118" t="str">
        <f>IFERROR(
IF(VLOOKUP($C664,'Employee information'!$B:$M,COLUMNS('Employee information'!$B:$M),0)=1,
IF($E$2="Fortnightly",
ROUND(
ROUND((((TRUNC($AN664/2,0)+0.99))*VLOOKUP((TRUNC($AN664/2,0)+0.99),'Tax scales - NAT 1004'!$A$12:$C$18,2,1)-VLOOKUP((TRUNC($AN664/2,0)+0.99),'Tax scales - NAT 1004'!$A$12:$C$18,3,1)),0)
*2,
0),
IF(AND($E$2="Monthly",ROUND($AN664-TRUNC($AN664),2)=0.33),
ROUND(
ROUND(((TRUNC(($AN664+0.01)*3/13,0)+0.99)*VLOOKUP((TRUNC(($AN664+0.01)*3/13,0)+0.99),'Tax scales - NAT 1004'!$A$12:$C$18,2,1)-VLOOKUP((TRUNC(($AN664+0.01)*3/13,0)+0.99),'Tax scales - NAT 1004'!$A$12:$C$18,3,1)),0)
*13/3,
0),
IF($E$2="Monthly",
ROUND(
ROUND(((TRUNC($AN664*3/13,0)+0.99)*VLOOKUP((TRUNC($AN664*3/13,0)+0.99),'Tax scales - NAT 1004'!$A$12:$C$18,2,1)-VLOOKUP((TRUNC($AN664*3/13,0)+0.99),'Tax scales - NAT 1004'!$A$12:$C$18,3,1)),0)
*13/3,
0),
""))),
""),
"")</f>
        <v/>
      </c>
      <c r="AP664" s="118" t="str">
        <f>IFERROR(
IF(VLOOKUP($C664,'Employee information'!$B:$M,COLUMNS('Employee information'!$B:$M),0)=2,
IF($E$2="Fortnightly",
ROUND(
ROUND((((TRUNC($AN664/2,0)+0.99))*VLOOKUP((TRUNC($AN664/2,0)+0.99),'Tax scales - NAT 1004'!$A$25:$C$33,2,1)-VLOOKUP((TRUNC($AN664/2,0)+0.99),'Tax scales - NAT 1004'!$A$25:$C$33,3,1)),0)
*2,
0),
IF(AND($E$2="Monthly",ROUND($AN664-TRUNC($AN664),2)=0.33),
ROUND(
ROUND(((TRUNC(($AN664+0.01)*3/13,0)+0.99)*VLOOKUP((TRUNC(($AN664+0.01)*3/13,0)+0.99),'Tax scales - NAT 1004'!$A$25:$C$33,2,1)-VLOOKUP((TRUNC(($AN664+0.01)*3/13,0)+0.99),'Tax scales - NAT 1004'!$A$25:$C$33,3,1)),0)
*13/3,
0),
IF($E$2="Monthly",
ROUND(
ROUND(((TRUNC($AN664*3/13,0)+0.99)*VLOOKUP((TRUNC($AN664*3/13,0)+0.99),'Tax scales - NAT 1004'!$A$25:$C$33,2,1)-VLOOKUP((TRUNC($AN664*3/13,0)+0.99),'Tax scales - NAT 1004'!$A$25:$C$33,3,1)),0)
*13/3,
0),
""))),
""),
"")</f>
        <v/>
      </c>
      <c r="AQ664" s="118" t="str">
        <f>IFERROR(
IF(VLOOKUP($C664,'Employee information'!$B:$M,COLUMNS('Employee information'!$B:$M),0)=3,
IF($E$2="Fortnightly",
ROUND(
ROUND((((TRUNC($AN664/2,0)+0.99))*VLOOKUP((TRUNC($AN664/2,0)+0.99),'Tax scales - NAT 1004'!$A$39:$C$41,2,1)-VLOOKUP((TRUNC($AN664/2,0)+0.99),'Tax scales - NAT 1004'!$A$39:$C$41,3,1)),0)
*2,
0),
IF(AND($E$2="Monthly",ROUND($AN664-TRUNC($AN664),2)=0.33),
ROUND(
ROUND(((TRUNC(($AN664+0.01)*3/13,0)+0.99)*VLOOKUP((TRUNC(($AN664+0.01)*3/13,0)+0.99),'Tax scales - NAT 1004'!$A$39:$C$41,2,1)-VLOOKUP((TRUNC(($AN664+0.01)*3/13,0)+0.99),'Tax scales - NAT 1004'!$A$39:$C$41,3,1)),0)
*13/3,
0),
IF($E$2="Monthly",
ROUND(
ROUND(((TRUNC($AN664*3/13,0)+0.99)*VLOOKUP((TRUNC($AN664*3/13,0)+0.99),'Tax scales - NAT 1004'!$A$39:$C$41,2,1)-VLOOKUP((TRUNC($AN664*3/13,0)+0.99),'Tax scales - NAT 1004'!$A$39:$C$41,3,1)),0)
*13/3,
0),
""))),
""),
"")</f>
        <v/>
      </c>
      <c r="AR664" s="118" t="str">
        <f>IFERROR(
IF(AND(VLOOKUP($C664,'Employee information'!$B:$M,COLUMNS('Employee information'!$B:$M),0)=4,
VLOOKUP($C664,'Employee information'!$B:$J,COLUMNS('Employee information'!$B:$J),0)="Resident"),
TRUNC(TRUNC($AN664)*'Tax scales - NAT 1004'!$B$47),
IF(AND(VLOOKUP($C664,'Employee information'!$B:$M,COLUMNS('Employee information'!$B:$M),0)=4,
VLOOKUP($C664,'Employee information'!$B:$J,COLUMNS('Employee information'!$B:$J),0)="Foreign resident"),
TRUNC(TRUNC($AN664)*'Tax scales - NAT 1004'!$B$48),
"")),
"")</f>
        <v/>
      </c>
      <c r="AS664" s="118" t="str">
        <f>IFERROR(
IF(VLOOKUP($C664,'Employee information'!$B:$M,COLUMNS('Employee information'!$B:$M),0)=5,
IF($E$2="Fortnightly",
ROUND(
ROUND((((TRUNC($AN664/2,0)+0.99))*VLOOKUP((TRUNC($AN664/2,0)+0.99),'Tax scales - NAT 1004'!$A$53:$C$59,2,1)-VLOOKUP((TRUNC($AN664/2,0)+0.99),'Tax scales - NAT 1004'!$A$53:$C$59,3,1)),0)
*2,
0),
IF(AND($E$2="Monthly",ROUND($AN664-TRUNC($AN664),2)=0.33),
ROUND(
ROUND(((TRUNC(($AN664+0.01)*3/13,0)+0.99)*VLOOKUP((TRUNC(($AN664+0.01)*3/13,0)+0.99),'Tax scales - NAT 1004'!$A$53:$C$59,2,1)-VLOOKUP((TRUNC(($AN664+0.01)*3/13,0)+0.99),'Tax scales - NAT 1004'!$A$53:$C$59,3,1)),0)
*13/3,
0),
IF($E$2="Monthly",
ROUND(
ROUND(((TRUNC($AN664*3/13,0)+0.99)*VLOOKUP((TRUNC($AN664*3/13,0)+0.99),'Tax scales - NAT 1004'!$A$53:$C$59,2,1)-VLOOKUP((TRUNC($AN664*3/13,0)+0.99),'Tax scales - NAT 1004'!$A$53:$C$59,3,1)),0)
*13/3,
0),
""))),
""),
"")</f>
        <v/>
      </c>
      <c r="AT664" s="118" t="str">
        <f>IFERROR(
IF(VLOOKUP($C664,'Employee information'!$B:$M,COLUMNS('Employee information'!$B:$M),0)=6,
IF($E$2="Fortnightly",
ROUND(
ROUND((((TRUNC($AN664/2,0)+0.99))*VLOOKUP((TRUNC($AN664/2,0)+0.99),'Tax scales - NAT 1004'!$A$65:$C$73,2,1)-VLOOKUP((TRUNC($AN664/2,0)+0.99),'Tax scales - NAT 1004'!$A$65:$C$73,3,1)),0)
*2,
0),
IF(AND($E$2="Monthly",ROUND($AN664-TRUNC($AN664),2)=0.33),
ROUND(
ROUND(((TRUNC(($AN664+0.01)*3/13,0)+0.99)*VLOOKUP((TRUNC(($AN664+0.01)*3/13,0)+0.99),'Tax scales - NAT 1004'!$A$65:$C$73,2,1)-VLOOKUP((TRUNC(($AN664+0.01)*3/13,0)+0.99),'Tax scales - NAT 1004'!$A$65:$C$73,3,1)),0)
*13/3,
0),
IF($E$2="Monthly",
ROUND(
ROUND(((TRUNC($AN664*3/13,0)+0.99)*VLOOKUP((TRUNC($AN664*3/13,0)+0.99),'Tax scales - NAT 1004'!$A$65:$C$73,2,1)-VLOOKUP((TRUNC($AN664*3/13,0)+0.99),'Tax scales - NAT 1004'!$A$65:$C$73,3,1)),0)
*13/3,
0),
""))),
""),
"")</f>
        <v/>
      </c>
      <c r="AU664" s="118" t="str">
        <f>IFERROR(
IF(VLOOKUP($C664,'Employee information'!$B:$M,COLUMNS('Employee information'!$B:$M),0)=11,
IF($E$2="Fortnightly",
ROUND(
ROUND((((TRUNC($AN664/2,0)+0.99))*VLOOKUP((TRUNC($AN664/2,0)+0.99),'Tax scales - NAT 3539'!$A$14:$C$38,2,1)-VLOOKUP((TRUNC($AN664/2,0)+0.99),'Tax scales - NAT 3539'!$A$14:$C$38,3,1)),0)
*2,
0),
IF(AND($E$2="Monthly",ROUND($AN664-TRUNC($AN664),2)=0.33),
ROUND(
ROUND(((TRUNC(($AN664+0.01)*3/13,0)+0.99)*VLOOKUP((TRUNC(($AN664+0.01)*3/13,0)+0.99),'Tax scales - NAT 3539'!$A$14:$C$38,2,1)-VLOOKUP((TRUNC(($AN664+0.01)*3/13,0)+0.99),'Tax scales - NAT 3539'!$A$14:$C$38,3,1)),0)
*13/3,
0),
IF($E$2="Monthly",
ROUND(
ROUND(((TRUNC($AN664*3/13,0)+0.99)*VLOOKUP((TRUNC($AN664*3/13,0)+0.99),'Tax scales - NAT 3539'!$A$14:$C$38,2,1)-VLOOKUP((TRUNC($AN664*3/13,0)+0.99),'Tax scales - NAT 3539'!$A$14:$C$38,3,1)),0)
*13/3,
0),
""))),
""),
"")</f>
        <v/>
      </c>
      <c r="AV664" s="118" t="str">
        <f>IFERROR(
IF(VLOOKUP($C664,'Employee information'!$B:$M,COLUMNS('Employee information'!$B:$M),0)=22,
IF($E$2="Fortnightly",
ROUND(
ROUND((((TRUNC($AN664/2,0)+0.99))*VLOOKUP((TRUNC($AN664/2,0)+0.99),'Tax scales - NAT 3539'!$A$43:$C$69,2,1)-VLOOKUP((TRUNC($AN664/2,0)+0.99),'Tax scales - NAT 3539'!$A$43:$C$69,3,1)),0)
*2,
0),
IF(AND($E$2="Monthly",ROUND($AN664-TRUNC($AN664),2)=0.33),
ROUND(
ROUND(((TRUNC(($AN664+0.01)*3/13,0)+0.99)*VLOOKUP((TRUNC(($AN664+0.01)*3/13,0)+0.99),'Tax scales - NAT 3539'!$A$43:$C$69,2,1)-VLOOKUP((TRUNC(($AN664+0.01)*3/13,0)+0.99),'Tax scales - NAT 3539'!$A$43:$C$69,3,1)),0)
*13/3,
0),
IF($E$2="Monthly",
ROUND(
ROUND(((TRUNC($AN664*3/13,0)+0.99)*VLOOKUP((TRUNC($AN664*3/13,0)+0.99),'Tax scales - NAT 3539'!$A$43:$C$69,2,1)-VLOOKUP((TRUNC($AN664*3/13,0)+0.99),'Tax scales - NAT 3539'!$A$43:$C$69,3,1)),0)
*13/3,
0),
""))),
""),
"")</f>
        <v/>
      </c>
      <c r="AW664" s="118" t="str">
        <f>IFERROR(
IF(VLOOKUP($C664,'Employee information'!$B:$M,COLUMNS('Employee information'!$B:$M),0)=33,
IF($E$2="Fortnightly",
ROUND(
ROUND((((TRUNC($AN664/2,0)+0.99))*VLOOKUP((TRUNC($AN664/2,0)+0.99),'Tax scales - NAT 3539'!$A$74:$C$94,2,1)-VLOOKUP((TRUNC($AN664/2,0)+0.99),'Tax scales - NAT 3539'!$A$74:$C$94,3,1)),0)
*2,
0),
IF(AND($E$2="Monthly",ROUND($AN664-TRUNC($AN664),2)=0.33),
ROUND(
ROUND(((TRUNC(($AN664+0.01)*3/13,0)+0.99)*VLOOKUP((TRUNC(($AN664+0.01)*3/13,0)+0.99),'Tax scales - NAT 3539'!$A$74:$C$94,2,1)-VLOOKUP((TRUNC(($AN664+0.01)*3/13,0)+0.99),'Tax scales - NAT 3539'!$A$74:$C$94,3,1)),0)
*13/3,
0),
IF($E$2="Monthly",
ROUND(
ROUND(((TRUNC($AN664*3/13,0)+0.99)*VLOOKUP((TRUNC($AN664*3/13,0)+0.99),'Tax scales - NAT 3539'!$A$74:$C$94,2,1)-VLOOKUP((TRUNC($AN664*3/13,0)+0.99),'Tax scales - NAT 3539'!$A$74:$C$94,3,1)),0)
*13/3,
0),
""))),
""),
"")</f>
        <v/>
      </c>
      <c r="AX664" s="118" t="str">
        <f>IFERROR(
IF(VLOOKUP($C664,'Employee information'!$B:$M,COLUMNS('Employee information'!$B:$M),0)=55,
IF($E$2="Fortnightly",
ROUND(
ROUND((((TRUNC($AN664/2,0)+0.99))*VLOOKUP((TRUNC($AN664/2,0)+0.99),'Tax scales - NAT 3539'!$A$99:$C$123,2,1)-VLOOKUP((TRUNC($AN664/2,0)+0.99),'Tax scales - NAT 3539'!$A$99:$C$123,3,1)),0)
*2,
0),
IF(AND($E$2="Monthly",ROUND($AN664-TRUNC($AN664),2)=0.33),
ROUND(
ROUND(((TRUNC(($AN664+0.01)*3/13,0)+0.99)*VLOOKUP((TRUNC(($AN664+0.01)*3/13,0)+0.99),'Tax scales - NAT 3539'!$A$99:$C$123,2,1)-VLOOKUP((TRUNC(($AN664+0.01)*3/13,0)+0.99),'Tax scales - NAT 3539'!$A$99:$C$123,3,1)),0)
*13/3,
0),
IF($E$2="Monthly",
ROUND(
ROUND(((TRUNC($AN664*3/13,0)+0.99)*VLOOKUP((TRUNC($AN664*3/13,0)+0.99),'Tax scales - NAT 3539'!$A$99:$C$123,2,1)-VLOOKUP((TRUNC($AN664*3/13,0)+0.99),'Tax scales - NAT 3539'!$A$99:$C$123,3,1)),0)
*13/3,
0),
""))),
""),
"")</f>
        <v/>
      </c>
      <c r="AY664" s="118" t="str">
        <f>IFERROR(
IF(VLOOKUP($C664,'Employee information'!$B:$M,COLUMNS('Employee information'!$B:$M),0)=66,
IF($E$2="Fortnightly",
ROUND(
ROUND((((TRUNC($AN664/2,0)+0.99))*VLOOKUP((TRUNC($AN664/2,0)+0.99),'Tax scales - NAT 3539'!$A$127:$C$154,2,1)-VLOOKUP((TRUNC($AN664/2,0)+0.99),'Tax scales - NAT 3539'!$A$127:$C$154,3,1)),0)
*2,
0),
IF(AND($E$2="Monthly",ROUND($AN664-TRUNC($AN664),2)=0.33),
ROUND(
ROUND(((TRUNC(($AN664+0.01)*3/13,0)+0.99)*VLOOKUP((TRUNC(($AN664+0.01)*3/13,0)+0.99),'Tax scales - NAT 3539'!$A$127:$C$154,2,1)-VLOOKUP((TRUNC(($AN664+0.01)*3/13,0)+0.99),'Tax scales - NAT 3539'!$A$127:$C$154,3,1)),0)
*13/3,
0),
IF($E$2="Monthly",
ROUND(
ROUND(((TRUNC($AN664*3/13,0)+0.99)*VLOOKUP((TRUNC($AN664*3/13,0)+0.99),'Tax scales - NAT 3539'!$A$127:$C$154,2,1)-VLOOKUP((TRUNC($AN664*3/13,0)+0.99),'Tax scales - NAT 3539'!$A$127:$C$154,3,1)),0)
*13/3,
0),
""))),
""),
"")</f>
        <v/>
      </c>
      <c r="AZ664" s="118">
        <f>IFERROR(
HLOOKUP(VLOOKUP($C664,'Employee information'!$B:$M,COLUMNS('Employee information'!$B:$M),0),'PAYG worksheet'!$AO$648:$AY$667,COUNTA($C$649:$C664)+1,0),
0)</f>
        <v>0</v>
      </c>
      <c r="BA664" s="118"/>
      <c r="BB664" s="118">
        <f t="shared" si="697"/>
        <v>0</v>
      </c>
      <c r="BC664" s="119">
        <f>IFERROR(
IF(OR($AE664=1,$AE664=""),SUM($P664,$AA664,$AC664,$AK664)*VLOOKUP($C664,'Employee information'!$B:$Q,COLUMNS('Employee information'!$B:$H),0),
IF($AE664=0,SUM($P664,$AA664,$AK664)*VLOOKUP($C664,'Employee information'!$B:$Q,COLUMNS('Employee information'!$B:$H),0),
0)),
0)</f>
        <v>0</v>
      </c>
      <c r="BE664" s="114">
        <f t="shared" si="682"/>
        <v>0</v>
      </c>
      <c r="BF664" s="114">
        <f t="shared" si="683"/>
        <v>0</v>
      </c>
      <c r="BG664" s="114">
        <f t="shared" si="684"/>
        <v>0</v>
      </c>
      <c r="BH664" s="114">
        <f t="shared" si="685"/>
        <v>0</v>
      </c>
      <c r="BI664" s="114">
        <f t="shared" si="686"/>
        <v>0</v>
      </c>
      <c r="BJ664" s="114">
        <f t="shared" si="687"/>
        <v>0</v>
      </c>
      <c r="BK664" s="114">
        <f t="shared" si="688"/>
        <v>0</v>
      </c>
      <c r="BL664" s="114">
        <f t="shared" si="698"/>
        <v>0</v>
      </c>
      <c r="BM664" s="114">
        <f t="shared" si="689"/>
        <v>0</v>
      </c>
    </row>
    <row r="665" spans="1:65" x14ac:dyDescent="0.25">
      <c r="A665" s="228">
        <f t="shared" si="677"/>
        <v>23</v>
      </c>
      <c r="C665" s="278"/>
      <c r="E665" s="103">
        <f>IF($C665="",0,
IF(AND($E$2="Monthly",$A665&gt;12),0,
IF($E$2="Monthly",VLOOKUP($C665,'Employee information'!$B:$AM,COLUMNS('Employee information'!$B:S),0),
IF($E$2="Fortnightly",VLOOKUP($C665,'Employee information'!$B:$AM,COLUMNS('Employee information'!$B:R),0),
0))))</f>
        <v>0</v>
      </c>
      <c r="F665" s="106"/>
      <c r="G665" s="106"/>
      <c r="H665" s="106"/>
      <c r="I665" s="106"/>
      <c r="J665" s="103">
        <f t="shared" si="690"/>
        <v>0</v>
      </c>
      <c r="L665" s="113">
        <f>IF(AND($E$2="Monthly",$A665&gt;12),"",
IFERROR($J665*VLOOKUP($C665,'Employee information'!$B:$AI,COLUMNS('Employee information'!$B:$P),0),0))</f>
        <v>0</v>
      </c>
      <c r="M665" s="114">
        <f t="shared" si="691"/>
        <v>0</v>
      </c>
      <c r="O665" s="103">
        <f t="shared" si="692"/>
        <v>0</v>
      </c>
      <c r="P665" s="113">
        <f>IFERROR(
IF(AND($E$2="Monthly",$A665&gt;12),0,
$O665*VLOOKUP($C665,'Employee information'!$B:$AI,COLUMNS('Employee information'!$B:$P),0)),
0)</f>
        <v>0</v>
      </c>
      <c r="R665" s="114">
        <f t="shared" si="678"/>
        <v>0</v>
      </c>
      <c r="T665" s="103"/>
      <c r="U665" s="103"/>
      <c r="V665" s="282" t="str">
        <f>IF($C665="","",
IF(AND($E$2="Monthly",$A665&gt;12),"",
$T665*VLOOKUP($C665,'Employee information'!$B:$P,COLUMNS('Employee information'!$B:$P),0)))</f>
        <v/>
      </c>
      <c r="W665" s="282" t="str">
        <f>IF($C665="","",
IF(AND($E$2="Monthly",$A665&gt;12),"",
$U665*VLOOKUP($C665,'Employee information'!$B:$P,COLUMNS('Employee information'!$B:$P),0)))</f>
        <v/>
      </c>
      <c r="X665" s="114">
        <f t="shared" si="679"/>
        <v>0</v>
      </c>
      <c r="Y665" s="114">
        <f t="shared" si="680"/>
        <v>0</v>
      </c>
      <c r="AA665" s="118">
        <f>IFERROR(
IF(OR('Basic payroll data'!$D$12="",'Basic payroll data'!$D$12="No"),0,
$T665*VLOOKUP($C665,'Employee information'!$B:$P,COLUMNS('Employee information'!$B:$P),0)*AL_loading_perc),
0)</f>
        <v>0</v>
      </c>
      <c r="AC665" s="118"/>
      <c r="AD665" s="118"/>
      <c r="AE665" s="283" t="str">
        <f t="shared" si="693"/>
        <v/>
      </c>
      <c r="AF665" s="283" t="str">
        <f t="shared" si="694"/>
        <v/>
      </c>
      <c r="AG665" s="118"/>
      <c r="AH665" s="118"/>
      <c r="AI665" s="283" t="str">
        <f t="shared" si="695"/>
        <v/>
      </c>
      <c r="AJ665" s="118"/>
      <c r="AK665" s="118"/>
      <c r="AM665" s="118">
        <f t="shared" si="696"/>
        <v>0</v>
      </c>
      <c r="AN665" s="118">
        <f t="shared" si="681"/>
        <v>0</v>
      </c>
      <c r="AO665" s="118" t="str">
        <f>IFERROR(
IF(VLOOKUP($C665,'Employee information'!$B:$M,COLUMNS('Employee information'!$B:$M),0)=1,
IF($E$2="Fortnightly",
ROUND(
ROUND((((TRUNC($AN665/2,0)+0.99))*VLOOKUP((TRUNC($AN665/2,0)+0.99),'Tax scales - NAT 1004'!$A$12:$C$18,2,1)-VLOOKUP((TRUNC($AN665/2,0)+0.99),'Tax scales - NAT 1004'!$A$12:$C$18,3,1)),0)
*2,
0),
IF(AND($E$2="Monthly",ROUND($AN665-TRUNC($AN665),2)=0.33),
ROUND(
ROUND(((TRUNC(($AN665+0.01)*3/13,0)+0.99)*VLOOKUP((TRUNC(($AN665+0.01)*3/13,0)+0.99),'Tax scales - NAT 1004'!$A$12:$C$18,2,1)-VLOOKUP((TRUNC(($AN665+0.01)*3/13,0)+0.99),'Tax scales - NAT 1004'!$A$12:$C$18,3,1)),0)
*13/3,
0),
IF($E$2="Monthly",
ROUND(
ROUND(((TRUNC($AN665*3/13,0)+0.99)*VLOOKUP((TRUNC($AN665*3/13,0)+0.99),'Tax scales - NAT 1004'!$A$12:$C$18,2,1)-VLOOKUP((TRUNC($AN665*3/13,0)+0.99),'Tax scales - NAT 1004'!$A$12:$C$18,3,1)),0)
*13/3,
0),
""))),
""),
"")</f>
        <v/>
      </c>
      <c r="AP665" s="118" t="str">
        <f>IFERROR(
IF(VLOOKUP($C665,'Employee information'!$B:$M,COLUMNS('Employee information'!$B:$M),0)=2,
IF($E$2="Fortnightly",
ROUND(
ROUND((((TRUNC($AN665/2,0)+0.99))*VLOOKUP((TRUNC($AN665/2,0)+0.99),'Tax scales - NAT 1004'!$A$25:$C$33,2,1)-VLOOKUP((TRUNC($AN665/2,0)+0.99),'Tax scales - NAT 1004'!$A$25:$C$33,3,1)),0)
*2,
0),
IF(AND($E$2="Monthly",ROUND($AN665-TRUNC($AN665),2)=0.33),
ROUND(
ROUND(((TRUNC(($AN665+0.01)*3/13,0)+0.99)*VLOOKUP((TRUNC(($AN665+0.01)*3/13,0)+0.99),'Tax scales - NAT 1004'!$A$25:$C$33,2,1)-VLOOKUP((TRUNC(($AN665+0.01)*3/13,0)+0.99),'Tax scales - NAT 1004'!$A$25:$C$33,3,1)),0)
*13/3,
0),
IF($E$2="Monthly",
ROUND(
ROUND(((TRUNC($AN665*3/13,0)+0.99)*VLOOKUP((TRUNC($AN665*3/13,0)+0.99),'Tax scales - NAT 1004'!$A$25:$C$33,2,1)-VLOOKUP((TRUNC($AN665*3/13,0)+0.99),'Tax scales - NAT 1004'!$A$25:$C$33,3,1)),0)
*13/3,
0),
""))),
""),
"")</f>
        <v/>
      </c>
      <c r="AQ665" s="118" t="str">
        <f>IFERROR(
IF(VLOOKUP($C665,'Employee information'!$B:$M,COLUMNS('Employee information'!$B:$M),0)=3,
IF($E$2="Fortnightly",
ROUND(
ROUND((((TRUNC($AN665/2,0)+0.99))*VLOOKUP((TRUNC($AN665/2,0)+0.99),'Tax scales - NAT 1004'!$A$39:$C$41,2,1)-VLOOKUP((TRUNC($AN665/2,0)+0.99),'Tax scales - NAT 1004'!$A$39:$C$41,3,1)),0)
*2,
0),
IF(AND($E$2="Monthly",ROUND($AN665-TRUNC($AN665),2)=0.33),
ROUND(
ROUND(((TRUNC(($AN665+0.01)*3/13,0)+0.99)*VLOOKUP((TRUNC(($AN665+0.01)*3/13,0)+0.99),'Tax scales - NAT 1004'!$A$39:$C$41,2,1)-VLOOKUP((TRUNC(($AN665+0.01)*3/13,0)+0.99),'Tax scales - NAT 1004'!$A$39:$C$41,3,1)),0)
*13/3,
0),
IF($E$2="Monthly",
ROUND(
ROUND(((TRUNC($AN665*3/13,0)+0.99)*VLOOKUP((TRUNC($AN665*3/13,0)+0.99),'Tax scales - NAT 1004'!$A$39:$C$41,2,1)-VLOOKUP((TRUNC($AN665*3/13,0)+0.99),'Tax scales - NAT 1004'!$A$39:$C$41,3,1)),0)
*13/3,
0),
""))),
""),
"")</f>
        <v/>
      </c>
      <c r="AR665" s="118" t="str">
        <f>IFERROR(
IF(AND(VLOOKUP($C665,'Employee information'!$B:$M,COLUMNS('Employee information'!$B:$M),0)=4,
VLOOKUP($C665,'Employee information'!$B:$J,COLUMNS('Employee information'!$B:$J),0)="Resident"),
TRUNC(TRUNC($AN665)*'Tax scales - NAT 1004'!$B$47),
IF(AND(VLOOKUP($C665,'Employee information'!$B:$M,COLUMNS('Employee information'!$B:$M),0)=4,
VLOOKUP($C665,'Employee information'!$B:$J,COLUMNS('Employee information'!$B:$J),0)="Foreign resident"),
TRUNC(TRUNC($AN665)*'Tax scales - NAT 1004'!$B$48),
"")),
"")</f>
        <v/>
      </c>
      <c r="AS665" s="118" t="str">
        <f>IFERROR(
IF(VLOOKUP($C665,'Employee information'!$B:$M,COLUMNS('Employee information'!$B:$M),0)=5,
IF($E$2="Fortnightly",
ROUND(
ROUND((((TRUNC($AN665/2,0)+0.99))*VLOOKUP((TRUNC($AN665/2,0)+0.99),'Tax scales - NAT 1004'!$A$53:$C$59,2,1)-VLOOKUP((TRUNC($AN665/2,0)+0.99),'Tax scales - NAT 1004'!$A$53:$C$59,3,1)),0)
*2,
0),
IF(AND($E$2="Monthly",ROUND($AN665-TRUNC($AN665),2)=0.33),
ROUND(
ROUND(((TRUNC(($AN665+0.01)*3/13,0)+0.99)*VLOOKUP((TRUNC(($AN665+0.01)*3/13,0)+0.99),'Tax scales - NAT 1004'!$A$53:$C$59,2,1)-VLOOKUP((TRUNC(($AN665+0.01)*3/13,0)+0.99),'Tax scales - NAT 1004'!$A$53:$C$59,3,1)),0)
*13/3,
0),
IF($E$2="Monthly",
ROUND(
ROUND(((TRUNC($AN665*3/13,0)+0.99)*VLOOKUP((TRUNC($AN665*3/13,0)+0.99),'Tax scales - NAT 1004'!$A$53:$C$59,2,1)-VLOOKUP((TRUNC($AN665*3/13,0)+0.99),'Tax scales - NAT 1004'!$A$53:$C$59,3,1)),0)
*13/3,
0),
""))),
""),
"")</f>
        <v/>
      </c>
      <c r="AT665" s="118" t="str">
        <f>IFERROR(
IF(VLOOKUP($C665,'Employee information'!$B:$M,COLUMNS('Employee information'!$B:$M),0)=6,
IF($E$2="Fortnightly",
ROUND(
ROUND((((TRUNC($AN665/2,0)+0.99))*VLOOKUP((TRUNC($AN665/2,0)+0.99),'Tax scales - NAT 1004'!$A$65:$C$73,2,1)-VLOOKUP((TRUNC($AN665/2,0)+0.99),'Tax scales - NAT 1004'!$A$65:$C$73,3,1)),0)
*2,
0),
IF(AND($E$2="Monthly",ROUND($AN665-TRUNC($AN665),2)=0.33),
ROUND(
ROUND(((TRUNC(($AN665+0.01)*3/13,0)+0.99)*VLOOKUP((TRUNC(($AN665+0.01)*3/13,0)+0.99),'Tax scales - NAT 1004'!$A$65:$C$73,2,1)-VLOOKUP((TRUNC(($AN665+0.01)*3/13,0)+0.99),'Tax scales - NAT 1004'!$A$65:$C$73,3,1)),0)
*13/3,
0),
IF($E$2="Monthly",
ROUND(
ROUND(((TRUNC($AN665*3/13,0)+0.99)*VLOOKUP((TRUNC($AN665*3/13,0)+0.99),'Tax scales - NAT 1004'!$A$65:$C$73,2,1)-VLOOKUP((TRUNC($AN665*3/13,0)+0.99),'Tax scales - NAT 1004'!$A$65:$C$73,3,1)),0)
*13/3,
0),
""))),
""),
"")</f>
        <v/>
      </c>
      <c r="AU665" s="118" t="str">
        <f>IFERROR(
IF(VLOOKUP($C665,'Employee information'!$B:$M,COLUMNS('Employee information'!$B:$M),0)=11,
IF($E$2="Fortnightly",
ROUND(
ROUND((((TRUNC($AN665/2,0)+0.99))*VLOOKUP((TRUNC($AN665/2,0)+0.99),'Tax scales - NAT 3539'!$A$14:$C$38,2,1)-VLOOKUP((TRUNC($AN665/2,0)+0.99),'Tax scales - NAT 3539'!$A$14:$C$38,3,1)),0)
*2,
0),
IF(AND($E$2="Monthly",ROUND($AN665-TRUNC($AN665),2)=0.33),
ROUND(
ROUND(((TRUNC(($AN665+0.01)*3/13,0)+0.99)*VLOOKUP((TRUNC(($AN665+0.01)*3/13,0)+0.99),'Tax scales - NAT 3539'!$A$14:$C$38,2,1)-VLOOKUP((TRUNC(($AN665+0.01)*3/13,0)+0.99),'Tax scales - NAT 3539'!$A$14:$C$38,3,1)),0)
*13/3,
0),
IF($E$2="Monthly",
ROUND(
ROUND(((TRUNC($AN665*3/13,0)+0.99)*VLOOKUP((TRUNC($AN665*3/13,0)+0.99),'Tax scales - NAT 3539'!$A$14:$C$38,2,1)-VLOOKUP((TRUNC($AN665*3/13,0)+0.99),'Tax scales - NAT 3539'!$A$14:$C$38,3,1)),0)
*13/3,
0),
""))),
""),
"")</f>
        <v/>
      </c>
      <c r="AV665" s="118" t="str">
        <f>IFERROR(
IF(VLOOKUP($C665,'Employee information'!$B:$M,COLUMNS('Employee information'!$B:$M),0)=22,
IF($E$2="Fortnightly",
ROUND(
ROUND((((TRUNC($AN665/2,0)+0.99))*VLOOKUP((TRUNC($AN665/2,0)+0.99),'Tax scales - NAT 3539'!$A$43:$C$69,2,1)-VLOOKUP((TRUNC($AN665/2,0)+0.99),'Tax scales - NAT 3539'!$A$43:$C$69,3,1)),0)
*2,
0),
IF(AND($E$2="Monthly",ROUND($AN665-TRUNC($AN665),2)=0.33),
ROUND(
ROUND(((TRUNC(($AN665+0.01)*3/13,0)+0.99)*VLOOKUP((TRUNC(($AN665+0.01)*3/13,0)+0.99),'Tax scales - NAT 3539'!$A$43:$C$69,2,1)-VLOOKUP((TRUNC(($AN665+0.01)*3/13,0)+0.99),'Tax scales - NAT 3539'!$A$43:$C$69,3,1)),0)
*13/3,
0),
IF($E$2="Monthly",
ROUND(
ROUND(((TRUNC($AN665*3/13,0)+0.99)*VLOOKUP((TRUNC($AN665*3/13,0)+0.99),'Tax scales - NAT 3539'!$A$43:$C$69,2,1)-VLOOKUP((TRUNC($AN665*3/13,0)+0.99),'Tax scales - NAT 3539'!$A$43:$C$69,3,1)),0)
*13/3,
0),
""))),
""),
"")</f>
        <v/>
      </c>
      <c r="AW665" s="118" t="str">
        <f>IFERROR(
IF(VLOOKUP($C665,'Employee information'!$B:$M,COLUMNS('Employee information'!$B:$M),0)=33,
IF($E$2="Fortnightly",
ROUND(
ROUND((((TRUNC($AN665/2,0)+0.99))*VLOOKUP((TRUNC($AN665/2,0)+0.99),'Tax scales - NAT 3539'!$A$74:$C$94,2,1)-VLOOKUP((TRUNC($AN665/2,0)+0.99),'Tax scales - NAT 3539'!$A$74:$C$94,3,1)),0)
*2,
0),
IF(AND($E$2="Monthly",ROUND($AN665-TRUNC($AN665),2)=0.33),
ROUND(
ROUND(((TRUNC(($AN665+0.01)*3/13,0)+0.99)*VLOOKUP((TRUNC(($AN665+0.01)*3/13,0)+0.99),'Tax scales - NAT 3539'!$A$74:$C$94,2,1)-VLOOKUP((TRUNC(($AN665+0.01)*3/13,0)+0.99),'Tax scales - NAT 3539'!$A$74:$C$94,3,1)),0)
*13/3,
0),
IF($E$2="Monthly",
ROUND(
ROUND(((TRUNC($AN665*3/13,0)+0.99)*VLOOKUP((TRUNC($AN665*3/13,0)+0.99),'Tax scales - NAT 3539'!$A$74:$C$94,2,1)-VLOOKUP((TRUNC($AN665*3/13,0)+0.99),'Tax scales - NAT 3539'!$A$74:$C$94,3,1)),0)
*13/3,
0),
""))),
""),
"")</f>
        <v/>
      </c>
      <c r="AX665" s="118" t="str">
        <f>IFERROR(
IF(VLOOKUP($C665,'Employee information'!$B:$M,COLUMNS('Employee information'!$B:$M),0)=55,
IF($E$2="Fortnightly",
ROUND(
ROUND((((TRUNC($AN665/2,0)+0.99))*VLOOKUP((TRUNC($AN665/2,0)+0.99),'Tax scales - NAT 3539'!$A$99:$C$123,2,1)-VLOOKUP((TRUNC($AN665/2,0)+0.99),'Tax scales - NAT 3539'!$A$99:$C$123,3,1)),0)
*2,
0),
IF(AND($E$2="Monthly",ROUND($AN665-TRUNC($AN665),2)=0.33),
ROUND(
ROUND(((TRUNC(($AN665+0.01)*3/13,0)+0.99)*VLOOKUP((TRUNC(($AN665+0.01)*3/13,0)+0.99),'Tax scales - NAT 3539'!$A$99:$C$123,2,1)-VLOOKUP((TRUNC(($AN665+0.01)*3/13,0)+0.99),'Tax scales - NAT 3539'!$A$99:$C$123,3,1)),0)
*13/3,
0),
IF($E$2="Monthly",
ROUND(
ROUND(((TRUNC($AN665*3/13,0)+0.99)*VLOOKUP((TRUNC($AN665*3/13,0)+0.99),'Tax scales - NAT 3539'!$A$99:$C$123,2,1)-VLOOKUP((TRUNC($AN665*3/13,0)+0.99),'Tax scales - NAT 3539'!$A$99:$C$123,3,1)),0)
*13/3,
0),
""))),
""),
"")</f>
        <v/>
      </c>
      <c r="AY665" s="118" t="str">
        <f>IFERROR(
IF(VLOOKUP($C665,'Employee information'!$B:$M,COLUMNS('Employee information'!$B:$M),0)=66,
IF($E$2="Fortnightly",
ROUND(
ROUND((((TRUNC($AN665/2,0)+0.99))*VLOOKUP((TRUNC($AN665/2,0)+0.99),'Tax scales - NAT 3539'!$A$127:$C$154,2,1)-VLOOKUP((TRUNC($AN665/2,0)+0.99),'Tax scales - NAT 3539'!$A$127:$C$154,3,1)),0)
*2,
0),
IF(AND($E$2="Monthly",ROUND($AN665-TRUNC($AN665),2)=0.33),
ROUND(
ROUND(((TRUNC(($AN665+0.01)*3/13,0)+0.99)*VLOOKUP((TRUNC(($AN665+0.01)*3/13,0)+0.99),'Tax scales - NAT 3539'!$A$127:$C$154,2,1)-VLOOKUP((TRUNC(($AN665+0.01)*3/13,0)+0.99),'Tax scales - NAT 3539'!$A$127:$C$154,3,1)),0)
*13/3,
0),
IF($E$2="Monthly",
ROUND(
ROUND(((TRUNC($AN665*3/13,0)+0.99)*VLOOKUP((TRUNC($AN665*3/13,0)+0.99),'Tax scales - NAT 3539'!$A$127:$C$154,2,1)-VLOOKUP((TRUNC($AN665*3/13,0)+0.99),'Tax scales - NAT 3539'!$A$127:$C$154,3,1)),0)
*13/3,
0),
""))),
""),
"")</f>
        <v/>
      </c>
      <c r="AZ665" s="118">
        <f>IFERROR(
HLOOKUP(VLOOKUP($C665,'Employee information'!$B:$M,COLUMNS('Employee information'!$B:$M),0),'PAYG worksheet'!$AO$648:$AY$667,COUNTA($C$649:$C665)+1,0),
0)</f>
        <v>0</v>
      </c>
      <c r="BA665" s="118"/>
      <c r="BB665" s="118">
        <f t="shared" si="697"/>
        <v>0</v>
      </c>
      <c r="BC665" s="119">
        <f>IFERROR(
IF(OR($AE665=1,$AE665=""),SUM($P665,$AA665,$AC665,$AK665)*VLOOKUP($C665,'Employee information'!$B:$Q,COLUMNS('Employee information'!$B:$H),0),
IF($AE665=0,SUM($P665,$AA665,$AK665)*VLOOKUP($C665,'Employee information'!$B:$Q,COLUMNS('Employee information'!$B:$H),0),
0)),
0)</f>
        <v>0</v>
      </c>
      <c r="BE665" s="114">
        <f t="shared" si="682"/>
        <v>0</v>
      </c>
      <c r="BF665" s="114">
        <f t="shared" si="683"/>
        <v>0</v>
      </c>
      <c r="BG665" s="114">
        <f t="shared" si="684"/>
        <v>0</v>
      </c>
      <c r="BH665" s="114">
        <f t="shared" si="685"/>
        <v>0</v>
      </c>
      <c r="BI665" s="114">
        <f t="shared" si="686"/>
        <v>0</v>
      </c>
      <c r="BJ665" s="114">
        <f t="shared" si="687"/>
        <v>0</v>
      </c>
      <c r="BK665" s="114">
        <f t="shared" si="688"/>
        <v>0</v>
      </c>
      <c r="BL665" s="114">
        <f t="shared" si="698"/>
        <v>0</v>
      </c>
      <c r="BM665" s="114">
        <f t="shared" si="689"/>
        <v>0</v>
      </c>
    </row>
    <row r="666" spans="1:65" x14ac:dyDescent="0.25">
      <c r="A666" s="228">
        <f t="shared" si="677"/>
        <v>23</v>
      </c>
      <c r="C666" s="278"/>
      <c r="E666" s="103">
        <f>IF($C666="",0,
IF(AND($E$2="Monthly",$A666&gt;12),0,
IF($E$2="Monthly",VLOOKUP($C666,'Employee information'!$B:$AM,COLUMNS('Employee information'!$B:S),0),
IF($E$2="Fortnightly",VLOOKUP($C666,'Employee information'!$B:$AM,COLUMNS('Employee information'!$B:R),0),
0))))</f>
        <v>0</v>
      </c>
      <c r="F666" s="106"/>
      <c r="G666" s="106"/>
      <c r="H666" s="106"/>
      <c r="I666" s="106"/>
      <c r="J666" s="103">
        <f t="shared" si="690"/>
        <v>0</v>
      </c>
      <c r="L666" s="113">
        <f>IF(AND($E$2="Monthly",$A666&gt;12),"",
IFERROR($J666*VLOOKUP($C666,'Employee information'!$B:$AI,COLUMNS('Employee information'!$B:$P),0),0))</f>
        <v>0</v>
      </c>
      <c r="M666" s="114">
        <f t="shared" si="691"/>
        <v>0</v>
      </c>
      <c r="O666" s="103">
        <f t="shared" si="692"/>
        <v>0</v>
      </c>
      <c r="P666" s="113">
        <f>IFERROR(
IF(AND($E$2="Monthly",$A666&gt;12),0,
$O666*VLOOKUP($C666,'Employee information'!$B:$AI,COLUMNS('Employee information'!$B:$P),0)),
0)</f>
        <v>0</v>
      </c>
      <c r="R666" s="114">
        <f t="shared" si="678"/>
        <v>0</v>
      </c>
      <c r="T666" s="103"/>
      <c r="U666" s="103"/>
      <c r="V666" s="282" t="str">
        <f>IF($C666="","",
IF(AND($E$2="Monthly",$A666&gt;12),"",
$T666*VLOOKUP($C666,'Employee information'!$B:$P,COLUMNS('Employee information'!$B:$P),0)))</f>
        <v/>
      </c>
      <c r="W666" s="282" t="str">
        <f>IF($C666="","",
IF(AND($E$2="Monthly",$A666&gt;12),"",
$U666*VLOOKUP($C666,'Employee information'!$B:$P,COLUMNS('Employee information'!$B:$P),0)))</f>
        <v/>
      </c>
      <c r="X666" s="114">
        <f t="shared" si="679"/>
        <v>0</v>
      </c>
      <c r="Y666" s="114">
        <f t="shared" si="680"/>
        <v>0</v>
      </c>
      <c r="AA666" s="118">
        <f>IFERROR(
IF(OR('Basic payroll data'!$D$12="",'Basic payroll data'!$D$12="No"),0,
$T666*VLOOKUP($C666,'Employee information'!$B:$P,COLUMNS('Employee information'!$B:$P),0)*AL_loading_perc),
0)</f>
        <v>0</v>
      </c>
      <c r="AC666" s="118"/>
      <c r="AD666" s="118"/>
      <c r="AE666" s="283" t="str">
        <f t="shared" si="693"/>
        <v/>
      </c>
      <c r="AF666" s="283" t="str">
        <f t="shared" si="694"/>
        <v/>
      </c>
      <c r="AG666" s="118"/>
      <c r="AH666" s="118"/>
      <c r="AI666" s="283" t="str">
        <f t="shared" si="695"/>
        <v/>
      </c>
      <c r="AJ666" s="118"/>
      <c r="AK666" s="118"/>
      <c r="AM666" s="118">
        <f t="shared" si="696"/>
        <v>0</v>
      </c>
      <c r="AN666" s="118">
        <f t="shared" si="681"/>
        <v>0</v>
      </c>
      <c r="AO666" s="118" t="str">
        <f>IFERROR(
IF(VLOOKUP($C666,'Employee information'!$B:$M,COLUMNS('Employee information'!$B:$M),0)=1,
IF($E$2="Fortnightly",
ROUND(
ROUND((((TRUNC($AN666/2,0)+0.99))*VLOOKUP((TRUNC($AN666/2,0)+0.99),'Tax scales - NAT 1004'!$A$12:$C$18,2,1)-VLOOKUP((TRUNC($AN666/2,0)+0.99),'Tax scales - NAT 1004'!$A$12:$C$18,3,1)),0)
*2,
0),
IF(AND($E$2="Monthly",ROUND($AN666-TRUNC($AN666),2)=0.33),
ROUND(
ROUND(((TRUNC(($AN666+0.01)*3/13,0)+0.99)*VLOOKUP((TRUNC(($AN666+0.01)*3/13,0)+0.99),'Tax scales - NAT 1004'!$A$12:$C$18,2,1)-VLOOKUP((TRUNC(($AN666+0.01)*3/13,0)+0.99),'Tax scales - NAT 1004'!$A$12:$C$18,3,1)),0)
*13/3,
0),
IF($E$2="Monthly",
ROUND(
ROUND(((TRUNC($AN666*3/13,0)+0.99)*VLOOKUP((TRUNC($AN666*3/13,0)+0.99),'Tax scales - NAT 1004'!$A$12:$C$18,2,1)-VLOOKUP((TRUNC($AN666*3/13,0)+0.99),'Tax scales - NAT 1004'!$A$12:$C$18,3,1)),0)
*13/3,
0),
""))),
""),
"")</f>
        <v/>
      </c>
      <c r="AP666" s="118" t="str">
        <f>IFERROR(
IF(VLOOKUP($C666,'Employee information'!$B:$M,COLUMNS('Employee information'!$B:$M),0)=2,
IF($E$2="Fortnightly",
ROUND(
ROUND((((TRUNC($AN666/2,0)+0.99))*VLOOKUP((TRUNC($AN666/2,0)+0.99),'Tax scales - NAT 1004'!$A$25:$C$33,2,1)-VLOOKUP((TRUNC($AN666/2,0)+0.99),'Tax scales - NAT 1004'!$A$25:$C$33,3,1)),0)
*2,
0),
IF(AND($E$2="Monthly",ROUND($AN666-TRUNC($AN666),2)=0.33),
ROUND(
ROUND(((TRUNC(($AN666+0.01)*3/13,0)+0.99)*VLOOKUP((TRUNC(($AN666+0.01)*3/13,0)+0.99),'Tax scales - NAT 1004'!$A$25:$C$33,2,1)-VLOOKUP((TRUNC(($AN666+0.01)*3/13,0)+0.99),'Tax scales - NAT 1004'!$A$25:$C$33,3,1)),0)
*13/3,
0),
IF($E$2="Monthly",
ROUND(
ROUND(((TRUNC($AN666*3/13,0)+0.99)*VLOOKUP((TRUNC($AN666*3/13,0)+0.99),'Tax scales - NAT 1004'!$A$25:$C$33,2,1)-VLOOKUP((TRUNC($AN666*3/13,0)+0.99),'Tax scales - NAT 1004'!$A$25:$C$33,3,1)),0)
*13/3,
0),
""))),
""),
"")</f>
        <v/>
      </c>
      <c r="AQ666" s="118" t="str">
        <f>IFERROR(
IF(VLOOKUP($C666,'Employee information'!$B:$M,COLUMNS('Employee information'!$B:$M),0)=3,
IF($E$2="Fortnightly",
ROUND(
ROUND((((TRUNC($AN666/2,0)+0.99))*VLOOKUP((TRUNC($AN666/2,0)+0.99),'Tax scales - NAT 1004'!$A$39:$C$41,2,1)-VLOOKUP((TRUNC($AN666/2,0)+0.99),'Tax scales - NAT 1004'!$A$39:$C$41,3,1)),0)
*2,
0),
IF(AND($E$2="Monthly",ROUND($AN666-TRUNC($AN666),2)=0.33),
ROUND(
ROUND(((TRUNC(($AN666+0.01)*3/13,0)+0.99)*VLOOKUP((TRUNC(($AN666+0.01)*3/13,0)+0.99),'Tax scales - NAT 1004'!$A$39:$C$41,2,1)-VLOOKUP((TRUNC(($AN666+0.01)*3/13,0)+0.99),'Tax scales - NAT 1004'!$A$39:$C$41,3,1)),0)
*13/3,
0),
IF($E$2="Monthly",
ROUND(
ROUND(((TRUNC($AN666*3/13,0)+0.99)*VLOOKUP((TRUNC($AN666*3/13,0)+0.99),'Tax scales - NAT 1004'!$A$39:$C$41,2,1)-VLOOKUP((TRUNC($AN666*3/13,0)+0.99),'Tax scales - NAT 1004'!$A$39:$C$41,3,1)),0)
*13/3,
0),
""))),
""),
"")</f>
        <v/>
      </c>
      <c r="AR666" s="118" t="str">
        <f>IFERROR(
IF(AND(VLOOKUP($C666,'Employee information'!$B:$M,COLUMNS('Employee information'!$B:$M),0)=4,
VLOOKUP($C666,'Employee information'!$B:$J,COLUMNS('Employee information'!$B:$J),0)="Resident"),
TRUNC(TRUNC($AN666)*'Tax scales - NAT 1004'!$B$47),
IF(AND(VLOOKUP($C666,'Employee information'!$B:$M,COLUMNS('Employee information'!$B:$M),0)=4,
VLOOKUP($C666,'Employee information'!$B:$J,COLUMNS('Employee information'!$B:$J),0)="Foreign resident"),
TRUNC(TRUNC($AN666)*'Tax scales - NAT 1004'!$B$48),
"")),
"")</f>
        <v/>
      </c>
      <c r="AS666" s="118" t="str">
        <f>IFERROR(
IF(VLOOKUP($C666,'Employee information'!$B:$M,COLUMNS('Employee information'!$B:$M),0)=5,
IF($E$2="Fortnightly",
ROUND(
ROUND((((TRUNC($AN666/2,0)+0.99))*VLOOKUP((TRUNC($AN666/2,0)+0.99),'Tax scales - NAT 1004'!$A$53:$C$59,2,1)-VLOOKUP((TRUNC($AN666/2,0)+0.99),'Tax scales - NAT 1004'!$A$53:$C$59,3,1)),0)
*2,
0),
IF(AND($E$2="Monthly",ROUND($AN666-TRUNC($AN666),2)=0.33),
ROUND(
ROUND(((TRUNC(($AN666+0.01)*3/13,0)+0.99)*VLOOKUP((TRUNC(($AN666+0.01)*3/13,0)+0.99),'Tax scales - NAT 1004'!$A$53:$C$59,2,1)-VLOOKUP((TRUNC(($AN666+0.01)*3/13,0)+0.99),'Tax scales - NAT 1004'!$A$53:$C$59,3,1)),0)
*13/3,
0),
IF($E$2="Monthly",
ROUND(
ROUND(((TRUNC($AN666*3/13,0)+0.99)*VLOOKUP((TRUNC($AN666*3/13,0)+0.99),'Tax scales - NAT 1004'!$A$53:$C$59,2,1)-VLOOKUP((TRUNC($AN666*3/13,0)+0.99),'Tax scales - NAT 1004'!$A$53:$C$59,3,1)),0)
*13/3,
0),
""))),
""),
"")</f>
        <v/>
      </c>
      <c r="AT666" s="118" t="str">
        <f>IFERROR(
IF(VLOOKUP($C666,'Employee information'!$B:$M,COLUMNS('Employee information'!$B:$M),0)=6,
IF($E$2="Fortnightly",
ROUND(
ROUND((((TRUNC($AN666/2,0)+0.99))*VLOOKUP((TRUNC($AN666/2,0)+0.99),'Tax scales - NAT 1004'!$A$65:$C$73,2,1)-VLOOKUP((TRUNC($AN666/2,0)+0.99),'Tax scales - NAT 1004'!$A$65:$C$73,3,1)),0)
*2,
0),
IF(AND($E$2="Monthly",ROUND($AN666-TRUNC($AN666),2)=0.33),
ROUND(
ROUND(((TRUNC(($AN666+0.01)*3/13,0)+0.99)*VLOOKUP((TRUNC(($AN666+0.01)*3/13,0)+0.99),'Tax scales - NAT 1004'!$A$65:$C$73,2,1)-VLOOKUP((TRUNC(($AN666+0.01)*3/13,0)+0.99),'Tax scales - NAT 1004'!$A$65:$C$73,3,1)),0)
*13/3,
0),
IF($E$2="Monthly",
ROUND(
ROUND(((TRUNC($AN666*3/13,0)+0.99)*VLOOKUP((TRUNC($AN666*3/13,0)+0.99),'Tax scales - NAT 1004'!$A$65:$C$73,2,1)-VLOOKUP((TRUNC($AN666*3/13,0)+0.99),'Tax scales - NAT 1004'!$A$65:$C$73,3,1)),0)
*13/3,
0),
""))),
""),
"")</f>
        <v/>
      </c>
      <c r="AU666" s="118" t="str">
        <f>IFERROR(
IF(VLOOKUP($C666,'Employee information'!$B:$M,COLUMNS('Employee information'!$B:$M),0)=11,
IF($E$2="Fortnightly",
ROUND(
ROUND((((TRUNC($AN666/2,0)+0.99))*VLOOKUP((TRUNC($AN666/2,0)+0.99),'Tax scales - NAT 3539'!$A$14:$C$38,2,1)-VLOOKUP((TRUNC($AN666/2,0)+0.99),'Tax scales - NAT 3539'!$A$14:$C$38,3,1)),0)
*2,
0),
IF(AND($E$2="Monthly",ROUND($AN666-TRUNC($AN666),2)=0.33),
ROUND(
ROUND(((TRUNC(($AN666+0.01)*3/13,0)+0.99)*VLOOKUP((TRUNC(($AN666+0.01)*3/13,0)+0.99),'Tax scales - NAT 3539'!$A$14:$C$38,2,1)-VLOOKUP((TRUNC(($AN666+0.01)*3/13,0)+0.99),'Tax scales - NAT 3539'!$A$14:$C$38,3,1)),0)
*13/3,
0),
IF($E$2="Monthly",
ROUND(
ROUND(((TRUNC($AN666*3/13,0)+0.99)*VLOOKUP((TRUNC($AN666*3/13,0)+0.99),'Tax scales - NAT 3539'!$A$14:$C$38,2,1)-VLOOKUP((TRUNC($AN666*3/13,0)+0.99),'Tax scales - NAT 3539'!$A$14:$C$38,3,1)),0)
*13/3,
0),
""))),
""),
"")</f>
        <v/>
      </c>
      <c r="AV666" s="118" t="str">
        <f>IFERROR(
IF(VLOOKUP($C666,'Employee information'!$B:$M,COLUMNS('Employee information'!$B:$M),0)=22,
IF($E$2="Fortnightly",
ROUND(
ROUND((((TRUNC($AN666/2,0)+0.99))*VLOOKUP((TRUNC($AN666/2,0)+0.99),'Tax scales - NAT 3539'!$A$43:$C$69,2,1)-VLOOKUP((TRUNC($AN666/2,0)+0.99),'Tax scales - NAT 3539'!$A$43:$C$69,3,1)),0)
*2,
0),
IF(AND($E$2="Monthly",ROUND($AN666-TRUNC($AN666),2)=0.33),
ROUND(
ROUND(((TRUNC(($AN666+0.01)*3/13,0)+0.99)*VLOOKUP((TRUNC(($AN666+0.01)*3/13,0)+0.99),'Tax scales - NAT 3539'!$A$43:$C$69,2,1)-VLOOKUP((TRUNC(($AN666+0.01)*3/13,0)+0.99),'Tax scales - NAT 3539'!$A$43:$C$69,3,1)),0)
*13/3,
0),
IF($E$2="Monthly",
ROUND(
ROUND(((TRUNC($AN666*3/13,0)+0.99)*VLOOKUP((TRUNC($AN666*3/13,0)+0.99),'Tax scales - NAT 3539'!$A$43:$C$69,2,1)-VLOOKUP((TRUNC($AN666*3/13,0)+0.99),'Tax scales - NAT 3539'!$A$43:$C$69,3,1)),0)
*13/3,
0),
""))),
""),
"")</f>
        <v/>
      </c>
      <c r="AW666" s="118" t="str">
        <f>IFERROR(
IF(VLOOKUP($C666,'Employee information'!$B:$M,COLUMNS('Employee information'!$B:$M),0)=33,
IF($E$2="Fortnightly",
ROUND(
ROUND((((TRUNC($AN666/2,0)+0.99))*VLOOKUP((TRUNC($AN666/2,0)+0.99),'Tax scales - NAT 3539'!$A$74:$C$94,2,1)-VLOOKUP((TRUNC($AN666/2,0)+0.99),'Tax scales - NAT 3539'!$A$74:$C$94,3,1)),0)
*2,
0),
IF(AND($E$2="Monthly",ROUND($AN666-TRUNC($AN666),2)=0.33),
ROUND(
ROUND(((TRUNC(($AN666+0.01)*3/13,0)+0.99)*VLOOKUP((TRUNC(($AN666+0.01)*3/13,0)+0.99),'Tax scales - NAT 3539'!$A$74:$C$94,2,1)-VLOOKUP((TRUNC(($AN666+0.01)*3/13,0)+0.99),'Tax scales - NAT 3539'!$A$74:$C$94,3,1)),0)
*13/3,
0),
IF($E$2="Monthly",
ROUND(
ROUND(((TRUNC($AN666*3/13,0)+0.99)*VLOOKUP((TRUNC($AN666*3/13,0)+0.99),'Tax scales - NAT 3539'!$A$74:$C$94,2,1)-VLOOKUP((TRUNC($AN666*3/13,0)+0.99),'Tax scales - NAT 3539'!$A$74:$C$94,3,1)),0)
*13/3,
0),
""))),
""),
"")</f>
        <v/>
      </c>
      <c r="AX666" s="118" t="str">
        <f>IFERROR(
IF(VLOOKUP($C666,'Employee information'!$B:$M,COLUMNS('Employee information'!$B:$M),0)=55,
IF($E$2="Fortnightly",
ROUND(
ROUND((((TRUNC($AN666/2,0)+0.99))*VLOOKUP((TRUNC($AN666/2,0)+0.99),'Tax scales - NAT 3539'!$A$99:$C$123,2,1)-VLOOKUP((TRUNC($AN666/2,0)+0.99),'Tax scales - NAT 3539'!$A$99:$C$123,3,1)),0)
*2,
0),
IF(AND($E$2="Monthly",ROUND($AN666-TRUNC($AN666),2)=0.33),
ROUND(
ROUND(((TRUNC(($AN666+0.01)*3/13,0)+0.99)*VLOOKUP((TRUNC(($AN666+0.01)*3/13,0)+0.99),'Tax scales - NAT 3539'!$A$99:$C$123,2,1)-VLOOKUP((TRUNC(($AN666+0.01)*3/13,0)+0.99),'Tax scales - NAT 3539'!$A$99:$C$123,3,1)),0)
*13/3,
0),
IF($E$2="Monthly",
ROUND(
ROUND(((TRUNC($AN666*3/13,0)+0.99)*VLOOKUP((TRUNC($AN666*3/13,0)+0.99),'Tax scales - NAT 3539'!$A$99:$C$123,2,1)-VLOOKUP((TRUNC($AN666*3/13,0)+0.99),'Tax scales - NAT 3539'!$A$99:$C$123,3,1)),0)
*13/3,
0),
""))),
""),
"")</f>
        <v/>
      </c>
      <c r="AY666" s="118" t="str">
        <f>IFERROR(
IF(VLOOKUP($C666,'Employee information'!$B:$M,COLUMNS('Employee information'!$B:$M),0)=66,
IF($E$2="Fortnightly",
ROUND(
ROUND((((TRUNC($AN666/2,0)+0.99))*VLOOKUP((TRUNC($AN666/2,0)+0.99),'Tax scales - NAT 3539'!$A$127:$C$154,2,1)-VLOOKUP((TRUNC($AN666/2,0)+0.99),'Tax scales - NAT 3539'!$A$127:$C$154,3,1)),0)
*2,
0),
IF(AND($E$2="Monthly",ROUND($AN666-TRUNC($AN666),2)=0.33),
ROUND(
ROUND(((TRUNC(($AN666+0.01)*3/13,0)+0.99)*VLOOKUP((TRUNC(($AN666+0.01)*3/13,0)+0.99),'Tax scales - NAT 3539'!$A$127:$C$154,2,1)-VLOOKUP((TRUNC(($AN666+0.01)*3/13,0)+0.99),'Tax scales - NAT 3539'!$A$127:$C$154,3,1)),0)
*13/3,
0),
IF($E$2="Monthly",
ROUND(
ROUND(((TRUNC($AN666*3/13,0)+0.99)*VLOOKUP((TRUNC($AN666*3/13,0)+0.99),'Tax scales - NAT 3539'!$A$127:$C$154,2,1)-VLOOKUP((TRUNC($AN666*3/13,0)+0.99),'Tax scales - NAT 3539'!$A$127:$C$154,3,1)),0)
*13/3,
0),
""))),
""),
"")</f>
        <v/>
      </c>
      <c r="AZ666" s="118">
        <f>IFERROR(
HLOOKUP(VLOOKUP($C666,'Employee information'!$B:$M,COLUMNS('Employee information'!$B:$M),0),'PAYG worksheet'!$AO$648:$AY$667,COUNTA($C$649:$C666)+1,0),
0)</f>
        <v>0</v>
      </c>
      <c r="BA666" s="118"/>
      <c r="BB666" s="118">
        <f t="shared" si="697"/>
        <v>0</v>
      </c>
      <c r="BC666" s="119">
        <f>IFERROR(
IF(OR($AE666=1,$AE666=""),SUM($P666,$AA666,$AC666,$AK666)*VLOOKUP($C666,'Employee information'!$B:$Q,COLUMNS('Employee information'!$B:$H),0),
IF($AE666=0,SUM($P666,$AA666,$AK666)*VLOOKUP($C666,'Employee information'!$B:$Q,COLUMNS('Employee information'!$B:$H),0),
0)),
0)</f>
        <v>0</v>
      </c>
      <c r="BE666" s="114">
        <f t="shared" si="682"/>
        <v>0</v>
      </c>
      <c r="BF666" s="114">
        <f t="shared" si="683"/>
        <v>0</v>
      </c>
      <c r="BG666" s="114">
        <f t="shared" si="684"/>
        <v>0</v>
      </c>
      <c r="BH666" s="114">
        <f t="shared" si="685"/>
        <v>0</v>
      </c>
      <c r="BI666" s="114">
        <f t="shared" si="686"/>
        <v>0</v>
      </c>
      <c r="BJ666" s="114">
        <f t="shared" si="687"/>
        <v>0</v>
      </c>
      <c r="BK666" s="114">
        <f t="shared" si="688"/>
        <v>0</v>
      </c>
      <c r="BL666" s="114">
        <f t="shared" si="698"/>
        <v>0</v>
      </c>
      <c r="BM666" s="114">
        <f t="shared" si="689"/>
        <v>0</v>
      </c>
    </row>
    <row r="667" spans="1:65" x14ac:dyDescent="0.25">
      <c r="A667" s="228">
        <f t="shared" si="677"/>
        <v>23</v>
      </c>
      <c r="C667" s="278"/>
      <c r="E667" s="103">
        <f>IF($C667="",0,
IF(AND($E$2="Monthly",$A667&gt;12),0,
IF($E$2="Monthly",VLOOKUP($C667,'Employee information'!$B:$AM,COLUMNS('Employee information'!$B:S),0),
IF($E$2="Fortnightly",VLOOKUP($C667,'Employee information'!$B:$AM,COLUMNS('Employee information'!$B:R),0),
0))))</f>
        <v>0</v>
      </c>
      <c r="F667" s="106"/>
      <c r="G667" s="106"/>
      <c r="H667" s="106"/>
      <c r="I667" s="106"/>
      <c r="J667" s="103">
        <f t="shared" si="690"/>
        <v>0</v>
      </c>
      <c r="L667" s="113">
        <f>IF(AND($E$2="Monthly",$A667&gt;12),"",
IFERROR($J667*VLOOKUP($C667,'Employee information'!$B:$AI,COLUMNS('Employee information'!$B:$P),0),0))</f>
        <v>0</v>
      </c>
      <c r="M667" s="114">
        <f t="shared" si="691"/>
        <v>0</v>
      </c>
      <c r="O667" s="103">
        <f t="shared" si="692"/>
        <v>0</v>
      </c>
      <c r="P667" s="113">
        <f>IFERROR(
IF(AND($E$2="Monthly",$A667&gt;12),0,
$O667*VLOOKUP($C667,'Employee information'!$B:$AI,COLUMNS('Employee information'!$B:$P),0)),
0)</f>
        <v>0</v>
      </c>
      <c r="R667" s="114">
        <f t="shared" si="678"/>
        <v>0</v>
      </c>
      <c r="T667" s="103"/>
      <c r="U667" s="103"/>
      <c r="V667" s="282" t="str">
        <f>IF($C667="","",
IF(AND($E$2="Monthly",$A667&gt;12),"",
$T667*VLOOKUP($C667,'Employee information'!$B:$P,COLUMNS('Employee information'!$B:$P),0)))</f>
        <v/>
      </c>
      <c r="W667" s="282" t="str">
        <f>IF($C667="","",
IF(AND($E$2="Monthly",$A667&gt;12),"",
$U667*VLOOKUP($C667,'Employee information'!$B:$P,COLUMNS('Employee information'!$B:$P),0)))</f>
        <v/>
      </c>
      <c r="X667" s="114">
        <f t="shared" si="679"/>
        <v>0</v>
      </c>
      <c r="Y667" s="114">
        <f t="shared" si="680"/>
        <v>0</v>
      </c>
      <c r="AA667" s="118">
        <f>IFERROR(
IF(OR('Basic payroll data'!$D$12="",'Basic payroll data'!$D$12="No"),0,
$T667*VLOOKUP($C667,'Employee information'!$B:$P,COLUMNS('Employee information'!$B:$P),0)*AL_loading_perc),
0)</f>
        <v>0</v>
      </c>
      <c r="AC667" s="118"/>
      <c r="AD667" s="118"/>
      <c r="AE667" s="283" t="str">
        <f t="shared" si="693"/>
        <v/>
      </c>
      <c r="AF667" s="283" t="str">
        <f t="shared" si="694"/>
        <v/>
      </c>
      <c r="AG667" s="118"/>
      <c r="AH667" s="118"/>
      <c r="AI667" s="283" t="str">
        <f t="shared" si="695"/>
        <v/>
      </c>
      <c r="AJ667" s="118"/>
      <c r="AK667" s="118"/>
      <c r="AM667" s="118">
        <f t="shared" si="696"/>
        <v>0</v>
      </c>
      <c r="AN667" s="118">
        <f t="shared" si="681"/>
        <v>0</v>
      </c>
      <c r="AO667" s="118" t="str">
        <f>IFERROR(
IF(VLOOKUP($C667,'Employee information'!$B:$M,COLUMNS('Employee information'!$B:$M),0)=1,
IF($E$2="Fortnightly",
ROUND(
ROUND((((TRUNC($AN667/2,0)+0.99))*VLOOKUP((TRUNC($AN667/2,0)+0.99),'Tax scales - NAT 1004'!$A$12:$C$18,2,1)-VLOOKUP((TRUNC($AN667/2,0)+0.99),'Tax scales - NAT 1004'!$A$12:$C$18,3,1)),0)
*2,
0),
IF(AND($E$2="Monthly",ROUND($AN667-TRUNC($AN667),2)=0.33),
ROUND(
ROUND(((TRUNC(($AN667+0.01)*3/13,0)+0.99)*VLOOKUP((TRUNC(($AN667+0.01)*3/13,0)+0.99),'Tax scales - NAT 1004'!$A$12:$C$18,2,1)-VLOOKUP((TRUNC(($AN667+0.01)*3/13,0)+0.99),'Tax scales - NAT 1004'!$A$12:$C$18,3,1)),0)
*13/3,
0),
IF($E$2="Monthly",
ROUND(
ROUND(((TRUNC($AN667*3/13,0)+0.99)*VLOOKUP((TRUNC($AN667*3/13,0)+0.99),'Tax scales - NAT 1004'!$A$12:$C$18,2,1)-VLOOKUP((TRUNC($AN667*3/13,0)+0.99),'Tax scales - NAT 1004'!$A$12:$C$18,3,1)),0)
*13/3,
0),
""))),
""),
"")</f>
        <v/>
      </c>
      <c r="AP667" s="118" t="str">
        <f>IFERROR(
IF(VLOOKUP($C667,'Employee information'!$B:$M,COLUMNS('Employee information'!$B:$M),0)=2,
IF($E$2="Fortnightly",
ROUND(
ROUND((((TRUNC($AN667/2,0)+0.99))*VLOOKUP((TRUNC($AN667/2,0)+0.99),'Tax scales - NAT 1004'!$A$25:$C$33,2,1)-VLOOKUP((TRUNC($AN667/2,0)+0.99),'Tax scales - NAT 1004'!$A$25:$C$33,3,1)),0)
*2,
0),
IF(AND($E$2="Monthly",ROUND($AN667-TRUNC($AN667),2)=0.33),
ROUND(
ROUND(((TRUNC(($AN667+0.01)*3/13,0)+0.99)*VLOOKUP((TRUNC(($AN667+0.01)*3/13,0)+0.99),'Tax scales - NAT 1004'!$A$25:$C$33,2,1)-VLOOKUP((TRUNC(($AN667+0.01)*3/13,0)+0.99),'Tax scales - NAT 1004'!$A$25:$C$33,3,1)),0)
*13/3,
0),
IF($E$2="Monthly",
ROUND(
ROUND(((TRUNC($AN667*3/13,0)+0.99)*VLOOKUP((TRUNC($AN667*3/13,0)+0.99),'Tax scales - NAT 1004'!$A$25:$C$33,2,1)-VLOOKUP((TRUNC($AN667*3/13,0)+0.99),'Tax scales - NAT 1004'!$A$25:$C$33,3,1)),0)
*13/3,
0),
""))),
""),
"")</f>
        <v/>
      </c>
      <c r="AQ667" s="118" t="str">
        <f>IFERROR(
IF(VLOOKUP($C667,'Employee information'!$B:$M,COLUMNS('Employee information'!$B:$M),0)=3,
IF($E$2="Fortnightly",
ROUND(
ROUND((((TRUNC($AN667/2,0)+0.99))*VLOOKUP((TRUNC($AN667/2,0)+0.99),'Tax scales - NAT 1004'!$A$39:$C$41,2,1)-VLOOKUP((TRUNC($AN667/2,0)+0.99),'Tax scales - NAT 1004'!$A$39:$C$41,3,1)),0)
*2,
0),
IF(AND($E$2="Monthly",ROUND($AN667-TRUNC($AN667),2)=0.33),
ROUND(
ROUND(((TRUNC(($AN667+0.01)*3/13,0)+0.99)*VLOOKUP((TRUNC(($AN667+0.01)*3/13,0)+0.99),'Tax scales - NAT 1004'!$A$39:$C$41,2,1)-VLOOKUP((TRUNC(($AN667+0.01)*3/13,0)+0.99),'Tax scales - NAT 1004'!$A$39:$C$41,3,1)),0)
*13/3,
0),
IF($E$2="Monthly",
ROUND(
ROUND(((TRUNC($AN667*3/13,0)+0.99)*VLOOKUP((TRUNC($AN667*3/13,0)+0.99),'Tax scales - NAT 1004'!$A$39:$C$41,2,1)-VLOOKUP((TRUNC($AN667*3/13,0)+0.99),'Tax scales - NAT 1004'!$A$39:$C$41,3,1)),0)
*13/3,
0),
""))),
""),
"")</f>
        <v/>
      </c>
      <c r="AR667" s="118" t="str">
        <f>IFERROR(
IF(AND(VLOOKUP($C667,'Employee information'!$B:$M,COLUMNS('Employee information'!$B:$M),0)=4,
VLOOKUP($C667,'Employee information'!$B:$J,COLUMNS('Employee information'!$B:$J),0)="Resident"),
TRUNC(TRUNC($AN667)*'Tax scales - NAT 1004'!$B$47),
IF(AND(VLOOKUP($C667,'Employee information'!$B:$M,COLUMNS('Employee information'!$B:$M),0)=4,
VLOOKUP($C667,'Employee information'!$B:$J,COLUMNS('Employee information'!$B:$J),0)="Foreign resident"),
TRUNC(TRUNC($AN667)*'Tax scales - NAT 1004'!$B$48),
"")),
"")</f>
        <v/>
      </c>
      <c r="AS667" s="118" t="str">
        <f>IFERROR(
IF(VLOOKUP($C667,'Employee information'!$B:$M,COLUMNS('Employee information'!$B:$M),0)=5,
IF($E$2="Fortnightly",
ROUND(
ROUND((((TRUNC($AN667/2,0)+0.99))*VLOOKUP((TRUNC($AN667/2,0)+0.99),'Tax scales - NAT 1004'!$A$53:$C$59,2,1)-VLOOKUP((TRUNC($AN667/2,0)+0.99),'Tax scales - NAT 1004'!$A$53:$C$59,3,1)),0)
*2,
0),
IF(AND($E$2="Monthly",ROUND($AN667-TRUNC($AN667),2)=0.33),
ROUND(
ROUND(((TRUNC(($AN667+0.01)*3/13,0)+0.99)*VLOOKUP((TRUNC(($AN667+0.01)*3/13,0)+0.99),'Tax scales - NAT 1004'!$A$53:$C$59,2,1)-VLOOKUP((TRUNC(($AN667+0.01)*3/13,0)+0.99),'Tax scales - NAT 1004'!$A$53:$C$59,3,1)),0)
*13/3,
0),
IF($E$2="Monthly",
ROUND(
ROUND(((TRUNC($AN667*3/13,0)+0.99)*VLOOKUP((TRUNC($AN667*3/13,0)+0.99),'Tax scales - NAT 1004'!$A$53:$C$59,2,1)-VLOOKUP((TRUNC($AN667*3/13,0)+0.99),'Tax scales - NAT 1004'!$A$53:$C$59,3,1)),0)
*13/3,
0),
""))),
""),
"")</f>
        <v/>
      </c>
      <c r="AT667" s="118" t="str">
        <f>IFERROR(
IF(VLOOKUP($C667,'Employee information'!$B:$M,COLUMNS('Employee information'!$B:$M),0)=6,
IF($E$2="Fortnightly",
ROUND(
ROUND((((TRUNC($AN667/2,0)+0.99))*VLOOKUP((TRUNC($AN667/2,0)+0.99),'Tax scales - NAT 1004'!$A$65:$C$73,2,1)-VLOOKUP((TRUNC($AN667/2,0)+0.99),'Tax scales - NAT 1004'!$A$65:$C$73,3,1)),0)
*2,
0),
IF(AND($E$2="Monthly",ROUND($AN667-TRUNC($AN667),2)=0.33),
ROUND(
ROUND(((TRUNC(($AN667+0.01)*3/13,0)+0.99)*VLOOKUP((TRUNC(($AN667+0.01)*3/13,0)+0.99),'Tax scales - NAT 1004'!$A$65:$C$73,2,1)-VLOOKUP((TRUNC(($AN667+0.01)*3/13,0)+0.99),'Tax scales - NAT 1004'!$A$65:$C$73,3,1)),0)
*13/3,
0),
IF($E$2="Monthly",
ROUND(
ROUND(((TRUNC($AN667*3/13,0)+0.99)*VLOOKUP((TRUNC($AN667*3/13,0)+0.99),'Tax scales - NAT 1004'!$A$65:$C$73,2,1)-VLOOKUP((TRUNC($AN667*3/13,0)+0.99),'Tax scales - NAT 1004'!$A$65:$C$73,3,1)),0)
*13/3,
0),
""))),
""),
"")</f>
        <v/>
      </c>
      <c r="AU667" s="118" t="str">
        <f>IFERROR(
IF(VLOOKUP($C667,'Employee information'!$B:$M,COLUMNS('Employee information'!$B:$M),0)=11,
IF($E$2="Fortnightly",
ROUND(
ROUND((((TRUNC($AN667/2,0)+0.99))*VLOOKUP((TRUNC($AN667/2,0)+0.99),'Tax scales - NAT 3539'!$A$14:$C$38,2,1)-VLOOKUP((TRUNC($AN667/2,0)+0.99),'Tax scales - NAT 3539'!$A$14:$C$38,3,1)),0)
*2,
0),
IF(AND($E$2="Monthly",ROUND($AN667-TRUNC($AN667),2)=0.33),
ROUND(
ROUND(((TRUNC(($AN667+0.01)*3/13,0)+0.99)*VLOOKUP((TRUNC(($AN667+0.01)*3/13,0)+0.99),'Tax scales - NAT 3539'!$A$14:$C$38,2,1)-VLOOKUP((TRUNC(($AN667+0.01)*3/13,0)+0.99),'Tax scales - NAT 3539'!$A$14:$C$38,3,1)),0)
*13/3,
0),
IF($E$2="Monthly",
ROUND(
ROUND(((TRUNC($AN667*3/13,0)+0.99)*VLOOKUP((TRUNC($AN667*3/13,0)+0.99),'Tax scales - NAT 3539'!$A$14:$C$38,2,1)-VLOOKUP((TRUNC($AN667*3/13,0)+0.99),'Tax scales - NAT 3539'!$A$14:$C$38,3,1)),0)
*13/3,
0),
""))),
""),
"")</f>
        <v/>
      </c>
      <c r="AV667" s="118" t="str">
        <f>IFERROR(
IF(VLOOKUP($C667,'Employee information'!$B:$M,COLUMNS('Employee information'!$B:$M),0)=22,
IF($E$2="Fortnightly",
ROUND(
ROUND((((TRUNC($AN667/2,0)+0.99))*VLOOKUP((TRUNC($AN667/2,0)+0.99),'Tax scales - NAT 3539'!$A$43:$C$69,2,1)-VLOOKUP((TRUNC($AN667/2,0)+0.99),'Tax scales - NAT 3539'!$A$43:$C$69,3,1)),0)
*2,
0),
IF(AND($E$2="Monthly",ROUND($AN667-TRUNC($AN667),2)=0.33),
ROUND(
ROUND(((TRUNC(($AN667+0.01)*3/13,0)+0.99)*VLOOKUP((TRUNC(($AN667+0.01)*3/13,0)+0.99),'Tax scales - NAT 3539'!$A$43:$C$69,2,1)-VLOOKUP((TRUNC(($AN667+0.01)*3/13,0)+0.99),'Tax scales - NAT 3539'!$A$43:$C$69,3,1)),0)
*13/3,
0),
IF($E$2="Monthly",
ROUND(
ROUND(((TRUNC($AN667*3/13,0)+0.99)*VLOOKUP((TRUNC($AN667*3/13,0)+0.99),'Tax scales - NAT 3539'!$A$43:$C$69,2,1)-VLOOKUP((TRUNC($AN667*3/13,0)+0.99),'Tax scales - NAT 3539'!$A$43:$C$69,3,1)),0)
*13/3,
0),
""))),
""),
"")</f>
        <v/>
      </c>
      <c r="AW667" s="118" t="str">
        <f>IFERROR(
IF(VLOOKUP($C667,'Employee information'!$B:$M,COLUMNS('Employee information'!$B:$M),0)=33,
IF($E$2="Fortnightly",
ROUND(
ROUND((((TRUNC($AN667/2,0)+0.99))*VLOOKUP((TRUNC($AN667/2,0)+0.99),'Tax scales - NAT 3539'!$A$74:$C$94,2,1)-VLOOKUP((TRUNC($AN667/2,0)+0.99),'Tax scales - NAT 3539'!$A$74:$C$94,3,1)),0)
*2,
0),
IF(AND($E$2="Monthly",ROUND($AN667-TRUNC($AN667),2)=0.33),
ROUND(
ROUND(((TRUNC(($AN667+0.01)*3/13,0)+0.99)*VLOOKUP((TRUNC(($AN667+0.01)*3/13,0)+0.99),'Tax scales - NAT 3539'!$A$74:$C$94,2,1)-VLOOKUP((TRUNC(($AN667+0.01)*3/13,0)+0.99),'Tax scales - NAT 3539'!$A$74:$C$94,3,1)),0)
*13/3,
0),
IF($E$2="Monthly",
ROUND(
ROUND(((TRUNC($AN667*3/13,0)+0.99)*VLOOKUP((TRUNC($AN667*3/13,0)+0.99),'Tax scales - NAT 3539'!$A$74:$C$94,2,1)-VLOOKUP((TRUNC($AN667*3/13,0)+0.99),'Tax scales - NAT 3539'!$A$74:$C$94,3,1)),0)
*13/3,
0),
""))),
""),
"")</f>
        <v/>
      </c>
      <c r="AX667" s="118" t="str">
        <f>IFERROR(
IF(VLOOKUP($C667,'Employee information'!$B:$M,COLUMNS('Employee information'!$B:$M),0)=55,
IF($E$2="Fortnightly",
ROUND(
ROUND((((TRUNC($AN667/2,0)+0.99))*VLOOKUP((TRUNC($AN667/2,0)+0.99),'Tax scales - NAT 3539'!$A$99:$C$123,2,1)-VLOOKUP((TRUNC($AN667/2,0)+0.99),'Tax scales - NAT 3539'!$A$99:$C$123,3,1)),0)
*2,
0),
IF(AND($E$2="Monthly",ROUND($AN667-TRUNC($AN667),2)=0.33),
ROUND(
ROUND(((TRUNC(($AN667+0.01)*3/13,0)+0.99)*VLOOKUP((TRUNC(($AN667+0.01)*3/13,0)+0.99),'Tax scales - NAT 3539'!$A$99:$C$123,2,1)-VLOOKUP((TRUNC(($AN667+0.01)*3/13,0)+0.99),'Tax scales - NAT 3539'!$A$99:$C$123,3,1)),0)
*13/3,
0),
IF($E$2="Monthly",
ROUND(
ROUND(((TRUNC($AN667*3/13,0)+0.99)*VLOOKUP((TRUNC($AN667*3/13,0)+0.99),'Tax scales - NAT 3539'!$A$99:$C$123,2,1)-VLOOKUP((TRUNC($AN667*3/13,0)+0.99),'Tax scales - NAT 3539'!$A$99:$C$123,3,1)),0)
*13/3,
0),
""))),
""),
"")</f>
        <v/>
      </c>
      <c r="AY667" s="118" t="str">
        <f>IFERROR(
IF(VLOOKUP($C667,'Employee information'!$B:$M,COLUMNS('Employee information'!$B:$M),0)=66,
IF($E$2="Fortnightly",
ROUND(
ROUND((((TRUNC($AN667/2,0)+0.99))*VLOOKUP((TRUNC($AN667/2,0)+0.99),'Tax scales - NAT 3539'!$A$127:$C$154,2,1)-VLOOKUP((TRUNC($AN667/2,0)+0.99),'Tax scales - NAT 3539'!$A$127:$C$154,3,1)),0)
*2,
0),
IF(AND($E$2="Monthly",ROUND($AN667-TRUNC($AN667),2)=0.33),
ROUND(
ROUND(((TRUNC(($AN667+0.01)*3/13,0)+0.99)*VLOOKUP((TRUNC(($AN667+0.01)*3/13,0)+0.99),'Tax scales - NAT 3539'!$A$127:$C$154,2,1)-VLOOKUP((TRUNC(($AN667+0.01)*3/13,0)+0.99),'Tax scales - NAT 3539'!$A$127:$C$154,3,1)),0)
*13/3,
0),
IF($E$2="Monthly",
ROUND(
ROUND(((TRUNC($AN667*3/13,0)+0.99)*VLOOKUP((TRUNC($AN667*3/13,0)+0.99),'Tax scales - NAT 3539'!$A$127:$C$154,2,1)-VLOOKUP((TRUNC($AN667*3/13,0)+0.99),'Tax scales - NAT 3539'!$A$127:$C$154,3,1)),0)
*13/3,
0),
""))),
""),
"")</f>
        <v/>
      </c>
      <c r="AZ667" s="118">
        <f>IFERROR(
HLOOKUP(VLOOKUP($C667,'Employee information'!$B:$M,COLUMNS('Employee information'!$B:$M),0),'PAYG worksheet'!$AO$648:$AY$667,COUNTA($C$649:$C667)+1,0),
0)</f>
        <v>0</v>
      </c>
      <c r="BA667" s="118"/>
      <c r="BB667" s="118">
        <f t="shared" si="697"/>
        <v>0</v>
      </c>
      <c r="BC667" s="119">
        <f>IFERROR(
IF(OR($AE667=1,$AE667=""),SUM($P667,$AA667,$AC667,$AK667)*VLOOKUP($C667,'Employee information'!$B:$Q,COLUMNS('Employee information'!$B:$H),0),
IF($AE667=0,SUM($P667,$AA667,$AK667)*VLOOKUP($C667,'Employee information'!$B:$Q,COLUMNS('Employee information'!$B:$H),0),
0)),
0)</f>
        <v>0</v>
      </c>
      <c r="BE667" s="114">
        <f t="shared" si="682"/>
        <v>0</v>
      </c>
      <c r="BF667" s="114">
        <f t="shared" si="683"/>
        <v>0</v>
      </c>
      <c r="BG667" s="114">
        <f t="shared" si="684"/>
        <v>0</v>
      </c>
      <c r="BH667" s="114">
        <f t="shared" si="685"/>
        <v>0</v>
      </c>
      <c r="BI667" s="114">
        <f t="shared" si="686"/>
        <v>0</v>
      </c>
      <c r="BJ667" s="114">
        <f t="shared" si="687"/>
        <v>0</v>
      </c>
      <c r="BK667" s="114">
        <f t="shared" si="688"/>
        <v>0</v>
      </c>
      <c r="BL667" s="114">
        <f t="shared" si="698"/>
        <v>0</v>
      </c>
      <c r="BM667" s="114">
        <f t="shared" si="689"/>
        <v>0</v>
      </c>
    </row>
    <row r="668" spans="1:65" x14ac:dyDescent="0.25">
      <c r="C668" s="284" t="s">
        <v>39</v>
      </c>
      <c r="D668" s="223"/>
      <c r="E668" s="111">
        <f>SUM(E649:E667)</f>
        <v>345</v>
      </c>
      <c r="F668" s="112">
        <f t="shared" ref="F668:H668" si="699">SUM(F649:F667)</f>
        <v>0</v>
      </c>
      <c r="G668" s="112">
        <f t="shared" si="699"/>
        <v>0</v>
      </c>
      <c r="H668" s="112">
        <f t="shared" si="699"/>
        <v>0</v>
      </c>
      <c r="I668" s="112"/>
      <c r="J668" s="111">
        <f t="shared" ref="J668" si="700">SUM(J649:J667)</f>
        <v>345</v>
      </c>
      <c r="K668" s="223"/>
      <c r="L668" s="115">
        <f>SUM(L649:L667)</f>
        <v>19122.576396206536</v>
      </c>
      <c r="M668" s="115">
        <f>SUM(M649:M667)</f>
        <v>442334.64172813483</v>
      </c>
      <c r="N668" s="223"/>
      <c r="O668" s="116">
        <f>SUM(O649:O667)</f>
        <v>345</v>
      </c>
      <c r="P668" s="117">
        <f>SUM(P649:P667)</f>
        <v>19122.576396206536</v>
      </c>
      <c r="R668" s="117">
        <f>SUM(R649:R667)</f>
        <v>442334.64172813483</v>
      </c>
      <c r="S668" s="223"/>
      <c r="T668" s="116">
        <f>SUM(T649:T667)</f>
        <v>0</v>
      </c>
      <c r="U668" s="116">
        <f t="shared" ref="U668:Y668" si="701">SUM(U649:U667)</f>
        <v>0</v>
      </c>
      <c r="V668" s="285">
        <f t="shared" si="701"/>
        <v>0</v>
      </c>
      <c r="W668" s="285">
        <f t="shared" si="701"/>
        <v>0</v>
      </c>
      <c r="X668" s="285">
        <f t="shared" si="701"/>
        <v>1538.4615384615386</v>
      </c>
      <c r="Y668" s="285">
        <f t="shared" si="701"/>
        <v>801.28205128205127</v>
      </c>
      <c r="Z668" s="223"/>
      <c r="AA668" s="117">
        <f t="shared" ref="AA668" si="702">SUM(AA649:AA667)</f>
        <v>0</v>
      </c>
      <c r="AC668" s="117">
        <f t="shared" ref="AC668" si="703">SUM(AC649:AC667)</f>
        <v>0</v>
      </c>
      <c r="AD668" s="117"/>
      <c r="AE668" s="117"/>
      <c r="AF668" s="117"/>
      <c r="AG668" s="117">
        <f t="shared" ref="AG668" si="704">SUM(AG649:AG667)</f>
        <v>0</v>
      </c>
      <c r="AH668" s="117"/>
      <c r="AI668" s="117"/>
      <c r="AJ668" s="117">
        <f>SUM(AJ649:AJ667)</f>
        <v>0</v>
      </c>
      <c r="AK668" s="117">
        <f>SUM(AK649:AK667)</f>
        <v>0</v>
      </c>
      <c r="AM668" s="117">
        <f t="shared" ref="AM668:AN668" si="705">SUM(AM649:AM667)</f>
        <v>19122.576396206536</v>
      </c>
      <c r="AN668" s="117">
        <f t="shared" si="705"/>
        <v>19122.576396206536</v>
      </c>
      <c r="AO668" s="117"/>
      <c r="AP668" s="117"/>
      <c r="AQ668" s="117"/>
      <c r="AR668" s="117"/>
      <c r="AS668" s="117"/>
      <c r="AT668" s="117"/>
      <c r="AU668" s="117"/>
      <c r="AV668" s="117"/>
      <c r="AW668" s="117"/>
      <c r="AX668" s="117"/>
      <c r="AY668" s="117"/>
      <c r="AZ668" s="117">
        <f>SUM(AZ649:AZ667)</f>
        <v>7481</v>
      </c>
      <c r="BA668" s="117">
        <f>SUM(BA649:BA667)</f>
        <v>0</v>
      </c>
      <c r="BB668" s="117">
        <f>SUM(BB649:BB667)</f>
        <v>11641.576396206534</v>
      </c>
      <c r="BC668" s="117">
        <f t="shared" ref="BC668" si="706">SUM(BC649:BC667)</f>
        <v>1816.6447576396208</v>
      </c>
      <c r="BD668" s="136"/>
      <c r="BE668" s="117">
        <f t="shared" ref="BE668:BM668" si="707">SUM(BE649:BE667)</f>
        <v>442574.64172813483</v>
      </c>
      <c r="BF668" s="117">
        <f t="shared" si="707"/>
        <v>442434.64172813483</v>
      </c>
      <c r="BG668" s="117">
        <f t="shared" si="707"/>
        <v>0</v>
      </c>
      <c r="BH668" s="117">
        <f t="shared" si="707"/>
        <v>140</v>
      </c>
      <c r="BI668" s="117">
        <f t="shared" si="707"/>
        <v>172877</v>
      </c>
      <c r="BJ668" s="117">
        <f t="shared" si="707"/>
        <v>0</v>
      </c>
      <c r="BK668" s="117">
        <f t="shared" si="707"/>
        <v>0</v>
      </c>
      <c r="BL668" s="117">
        <f t="shared" si="707"/>
        <v>100</v>
      </c>
      <c r="BM668" s="117">
        <f t="shared" si="707"/>
        <v>42031.290964172811</v>
      </c>
    </row>
    <row r="670" spans="1:65" x14ac:dyDescent="0.25">
      <c r="B670" s="228">
        <v>24</v>
      </c>
      <c r="C670" s="230" t="s">
        <v>2</v>
      </c>
      <c r="E670" s="232">
        <v>44116</v>
      </c>
      <c r="F670" s="148" t="s">
        <v>91</v>
      </c>
      <c r="L670" s="286"/>
      <c r="T670" s="127"/>
      <c r="U670" s="127"/>
      <c r="V670" s="127"/>
      <c r="W670" s="127"/>
      <c r="X670" s="127"/>
      <c r="Y670" s="127"/>
    </row>
    <row r="671" spans="1:65" x14ac:dyDescent="0.25">
      <c r="C671" s="230" t="s">
        <v>3</v>
      </c>
      <c r="E671" s="232">
        <v>44127</v>
      </c>
      <c r="F671" s="148" t="s">
        <v>90</v>
      </c>
      <c r="G671" s="229"/>
      <c r="H671" s="229"/>
      <c r="I671" s="229"/>
      <c r="J671" s="229"/>
      <c r="L671" s="164"/>
      <c r="T671" s="127"/>
      <c r="U671" s="127"/>
      <c r="V671" s="127"/>
      <c r="W671" s="127"/>
      <c r="X671" s="127"/>
      <c r="Y671" s="127"/>
    </row>
    <row r="672" spans="1:65" x14ac:dyDescent="0.25">
      <c r="C672" s="233"/>
    </row>
    <row r="673" spans="1:65" ht="34.5" customHeight="1" x14ac:dyDescent="0.25">
      <c r="C673" s="234"/>
      <c r="D673" s="235"/>
      <c r="E673" s="441" t="s">
        <v>4</v>
      </c>
      <c r="F673" s="442"/>
      <c r="G673" s="442"/>
      <c r="H673" s="442"/>
      <c r="I673" s="442"/>
      <c r="J673" s="443"/>
      <c r="L673" s="444" t="s">
        <v>253</v>
      </c>
      <c r="M673" s="445"/>
      <c r="N673" s="235"/>
      <c r="O673" s="444" t="s">
        <v>148</v>
      </c>
      <c r="P673" s="445"/>
      <c r="R673" s="235"/>
      <c r="T673" s="446" t="s">
        <v>269</v>
      </c>
      <c r="U673" s="447"/>
      <c r="V673" s="447"/>
      <c r="W673" s="447"/>
      <c r="X673" s="447"/>
      <c r="Y673" s="447"/>
      <c r="Z673" s="447"/>
      <c r="AA673" s="447"/>
      <c r="AC673" s="438" t="s">
        <v>274</v>
      </c>
      <c r="AD673" s="438"/>
      <c r="AE673" s="438"/>
      <c r="AF673" s="438"/>
      <c r="AG673" s="438"/>
      <c r="AH673" s="438"/>
      <c r="AI673" s="438"/>
      <c r="AJ673" s="438"/>
      <c r="AK673" s="438"/>
      <c r="AM673" s="439" t="s">
        <v>270</v>
      </c>
      <c r="AN673" s="439"/>
      <c r="AO673" s="439"/>
      <c r="AP673" s="439"/>
      <c r="AQ673" s="439"/>
      <c r="AR673" s="439"/>
      <c r="AS673" s="439"/>
      <c r="AT673" s="439"/>
      <c r="AU673" s="439"/>
      <c r="AV673" s="439"/>
      <c r="AW673" s="439"/>
      <c r="AX673" s="439"/>
      <c r="AY673" s="439"/>
      <c r="AZ673" s="439"/>
      <c r="BA673" s="439"/>
      <c r="BB673" s="439"/>
      <c r="BC673" s="440"/>
      <c r="BE673" s="439" t="s">
        <v>246</v>
      </c>
      <c r="BF673" s="439"/>
      <c r="BG673" s="439"/>
      <c r="BH673" s="439"/>
      <c r="BI673" s="439"/>
      <c r="BJ673" s="439"/>
      <c r="BK673" s="439"/>
      <c r="BL673" s="439"/>
      <c r="BM673" s="439"/>
    </row>
    <row r="674" spans="1:65" x14ac:dyDescent="0.25">
      <c r="C674" s="236"/>
      <c r="E674" s="229"/>
      <c r="F674" s="229"/>
      <c r="G674" s="229"/>
      <c r="H674" s="229"/>
      <c r="I674" s="229"/>
      <c r="J674" s="229"/>
      <c r="L674" s="164"/>
      <c r="O674" s="229"/>
      <c r="P674" s="164"/>
      <c r="T674" s="127"/>
      <c r="U674" s="127"/>
      <c r="V674" s="127"/>
      <c r="W674" s="127"/>
      <c r="X674" s="127"/>
      <c r="Y674" s="127"/>
      <c r="AA674" s="229"/>
      <c r="AC674" s="229"/>
      <c r="AD674" s="229"/>
      <c r="AE674" s="229"/>
      <c r="AF674" s="229"/>
      <c r="AG674" s="229"/>
      <c r="AH674" s="229"/>
      <c r="AI674" s="229"/>
      <c r="AJ674" s="229"/>
      <c r="AK674" s="127"/>
      <c r="AM674" s="229"/>
      <c r="AN674" s="229"/>
      <c r="AO674" s="229"/>
      <c r="AP674" s="229"/>
      <c r="AQ674" s="229"/>
      <c r="AR674" s="229"/>
      <c r="AS674" s="229"/>
      <c r="AT674" s="229"/>
      <c r="AU674" s="229"/>
      <c r="AV674" s="229"/>
      <c r="AW674" s="229"/>
      <c r="AX674" s="229"/>
      <c r="AY674" s="229"/>
      <c r="AZ674" s="229"/>
      <c r="BA674" s="229"/>
      <c r="BB674" s="229"/>
      <c r="BC674" s="229"/>
    </row>
    <row r="675" spans="1:65" ht="60" x14ac:dyDescent="0.25">
      <c r="C675" s="238" t="s">
        <v>5</v>
      </c>
      <c r="D675" s="239"/>
      <c r="E675" s="240" t="s">
        <v>268</v>
      </c>
      <c r="F675" s="241" t="s">
        <v>271</v>
      </c>
      <c r="G675" s="242" t="s">
        <v>267</v>
      </c>
      <c r="H675" s="243" t="s">
        <v>266</v>
      </c>
      <c r="I675" s="242" t="s">
        <v>265</v>
      </c>
      <c r="J675" s="244" t="s">
        <v>6</v>
      </c>
      <c r="L675" s="245" t="s">
        <v>7</v>
      </c>
      <c r="M675" s="246" t="s">
        <v>254</v>
      </c>
      <c r="N675" s="247"/>
      <c r="O675" s="248" t="s">
        <v>272</v>
      </c>
      <c r="P675" s="249" t="s">
        <v>200</v>
      </c>
      <c r="R675" s="250" t="s">
        <v>151</v>
      </c>
      <c r="T675" s="251" t="s">
        <v>8</v>
      </c>
      <c r="U675" s="252" t="s">
        <v>9</v>
      </c>
      <c r="V675" s="252" t="s">
        <v>120</v>
      </c>
      <c r="W675" s="252" t="s">
        <v>121</v>
      </c>
      <c r="X675" s="253" t="s">
        <v>118</v>
      </c>
      <c r="Y675" s="254" t="s">
        <v>119</v>
      </c>
      <c r="AA675" s="255" t="s">
        <v>84</v>
      </c>
      <c r="AC675" s="256" t="s">
        <v>142</v>
      </c>
      <c r="AD675" s="256" t="s">
        <v>138</v>
      </c>
      <c r="AE675" s="257" t="s">
        <v>147</v>
      </c>
      <c r="AF675" s="257" t="s">
        <v>149</v>
      </c>
      <c r="AG675" s="256" t="s">
        <v>305</v>
      </c>
      <c r="AH675" s="256" t="s">
        <v>306</v>
      </c>
      <c r="AI675" s="257" t="s">
        <v>150</v>
      </c>
      <c r="AJ675" s="258" t="s">
        <v>250</v>
      </c>
      <c r="AK675" s="259" t="s">
        <v>373</v>
      </c>
      <c r="AM675" s="260" t="s">
        <v>256</v>
      </c>
      <c r="AN675" s="261" t="s">
        <v>372</v>
      </c>
      <c r="AO675" s="253" t="s">
        <v>170</v>
      </c>
      <c r="AP675" s="253" t="s">
        <v>171</v>
      </c>
      <c r="AQ675" s="253" t="s">
        <v>172</v>
      </c>
      <c r="AR675" s="253" t="s">
        <v>173</v>
      </c>
      <c r="AS675" s="253" t="s">
        <v>174</v>
      </c>
      <c r="AT675" s="253" t="s">
        <v>175</v>
      </c>
      <c r="AU675" s="262" t="s">
        <v>210</v>
      </c>
      <c r="AV675" s="262" t="s">
        <v>211</v>
      </c>
      <c r="AW675" s="262" t="s">
        <v>212</v>
      </c>
      <c r="AX675" s="262" t="s">
        <v>213</v>
      </c>
      <c r="AY675" s="263" t="s">
        <v>214</v>
      </c>
      <c r="AZ675" s="264" t="s">
        <v>111</v>
      </c>
      <c r="BA675" s="265" t="s">
        <v>199</v>
      </c>
      <c r="BB675" s="252" t="s">
        <v>223</v>
      </c>
      <c r="BC675" s="260" t="s">
        <v>112</v>
      </c>
      <c r="BE675" s="260" t="s">
        <v>257</v>
      </c>
      <c r="BF675" s="266" t="s">
        <v>255</v>
      </c>
      <c r="BG675" s="262" t="s">
        <v>247</v>
      </c>
      <c r="BH675" s="262" t="s">
        <v>248</v>
      </c>
      <c r="BI675" s="260" t="s">
        <v>249</v>
      </c>
      <c r="BJ675" s="253" t="s">
        <v>199</v>
      </c>
      <c r="BK675" s="262" t="s">
        <v>251</v>
      </c>
      <c r="BL675" s="259" t="s">
        <v>373</v>
      </c>
      <c r="BM675" s="260" t="s">
        <v>252</v>
      </c>
    </row>
    <row r="676" spans="1:65" x14ac:dyDescent="0.25">
      <c r="T676" s="120"/>
      <c r="U676" s="120"/>
      <c r="V676" s="120"/>
      <c r="W676" s="120"/>
      <c r="X676" s="120"/>
      <c r="Y676" s="120"/>
      <c r="AM676" s="267" t="s">
        <v>322</v>
      </c>
      <c r="AN676" s="237"/>
      <c r="AO676" s="237"/>
      <c r="AP676" s="237"/>
      <c r="AQ676" s="237"/>
      <c r="AR676" s="237"/>
      <c r="AS676" s="237"/>
      <c r="AT676" s="237"/>
      <c r="AU676" s="237"/>
      <c r="AV676" s="237"/>
      <c r="AW676" s="237"/>
      <c r="AX676" s="237"/>
      <c r="AY676" s="237"/>
      <c r="AZ676" s="436" t="s">
        <v>320</v>
      </c>
      <c r="BA676" s="437"/>
      <c r="BB676" s="237"/>
      <c r="BC676" s="267" t="s">
        <v>321</v>
      </c>
    </row>
    <row r="677" spans="1:65" x14ac:dyDescent="0.25">
      <c r="A677" s="228">
        <f t="shared" ref="A677:A696" si="708">IF($E$671="","",$B$670)</f>
        <v>24</v>
      </c>
      <c r="C677" s="268"/>
      <c r="D677" s="239"/>
      <c r="E677" s="269"/>
      <c r="F677" s="270"/>
      <c r="G677" s="271"/>
      <c r="H677" s="272"/>
      <c r="I677" s="271"/>
      <c r="J677" s="273"/>
      <c r="O677" s="274"/>
      <c r="P677" s="247"/>
      <c r="T677" s="271"/>
      <c r="U677" s="271"/>
      <c r="V677" s="275"/>
      <c r="W677" s="269"/>
      <c r="X677" s="269"/>
      <c r="Y677" s="269"/>
      <c r="AA677" s="271"/>
      <c r="AC677" s="271"/>
      <c r="AD677" s="271"/>
      <c r="AE677" s="271"/>
      <c r="AF677" s="271"/>
      <c r="AG677" s="271"/>
      <c r="AH677" s="271"/>
      <c r="AI677" s="271"/>
      <c r="AJ677" s="271"/>
      <c r="AK677" s="275"/>
      <c r="AM677" s="271"/>
      <c r="AN677" s="271"/>
      <c r="AO677" s="276">
        <v>1</v>
      </c>
      <c r="AP677" s="276">
        <v>2</v>
      </c>
      <c r="AQ677" s="276">
        <v>3</v>
      </c>
      <c r="AR677" s="277">
        <v>4</v>
      </c>
      <c r="AS677" s="276">
        <v>5</v>
      </c>
      <c r="AT677" s="276">
        <v>6</v>
      </c>
      <c r="AU677" s="276">
        <v>11</v>
      </c>
      <c r="AV677" s="276">
        <v>22</v>
      </c>
      <c r="AW677" s="276">
        <v>33</v>
      </c>
      <c r="AX677" s="276">
        <v>55</v>
      </c>
      <c r="AY677" s="276">
        <v>66</v>
      </c>
      <c r="AZ677" s="271"/>
      <c r="BA677" s="271"/>
      <c r="BB677" s="271"/>
      <c r="BC677" s="273"/>
    </row>
    <row r="678" spans="1:65" x14ac:dyDescent="0.25">
      <c r="A678" s="228">
        <f t="shared" si="708"/>
        <v>24</v>
      </c>
      <c r="C678" s="278" t="s">
        <v>12</v>
      </c>
      <c r="E678" s="103">
        <f>IF($C678="",0,
IF(AND($E$2="Monthly",$A678&gt;12),0,
IF($E$2="Monthly",VLOOKUP($C678,'Employee information'!$B:$AM,COLUMNS('Employee information'!$B:S),0),
IF($E$2="Fortnightly",VLOOKUP($C678,'Employee information'!$B:$AM,COLUMNS('Employee information'!$B:R),0),
0))))</f>
        <v>75</v>
      </c>
      <c r="F678" s="279"/>
      <c r="G678" s="106"/>
      <c r="H678" s="280"/>
      <c r="I678" s="106"/>
      <c r="J678" s="103">
        <f>IF($E$2="Monthly",
IF(AND($E$2="Monthly",$H678&lt;&gt;""),$H678,
IF(AND($E$2="Monthly",$E678=0),SUM($F678:$G678),
$E678)),
IF($E$2="Fortnightly",
IF(AND($E$2="Fortnightly",$H678&lt;&gt;""),$H678,
IF(AND($E$2="Fortnightly",$F678&lt;&gt;"",$E678&lt;&gt;0),$F678,
IF(AND($E$2="Fortnightly",$E678=0),SUM($F678:$G678),
$E678)))))</f>
        <v>75</v>
      </c>
      <c r="L678" s="113">
        <f>IF(AND($E$2="Monthly",$A678&gt;12),"",
IFERROR($J678*VLOOKUP($C678,'Employee information'!$B:$AI,COLUMNS('Employee information'!$B:$P),0),0))</f>
        <v>3697.576396206533</v>
      </c>
      <c r="M678" s="114">
        <f>IF(AND($E$2="Monthly",$A678&gt;12),"",
SUMIFS($L:$L,$C:$C,$C678,$A:$A,"&lt;="&amp;$A678)
)</f>
        <v>88741.833508956828</v>
      </c>
      <c r="O678" s="103">
        <f>IF($E$2="Monthly",
IF(AND($E$2="Monthly",$H678&lt;&gt;""),$H678,
IF(AND($E$2="Monthly",$E678=0),$F678,
$E678)),
IF($E$2="Fortnightly",
IF(AND($E$2="Fortnightly",$H678&lt;&gt;""),$H678,
IF(AND($E$2="Fortnightly",$F678&lt;&gt;"",$E678&lt;&gt;0),$F678,
IF(AND($E$2="Fortnightly",$E678=0),$F678,
$E678)))))</f>
        <v>75</v>
      </c>
      <c r="P678" s="113">
        <f>IFERROR(
IF(AND($E$2="Monthly",$A678&gt;12),0,
$O678*VLOOKUP($C678,'Employee information'!$B:$AI,COLUMNS('Employee information'!$B:$P),0)),
0)</f>
        <v>3697.576396206533</v>
      </c>
      <c r="R678" s="114">
        <f t="shared" ref="R678:R696" si="709">IF(AND($E$2="Monthly",$A678&gt;12),"",
SUMIFS($P:$P,$C:$C,$C678,$A:$A,"&lt;="&amp;$A678)
)</f>
        <v>88741.833508956828</v>
      </c>
      <c r="T678" s="281"/>
      <c r="U678" s="103"/>
      <c r="V678" s="282">
        <f>IF($C678="","",
IF(AND($E$2="Monthly",$A678&gt;12),"",
$T678*VLOOKUP($C678,'Employee information'!$B:$P,COLUMNS('Employee information'!$B:$P),0)))</f>
        <v>0</v>
      </c>
      <c r="W678" s="282">
        <f>IF($C678="","",
IF(AND($E$2="Monthly",$A678&gt;12),"",
$U678*VLOOKUP($C678,'Employee information'!$B:$P,COLUMNS('Employee information'!$B:$P),0)))</f>
        <v>0</v>
      </c>
      <c r="X678" s="114">
        <f t="shared" ref="X678:X696" si="710">IF(AND($E$2="Monthly",$A678&gt;12),"",
SUMIFS($V:$V,$C:$C,$C678,$A:$A,"&lt;="&amp;$A678)
)</f>
        <v>0</v>
      </c>
      <c r="Y678" s="114">
        <f t="shared" ref="Y678:Y696" si="711">IF(AND($E$2="Monthly",$A678&gt;12),"",
SUMIFS($W:$W,$C:$C,$C678,$A:$A,"&lt;="&amp;$A678)
)</f>
        <v>0</v>
      </c>
      <c r="AA678" s="118">
        <f>IFERROR(
IF(OR('Basic payroll data'!$D$12="",'Basic payroll data'!$D$12="No"),0,
$T678*VLOOKUP($C678,'Employee information'!$B:$P,COLUMNS('Employee information'!$B:$P),0)*AL_loading_perc),
0)</f>
        <v>0</v>
      </c>
      <c r="AC678" s="118"/>
      <c r="AD678" s="118"/>
      <c r="AE678" s="283" t="str">
        <f>IF(LEFT($AD678,6)="Is OTE",1,
IF(LEFT($AD678,10)="Is not OTE",0,
""))</f>
        <v/>
      </c>
      <c r="AF678" s="283" t="str">
        <f>IF(RIGHT($AD678,12)="tax withheld",1,
IF(RIGHT($AD678,16)="tax not withheld",0,
""))</f>
        <v/>
      </c>
      <c r="AG678" s="118"/>
      <c r="AH678" s="118"/>
      <c r="AI678" s="283" t="str">
        <f>IF($AH678="FBT",0,
IF($AH678="Not FBT",1,
""))</f>
        <v/>
      </c>
      <c r="AJ678" s="118"/>
      <c r="AK678" s="118"/>
      <c r="AM678" s="118">
        <f>SUM($L678,$AA678,$AC678,$AG678,$AK678)-$AJ678</f>
        <v>3697.576396206533</v>
      </c>
      <c r="AN678" s="118">
        <f t="shared" ref="AN678:AN696" si="712">IF(AND(OR($AF678=1,$AF678=""),OR($AI678=1,$AI678="")),SUM($L678,$AA678,$AC678,$AG678,$AK678)-$AJ678,
IF(AND(OR($AF678=1,$AF678=""),$AI678=0),SUM($L678,$AA678,$AC678,$AK678)-$AJ678,
IF(AND($AF678=0,OR($AI678=1,$AI678="")),SUM($L678,$AA678,$AG678,$AK678)-$AJ678,
IF(AND($AF678=0,$AI678=0),SUM($L678,$AA678,$AK678)-$AJ678,
""))))</f>
        <v>3697.576396206533</v>
      </c>
      <c r="AO678" s="118" t="str">
        <f>IFERROR(
IF(VLOOKUP($C678,'Employee information'!$B:$M,COLUMNS('Employee information'!$B:$M),0)=1,
IF($E$2="Fortnightly",
ROUND(
ROUND((((TRUNC($AN678/2,0)+0.99))*VLOOKUP((TRUNC($AN678/2,0)+0.99),'Tax scales - NAT 1004'!$A$12:$C$18,2,1)-VLOOKUP((TRUNC($AN678/2,0)+0.99),'Tax scales - NAT 1004'!$A$12:$C$18,3,1)),0)
*2,
0),
IF(AND($E$2="Monthly",ROUND($AN678-TRUNC($AN678),2)=0.33),
ROUND(
ROUND(((TRUNC(($AN678+0.01)*3/13,0)+0.99)*VLOOKUP((TRUNC(($AN678+0.01)*3/13,0)+0.99),'Tax scales - NAT 1004'!$A$12:$C$18,2,1)-VLOOKUP((TRUNC(($AN678+0.01)*3/13,0)+0.99),'Tax scales - NAT 1004'!$A$12:$C$18,3,1)),0)
*13/3,
0),
IF($E$2="Monthly",
ROUND(
ROUND(((TRUNC($AN678*3/13,0)+0.99)*VLOOKUP((TRUNC($AN678*3/13,0)+0.99),'Tax scales - NAT 1004'!$A$12:$C$18,2,1)-VLOOKUP((TRUNC($AN678*3/13,0)+0.99),'Tax scales - NAT 1004'!$A$12:$C$18,3,1)),0)
*13/3,
0),
""))),
""),
"")</f>
        <v/>
      </c>
      <c r="AP678" s="118" t="str">
        <f>IFERROR(
IF(VLOOKUP($C678,'Employee information'!$B:$M,COLUMNS('Employee information'!$B:$M),0)=2,
IF($E$2="Fortnightly",
ROUND(
ROUND((((TRUNC($AN678/2,0)+0.99))*VLOOKUP((TRUNC($AN678/2,0)+0.99),'Tax scales - NAT 1004'!$A$25:$C$33,2,1)-VLOOKUP((TRUNC($AN678/2,0)+0.99),'Tax scales - NAT 1004'!$A$25:$C$33,3,1)),0)
*2,
0),
IF(AND($E$2="Monthly",ROUND($AN678-TRUNC($AN678),2)=0.33),
ROUND(
ROUND(((TRUNC(($AN678+0.01)*3/13,0)+0.99)*VLOOKUP((TRUNC(($AN678+0.01)*3/13,0)+0.99),'Tax scales - NAT 1004'!$A$25:$C$33,2,1)-VLOOKUP((TRUNC(($AN678+0.01)*3/13,0)+0.99),'Tax scales - NAT 1004'!$A$25:$C$33,3,1)),0)
*13/3,
0),
IF($E$2="Monthly",
ROUND(
ROUND(((TRUNC($AN678*3/13,0)+0.99)*VLOOKUP((TRUNC($AN678*3/13,0)+0.99),'Tax scales - NAT 1004'!$A$25:$C$33,2,1)-VLOOKUP((TRUNC($AN678*3/13,0)+0.99),'Tax scales - NAT 1004'!$A$25:$C$33,3,1)),0)
*13/3,
0),
""))),
""),
"")</f>
        <v/>
      </c>
      <c r="AQ678" s="118" t="str">
        <f>IFERROR(
IF(VLOOKUP($C678,'Employee information'!$B:$M,COLUMNS('Employee information'!$B:$M),0)=3,
IF($E$2="Fortnightly",
ROUND(
ROUND((((TRUNC($AN678/2,0)+0.99))*VLOOKUP((TRUNC($AN678/2,0)+0.99),'Tax scales - NAT 1004'!$A$39:$C$41,2,1)-VLOOKUP((TRUNC($AN678/2,0)+0.99),'Tax scales - NAT 1004'!$A$39:$C$41,3,1)),0)
*2,
0),
IF(AND($E$2="Monthly",ROUND($AN678-TRUNC($AN678),2)=0.33),
ROUND(
ROUND(((TRUNC(($AN678+0.01)*3/13,0)+0.99)*VLOOKUP((TRUNC(($AN678+0.01)*3/13,0)+0.99),'Tax scales - NAT 1004'!$A$39:$C$41,2,1)-VLOOKUP((TRUNC(($AN678+0.01)*3/13,0)+0.99),'Tax scales - NAT 1004'!$A$39:$C$41,3,1)),0)
*13/3,
0),
IF($E$2="Monthly",
ROUND(
ROUND(((TRUNC($AN678*3/13,0)+0.99)*VLOOKUP((TRUNC($AN678*3/13,0)+0.99),'Tax scales - NAT 1004'!$A$39:$C$41,2,1)-VLOOKUP((TRUNC($AN678*3/13,0)+0.99),'Tax scales - NAT 1004'!$A$39:$C$41,3,1)),0)
*13/3,
0),
""))),
""),
"")</f>
        <v/>
      </c>
      <c r="AR678" s="118" t="str">
        <f>IFERROR(
IF(AND(VLOOKUP($C678,'Employee information'!$B:$M,COLUMNS('Employee information'!$B:$M),0)=4,
VLOOKUP($C678,'Employee information'!$B:$J,COLUMNS('Employee information'!$B:$J),0)="Resident"),
TRUNC(TRUNC($AN678)*'Tax scales - NAT 1004'!$B$47),
IF(AND(VLOOKUP($C678,'Employee information'!$B:$M,COLUMNS('Employee information'!$B:$M),0)=4,
VLOOKUP($C678,'Employee information'!$B:$J,COLUMNS('Employee information'!$B:$J),0)="Foreign resident"),
TRUNC(TRUNC($AN678)*'Tax scales - NAT 1004'!$B$48),
"")),
"")</f>
        <v/>
      </c>
      <c r="AS678" s="118" t="str">
        <f>IFERROR(
IF(VLOOKUP($C678,'Employee information'!$B:$M,COLUMNS('Employee information'!$B:$M),0)=5,
IF($E$2="Fortnightly",
ROUND(
ROUND((((TRUNC($AN678/2,0)+0.99))*VLOOKUP((TRUNC($AN678/2,0)+0.99),'Tax scales - NAT 1004'!$A$53:$C$59,2,1)-VLOOKUP((TRUNC($AN678/2,0)+0.99),'Tax scales - NAT 1004'!$A$53:$C$59,3,1)),0)
*2,
0),
IF(AND($E$2="Monthly",ROUND($AN678-TRUNC($AN678),2)=0.33),
ROUND(
ROUND(((TRUNC(($AN678+0.01)*3/13,0)+0.99)*VLOOKUP((TRUNC(($AN678+0.01)*3/13,0)+0.99),'Tax scales - NAT 1004'!$A$53:$C$59,2,1)-VLOOKUP((TRUNC(($AN678+0.01)*3/13,0)+0.99),'Tax scales - NAT 1004'!$A$53:$C$59,3,1)),0)
*13/3,
0),
IF($E$2="Monthly",
ROUND(
ROUND(((TRUNC($AN678*3/13,0)+0.99)*VLOOKUP((TRUNC($AN678*3/13,0)+0.99),'Tax scales - NAT 1004'!$A$53:$C$59,2,1)-VLOOKUP((TRUNC($AN678*3/13,0)+0.99),'Tax scales - NAT 1004'!$A$53:$C$59,3,1)),0)
*13/3,
0),
""))),
""),
"")</f>
        <v/>
      </c>
      <c r="AT678" s="118" t="str">
        <f>IFERROR(
IF(VLOOKUP($C678,'Employee information'!$B:$M,COLUMNS('Employee information'!$B:$M),0)=6,
IF($E$2="Fortnightly",
ROUND(
ROUND((((TRUNC($AN678/2,0)+0.99))*VLOOKUP((TRUNC($AN678/2,0)+0.99),'Tax scales - NAT 1004'!$A$65:$C$73,2,1)-VLOOKUP((TRUNC($AN678/2,0)+0.99),'Tax scales - NAT 1004'!$A$65:$C$73,3,1)),0)
*2,
0),
IF(AND($E$2="Monthly",ROUND($AN678-TRUNC($AN678),2)=0.33),
ROUND(
ROUND(((TRUNC(($AN678+0.01)*3/13,0)+0.99)*VLOOKUP((TRUNC(($AN678+0.01)*3/13,0)+0.99),'Tax scales - NAT 1004'!$A$65:$C$73,2,1)-VLOOKUP((TRUNC(($AN678+0.01)*3/13,0)+0.99),'Tax scales - NAT 1004'!$A$65:$C$73,3,1)),0)
*13/3,
0),
IF($E$2="Monthly",
ROUND(
ROUND(((TRUNC($AN678*3/13,0)+0.99)*VLOOKUP((TRUNC($AN678*3/13,0)+0.99),'Tax scales - NAT 1004'!$A$65:$C$73,2,1)-VLOOKUP((TRUNC($AN678*3/13,0)+0.99),'Tax scales - NAT 1004'!$A$65:$C$73,3,1)),0)
*13/3,
0),
""))),
""),
"")</f>
        <v/>
      </c>
      <c r="AU678" s="118">
        <f>IFERROR(
IF(VLOOKUP($C678,'Employee information'!$B:$M,COLUMNS('Employee information'!$B:$M),0)=11,
IF($E$2="Fortnightly",
ROUND(
ROUND((((TRUNC($AN678/2,0)+0.99))*VLOOKUP((TRUNC($AN678/2,0)+0.99),'Tax scales - NAT 3539'!$A$14:$C$38,2,1)-VLOOKUP((TRUNC($AN678/2,0)+0.99),'Tax scales - NAT 3539'!$A$14:$C$38,3,1)),0)
*2,
0),
IF(AND($E$2="Monthly",ROUND($AN678-TRUNC($AN678),2)=0.33),
ROUND(
ROUND(((TRUNC(($AN678+0.01)*3/13,0)+0.99)*VLOOKUP((TRUNC(($AN678+0.01)*3/13,0)+0.99),'Tax scales - NAT 3539'!$A$14:$C$38,2,1)-VLOOKUP((TRUNC(($AN678+0.01)*3/13,0)+0.99),'Tax scales - NAT 3539'!$A$14:$C$38,3,1)),0)
*13/3,
0),
IF($E$2="Monthly",
ROUND(
ROUND(((TRUNC($AN678*3/13,0)+0.99)*VLOOKUP((TRUNC($AN678*3/13,0)+0.99),'Tax scales - NAT 3539'!$A$14:$C$38,2,1)-VLOOKUP((TRUNC($AN678*3/13,0)+0.99),'Tax scales - NAT 3539'!$A$14:$C$38,3,1)),0)
*13/3,
0),
""))),
""),
"")</f>
        <v>1448</v>
      </c>
      <c r="AV678" s="118" t="str">
        <f>IFERROR(
IF(VLOOKUP($C678,'Employee information'!$B:$M,COLUMNS('Employee information'!$B:$M),0)=22,
IF($E$2="Fortnightly",
ROUND(
ROUND((((TRUNC($AN678/2,0)+0.99))*VLOOKUP((TRUNC($AN678/2,0)+0.99),'Tax scales - NAT 3539'!$A$43:$C$69,2,1)-VLOOKUP((TRUNC($AN678/2,0)+0.99),'Tax scales - NAT 3539'!$A$43:$C$69,3,1)),0)
*2,
0),
IF(AND($E$2="Monthly",ROUND($AN678-TRUNC($AN678),2)=0.33),
ROUND(
ROUND(((TRUNC(($AN678+0.01)*3/13,0)+0.99)*VLOOKUP((TRUNC(($AN678+0.01)*3/13,0)+0.99),'Tax scales - NAT 3539'!$A$43:$C$69,2,1)-VLOOKUP((TRUNC(($AN678+0.01)*3/13,0)+0.99),'Tax scales - NAT 3539'!$A$43:$C$69,3,1)),0)
*13/3,
0),
IF($E$2="Monthly",
ROUND(
ROUND(((TRUNC($AN678*3/13,0)+0.99)*VLOOKUP((TRUNC($AN678*3/13,0)+0.99),'Tax scales - NAT 3539'!$A$43:$C$69,2,1)-VLOOKUP((TRUNC($AN678*3/13,0)+0.99),'Tax scales - NAT 3539'!$A$43:$C$69,3,1)),0)
*13/3,
0),
""))),
""),
"")</f>
        <v/>
      </c>
      <c r="AW678" s="118" t="str">
        <f>IFERROR(
IF(VLOOKUP($C678,'Employee information'!$B:$M,COLUMNS('Employee information'!$B:$M),0)=33,
IF($E$2="Fortnightly",
ROUND(
ROUND((((TRUNC($AN678/2,0)+0.99))*VLOOKUP((TRUNC($AN678/2,0)+0.99),'Tax scales - NAT 3539'!$A$74:$C$94,2,1)-VLOOKUP((TRUNC($AN678/2,0)+0.99),'Tax scales - NAT 3539'!$A$74:$C$94,3,1)),0)
*2,
0),
IF(AND($E$2="Monthly",ROUND($AN678-TRUNC($AN678),2)=0.33),
ROUND(
ROUND(((TRUNC(($AN678+0.01)*3/13,0)+0.99)*VLOOKUP((TRUNC(($AN678+0.01)*3/13,0)+0.99),'Tax scales - NAT 3539'!$A$74:$C$94,2,1)-VLOOKUP((TRUNC(($AN678+0.01)*3/13,0)+0.99),'Tax scales - NAT 3539'!$A$74:$C$94,3,1)),0)
*13/3,
0),
IF($E$2="Monthly",
ROUND(
ROUND(((TRUNC($AN678*3/13,0)+0.99)*VLOOKUP((TRUNC($AN678*3/13,0)+0.99),'Tax scales - NAT 3539'!$A$74:$C$94,2,1)-VLOOKUP((TRUNC($AN678*3/13,0)+0.99),'Tax scales - NAT 3539'!$A$74:$C$94,3,1)),0)
*13/3,
0),
""))),
""),
"")</f>
        <v/>
      </c>
      <c r="AX678" s="118" t="str">
        <f>IFERROR(
IF(VLOOKUP($C678,'Employee information'!$B:$M,COLUMNS('Employee information'!$B:$M),0)=55,
IF($E$2="Fortnightly",
ROUND(
ROUND((((TRUNC($AN678/2,0)+0.99))*VLOOKUP((TRUNC($AN678/2,0)+0.99),'Tax scales - NAT 3539'!$A$99:$C$123,2,1)-VLOOKUP((TRUNC($AN678/2,0)+0.99),'Tax scales - NAT 3539'!$A$99:$C$123,3,1)),0)
*2,
0),
IF(AND($E$2="Monthly",ROUND($AN678-TRUNC($AN678),2)=0.33),
ROUND(
ROUND(((TRUNC(($AN678+0.01)*3/13,0)+0.99)*VLOOKUP((TRUNC(($AN678+0.01)*3/13,0)+0.99),'Tax scales - NAT 3539'!$A$99:$C$123,2,1)-VLOOKUP((TRUNC(($AN678+0.01)*3/13,0)+0.99),'Tax scales - NAT 3539'!$A$99:$C$123,3,1)),0)
*13/3,
0),
IF($E$2="Monthly",
ROUND(
ROUND(((TRUNC($AN678*3/13,0)+0.99)*VLOOKUP((TRUNC($AN678*3/13,0)+0.99),'Tax scales - NAT 3539'!$A$99:$C$123,2,1)-VLOOKUP((TRUNC($AN678*3/13,0)+0.99),'Tax scales - NAT 3539'!$A$99:$C$123,3,1)),0)
*13/3,
0),
""))),
""),
"")</f>
        <v/>
      </c>
      <c r="AY678" s="118" t="str">
        <f>IFERROR(
IF(VLOOKUP($C678,'Employee information'!$B:$M,COLUMNS('Employee information'!$B:$M),0)=66,
IF($E$2="Fortnightly",
ROUND(
ROUND((((TRUNC($AN678/2,0)+0.99))*VLOOKUP((TRUNC($AN678/2,0)+0.99),'Tax scales - NAT 3539'!$A$127:$C$154,2,1)-VLOOKUP((TRUNC($AN678/2,0)+0.99),'Tax scales - NAT 3539'!$A$127:$C$154,3,1)),0)
*2,
0),
IF(AND($E$2="Monthly",ROUND($AN678-TRUNC($AN678),2)=0.33),
ROUND(
ROUND(((TRUNC(($AN678+0.01)*3/13,0)+0.99)*VLOOKUP((TRUNC(($AN678+0.01)*3/13,0)+0.99),'Tax scales - NAT 3539'!$A$127:$C$154,2,1)-VLOOKUP((TRUNC(($AN678+0.01)*3/13,0)+0.99),'Tax scales - NAT 3539'!$A$127:$C$154,3,1)),0)
*13/3,
0),
IF($E$2="Monthly",
ROUND(
ROUND(((TRUNC($AN678*3/13,0)+0.99)*VLOOKUP((TRUNC($AN678*3/13,0)+0.99),'Tax scales - NAT 3539'!$A$127:$C$154,2,1)-VLOOKUP((TRUNC($AN678*3/13,0)+0.99),'Tax scales - NAT 3539'!$A$127:$C$154,3,1)),0)
*13/3,
0),
""))),
""),
"")</f>
        <v/>
      </c>
      <c r="AZ678" s="118">
        <f>IFERROR(
HLOOKUP(VLOOKUP($C678,'Employee information'!$B:$M,COLUMNS('Employee information'!$B:$M),0),'PAYG worksheet'!$AO$677:$AY$696,COUNTA($C$678:$C678)+1,0),
0)</f>
        <v>1448</v>
      </c>
      <c r="BA678" s="118"/>
      <c r="BB678" s="118">
        <f>IFERROR($AM678-$AZ678-$BA678,"")</f>
        <v>2249.576396206533</v>
      </c>
      <c r="BC678" s="119">
        <f>IFERROR(
IF(OR($AE678=1,$AE678=""),SUM($P678,$AA678,$AC678,$AK678)*VLOOKUP($C678,'Employee information'!$B:$Q,COLUMNS('Employee information'!$B:$H),0),
IF($AE678=0,SUM($P678,$AA678,$AK678)*VLOOKUP($C678,'Employee information'!$B:$Q,COLUMNS('Employee information'!$B:$H),0),
0)),
0)</f>
        <v>351.26975763962065</v>
      </c>
      <c r="BE678" s="114">
        <f t="shared" ref="BE678:BE696" si="713">IF(AND($E$2="Monthly",$A678&gt;12),"",
SUMIFS($AM:$AM,$C:$C,$C678,$A:$A,"&lt;="&amp;$A678)
)</f>
        <v>88741.833508956828</v>
      </c>
      <c r="BF678" s="114">
        <f t="shared" ref="BF678:BF696" si="714">IF(AND($E$2="Monthly",$A678&gt;12),"",
SUMIFS($AN:$AN,$C:$C,$C678,$A:$A,"&lt;="&amp;$A678)
)</f>
        <v>88741.833508956828</v>
      </c>
      <c r="BG678" s="114">
        <f t="shared" ref="BG678:BG696" si="715">IF(AND($E$2="Monthly",$A678&gt;12),"",
SUMIFS($AC:$AC,$C:$C,$C678,$A:$A,"&lt;="&amp;$A678)
)</f>
        <v>0</v>
      </c>
      <c r="BH678" s="114">
        <f t="shared" ref="BH678:BH696" si="716">IF(AND($E$2="Monthly",$A678&gt;12),"",
SUMIFS($AG:$AG,$C:$C,$C678,$A:$A,"&lt;="&amp;$A678)
)</f>
        <v>0</v>
      </c>
      <c r="BI678" s="114">
        <f t="shared" ref="BI678:BI696" si="717">IF(AND($E$2="Monthly",$A678&gt;12),"",
SUMIFS($AZ:$AZ,$C:$C,$C678,$A:$A,"&lt;="&amp;$A678)
)</f>
        <v>34752</v>
      </c>
      <c r="BJ678" s="114">
        <f t="shared" ref="BJ678:BJ696" si="718">IF(AND($E$2="Monthly",$A678&gt;12),"",
SUMIFS($BA:$BA,$C:$C,$C678,$A:$A,"&lt;="&amp;$A678)
)</f>
        <v>0</v>
      </c>
      <c r="BK678" s="114">
        <f t="shared" ref="BK678:BK696" si="719">IF(AND($E$2="Monthly",$A678&gt;12),"",
SUMIFS($AJ:$AJ,$C:$C,$C678,$A:$A,"&lt;="&amp;$A678)
)</f>
        <v>0</v>
      </c>
      <c r="BL678" s="114">
        <f>IF(AND($E$2="Monthly",$A678&gt;12),"",
SUMIFS($AK:$AK,$C:$C,$C678,$A:$A,"&lt;="&amp;$A678)
)</f>
        <v>0</v>
      </c>
      <c r="BM678" s="114">
        <f t="shared" ref="BM678:BM696" si="720">IF(AND($E$2="Monthly",$A678&gt;12),"",
SUMIFS($BC:$BC,$C:$C,$C678,$A:$A,"&lt;="&amp;$A678)
)</f>
        <v>8430.4741833508942</v>
      </c>
    </row>
    <row r="679" spans="1:65" x14ac:dyDescent="0.25">
      <c r="A679" s="228">
        <f t="shared" si="708"/>
        <v>24</v>
      </c>
      <c r="C679" s="278" t="s">
        <v>13</v>
      </c>
      <c r="E679" s="103">
        <f>IF($C679="",0,
IF(AND($E$2="Monthly",$A679&gt;12),0,
IF($E$2="Monthly",VLOOKUP($C679,'Employee information'!$B:$AM,COLUMNS('Employee information'!$B:S),0),
IF($E$2="Fortnightly",VLOOKUP($C679,'Employee information'!$B:$AM,COLUMNS('Employee information'!$B:R),0),
0))))</f>
        <v>0</v>
      </c>
      <c r="F679" s="106"/>
      <c r="G679" s="106"/>
      <c r="H679" s="106"/>
      <c r="I679" s="106"/>
      <c r="J679" s="103">
        <f t="shared" ref="J679:J696" si="721">IF($E$2="Monthly",
IF(AND($E$2="Monthly",$H679&lt;&gt;""),$H679,
IF(AND($E$2="Monthly",$E679=0),SUM($F679:$G679),
$E679)),
IF($E$2="Fortnightly",
IF(AND($E$2="Fortnightly",$H679&lt;&gt;""),$H679,
IF(AND($E$2="Fortnightly",$F679&lt;&gt;"",$E679&lt;&gt;0),$F679,
IF(AND($E$2="Fortnightly",$E679=0),SUM($F679:$G679),
$E679)))))</f>
        <v>0</v>
      </c>
      <c r="L679" s="113">
        <f>IF(AND($E$2="Monthly",$A679&gt;12),"",
IFERROR($J679*VLOOKUP($C679,'Employee information'!$B:$AI,COLUMNS('Employee information'!$B:$P),0),0))</f>
        <v>0</v>
      </c>
      <c r="M679" s="114">
        <f t="shared" ref="M679:M696" si="722">IF(AND($E$2="Monthly",$A679&gt;12),"",
SUMIFS($L:$L,$C:$C,$C679,$A:$A,"&lt;="&amp;$A679)
)</f>
        <v>1615.3846153846152</v>
      </c>
      <c r="O679" s="103">
        <f t="shared" ref="O679:O696" si="723">IF($E$2="Monthly",
IF(AND($E$2="Monthly",$H679&lt;&gt;""),$H679,
IF(AND($E$2="Monthly",$E679=0),$F679,
$E679)),
IF($E$2="Fortnightly",
IF(AND($E$2="Fortnightly",$H679&lt;&gt;""),$H679,
IF(AND($E$2="Fortnightly",$F679&lt;&gt;"",$E679&lt;&gt;0),$F679,
IF(AND($E$2="Fortnightly",$E679=0),$F679,
$E679)))))</f>
        <v>0</v>
      </c>
      <c r="P679" s="113">
        <f>IFERROR(
IF(AND($E$2="Monthly",$A679&gt;12),0,
$O679*VLOOKUP($C679,'Employee information'!$B:$AI,COLUMNS('Employee information'!$B:$P),0)),
0)</f>
        <v>0</v>
      </c>
      <c r="R679" s="114">
        <f t="shared" si="709"/>
        <v>1615.3846153846152</v>
      </c>
      <c r="T679" s="103"/>
      <c r="U679" s="103"/>
      <c r="V679" s="282">
        <f>IF($C679="","",
IF(AND($E$2="Monthly",$A679&gt;12),"",
$T679*VLOOKUP($C679,'Employee information'!$B:$P,COLUMNS('Employee information'!$B:$P),0)))</f>
        <v>0</v>
      </c>
      <c r="W679" s="282">
        <f>IF($C679="","",
IF(AND($E$2="Monthly",$A679&gt;12),"",
$U679*VLOOKUP($C679,'Employee information'!$B:$P,COLUMNS('Employee information'!$B:$P),0)))</f>
        <v>0</v>
      </c>
      <c r="X679" s="114">
        <f t="shared" si="710"/>
        <v>0</v>
      </c>
      <c r="Y679" s="114">
        <f t="shared" si="711"/>
        <v>288.46153846153845</v>
      </c>
      <c r="AA679" s="118">
        <f>IFERROR(
IF(OR('Basic payroll data'!$D$12="",'Basic payroll data'!$D$12="No"),0,
$T679*VLOOKUP($C679,'Employee information'!$B:$P,COLUMNS('Employee information'!$B:$P),0)*AL_loading_perc),
0)</f>
        <v>0</v>
      </c>
      <c r="AC679" s="118"/>
      <c r="AD679" s="118"/>
      <c r="AE679" s="283" t="str">
        <f t="shared" ref="AE679:AE696" si="724">IF(LEFT($AD679,6)="Is OTE",1,
IF(LEFT($AD679,10)="Is not OTE",0,
""))</f>
        <v/>
      </c>
      <c r="AF679" s="283" t="str">
        <f t="shared" ref="AF679:AF696" si="725">IF(RIGHT($AD679,12)="tax withheld",1,
IF(RIGHT($AD679,16)="tax not withheld",0,
""))</f>
        <v/>
      </c>
      <c r="AG679" s="118"/>
      <c r="AH679" s="118"/>
      <c r="AI679" s="283" t="str">
        <f t="shared" ref="AI679:AI696" si="726">IF($AH679="FBT",0,
IF($AH679="Not FBT",1,
""))</f>
        <v/>
      </c>
      <c r="AJ679" s="118"/>
      <c r="AK679" s="118"/>
      <c r="AM679" s="118">
        <f t="shared" ref="AM679:AM696" si="727">SUM($L679,$AA679,$AC679,$AG679,$AK679)-$AJ679</f>
        <v>0</v>
      </c>
      <c r="AN679" s="118">
        <f t="shared" si="712"/>
        <v>0</v>
      </c>
      <c r="AO679" s="118" t="str">
        <f>IFERROR(
IF(VLOOKUP($C679,'Employee information'!$B:$M,COLUMNS('Employee information'!$B:$M),0)=1,
IF($E$2="Fortnightly",
ROUND(
ROUND((((TRUNC($AN679/2,0)+0.99))*VLOOKUP((TRUNC($AN679/2,0)+0.99),'Tax scales - NAT 1004'!$A$12:$C$18,2,1)-VLOOKUP((TRUNC($AN679/2,0)+0.99),'Tax scales - NAT 1004'!$A$12:$C$18,3,1)),0)
*2,
0),
IF(AND($E$2="Monthly",ROUND($AN679-TRUNC($AN679),2)=0.33),
ROUND(
ROUND(((TRUNC(($AN679+0.01)*3/13,0)+0.99)*VLOOKUP((TRUNC(($AN679+0.01)*3/13,0)+0.99),'Tax scales - NAT 1004'!$A$12:$C$18,2,1)-VLOOKUP((TRUNC(($AN679+0.01)*3/13,0)+0.99),'Tax scales - NAT 1004'!$A$12:$C$18,3,1)),0)
*13/3,
0),
IF($E$2="Monthly",
ROUND(
ROUND(((TRUNC($AN679*3/13,0)+0.99)*VLOOKUP((TRUNC($AN679*3/13,0)+0.99),'Tax scales - NAT 1004'!$A$12:$C$18,2,1)-VLOOKUP((TRUNC($AN679*3/13,0)+0.99),'Tax scales - NAT 1004'!$A$12:$C$18,3,1)),0)
*13/3,
0),
""))),
""),
"")</f>
        <v/>
      </c>
      <c r="AP679" s="118" t="str">
        <f>IFERROR(
IF(VLOOKUP($C679,'Employee information'!$B:$M,COLUMNS('Employee information'!$B:$M),0)=2,
IF($E$2="Fortnightly",
ROUND(
ROUND((((TRUNC($AN679/2,0)+0.99))*VLOOKUP((TRUNC($AN679/2,0)+0.99),'Tax scales - NAT 1004'!$A$25:$C$33,2,1)-VLOOKUP((TRUNC($AN679/2,0)+0.99),'Tax scales - NAT 1004'!$A$25:$C$33,3,1)),0)
*2,
0),
IF(AND($E$2="Monthly",ROUND($AN679-TRUNC($AN679),2)=0.33),
ROUND(
ROUND(((TRUNC(($AN679+0.01)*3/13,0)+0.99)*VLOOKUP((TRUNC(($AN679+0.01)*3/13,0)+0.99),'Tax scales - NAT 1004'!$A$25:$C$33,2,1)-VLOOKUP((TRUNC(($AN679+0.01)*3/13,0)+0.99),'Tax scales - NAT 1004'!$A$25:$C$33,3,1)),0)
*13/3,
0),
IF($E$2="Monthly",
ROUND(
ROUND(((TRUNC($AN679*3/13,0)+0.99)*VLOOKUP((TRUNC($AN679*3/13,0)+0.99),'Tax scales - NAT 1004'!$A$25:$C$33,2,1)-VLOOKUP((TRUNC($AN679*3/13,0)+0.99),'Tax scales - NAT 1004'!$A$25:$C$33,3,1)),0)
*13/3,
0),
""))),
""),
"")</f>
        <v/>
      </c>
      <c r="AQ679" s="118" t="str">
        <f>IFERROR(
IF(VLOOKUP($C679,'Employee information'!$B:$M,COLUMNS('Employee information'!$B:$M),0)=3,
IF($E$2="Fortnightly",
ROUND(
ROUND((((TRUNC($AN679/2,0)+0.99))*VLOOKUP((TRUNC($AN679/2,0)+0.99),'Tax scales - NAT 1004'!$A$39:$C$41,2,1)-VLOOKUP((TRUNC($AN679/2,0)+0.99),'Tax scales - NAT 1004'!$A$39:$C$41,3,1)),0)
*2,
0),
IF(AND($E$2="Monthly",ROUND($AN679-TRUNC($AN679),2)=0.33),
ROUND(
ROUND(((TRUNC(($AN679+0.01)*3/13,0)+0.99)*VLOOKUP((TRUNC(($AN679+0.01)*3/13,0)+0.99),'Tax scales - NAT 1004'!$A$39:$C$41,2,1)-VLOOKUP((TRUNC(($AN679+0.01)*3/13,0)+0.99),'Tax scales - NAT 1004'!$A$39:$C$41,3,1)),0)
*13/3,
0),
IF($E$2="Monthly",
ROUND(
ROUND(((TRUNC($AN679*3/13,0)+0.99)*VLOOKUP((TRUNC($AN679*3/13,0)+0.99),'Tax scales - NAT 1004'!$A$39:$C$41,2,1)-VLOOKUP((TRUNC($AN679*3/13,0)+0.99),'Tax scales - NAT 1004'!$A$39:$C$41,3,1)),0)
*13/3,
0),
""))),
""),
"")</f>
        <v/>
      </c>
      <c r="AR679" s="118" t="str">
        <f>IFERROR(
IF(AND(VLOOKUP($C679,'Employee information'!$B:$M,COLUMNS('Employee information'!$B:$M),0)=4,
VLOOKUP($C679,'Employee information'!$B:$J,COLUMNS('Employee information'!$B:$J),0)="Resident"),
TRUNC(TRUNC($AN679)*'Tax scales - NAT 1004'!$B$47),
IF(AND(VLOOKUP($C679,'Employee information'!$B:$M,COLUMNS('Employee information'!$B:$M),0)=4,
VLOOKUP($C679,'Employee information'!$B:$J,COLUMNS('Employee information'!$B:$J),0)="Foreign resident"),
TRUNC(TRUNC($AN679)*'Tax scales - NAT 1004'!$B$48),
"")),
"")</f>
        <v/>
      </c>
      <c r="AS679" s="118" t="str">
        <f>IFERROR(
IF(VLOOKUP($C679,'Employee information'!$B:$M,COLUMNS('Employee information'!$B:$M),0)=5,
IF($E$2="Fortnightly",
ROUND(
ROUND((((TRUNC($AN679/2,0)+0.99))*VLOOKUP((TRUNC($AN679/2,0)+0.99),'Tax scales - NAT 1004'!$A$53:$C$59,2,1)-VLOOKUP((TRUNC($AN679/2,0)+0.99),'Tax scales - NAT 1004'!$A$53:$C$59,3,1)),0)
*2,
0),
IF(AND($E$2="Monthly",ROUND($AN679-TRUNC($AN679),2)=0.33),
ROUND(
ROUND(((TRUNC(($AN679+0.01)*3/13,0)+0.99)*VLOOKUP((TRUNC(($AN679+0.01)*3/13,0)+0.99),'Tax scales - NAT 1004'!$A$53:$C$59,2,1)-VLOOKUP((TRUNC(($AN679+0.01)*3/13,0)+0.99),'Tax scales - NAT 1004'!$A$53:$C$59,3,1)),0)
*13/3,
0),
IF($E$2="Monthly",
ROUND(
ROUND(((TRUNC($AN679*3/13,0)+0.99)*VLOOKUP((TRUNC($AN679*3/13,0)+0.99),'Tax scales - NAT 1004'!$A$53:$C$59,2,1)-VLOOKUP((TRUNC($AN679*3/13,0)+0.99),'Tax scales - NAT 1004'!$A$53:$C$59,3,1)),0)
*13/3,
0),
""))),
""),
"")</f>
        <v/>
      </c>
      <c r="AT679" s="118" t="str">
        <f>IFERROR(
IF(VLOOKUP($C679,'Employee information'!$B:$M,COLUMNS('Employee information'!$B:$M),0)=6,
IF($E$2="Fortnightly",
ROUND(
ROUND((((TRUNC($AN679/2,0)+0.99))*VLOOKUP((TRUNC($AN679/2,0)+0.99),'Tax scales - NAT 1004'!$A$65:$C$73,2,1)-VLOOKUP((TRUNC($AN679/2,0)+0.99),'Tax scales - NAT 1004'!$A$65:$C$73,3,1)),0)
*2,
0),
IF(AND($E$2="Monthly",ROUND($AN679-TRUNC($AN679),2)=0.33),
ROUND(
ROUND(((TRUNC(($AN679+0.01)*3/13,0)+0.99)*VLOOKUP((TRUNC(($AN679+0.01)*3/13,0)+0.99),'Tax scales - NAT 1004'!$A$65:$C$73,2,1)-VLOOKUP((TRUNC(($AN679+0.01)*3/13,0)+0.99),'Tax scales - NAT 1004'!$A$65:$C$73,3,1)),0)
*13/3,
0),
IF($E$2="Monthly",
ROUND(
ROUND(((TRUNC($AN679*3/13,0)+0.99)*VLOOKUP((TRUNC($AN679*3/13,0)+0.99),'Tax scales - NAT 1004'!$A$65:$C$73,2,1)-VLOOKUP((TRUNC($AN679*3/13,0)+0.99),'Tax scales - NAT 1004'!$A$65:$C$73,3,1)),0)
*13/3,
0),
""))),
""),
"")</f>
        <v/>
      </c>
      <c r="AU679" s="118">
        <f>IFERROR(
IF(VLOOKUP($C679,'Employee information'!$B:$M,COLUMNS('Employee information'!$B:$M),0)=11,
IF($E$2="Fortnightly",
ROUND(
ROUND((((TRUNC($AN679/2,0)+0.99))*VLOOKUP((TRUNC($AN679/2,0)+0.99),'Tax scales - NAT 3539'!$A$14:$C$38,2,1)-VLOOKUP((TRUNC($AN679/2,0)+0.99),'Tax scales - NAT 3539'!$A$14:$C$38,3,1)),0)
*2,
0),
IF(AND($E$2="Monthly",ROUND($AN679-TRUNC($AN679),2)=0.33),
ROUND(
ROUND(((TRUNC(($AN679+0.01)*3/13,0)+0.99)*VLOOKUP((TRUNC(($AN679+0.01)*3/13,0)+0.99),'Tax scales - NAT 3539'!$A$14:$C$38,2,1)-VLOOKUP((TRUNC(($AN679+0.01)*3/13,0)+0.99),'Tax scales - NAT 3539'!$A$14:$C$38,3,1)),0)
*13/3,
0),
IF($E$2="Monthly",
ROUND(
ROUND(((TRUNC($AN679*3/13,0)+0.99)*VLOOKUP((TRUNC($AN679*3/13,0)+0.99),'Tax scales - NAT 3539'!$A$14:$C$38,2,1)-VLOOKUP((TRUNC($AN679*3/13,0)+0.99),'Tax scales - NAT 3539'!$A$14:$C$38,3,1)),0)
*13/3,
0),
""))),
""),
"")</f>
        <v>0</v>
      </c>
      <c r="AV679" s="118" t="str">
        <f>IFERROR(
IF(VLOOKUP($C679,'Employee information'!$B:$M,COLUMNS('Employee information'!$B:$M),0)=22,
IF($E$2="Fortnightly",
ROUND(
ROUND((((TRUNC($AN679/2,0)+0.99))*VLOOKUP((TRUNC($AN679/2,0)+0.99),'Tax scales - NAT 3539'!$A$43:$C$69,2,1)-VLOOKUP((TRUNC($AN679/2,0)+0.99),'Tax scales - NAT 3539'!$A$43:$C$69,3,1)),0)
*2,
0),
IF(AND($E$2="Monthly",ROUND($AN679-TRUNC($AN679),2)=0.33),
ROUND(
ROUND(((TRUNC(($AN679+0.01)*3/13,0)+0.99)*VLOOKUP((TRUNC(($AN679+0.01)*3/13,0)+0.99),'Tax scales - NAT 3539'!$A$43:$C$69,2,1)-VLOOKUP((TRUNC(($AN679+0.01)*3/13,0)+0.99),'Tax scales - NAT 3539'!$A$43:$C$69,3,1)),0)
*13/3,
0),
IF($E$2="Monthly",
ROUND(
ROUND(((TRUNC($AN679*3/13,0)+0.99)*VLOOKUP((TRUNC($AN679*3/13,0)+0.99),'Tax scales - NAT 3539'!$A$43:$C$69,2,1)-VLOOKUP((TRUNC($AN679*3/13,0)+0.99),'Tax scales - NAT 3539'!$A$43:$C$69,3,1)),0)
*13/3,
0),
""))),
""),
"")</f>
        <v/>
      </c>
      <c r="AW679" s="118" t="str">
        <f>IFERROR(
IF(VLOOKUP($C679,'Employee information'!$B:$M,COLUMNS('Employee information'!$B:$M),0)=33,
IF($E$2="Fortnightly",
ROUND(
ROUND((((TRUNC($AN679/2,0)+0.99))*VLOOKUP((TRUNC($AN679/2,0)+0.99),'Tax scales - NAT 3539'!$A$74:$C$94,2,1)-VLOOKUP((TRUNC($AN679/2,0)+0.99),'Tax scales - NAT 3539'!$A$74:$C$94,3,1)),0)
*2,
0),
IF(AND($E$2="Monthly",ROUND($AN679-TRUNC($AN679),2)=0.33),
ROUND(
ROUND(((TRUNC(($AN679+0.01)*3/13,0)+0.99)*VLOOKUP((TRUNC(($AN679+0.01)*3/13,0)+0.99),'Tax scales - NAT 3539'!$A$74:$C$94,2,1)-VLOOKUP((TRUNC(($AN679+0.01)*3/13,0)+0.99),'Tax scales - NAT 3539'!$A$74:$C$94,3,1)),0)
*13/3,
0),
IF($E$2="Monthly",
ROUND(
ROUND(((TRUNC($AN679*3/13,0)+0.99)*VLOOKUP((TRUNC($AN679*3/13,0)+0.99),'Tax scales - NAT 3539'!$A$74:$C$94,2,1)-VLOOKUP((TRUNC($AN679*3/13,0)+0.99),'Tax scales - NAT 3539'!$A$74:$C$94,3,1)),0)
*13/3,
0),
""))),
""),
"")</f>
        <v/>
      </c>
      <c r="AX679" s="118" t="str">
        <f>IFERROR(
IF(VLOOKUP($C679,'Employee information'!$B:$M,COLUMNS('Employee information'!$B:$M),0)=55,
IF($E$2="Fortnightly",
ROUND(
ROUND((((TRUNC($AN679/2,0)+0.99))*VLOOKUP((TRUNC($AN679/2,0)+0.99),'Tax scales - NAT 3539'!$A$99:$C$123,2,1)-VLOOKUP((TRUNC($AN679/2,0)+0.99),'Tax scales - NAT 3539'!$A$99:$C$123,3,1)),0)
*2,
0),
IF(AND($E$2="Monthly",ROUND($AN679-TRUNC($AN679),2)=0.33),
ROUND(
ROUND(((TRUNC(($AN679+0.01)*3/13,0)+0.99)*VLOOKUP((TRUNC(($AN679+0.01)*3/13,0)+0.99),'Tax scales - NAT 3539'!$A$99:$C$123,2,1)-VLOOKUP((TRUNC(($AN679+0.01)*3/13,0)+0.99),'Tax scales - NAT 3539'!$A$99:$C$123,3,1)),0)
*13/3,
0),
IF($E$2="Monthly",
ROUND(
ROUND(((TRUNC($AN679*3/13,0)+0.99)*VLOOKUP((TRUNC($AN679*3/13,0)+0.99),'Tax scales - NAT 3539'!$A$99:$C$123,2,1)-VLOOKUP((TRUNC($AN679*3/13,0)+0.99),'Tax scales - NAT 3539'!$A$99:$C$123,3,1)),0)
*13/3,
0),
""))),
""),
"")</f>
        <v/>
      </c>
      <c r="AY679" s="118" t="str">
        <f>IFERROR(
IF(VLOOKUP($C679,'Employee information'!$B:$M,COLUMNS('Employee information'!$B:$M),0)=66,
IF($E$2="Fortnightly",
ROUND(
ROUND((((TRUNC($AN679/2,0)+0.99))*VLOOKUP((TRUNC($AN679/2,0)+0.99),'Tax scales - NAT 3539'!$A$127:$C$154,2,1)-VLOOKUP((TRUNC($AN679/2,0)+0.99),'Tax scales - NAT 3539'!$A$127:$C$154,3,1)),0)
*2,
0),
IF(AND($E$2="Monthly",ROUND($AN679-TRUNC($AN679),2)=0.33),
ROUND(
ROUND(((TRUNC(($AN679+0.01)*3/13,0)+0.99)*VLOOKUP((TRUNC(($AN679+0.01)*3/13,0)+0.99),'Tax scales - NAT 3539'!$A$127:$C$154,2,1)-VLOOKUP((TRUNC(($AN679+0.01)*3/13,0)+0.99),'Tax scales - NAT 3539'!$A$127:$C$154,3,1)),0)
*13/3,
0),
IF($E$2="Monthly",
ROUND(
ROUND(((TRUNC($AN679*3/13,0)+0.99)*VLOOKUP((TRUNC($AN679*3/13,0)+0.99),'Tax scales - NAT 3539'!$A$127:$C$154,2,1)-VLOOKUP((TRUNC($AN679*3/13,0)+0.99),'Tax scales - NAT 3539'!$A$127:$C$154,3,1)),0)
*13/3,
0),
""))),
""),
"")</f>
        <v/>
      </c>
      <c r="AZ679" s="118">
        <f>IFERROR(
HLOOKUP(VLOOKUP($C679,'Employee information'!$B:$M,COLUMNS('Employee information'!$B:$M),0),'PAYG worksheet'!$AO$677:$AY$696,COUNTA($C$678:$C679)+1,0),
0)</f>
        <v>0</v>
      </c>
      <c r="BA679" s="118"/>
      <c r="BB679" s="118">
        <f t="shared" ref="BB679:BB696" si="728">IFERROR($AM679-$AZ679-$BA679,"")</f>
        <v>0</v>
      </c>
      <c r="BC679" s="119">
        <f>IFERROR(
IF(OR($AE679=1,$AE679=""),SUM($P679,$AA679,$AC679,$AK679)*VLOOKUP($C679,'Employee information'!$B:$Q,COLUMNS('Employee information'!$B:$H),0),
IF($AE679=0,SUM($P679,$AA679,$AK679)*VLOOKUP($C679,'Employee information'!$B:$Q,COLUMNS('Employee information'!$B:$H),0),
0)),
0)</f>
        <v>0</v>
      </c>
      <c r="BE679" s="114">
        <f t="shared" si="713"/>
        <v>1615.3846153846152</v>
      </c>
      <c r="BF679" s="114">
        <f t="shared" si="714"/>
        <v>1615.3846153846152</v>
      </c>
      <c r="BG679" s="114">
        <f t="shared" si="715"/>
        <v>0</v>
      </c>
      <c r="BH679" s="114">
        <f t="shared" si="716"/>
        <v>0</v>
      </c>
      <c r="BI679" s="114">
        <f t="shared" si="717"/>
        <v>474</v>
      </c>
      <c r="BJ679" s="114">
        <f t="shared" si="718"/>
        <v>0</v>
      </c>
      <c r="BK679" s="114">
        <f t="shared" si="719"/>
        <v>0</v>
      </c>
      <c r="BL679" s="114">
        <f t="shared" ref="BL679:BL696" si="729">IF(AND($E$2="Monthly",$A679&gt;12),"",
SUMIFS($AK:$AK,$C:$C,$C679,$A:$A,"&lt;="&amp;$A679)
)</f>
        <v>0</v>
      </c>
      <c r="BM679" s="114">
        <f t="shared" si="720"/>
        <v>153.46153846153845</v>
      </c>
    </row>
    <row r="680" spans="1:65" x14ac:dyDescent="0.25">
      <c r="A680" s="228">
        <f t="shared" si="708"/>
        <v>24</v>
      </c>
      <c r="C680" s="278" t="s">
        <v>14</v>
      </c>
      <c r="E680" s="103">
        <f>IF($C680="",0,
IF(AND($E$2="Monthly",$A680&gt;12),0,
IF($E$2="Monthly",VLOOKUP($C680,'Employee information'!$B:$AM,COLUMNS('Employee information'!$B:S),0),
IF($E$2="Fortnightly",VLOOKUP($C680,'Employee information'!$B:$AM,COLUMNS('Employee information'!$B:R),0),
0))))</f>
        <v>0</v>
      </c>
      <c r="F680" s="106"/>
      <c r="G680" s="106"/>
      <c r="H680" s="106"/>
      <c r="I680" s="106"/>
      <c r="J680" s="103">
        <f t="shared" si="721"/>
        <v>0</v>
      </c>
      <c r="L680" s="113">
        <f>IF(AND($E$2="Monthly",$A680&gt;12),"",
IFERROR($J680*VLOOKUP($C680,'Employee information'!$B:$AI,COLUMNS('Employee information'!$B:$P),0),0))</f>
        <v>0</v>
      </c>
      <c r="M680" s="114">
        <f t="shared" si="722"/>
        <v>900</v>
      </c>
      <c r="O680" s="103">
        <f t="shared" si="723"/>
        <v>0</v>
      </c>
      <c r="P680" s="113">
        <f>IFERROR(
IF(AND($E$2="Monthly",$A680&gt;12),0,
$O680*VLOOKUP($C680,'Employee information'!$B:$AI,COLUMNS('Employee information'!$B:$P),0)),
0)</f>
        <v>0</v>
      </c>
      <c r="R680" s="114">
        <f t="shared" si="709"/>
        <v>900</v>
      </c>
      <c r="T680" s="103"/>
      <c r="U680" s="103"/>
      <c r="V680" s="282">
        <f>IF($C680="","",
IF(AND($E$2="Monthly",$A680&gt;12),"",
$T680*VLOOKUP($C680,'Employee information'!$B:$P,COLUMNS('Employee information'!$B:$P),0)))</f>
        <v>0</v>
      </c>
      <c r="W680" s="282">
        <f>IF($C680="","",
IF(AND($E$2="Monthly",$A680&gt;12),"",
$U680*VLOOKUP($C680,'Employee information'!$B:$P,COLUMNS('Employee information'!$B:$P),0)))</f>
        <v>0</v>
      </c>
      <c r="X680" s="114">
        <f t="shared" si="710"/>
        <v>0</v>
      </c>
      <c r="Y680" s="114">
        <f t="shared" si="711"/>
        <v>0</v>
      </c>
      <c r="AA680" s="118">
        <f>IFERROR(
IF(OR('Basic payroll data'!$D$12="",'Basic payroll data'!$D$12="No"),0,
$T680*VLOOKUP($C680,'Employee information'!$B:$P,COLUMNS('Employee information'!$B:$P),0)*AL_loading_perc),
0)</f>
        <v>0</v>
      </c>
      <c r="AC680" s="118"/>
      <c r="AD680" s="118"/>
      <c r="AE680" s="283" t="str">
        <f t="shared" si="724"/>
        <v/>
      </c>
      <c r="AF680" s="283" t="str">
        <f t="shared" si="725"/>
        <v/>
      </c>
      <c r="AG680" s="118"/>
      <c r="AH680" s="118"/>
      <c r="AI680" s="283" t="str">
        <f t="shared" si="726"/>
        <v/>
      </c>
      <c r="AJ680" s="118"/>
      <c r="AK680" s="118"/>
      <c r="AM680" s="118">
        <f t="shared" si="727"/>
        <v>0</v>
      </c>
      <c r="AN680" s="118">
        <f t="shared" si="712"/>
        <v>0</v>
      </c>
      <c r="AO680" s="118" t="str">
        <f>IFERROR(
IF(VLOOKUP($C680,'Employee information'!$B:$M,COLUMNS('Employee information'!$B:$M),0)=1,
IF($E$2="Fortnightly",
ROUND(
ROUND((((TRUNC($AN680/2,0)+0.99))*VLOOKUP((TRUNC($AN680/2,0)+0.99),'Tax scales - NAT 1004'!$A$12:$C$18,2,1)-VLOOKUP((TRUNC($AN680/2,0)+0.99),'Tax scales - NAT 1004'!$A$12:$C$18,3,1)),0)
*2,
0),
IF(AND($E$2="Monthly",ROUND($AN680-TRUNC($AN680),2)=0.33),
ROUND(
ROUND(((TRUNC(($AN680+0.01)*3/13,0)+0.99)*VLOOKUP((TRUNC(($AN680+0.01)*3/13,0)+0.99),'Tax scales - NAT 1004'!$A$12:$C$18,2,1)-VLOOKUP((TRUNC(($AN680+0.01)*3/13,0)+0.99),'Tax scales - NAT 1004'!$A$12:$C$18,3,1)),0)
*13/3,
0),
IF($E$2="Monthly",
ROUND(
ROUND(((TRUNC($AN680*3/13,0)+0.99)*VLOOKUP((TRUNC($AN680*3/13,0)+0.99),'Tax scales - NAT 1004'!$A$12:$C$18,2,1)-VLOOKUP((TRUNC($AN680*3/13,0)+0.99),'Tax scales - NAT 1004'!$A$12:$C$18,3,1)),0)
*13/3,
0),
""))),
""),
"")</f>
        <v/>
      </c>
      <c r="AP680" s="118" t="str">
        <f>IFERROR(
IF(VLOOKUP($C680,'Employee information'!$B:$M,COLUMNS('Employee information'!$B:$M),0)=2,
IF($E$2="Fortnightly",
ROUND(
ROUND((((TRUNC($AN680/2,0)+0.99))*VLOOKUP((TRUNC($AN680/2,0)+0.99),'Tax scales - NAT 1004'!$A$25:$C$33,2,1)-VLOOKUP((TRUNC($AN680/2,0)+0.99),'Tax scales - NAT 1004'!$A$25:$C$33,3,1)),0)
*2,
0),
IF(AND($E$2="Monthly",ROUND($AN680-TRUNC($AN680),2)=0.33),
ROUND(
ROUND(((TRUNC(($AN680+0.01)*3/13,0)+0.99)*VLOOKUP((TRUNC(($AN680+0.01)*3/13,0)+0.99),'Tax scales - NAT 1004'!$A$25:$C$33,2,1)-VLOOKUP((TRUNC(($AN680+0.01)*3/13,0)+0.99),'Tax scales - NAT 1004'!$A$25:$C$33,3,1)),0)
*13/3,
0),
IF($E$2="Monthly",
ROUND(
ROUND(((TRUNC($AN680*3/13,0)+0.99)*VLOOKUP((TRUNC($AN680*3/13,0)+0.99),'Tax scales - NAT 1004'!$A$25:$C$33,2,1)-VLOOKUP((TRUNC($AN680*3/13,0)+0.99),'Tax scales - NAT 1004'!$A$25:$C$33,3,1)),0)
*13/3,
0),
""))),
""),
"")</f>
        <v/>
      </c>
      <c r="AQ680" s="118" t="str">
        <f>IFERROR(
IF(VLOOKUP($C680,'Employee information'!$B:$M,COLUMNS('Employee information'!$B:$M),0)=3,
IF($E$2="Fortnightly",
ROUND(
ROUND((((TRUNC($AN680/2,0)+0.99))*VLOOKUP((TRUNC($AN680/2,0)+0.99),'Tax scales - NAT 1004'!$A$39:$C$41,2,1)-VLOOKUP((TRUNC($AN680/2,0)+0.99),'Tax scales - NAT 1004'!$A$39:$C$41,3,1)),0)
*2,
0),
IF(AND($E$2="Monthly",ROUND($AN680-TRUNC($AN680),2)=0.33),
ROUND(
ROUND(((TRUNC(($AN680+0.01)*3/13,0)+0.99)*VLOOKUP((TRUNC(($AN680+0.01)*3/13,0)+0.99),'Tax scales - NAT 1004'!$A$39:$C$41,2,1)-VLOOKUP((TRUNC(($AN680+0.01)*3/13,0)+0.99),'Tax scales - NAT 1004'!$A$39:$C$41,3,1)),0)
*13/3,
0),
IF($E$2="Monthly",
ROUND(
ROUND(((TRUNC($AN680*3/13,0)+0.99)*VLOOKUP((TRUNC($AN680*3/13,0)+0.99),'Tax scales - NAT 1004'!$A$39:$C$41,2,1)-VLOOKUP((TRUNC($AN680*3/13,0)+0.99),'Tax scales - NAT 1004'!$A$39:$C$41,3,1)),0)
*13/3,
0),
""))),
""),
"")</f>
        <v/>
      </c>
      <c r="AR680" s="118" t="str">
        <f>IFERROR(
IF(AND(VLOOKUP($C680,'Employee information'!$B:$M,COLUMNS('Employee information'!$B:$M),0)=4,
VLOOKUP($C680,'Employee information'!$B:$J,COLUMNS('Employee information'!$B:$J),0)="Resident"),
TRUNC(TRUNC($AN680)*'Tax scales - NAT 1004'!$B$47),
IF(AND(VLOOKUP($C680,'Employee information'!$B:$M,COLUMNS('Employee information'!$B:$M),0)=4,
VLOOKUP($C680,'Employee information'!$B:$J,COLUMNS('Employee information'!$B:$J),0)="Foreign resident"),
TRUNC(TRUNC($AN680)*'Tax scales - NAT 1004'!$B$48),
"")),
"")</f>
        <v/>
      </c>
      <c r="AS680" s="118" t="str">
        <f>IFERROR(
IF(VLOOKUP($C680,'Employee information'!$B:$M,COLUMNS('Employee information'!$B:$M),0)=5,
IF($E$2="Fortnightly",
ROUND(
ROUND((((TRUNC($AN680/2,0)+0.99))*VLOOKUP((TRUNC($AN680/2,0)+0.99),'Tax scales - NAT 1004'!$A$53:$C$59,2,1)-VLOOKUP((TRUNC($AN680/2,0)+0.99),'Tax scales - NAT 1004'!$A$53:$C$59,3,1)),0)
*2,
0),
IF(AND($E$2="Monthly",ROUND($AN680-TRUNC($AN680),2)=0.33),
ROUND(
ROUND(((TRUNC(($AN680+0.01)*3/13,0)+0.99)*VLOOKUP((TRUNC(($AN680+0.01)*3/13,0)+0.99),'Tax scales - NAT 1004'!$A$53:$C$59,2,1)-VLOOKUP((TRUNC(($AN680+0.01)*3/13,0)+0.99),'Tax scales - NAT 1004'!$A$53:$C$59,3,1)),0)
*13/3,
0),
IF($E$2="Monthly",
ROUND(
ROUND(((TRUNC($AN680*3/13,0)+0.99)*VLOOKUP((TRUNC($AN680*3/13,0)+0.99),'Tax scales - NAT 1004'!$A$53:$C$59,2,1)-VLOOKUP((TRUNC($AN680*3/13,0)+0.99),'Tax scales - NAT 1004'!$A$53:$C$59,3,1)),0)
*13/3,
0),
""))),
""),
"")</f>
        <v/>
      </c>
      <c r="AT680" s="118" t="str">
        <f>IFERROR(
IF(VLOOKUP($C680,'Employee information'!$B:$M,COLUMNS('Employee information'!$B:$M),0)=6,
IF($E$2="Fortnightly",
ROUND(
ROUND((((TRUNC($AN680/2,0)+0.99))*VLOOKUP((TRUNC($AN680/2,0)+0.99),'Tax scales - NAT 1004'!$A$65:$C$73,2,1)-VLOOKUP((TRUNC($AN680/2,0)+0.99),'Tax scales - NAT 1004'!$A$65:$C$73,3,1)),0)
*2,
0),
IF(AND($E$2="Monthly",ROUND($AN680-TRUNC($AN680),2)=0.33),
ROUND(
ROUND(((TRUNC(($AN680+0.01)*3/13,0)+0.99)*VLOOKUP((TRUNC(($AN680+0.01)*3/13,0)+0.99),'Tax scales - NAT 1004'!$A$65:$C$73,2,1)-VLOOKUP((TRUNC(($AN680+0.01)*3/13,0)+0.99),'Tax scales - NAT 1004'!$A$65:$C$73,3,1)),0)
*13/3,
0),
IF($E$2="Monthly",
ROUND(
ROUND(((TRUNC($AN680*3/13,0)+0.99)*VLOOKUP((TRUNC($AN680*3/13,0)+0.99),'Tax scales - NAT 1004'!$A$65:$C$73,2,1)-VLOOKUP((TRUNC($AN680*3/13,0)+0.99),'Tax scales - NAT 1004'!$A$65:$C$73,3,1)),0)
*13/3,
0),
""))),
""),
"")</f>
        <v/>
      </c>
      <c r="AU680" s="118" t="str">
        <f>IFERROR(
IF(VLOOKUP($C680,'Employee information'!$B:$M,COLUMNS('Employee information'!$B:$M),0)=11,
IF($E$2="Fortnightly",
ROUND(
ROUND((((TRUNC($AN680/2,0)+0.99))*VLOOKUP((TRUNC($AN680/2,0)+0.99),'Tax scales - NAT 3539'!$A$14:$C$38,2,1)-VLOOKUP((TRUNC($AN680/2,0)+0.99),'Tax scales - NAT 3539'!$A$14:$C$38,3,1)),0)
*2,
0),
IF(AND($E$2="Monthly",ROUND($AN680-TRUNC($AN680),2)=0.33),
ROUND(
ROUND(((TRUNC(($AN680+0.01)*3/13,0)+0.99)*VLOOKUP((TRUNC(($AN680+0.01)*3/13,0)+0.99),'Tax scales - NAT 3539'!$A$14:$C$38,2,1)-VLOOKUP((TRUNC(($AN680+0.01)*3/13,0)+0.99),'Tax scales - NAT 3539'!$A$14:$C$38,3,1)),0)
*13/3,
0),
IF($E$2="Monthly",
ROUND(
ROUND(((TRUNC($AN680*3/13,0)+0.99)*VLOOKUP((TRUNC($AN680*3/13,0)+0.99),'Tax scales - NAT 3539'!$A$14:$C$38,2,1)-VLOOKUP((TRUNC($AN680*3/13,0)+0.99),'Tax scales - NAT 3539'!$A$14:$C$38,3,1)),0)
*13/3,
0),
""))),
""),
"")</f>
        <v/>
      </c>
      <c r="AV680" s="118" t="str">
        <f>IFERROR(
IF(VLOOKUP($C680,'Employee information'!$B:$M,COLUMNS('Employee information'!$B:$M),0)=22,
IF($E$2="Fortnightly",
ROUND(
ROUND((((TRUNC($AN680/2,0)+0.99))*VLOOKUP((TRUNC($AN680/2,0)+0.99),'Tax scales - NAT 3539'!$A$43:$C$69,2,1)-VLOOKUP((TRUNC($AN680/2,0)+0.99),'Tax scales - NAT 3539'!$A$43:$C$69,3,1)),0)
*2,
0),
IF(AND($E$2="Monthly",ROUND($AN680-TRUNC($AN680),2)=0.33),
ROUND(
ROUND(((TRUNC(($AN680+0.01)*3/13,0)+0.99)*VLOOKUP((TRUNC(($AN680+0.01)*3/13,0)+0.99),'Tax scales - NAT 3539'!$A$43:$C$69,2,1)-VLOOKUP((TRUNC(($AN680+0.01)*3/13,0)+0.99),'Tax scales - NAT 3539'!$A$43:$C$69,3,1)),0)
*13/3,
0),
IF($E$2="Monthly",
ROUND(
ROUND(((TRUNC($AN680*3/13,0)+0.99)*VLOOKUP((TRUNC($AN680*3/13,0)+0.99),'Tax scales - NAT 3539'!$A$43:$C$69,2,1)-VLOOKUP((TRUNC($AN680*3/13,0)+0.99),'Tax scales - NAT 3539'!$A$43:$C$69,3,1)),0)
*13/3,
0),
""))),
""),
"")</f>
        <v/>
      </c>
      <c r="AW680" s="118">
        <f>IFERROR(
IF(VLOOKUP($C680,'Employee information'!$B:$M,COLUMNS('Employee information'!$B:$M),0)=33,
IF($E$2="Fortnightly",
ROUND(
ROUND((((TRUNC($AN680/2,0)+0.99))*VLOOKUP((TRUNC($AN680/2,0)+0.99),'Tax scales - NAT 3539'!$A$74:$C$94,2,1)-VLOOKUP((TRUNC($AN680/2,0)+0.99),'Tax scales - NAT 3539'!$A$74:$C$94,3,1)),0)
*2,
0),
IF(AND($E$2="Monthly",ROUND($AN680-TRUNC($AN680),2)=0.33),
ROUND(
ROUND(((TRUNC(($AN680+0.01)*3/13,0)+0.99)*VLOOKUP((TRUNC(($AN680+0.01)*3/13,0)+0.99),'Tax scales - NAT 3539'!$A$74:$C$94,2,1)-VLOOKUP((TRUNC(($AN680+0.01)*3/13,0)+0.99),'Tax scales - NAT 3539'!$A$74:$C$94,3,1)),0)
*13/3,
0),
IF($E$2="Monthly",
ROUND(
ROUND(((TRUNC($AN680*3/13,0)+0.99)*VLOOKUP((TRUNC($AN680*3/13,0)+0.99),'Tax scales - NAT 3539'!$A$74:$C$94,2,1)-VLOOKUP((TRUNC($AN680*3/13,0)+0.99),'Tax scales - NAT 3539'!$A$74:$C$94,3,1)),0)
*13/3,
0),
""))),
""),
"")</f>
        <v>0</v>
      </c>
      <c r="AX680" s="118" t="str">
        <f>IFERROR(
IF(VLOOKUP($C680,'Employee information'!$B:$M,COLUMNS('Employee information'!$B:$M),0)=55,
IF($E$2="Fortnightly",
ROUND(
ROUND((((TRUNC($AN680/2,0)+0.99))*VLOOKUP((TRUNC($AN680/2,0)+0.99),'Tax scales - NAT 3539'!$A$99:$C$123,2,1)-VLOOKUP((TRUNC($AN680/2,0)+0.99),'Tax scales - NAT 3539'!$A$99:$C$123,3,1)),0)
*2,
0),
IF(AND($E$2="Monthly",ROUND($AN680-TRUNC($AN680),2)=0.33),
ROUND(
ROUND(((TRUNC(($AN680+0.01)*3/13,0)+0.99)*VLOOKUP((TRUNC(($AN680+0.01)*3/13,0)+0.99),'Tax scales - NAT 3539'!$A$99:$C$123,2,1)-VLOOKUP((TRUNC(($AN680+0.01)*3/13,0)+0.99),'Tax scales - NAT 3539'!$A$99:$C$123,3,1)),0)
*13/3,
0),
IF($E$2="Monthly",
ROUND(
ROUND(((TRUNC($AN680*3/13,0)+0.99)*VLOOKUP((TRUNC($AN680*3/13,0)+0.99),'Tax scales - NAT 3539'!$A$99:$C$123,2,1)-VLOOKUP((TRUNC($AN680*3/13,0)+0.99),'Tax scales - NAT 3539'!$A$99:$C$123,3,1)),0)
*13/3,
0),
""))),
""),
"")</f>
        <v/>
      </c>
      <c r="AY680" s="118" t="str">
        <f>IFERROR(
IF(VLOOKUP($C680,'Employee information'!$B:$M,COLUMNS('Employee information'!$B:$M),0)=66,
IF($E$2="Fortnightly",
ROUND(
ROUND((((TRUNC($AN680/2,0)+0.99))*VLOOKUP((TRUNC($AN680/2,0)+0.99),'Tax scales - NAT 3539'!$A$127:$C$154,2,1)-VLOOKUP((TRUNC($AN680/2,0)+0.99),'Tax scales - NAT 3539'!$A$127:$C$154,3,1)),0)
*2,
0),
IF(AND($E$2="Monthly",ROUND($AN680-TRUNC($AN680),2)=0.33),
ROUND(
ROUND(((TRUNC(($AN680+0.01)*3/13,0)+0.99)*VLOOKUP((TRUNC(($AN680+0.01)*3/13,0)+0.99),'Tax scales - NAT 3539'!$A$127:$C$154,2,1)-VLOOKUP((TRUNC(($AN680+0.01)*3/13,0)+0.99),'Tax scales - NAT 3539'!$A$127:$C$154,3,1)),0)
*13/3,
0),
IF($E$2="Monthly",
ROUND(
ROUND(((TRUNC($AN680*3/13,0)+0.99)*VLOOKUP((TRUNC($AN680*3/13,0)+0.99),'Tax scales - NAT 3539'!$A$127:$C$154,2,1)-VLOOKUP((TRUNC($AN680*3/13,0)+0.99),'Tax scales - NAT 3539'!$A$127:$C$154,3,1)),0)
*13/3,
0),
""))),
""),
"")</f>
        <v/>
      </c>
      <c r="AZ680" s="118">
        <f>IFERROR(
HLOOKUP(VLOOKUP($C680,'Employee information'!$B:$M,COLUMNS('Employee information'!$B:$M),0),'PAYG worksheet'!$AO$677:$AY$696,COUNTA($C$678:$C680)+1,0),
0)</f>
        <v>0</v>
      </c>
      <c r="BA680" s="118"/>
      <c r="BB680" s="118">
        <f t="shared" si="728"/>
        <v>0</v>
      </c>
      <c r="BC680" s="119">
        <f>IFERROR(
IF(OR($AE680=1,$AE680=""),SUM($P680,$AA680,$AC680,$AK680)*VLOOKUP($C680,'Employee information'!$B:$Q,COLUMNS('Employee information'!$B:$H),0),
IF($AE680=0,SUM($P680,$AA680,$AK680)*VLOOKUP($C680,'Employee information'!$B:$Q,COLUMNS('Employee information'!$B:$H),0),
0)),
0)</f>
        <v>0</v>
      </c>
      <c r="BE680" s="114">
        <f t="shared" si="713"/>
        <v>900</v>
      </c>
      <c r="BF680" s="114">
        <f t="shared" si="714"/>
        <v>900</v>
      </c>
      <c r="BG680" s="114">
        <f t="shared" si="715"/>
        <v>0</v>
      </c>
      <c r="BH680" s="114">
        <f t="shared" si="716"/>
        <v>0</v>
      </c>
      <c r="BI680" s="114">
        <f t="shared" si="717"/>
        <v>292</v>
      </c>
      <c r="BJ680" s="114">
        <f t="shared" si="718"/>
        <v>0</v>
      </c>
      <c r="BK680" s="114">
        <f t="shared" si="719"/>
        <v>0</v>
      </c>
      <c r="BL680" s="114">
        <f t="shared" si="729"/>
        <v>0</v>
      </c>
      <c r="BM680" s="114">
        <f t="shared" si="720"/>
        <v>85.5</v>
      </c>
    </row>
    <row r="681" spans="1:65" x14ac:dyDescent="0.25">
      <c r="A681" s="228">
        <f t="shared" si="708"/>
        <v>24</v>
      </c>
      <c r="C681" s="278" t="s">
        <v>15</v>
      </c>
      <c r="E681" s="103">
        <f>IF($C681="",0,
IF(AND($E$2="Monthly",$A681&gt;12),0,
IF($E$2="Monthly",VLOOKUP($C681,'Employee information'!$B:$AM,COLUMNS('Employee information'!$B:S),0),
IF($E$2="Fortnightly",VLOOKUP($C681,'Employee information'!$B:$AM,COLUMNS('Employee information'!$B:R),0),
0))))</f>
        <v>75</v>
      </c>
      <c r="F681" s="106"/>
      <c r="G681" s="106"/>
      <c r="H681" s="106"/>
      <c r="I681" s="106"/>
      <c r="J681" s="103">
        <f t="shared" si="721"/>
        <v>75</v>
      </c>
      <c r="L681" s="113">
        <f>IF(AND($E$2="Monthly",$A681&gt;12),"",
IFERROR($J681*VLOOKUP($C681,'Employee information'!$B:$AI,COLUMNS('Employee information'!$B:$P),0),0))</f>
        <v>7692.3076923076924</v>
      </c>
      <c r="M681" s="114">
        <f t="shared" si="722"/>
        <v>184615.38461538457</v>
      </c>
      <c r="O681" s="103">
        <f t="shared" si="723"/>
        <v>75</v>
      </c>
      <c r="P681" s="113">
        <f>IFERROR(
IF(AND($E$2="Monthly",$A681&gt;12),0,
$O681*VLOOKUP($C681,'Employee information'!$B:$AI,COLUMNS('Employee information'!$B:$P),0)),
0)</f>
        <v>7692.3076923076924</v>
      </c>
      <c r="R681" s="114">
        <f t="shared" si="709"/>
        <v>184615.38461538457</v>
      </c>
      <c r="T681" s="103"/>
      <c r="U681" s="103"/>
      <c r="V681" s="282">
        <f>IF($C681="","",
IF(AND($E$2="Monthly",$A681&gt;12),"",
$T681*VLOOKUP($C681,'Employee information'!$B:$P,COLUMNS('Employee information'!$B:$P),0)))</f>
        <v>0</v>
      </c>
      <c r="W681" s="282">
        <f>IF($C681="","",
IF(AND($E$2="Monthly",$A681&gt;12),"",
$U681*VLOOKUP($C681,'Employee information'!$B:$P,COLUMNS('Employee information'!$B:$P),0)))</f>
        <v>0</v>
      </c>
      <c r="X681" s="114">
        <f t="shared" si="710"/>
        <v>1538.4615384615386</v>
      </c>
      <c r="Y681" s="114">
        <f t="shared" si="711"/>
        <v>512.82051282051282</v>
      </c>
      <c r="AA681" s="118">
        <f>IFERROR(
IF(OR('Basic payroll data'!$D$12="",'Basic payroll data'!$D$12="No"),0,
$T681*VLOOKUP($C681,'Employee information'!$B:$P,COLUMNS('Employee information'!$B:$P),0)*AL_loading_perc),
0)</f>
        <v>0</v>
      </c>
      <c r="AC681" s="118"/>
      <c r="AD681" s="118"/>
      <c r="AE681" s="283" t="str">
        <f t="shared" si="724"/>
        <v/>
      </c>
      <c r="AF681" s="283" t="str">
        <f t="shared" si="725"/>
        <v/>
      </c>
      <c r="AG681" s="118"/>
      <c r="AH681" s="118"/>
      <c r="AI681" s="283" t="str">
        <f t="shared" si="726"/>
        <v/>
      </c>
      <c r="AJ681" s="118"/>
      <c r="AK681" s="118"/>
      <c r="AM681" s="118">
        <f t="shared" si="727"/>
        <v>7692.3076923076924</v>
      </c>
      <c r="AN681" s="118">
        <f t="shared" si="712"/>
        <v>7692.3076923076924</v>
      </c>
      <c r="AO681" s="118" t="str">
        <f>IFERROR(
IF(VLOOKUP($C681,'Employee information'!$B:$M,COLUMNS('Employee information'!$B:$M),0)=1,
IF($E$2="Fortnightly",
ROUND(
ROUND((((TRUNC($AN681/2,0)+0.99))*VLOOKUP((TRUNC($AN681/2,0)+0.99),'Tax scales - NAT 1004'!$A$12:$C$18,2,1)-VLOOKUP((TRUNC($AN681/2,0)+0.99),'Tax scales - NAT 1004'!$A$12:$C$18,3,1)),0)
*2,
0),
IF(AND($E$2="Monthly",ROUND($AN681-TRUNC($AN681),2)=0.33),
ROUND(
ROUND(((TRUNC(($AN681+0.01)*3/13,0)+0.99)*VLOOKUP((TRUNC(($AN681+0.01)*3/13,0)+0.99),'Tax scales - NAT 1004'!$A$12:$C$18,2,1)-VLOOKUP((TRUNC(($AN681+0.01)*3/13,0)+0.99),'Tax scales - NAT 1004'!$A$12:$C$18,3,1)),0)
*13/3,
0),
IF($E$2="Monthly",
ROUND(
ROUND(((TRUNC($AN681*3/13,0)+0.99)*VLOOKUP((TRUNC($AN681*3/13,0)+0.99),'Tax scales - NAT 1004'!$A$12:$C$18,2,1)-VLOOKUP((TRUNC($AN681*3/13,0)+0.99),'Tax scales - NAT 1004'!$A$12:$C$18,3,1)),0)
*13/3,
0),
""))),
""),
"")</f>
        <v/>
      </c>
      <c r="AP681" s="118" t="str">
        <f>IFERROR(
IF(VLOOKUP($C681,'Employee information'!$B:$M,COLUMNS('Employee information'!$B:$M),0)=2,
IF($E$2="Fortnightly",
ROUND(
ROUND((((TRUNC($AN681/2,0)+0.99))*VLOOKUP((TRUNC($AN681/2,0)+0.99),'Tax scales - NAT 1004'!$A$25:$C$33,2,1)-VLOOKUP((TRUNC($AN681/2,0)+0.99),'Tax scales - NAT 1004'!$A$25:$C$33,3,1)),0)
*2,
0),
IF(AND($E$2="Monthly",ROUND($AN681-TRUNC($AN681),2)=0.33),
ROUND(
ROUND(((TRUNC(($AN681+0.01)*3/13,0)+0.99)*VLOOKUP((TRUNC(($AN681+0.01)*3/13,0)+0.99),'Tax scales - NAT 1004'!$A$25:$C$33,2,1)-VLOOKUP((TRUNC(($AN681+0.01)*3/13,0)+0.99),'Tax scales - NAT 1004'!$A$25:$C$33,3,1)),0)
*13/3,
0),
IF($E$2="Monthly",
ROUND(
ROUND(((TRUNC($AN681*3/13,0)+0.99)*VLOOKUP((TRUNC($AN681*3/13,0)+0.99),'Tax scales - NAT 1004'!$A$25:$C$33,2,1)-VLOOKUP((TRUNC($AN681*3/13,0)+0.99),'Tax scales - NAT 1004'!$A$25:$C$33,3,1)),0)
*13/3,
0),
""))),
""),
"")</f>
        <v/>
      </c>
      <c r="AQ681" s="118" t="str">
        <f>IFERROR(
IF(VLOOKUP($C681,'Employee information'!$B:$M,COLUMNS('Employee information'!$B:$M),0)=3,
IF($E$2="Fortnightly",
ROUND(
ROUND((((TRUNC($AN681/2,0)+0.99))*VLOOKUP((TRUNC($AN681/2,0)+0.99),'Tax scales - NAT 1004'!$A$39:$C$41,2,1)-VLOOKUP((TRUNC($AN681/2,0)+0.99),'Tax scales - NAT 1004'!$A$39:$C$41,3,1)),0)
*2,
0),
IF(AND($E$2="Monthly",ROUND($AN681-TRUNC($AN681),2)=0.33),
ROUND(
ROUND(((TRUNC(($AN681+0.01)*3/13,0)+0.99)*VLOOKUP((TRUNC(($AN681+0.01)*3/13,0)+0.99),'Tax scales - NAT 1004'!$A$39:$C$41,2,1)-VLOOKUP((TRUNC(($AN681+0.01)*3/13,0)+0.99),'Tax scales - NAT 1004'!$A$39:$C$41,3,1)),0)
*13/3,
0),
IF($E$2="Monthly",
ROUND(
ROUND(((TRUNC($AN681*3/13,0)+0.99)*VLOOKUP((TRUNC($AN681*3/13,0)+0.99),'Tax scales - NAT 1004'!$A$39:$C$41,2,1)-VLOOKUP((TRUNC($AN681*3/13,0)+0.99),'Tax scales - NAT 1004'!$A$39:$C$41,3,1)),0)
*13/3,
0),
""))),
""),
"")</f>
        <v/>
      </c>
      <c r="AR681" s="118" t="str">
        <f>IFERROR(
IF(AND(VLOOKUP($C681,'Employee information'!$B:$M,COLUMNS('Employee information'!$B:$M),0)=4,
VLOOKUP($C681,'Employee information'!$B:$J,COLUMNS('Employee information'!$B:$J),0)="Resident"),
TRUNC(TRUNC($AN681)*'Tax scales - NAT 1004'!$B$47),
IF(AND(VLOOKUP($C681,'Employee information'!$B:$M,COLUMNS('Employee information'!$B:$M),0)=4,
VLOOKUP($C681,'Employee information'!$B:$J,COLUMNS('Employee information'!$B:$J),0)="Foreign resident"),
TRUNC(TRUNC($AN681)*'Tax scales - NAT 1004'!$B$48),
"")),
"")</f>
        <v/>
      </c>
      <c r="AS681" s="118" t="str">
        <f>IFERROR(
IF(VLOOKUP($C681,'Employee information'!$B:$M,COLUMNS('Employee information'!$B:$M),0)=5,
IF($E$2="Fortnightly",
ROUND(
ROUND((((TRUNC($AN681/2,0)+0.99))*VLOOKUP((TRUNC($AN681/2,0)+0.99),'Tax scales - NAT 1004'!$A$53:$C$59,2,1)-VLOOKUP((TRUNC($AN681/2,0)+0.99),'Tax scales - NAT 1004'!$A$53:$C$59,3,1)),0)
*2,
0),
IF(AND($E$2="Monthly",ROUND($AN681-TRUNC($AN681),2)=0.33),
ROUND(
ROUND(((TRUNC(($AN681+0.01)*3/13,0)+0.99)*VLOOKUP((TRUNC(($AN681+0.01)*3/13,0)+0.99),'Tax scales - NAT 1004'!$A$53:$C$59,2,1)-VLOOKUP((TRUNC(($AN681+0.01)*3/13,0)+0.99),'Tax scales - NAT 1004'!$A$53:$C$59,3,1)),0)
*13/3,
0),
IF($E$2="Monthly",
ROUND(
ROUND(((TRUNC($AN681*3/13,0)+0.99)*VLOOKUP((TRUNC($AN681*3/13,0)+0.99),'Tax scales - NAT 1004'!$A$53:$C$59,2,1)-VLOOKUP((TRUNC($AN681*3/13,0)+0.99),'Tax scales - NAT 1004'!$A$53:$C$59,3,1)),0)
*13/3,
0),
""))),
""),
"")</f>
        <v/>
      </c>
      <c r="AT681" s="118" t="str">
        <f>IFERROR(
IF(VLOOKUP($C681,'Employee information'!$B:$M,COLUMNS('Employee information'!$B:$M),0)=6,
IF($E$2="Fortnightly",
ROUND(
ROUND((((TRUNC($AN681/2,0)+0.99))*VLOOKUP((TRUNC($AN681/2,0)+0.99),'Tax scales - NAT 1004'!$A$65:$C$73,2,1)-VLOOKUP((TRUNC($AN681/2,0)+0.99),'Tax scales - NAT 1004'!$A$65:$C$73,3,1)),0)
*2,
0),
IF(AND($E$2="Monthly",ROUND($AN681-TRUNC($AN681),2)=0.33),
ROUND(
ROUND(((TRUNC(($AN681+0.01)*3/13,0)+0.99)*VLOOKUP((TRUNC(($AN681+0.01)*3/13,0)+0.99),'Tax scales - NAT 1004'!$A$65:$C$73,2,1)-VLOOKUP((TRUNC(($AN681+0.01)*3/13,0)+0.99),'Tax scales - NAT 1004'!$A$65:$C$73,3,1)),0)
*13/3,
0),
IF($E$2="Monthly",
ROUND(
ROUND(((TRUNC($AN681*3/13,0)+0.99)*VLOOKUP((TRUNC($AN681*3/13,0)+0.99),'Tax scales - NAT 1004'!$A$65:$C$73,2,1)-VLOOKUP((TRUNC($AN681*3/13,0)+0.99),'Tax scales - NAT 1004'!$A$65:$C$73,3,1)),0)
*13/3,
0),
""))),
""),
"")</f>
        <v/>
      </c>
      <c r="AU681" s="118" t="str">
        <f>IFERROR(
IF(VLOOKUP($C681,'Employee information'!$B:$M,COLUMNS('Employee information'!$B:$M),0)=11,
IF($E$2="Fortnightly",
ROUND(
ROUND((((TRUNC($AN681/2,0)+0.99))*VLOOKUP((TRUNC($AN681/2,0)+0.99),'Tax scales - NAT 3539'!$A$14:$C$38,2,1)-VLOOKUP((TRUNC($AN681/2,0)+0.99),'Tax scales - NAT 3539'!$A$14:$C$38,3,1)),0)
*2,
0),
IF(AND($E$2="Monthly",ROUND($AN681-TRUNC($AN681),2)=0.33),
ROUND(
ROUND(((TRUNC(($AN681+0.01)*3/13,0)+0.99)*VLOOKUP((TRUNC(($AN681+0.01)*3/13,0)+0.99),'Tax scales - NAT 3539'!$A$14:$C$38,2,1)-VLOOKUP((TRUNC(($AN681+0.01)*3/13,0)+0.99),'Tax scales - NAT 3539'!$A$14:$C$38,3,1)),0)
*13/3,
0),
IF($E$2="Monthly",
ROUND(
ROUND(((TRUNC($AN681*3/13,0)+0.99)*VLOOKUP((TRUNC($AN681*3/13,0)+0.99),'Tax scales - NAT 3539'!$A$14:$C$38,2,1)-VLOOKUP((TRUNC($AN681*3/13,0)+0.99),'Tax scales - NAT 3539'!$A$14:$C$38,3,1)),0)
*13/3,
0),
""))),
""),
"")</f>
        <v/>
      </c>
      <c r="AV681" s="118" t="str">
        <f>IFERROR(
IF(VLOOKUP($C681,'Employee information'!$B:$M,COLUMNS('Employee information'!$B:$M),0)=22,
IF($E$2="Fortnightly",
ROUND(
ROUND((((TRUNC($AN681/2,0)+0.99))*VLOOKUP((TRUNC($AN681/2,0)+0.99),'Tax scales - NAT 3539'!$A$43:$C$69,2,1)-VLOOKUP((TRUNC($AN681/2,0)+0.99),'Tax scales - NAT 3539'!$A$43:$C$69,3,1)),0)
*2,
0),
IF(AND($E$2="Monthly",ROUND($AN681-TRUNC($AN681),2)=0.33),
ROUND(
ROUND(((TRUNC(($AN681+0.01)*3/13,0)+0.99)*VLOOKUP((TRUNC(($AN681+0.01)*3/13,0)+0.99),'Tax scales - NAT 3539'!$A$43:$C$69,2,1)-VLOOKUP((TRUNC(($AN681+0.01)*3/13,0)+0.99),'Tax scales - NAT 3539'!$A$43:$C$69,3,1)),0)
*13/3,
0),
IF($E$2="Monthly",
ROUND(
ROUND(((TRUNC($AN681*3/13,0)+0.99)*VLOOKUP((TRUNC($AN681*3/13,0)+0.99),'Tax scales - NAT 3539'!$A$43:$C$69,2,1)-VLOOKUP((TRUNC($AN681*3/13,0)+0.99),'Tax scales - NAT 3539'!$A$43:$C$69,3,1)),0)
*13/3,
0),
""))),
""),
"")</f>
        <v/>
      </c>
      <c r="AW681" s="118" t="str">
        <f>IFERROR(
IF(VLOOKUP($C681,'Employee information'!$B:$M,COLUMNS('Employee information'!$B:$M),0)=33,
IF($E$2="Fortnightly",
ROUND(
ROUND((((TRUNC($AN681/2,0)+0.99))*VLOOKUP((TRUNC($AN681/2,0)+0.99),'Tax scales - NAT 3539'!$A$74:$C$94,2,1)-VLOOKUP((TRUNC($AN681/2,0)+0.99),'Tax scales - NAT 3539'!$A$74:$C$94,3,1)),0)
*2,
0),
IF(AND($E$2="Monthly",ROUND($AN681-TRUNC($AN681),2)=0.33),
ROUND(
ROUND(((TRUNC(($AN681+0.01)*3/13,0)+0.99)*VLOOKUP((TRUNC(($AN681+0.01)*3/13,0)+0.99),'Tax scales - NAT 3539'!$A$74:$C$94,2,1)-VLOOKUP((TRUNC(($AN681+0.01)*3/13,0)+0.99),'Tax scales - NAT 3539'!$A$74:$C$94,3,1)),0)
*13/3,
0),
IF($E$2="Monthly",
ROUND(
ROUND(((TRUNC($AN681*3/13,0)+0.99)*VLOOKUP((TRUNC($AN681*3/13,0)+0.99),'Tax scales - NAT 3539'!$A$74:$C$94,2,1)-VLOOKUP((TRUNC($AN681*3/13,0)+0.99),'Tax scales - NAT 3539'!$A$74:$C$94,3,1)),0)
*13/3,
0),
""))),
""),
"")</f>
        <v/>
      </c>
      <c r="AX681" s="118">
        <f>IFERROR(
IF(VLOOKUP($C681,'Employee information'!$B:$M,COLUMNS('Employee information'!$B:$M),0)=55,
IF($E$2="Fortnightly",
ROUND(
ROUND((((TRUNC($AN681/2,0)+0.99))*VLOOKUP((TRUNC($AN681/2,0)+0.99),'Tax scales - NAT 3539'!$A$99:$C$123,2,1)-VLOOKUP((TRUNC($AN681/2,0)+0.99),'Tax scales - NAT 3539'!$A$99:$C$123,3,1)),0)
*2,
0),
IF(AND($E$2="Monthly",ROUND($AN681-TRUNC($AN681),2)=0.33),
ROUND(
ROUND(((TRUNC(($AN681+0.01)*3/13,0)+0.99)*VLOOKUP((TRUNC(($AN681+0.01)*3/13,0)+0.99),'Tax scales - NAT 3539'!$A$99:$C$123,2,1)-VLOOKUP((TRUNC(($AN681+0.01)*3/13,0)+0.99),'Tax scales - NAT 3539'!$A$99:$C$123,3,1)),0)
*13/3,
0),
IF($E$2="Monthly",
ROUND(
ROUND(((TRUNC($AN681*3/13,0)+0.99)*VLOOKUP((TRUNC($AN681*3/13,0)+0.99),'Tax scales - NAT 3539'!$A$99:$C$123,2,1)-VLOOKUP((TRUNC($AN681*3/13,0)+0.99),'Tax scales - NAT 3539'!$A$99:$C$123,3,1)),0)
*13/3,
0),
""))),
""),
"")</f>
        <v>3104</v>
      </c>
      <c r="AY681" s="118" t="str">
        <f>IFERROR(
IF(VLOOKUP($C681,'Employee information'!$B:$M,COLUMNS('Employee information'!$B:$M),0)=66,
IF($E$2="Fortnightly",
ROUND(
ROUND((((TRUNC($AN681/2,0)+0.99))*VLOOKUP((TRUNC($AN681/2,0)+0.99),'Tax scales - NAT 3539'!$A$127:$C$154,2,1)-VLOOKUP((TRUNC($AN681/2,0)+0.99),'Tax scales - NAT 3539'!$A$127:$C$154,3,1)),0)
*2,
0),
IF(AND($E$2="Monthly",ROUND($AN681-TRUNC($AN681),2)=0.33),
ROUND(
ROUND(((TRUNC(($AN681+0.01)*3/13,0)+0.99)*VLOOKUP((TRUNC(($AN681+0.01)*3/13,0)+0.99),'Tax scales - NAT 3539'!$A$127:$C$154,2,1)-VLOOKUP((TRUNC(($AN681+0.01)*3/13,0)+0.99),'Tax scales - NAT 3539'!$A$127:$C$154,3,1)),0)
*13/3,
0),
IF($E$2="Monthly",
ROUND(
ROUND(((TRUNC($AN681*3/13,0)+0.99)*VLOOKUP((TRUNC($AN681*3/13,0)+0.99),'Tax scales - NAT 3539'!$A$127:$C$154,2,1)-VLOOKUP((TRUNC($AN681*3/13,0)+0.99),'Tax scales - NAT 3539'!$A$127:$C$154,3,1)),0)
*13/3,
0),
""))),
""),
"")</f>
        <v/>
      </c>
      <c r="AZ681" s="118">
        <f>IFERROR(
HLOOKUP(VLOOKUP($C681,'Employee information'!$B:$M,COLUMNS('Employee information'!$B:$M),0),'PAYG worksheet'!$AO$677:$AY$696,COUNTA($C$678:$C681)+1,0),
0)</f>
        <v>3104</v>
      </c>
      <c r="BA681" s="118"/>
      <c r="BB681" s="118">
        <f t="shared" si="728"/>
        <v>4588.3076923076924</v>
      </c>
      <c r="BC681" s="119">
        <f>IFERROR(
IF(OR($AE681=1,$AE681=""),SUM($P681,$AA681,$AC681,$AK681)*VLOOKUP($C681,'Employee information'!$B:$Q,COLUMNS('Employee information'!$B:$H),0),
IF($AE681=0,SUM($P681,$AA681,$AK681)*VLOOKUP($C681,'Employee information'!$B:$Q,COLUMNS('Employee information'!$B:$H),0),
0)),
0)</f>
        <v>730.76923076923083</v>
      </c>
      <c r="BE681" s="114">
        <f t="shared" si="713"/>
        <v>184755.38461538457</v>
      </c>
      <c r="BF681" s="114">
        <f t="shared" si="714"/>
        <v>184615.38461538457</v>
      </c>
      <c r="BG681" s="114">
        <f t="shared" si="715"/>
        <v>0</v>
      </c>
      <c r="BH681" s="114">
        <f t="shared" si="716"/>
        <v>140</v>
      </c>
      <c r="BI681" s="114">
        <f t="shared" si="717"/>
        <v>74496</v>
      </c>
      <c r="BJ681" s="114">
        <f t="shared" si="718"/>
        <v>0</v>
      </c>
      <c r="BK681" s="114">
        <f t="shared" si="719"/>
        <v>0</v>
      </c>
      <c r="BL681" s="114">
        <f t="shared" si="729"/>
        <v>0</v>
      </c>
      <c r="BM681" s="114">
        <f t="shared" si="720"/>
        <v>17538.461538461535</v>
      </c>
    </row>
    <row r="682" spans="1:65" x14ac:dyDescent="0.25">
      <c r="A682" s="228">
        <f t="shared" si="708"/>
        <v>24</v>
      </c>
      <c r="C682" s="278" t="s">
        <v>16</v>
      </c>
      <c r="E682" s="103">
        <f>IF($C682="",0,
IF(AND($E$2="Monthly",$A682&gt;12),0,
IF($E$2="Monthly",VLOOKUP($C682,'Employee information'!$B:$AM,COLUMNS('Employee information'!$B:S),0),
IF($E$2="Fortnightly",VLOOKUP($C682,'Employee information'!$B:$AM,COLUMNS('Employee information'!$B:R),0),
0))))</f>
        <v>75</v>
      </c>
      <c r="F682" s="106"/>
      <c r="G682" s="106"/>
      <c r="H682" s="106"/>
      <c r="I682" s="106"/>
      <c r="J682" s="103">
        <f t="shared" si="721"/>
        <v>75</v>
      </c>
      <c r="L682" s="113">
        <f>IF(AND($E$2="Monthly",$A682&gt;12),"",
IFERROR($J682*VLOOKUP($C682,'Employee information'!$B:$AI,COLUMNS('Employee information'!$B:$P),0),0))</f>
        <v>4125</v>
      </c>
      <c r="M682" s="114">
        <f t="shared" si="722"/>
        <v>99000</v>
      </c>
      <c r="O682" s="103">
        <f t="shared" si="723"/>
        <v>75</v>
      </c>
      <c r="P682" s="113">
        <f>IFERROR(
IF(AND($E$2="Monthly",$A682&gt;12),0,
$O682*VLOOKUP($C682,'Employee information'!$B:$AI,COLUMNS('Employee information'!$B:$P),0)),
0)</f>
        <v>4125</v>
      </c>
      <c r="R682" s="114">
        <f t="shared" si="709"/>
        <v>99000</v>
      </c>
      <c r="T682" s="103"/>
      <c r="U682" s="103"/>
      <c r="V682" s="282">
        <f>IF($C682="","",
IF(AND($E$2="Monthly",$A682&gt;12),"",
$T682*VLOOKUP($C682,'Employee information'!$B:$P,COLUMNS('Employee information'!$B:$P),0)))</f>
        <v>0</v>
      </c>
      <c r="W682" s="282">
        <f>IF($C682="","",
IF(AND($E$2="Monthly",$A682&gt;12),"",
$U682*VLOOKUP($C682,'Employee information'!$B:$P,COLUMNS('Employee information'!$B:$P),0)))</f>
        <v>0</v>
      </c>
      <c r="X682" s="114">
        <f t="shared" si="710"/>
        <v>0</v>
      </c>
      <c r="Y682" s="114">
        <f t="shared" si="711"/>
        <v>0</v>
      </c>
      <c r="AA682" s="118">
        <f>IFERROR(
IF(OR('Basic payroll data'!$D$12="",'Basic payroll data'!$D$12="No"),0,
$T682*VLOOKUP($C682,'Employee information'!$B:$P,COLUMNS('Employee information'!$B:$P),0)*AL_loading_perc),
0)</f>
        <v>0</v>
      </c>
      <c r="AC682" s="118"/>
      <c r="AD682" s="118"/>
      <c r="AE682" s="283" t="str">
        <f t="shared" si="724"/>
        <v/>
      </c>
      <c r="AF682" s="283" t="str">
        <f t="shared" si="725"/>
        <v/>
      </c>
      <c r="AG682" s="118"/>
      <c r="AH682" s="118"/>
      <c r="AI682" s="283" t="str">
        <f t="shared" si="726"/>
        <v/>
      </c>
      <c r="AJ682" s="118"/>
      <c r="AK682" s="118"/>
      <c r="AM682" s="118">
        <f t="shared" si="727"/>
        <v>4125</v>
      </c>
      <c r="AN682" s="118">
        <f t="shared" si="712"/>
        <v>4125</v>
      </c>
      <c r="AO682" s="118" t="str">
        <f>IFERROR(
IF(VLOOKUP($C682,'Employee information'!$B:$M,COLUMNS('Employee information'!$B:$M),0)=1,
IF($E$2="Fortnightly",
ROUND(
ROUND((((TRUNC($AN682/2,0)+0.99))*VLOOKUP((TRUNC($AN682/2,0)+0.99),'Tax scales - NAT 1004'!$A$12:$C$18,2,1)-VLOOKUP((TRUNC($AN682/2,0)+0.99),'Tax scales - NAT 1004'!$A$12:$C$18,3,1)),0)
*2,
0),
IF(AND($E$2="Monthly",ROUND($AN682-TRUNC($AN682),2)=0.33),
ROUND(
ROUND(((TRUNC(($AN682+0.01)*3/13,0)+0.99)*VLOOKUP((TRUNC(($AN682+0.01)*3/13,0)+0.99),'Tax scales - NAT 1004'!$A$12:$C$18,2,1)-VLOOKUP((TRUNC(($AN682+0.01)*3/13,0)+0.99),'Tax scales - NAT 1004'!$A$12:$C$18,3,1)),0)
*13/3,
0),
IF($E$2="Monthly",
ROUND(
ROUND(((TRUNC($AN682*3/13,0)+0.99)*VLOOKUP((TRUNC($AN682*3/13,0)+0.99),'Tax scales - NAT 1004'!$A$12:$C$18,2,1)-VLOOKUP((TRUNC($AN682*3/13,0)+0.99),'Tax scales - NAT 1004'!$A$12:$C$18,3,1)),0)
*13/3,
0),
""))),
""),
"")</f>
        <v/>
      </c>
      <c r="AP682" s="118" t="str">
        <f>IFERROR(
IF(VLOOKUP($C682,'Employee information'!$B:$M,COLUMNS('Employee information'!$B:$M),0)=2,
IF($E$2="Fortnightly",
ROUND(
ROUND((((TRUNC($AN682/2,0)+0.99))*VLOOKUP((TRUNC($AN682/2,0)+0.99),'Tax scales - NAT 1004'!$A$25:$C$33,2,1)-VLOOKUP((TRUNC($AN682/2,0)+0.99),'Tax scales - NAT 1004'!$A$25:$C$33,3,1)),0)
*2,
0),
IF(AND($E$2="Monthly",ROUND($AN682-TRUNC($AN682),2)=0.33),
ROUND(
ROUND(((TRUNC(($AN682+0.01)*3/13,0)+0.99)*VLOOKUP((TRUNC(($AN682+0.01)*3/13,0)+0.99),'Tax scales - NAT 1004'!$A$25:$C$33,2,1)-VLOOKUP((TRUNC(($AN682+0.01)*3/13,0)+0.99),'Tax scales - NAT 1004'!$A$25:$C$33,3,1)),0)
*13/3,
0),
IF($E$2="Monthly",
ROUND(
ROUND(((TRUNC($AN682*3/13,0)+0.99)*VLOOKUP((TRUNC($AN682*3/13,0)+0.99),'Tax scales - NAT 1004'!$A$25:$C$33,2,1)-VLOOKUP((TRUNC($AN682*3/13,0)+0.99),'Tax scales - NAT 1004'!$A$25:$C$33,3,1)),0)
*13/3,
0),
""))),
""),
"")</f>
        <v/>
      </c>
      <c r="AQ682" s="118" t="str">
        <f>IFERROR(
IF(VLOOKUP($C682,'Employee information'!$B:$M,COLUMNS('Employee information'!$B:$M),0)=3,
IF($E$2="Fortnightly",
ROUND(
ROUND((((TRUNC($AN682/2,0)+0.99))*VLOOKUP((TRUNC($AN682/2,0)+0.99),'Tax scales - NAT 1004'!$A$39:$C$41,2,1)-VLOOKUP((TRUNC($AN682/2,0)+0.99),'Tax scales - NAT 1004'!$A$39:$C$41,3,1)),0)
*2,
0),
IF(AND($E$2="Monthly",ROUND($AN682-TRUNC($AN682),2)=0.33),
ROUND(
ROUND(((TRUNC(($AN682+0.01)*3/13,0)+0.99)*VLOOKUP((TRUNC(($AN682+0.01)*3/13,0)+0.99),'Tax scales - NAT 1004'!$A$39:$C$41,2,1)-VLOOKUP((TRUNC(($AN682+0.01)*3/13,0)+0.99),'Tax scales - NAT 1004'!$A$39:$C$41,3,1)),0)
*13/3,
0),
IF($E$2="Monthly",
ROUND(
ROUND(((TRUNC($AN682*3/13,0)+0.99)*VLOOKUP((TRUNC($AN682*3/13,0)+0.99),'Tax scales - NAT 1004'!$A$39:$C$41,2,1)-VLOOKUP((TRUNC($AN682*3/13,0)+0.99),'Tax scales - NAT 1004'!$A$39:$C$41,3,1)),0)
*13/3,
0),
""))),
""),
"")</f>
        <v/>
      </c>
      <c r="AR682" s="118" t="str">
        <f>IFERROR(
IF(AND(VLOOKUP($C682,'Employee information'!$B:$M,COLUMNS('Employee information'!$B:$M),0)=4,
VLOOKUP($C682,'Employee information'!$B:$J,COLUMNS('Employee information'!$B:$J),0)="Resident"),
TRUNC(TRUNC($AN682)*'Tax scales - NAT 1004'!$B$47),
IF(AND(VLOOKUP($C682,'Employee information'!$B:$M,COLUMNS('Employee information'!$B:$M),0)=4,
VLOOKUP($C682,'Employee information'!$B:$J,COLUMNS('Employee information'!$B:$J),0)="Foreign resident"),
TRUNC(TRUNC($AN682)*'Tax scales - NAT 1004'!$B$48),
"")),
"")</f>
        <v/>
      </c>
      <c r="AS682" s="118" t="str">
        <f>IFERROR(
IF(VLOOKUP($C682,'Employee information'!$B:$M,COLUMNS('Employee information'!$B:$M),0)=5,
IF($E$2="Fortnightly",
ROUND(
ROUND((((TRUNC($AN682/2,0)+0.99))*VLOOKUP((TRUNC($AN682/2,0)+0.99),'Tax scales - NAT 1004'!$A$53:$C$59,2,1)-VLOOKUP((TRUNC($AN682/2,0)+0.99),'Tax scales - NAT 1004'!$A$53:$C$59,3,1)),0)
*2,
0),
IF(AND($E$2="Monthly",ROUND($AN682-TRUNC($AN682),2)=0.33),
ROUND(
ROUND(((TRUNC(($AN682+0.01)*3/13,0)+0.99)*VLOOKUP((TRUNC(($AN682+0.01)*3/13,0)+0.99),'Tax scales - NAT 1004'!$A$53:$C$59,2,1)-VLOOKUP((TRUNC(($AN682+0.01)*3/13,0)+0.99),'Tax scales - NAT 1004'!$A$53:$C$59,3,1)),0)
*13/3,
0),
IF($E$2="Monthly",
ROUND(
ROUND(((TRUNC($AN682*3/13,0)+0.99)*VLOOKUP((TRUNC($AN682*3/13,0)+0.99),'Tax scales - NAT 1004'!$A$53:$C$59,2,1)-VLOOKUP((TRUNC($AN682*3/13,0)+0.99),'Tax scales - NAT 1004'!$A$53:$C$59,3,1)),0)
*13/3,
0),
""))),
""),
"")</f>
        <v/>
      </c>
      <c r="AT682" s="118" t="str">
        <f>IFERROR(
IF(VLOOKUP($C682,'Employee information'!$B:$M,COLUMNS('Employee information'!$B:$M),0)=6,
IF($E$2="Fortnightly",
ROUND(
ROUND((((TRUNC($AN682/2,0)+0.99))*VLOOKUP((TRUNC($AN682/2,0)+0.99),'Tax scales - NAT 1004'!$A$65:$C$73,2,1)-VLOOKUP((TRUNC($AN682/2,0)+0.99),'Tax scales - NAT 1004'!$A$65:$C$73,3,1)),0)
*2,
0),
IF(AND($E$2="Monthly",ROUND($AN682-TRUNC($AN682),2)=0.33),
ROUND(
ROUND(((TRUNC(($AN682+0.01)*3/13,0)+0.99)*VLOOKUP((TRUNC(($AN682+0.01)*3/13,0)+0.99),'Tax scales - NAT 1004'!$A$65:$C$73,2,1)-VLOOKUP((TRUNC(($AN682+0.01)*3/13,0)+0.99),'Tax scales - NAT 1004'!$A$65:$C$73,3,1)),0)
*13/3,
0),
IF($E$2="Monthly",
ROUND(
ROUND(((TRUNC($AN682*3/13,0)+0.99)*VLOOKUP((TRUNC($AN682*3/13,0)+0.99),'Tax scales - NAT 1004'!$A$65:$C$73,2,1)-VLOOKUP((TRUNC($AN682*3/13,0)+0.99),'Tax scales - NAT 1004'!$A$65:$C$73,3,1)),0)
*13/3,
0),
""))),
""),
"")</f>
        <v/>
      </c>
      <c r="AU682" s="118">
        <f>IFERROR(
IF(VLOOKUP($C682,'Employee information'!$B:$M,COLUMNS('Employee information'!$B:$M),0)=11,
IF($E$2="Fortnightly",
ROUND(
ROUND((((TRUNC($AN682/2,0)+0.99))*VLOOKUP((TRUNC($AN682/2,0)+0.99),'Tax scales - NAT 3539'!$A$14:$C$38,2,1)-VLOOKUP((TRUNC($AN682/2,0)+0.99),'Tax scales - NAT 3539'!$A$14:$C$38,3,1)),0)
*2,
0),
IF(AND($E$2="Monthly",ROUND($AN682-TRUNC($AN682),2)=0.33),
ROUND(
ROUND(((TRUNC(($AN682+0.01)*3/13,0)+0.99)*VLOOKUP((TRUNC(($AN682+0.01)*3/13,0)+0.99),'Tax scales - NAT 3539'!$A$14:$C$38,2,1)-VLOOKUP((TRUNC(($AN682+0.01)*3/13,0)+0.99),'Tax scales - NAT 3539'!$A$14:$C$38,3,1)),0)
*13/3,
0),
IF($E$2="Monthly",
ROUND(
ROUND(((TRUNC($AN682*3/13,0)+0.99)*VLOOKUP((TRUNC($AN682*3/13,0)+0.99),'Tax scales - NAT 3539'!$A$14:$C$38,2,1)-VLOOKUP((TRUNC($AN682*3/13,0)+0.99),'Tax scales - NAT 3539'!$A$14:$C$38,3,1)),0)
*13/3,
0),
""))),
""),
"")</f>
        <v>1680</v>
      </c>
      <c r="AV682" s="118" t="str">
        <f>IFERROR(
IF(VLOOKUP($C682,'Employee information'!$B:$M,COLUMNS('Employee information'!$B:$M),0)=22,
IF($E$2="Fortnightly",
ROUND(
ROUND((((TRUNC($AN682/2,0)+0.99))*VLOOKUP((TRUNC($AN682/2,0)+0.99),'Tax scales - NAT 3539'!$A$43:$C$69,2,1)-VLOOKUP((TRUNC($AN682/2,0)+0.99),'Tax scales - NAT 3539'!$A$43:$C$69,3,1)),0)
*2,
0),
IF(AND($E$2="Monthly",ROUND($AN682-TRUNC($AN682),2)=0.33),
ROUND(
ROUND(((TRUNC(($AN682+0.01)*3/13,0)+0.99)*VLOOKUP((TRUNC(($AN682+0.01)*3/13,0)+0.99),'Tax scales - NAT 3539'!$A$43:$C$69,2,1)-VLOOKUP((TRUNC(($AN682+0.01)*3/13,0)+0.99),'Tax scales - NAT 3539'!$A$43:$C$69,3,1)),0)
*13/3,
0),
IF($E$2="Monthly",
ROUND(
ROUND(((TRUNC($AN682*3/13,0)+0.99)*VLOOKUP((TRUNC($AN682*3/13,0)+0.99),'Tax scales - NAT 3539'!$A$43:$C$69,2,1)-VLOOKUP((TRUNC($AN682*3/13,0)+0.99),'Tax scales - NAT 3539'!$A$43:$C$69,3,1)),0)
*13/3,
0),
""))),
""),
"")</f>
        <v/>
      </c>
      <c r="AW682" s="118" t="str">
        <f>IFERROR(
IF(VLOOKUP($C682,'Employee information'!$B:$M,COLUMNS('Employee information'!$B:$M),0)=33,
IF($E$2="Fortnightly",
ROUND(
ROUND((((TRUNC($AN682/2,0)+0.99))*VLOOKUP((TRUNC($AN682/2,0)+0.99),'Tax scales - NAT 3539'!$A$74:$C$94,2,1)-VLOOKUP((TRUNC($AN682/2,0)+0.99),'Tax scales - NAT 3539'!$A$74:$C$94,3,1)),0)
*2,
0),
IF(AND($E$2="Monthly",ROUND($AN682-TRUNC($AN682),2)=0.33),
ROUND(
ROUND(((TRUNC(($AN682+0.01)*3/13,0)+0.99)*VLOOKUP((TRUNC(($AN682+0.01)*3/13,0)+0.99),'Tax scales - NAT 3539'!$A$74:$C$94,2,1)-VLOOKUP((TRUNC(($AN682+0.01)*3/13,0)+0.99),'Tax scales - NAT 3539'!$A$74:$C$94,3,1)),0)
*13/3,
0),
IF($E$2="Monthly",
ROUND(
ROUND(((TRUNC($AN682*3/13,0)+0.99)*VLOOKUP((TRUNC($AN682*3/13,0)+0.99),'Tax scales - NAT 3539'!$A$74:$C$94,2,1)-VLOOKUP((TRUNC($AN682*3/13,0)+0.99),'Tax scales - NAT 3539'!$A$74:$C$94,3,1)),0)
*13/3,
0),
""))),
""),
"")</f>
        <v/>
      </c>
      <c r="AX682" s="118" t="str">
        <f>IFERROR(
IF(VLOOKUP($C682,'Employee information'!$B:$M,COLUMNS('Employee information'!$B:$M),0)=55,
IF($E$2="Fortnightly",
ROUND(
ROUND((((TRUNC($AN682/2,0)+0.99))*VLOOKUP((TRUNC($AN682/2,0)+0.99),'Tax scales - NAT 3539'!$A$99:$C$123,2,1)-VLOOKUP((TRUNC($AN682/2,0)+0.99),'Tax scales - NAT 3539'!$A$99:$C$123,3,1)),0)
*2,
0),
IF(AND($E$2="Monthly",ROUND($AN682-TRUNC($AN682),2)=0.33),
ROUND(
ROUND(((TRUNC(($AN682+0.01)*3/13,0)+0.99)*VLOOKUP((TRUNC(($AN682+0.01)*3/13,0)+0.99),'Tax scales - NAT 3539'!$A$99:$C$123,2,1)-VLOOKUP((TRUNC(($AN682+0.01)*3/13,0)+0.99),'Tax scales - NAT 3539'!$A$99:$C$123,3,1)),0)
*13/3,
0),
IF($E$2="Monthly",
ROUND(
ROUND(((TRUNC($AN682*3/13,0)+0.99)*VLOOKUP((TRUNC($AN682*3/13,0)+0.99),'Tax scales - NAT 3539'!$A$99:$C$123,2,1)-VLOOKUP((TRUNC($AN682*3/13,0)+0.99),'Tax scales - NAT 3539'!$A$99:$C$123,3,1)),0)
*13/3,
0),
""))),
""),
"")</f>
        <v/>
      </c>
      <c r="AY682" s="118" t="str">
        <f>IFERROR(
IF(VLOOKUP($C682,'Employee information'!$B:$M,COLUMNS('Employee information'!$B:$M),0)=66,
IF($E$2="Fortnightly",
ROUND(
ROUND((((TRUNC($AN682/2,0)+0.99))*VLOOKUP((TRUNC($AN682/2,0)+0.99),'Tax scales - NAT 3539'!$A$127:$C$154,2,1)-VLOOKUP((TRUNC($AN682/2,0)+0.99),'Tax scales - NAT 3539'!$A$127:$C$154,3,1)),0)
*2,
0),
IF(AND($E$2="Monthly",ROUND($AN682-TRUNC($AN682),2)=0.33),
ROUND(
ROUND(((TRUNC(($AN682+0.01)*3/13,0)+0.99)*VLOOKUP((TRUNC(($AN682+0.01)*3/13,0)+0.99),'Tax scales - NAT 3539'!$A$127:$C$154,2,1)-VLOOKUP((TRUNC(($AN682+0.01)*3/13,0)+0.99),'Tax scales - NAT 3539'!$A$127:$C$154,3,1)),0)
*13/3,
0),
IF($E$2="Monthly",
ROUND(
ROUND(((TRUNC($AN682*3/13,0)+0.99)*VLOOKUP((TRUNC($AN682*3/13,0)+0.99),'Tax scales - NAT 3539'!$A$127:$C$154,2,1)-VLOOKUP((TRUNC($AN682*3/13,0)+0.99),'Tax scales - NAT 3539'!$A$127:$C$154,3,1)),0)
*13/3,
0),
""))),
""),
"")</f>
        <v/>
      </c>
      <c r="AZ682" s="118">
        <f>IFERROR(
HLOOKUP(VLOOKUP($C682,'Employee information'!$B:$M,COLUMNS('Employee information'!$B:$M),0),'PAYG worksheet'!$AO$677:$AY$696,COUNTA($C$678:$C682)+1,0),
0)</f>
        <v>1680</v>
      </c>
      <c r="BA682" s="118"/>
      <c r="BB682" s="118">
        <f t="shared" si="728"/>
        <v>2445</v>
      </c>
      <c r="BC682" s="119">
        <f>IFERROR(
IF(OR($AE682=1,$AE682=""),SUM($P682,$AA682,$AC682,$AK682)*VLOOKUP($C682,'Employee information'!$B:$Q,COLUMNS('Employee information'!$B:$H),0),
IF($AE682=0,SUM($P682,$AA682,$AK682)*VLOOKUP($C682,'Employee information'!$B:$Q,COLUMNS('Employee information'!$B:$H),0),
0)),
0)</f>
        <v>391.875</v>
      </c>
      <c r="BE682" s="114">
        <f t="shared" si="713"/>
        <v>99100</v>
      </c>
      <c r="BF682" s="114">
        <f t="shared" si="714"/>
        <v>99100</v>
      </c>
      <c r="BG682" s="114">
        <f t="shared" si="715"/>
        <v>0</v>
      </c>
      <c r="BH682" s="114">
        <f t="shared" si="716"/>
        <v>0</v>
      </c>
      <c r="BI682" s="114">
        <f t="shared" si="717"/>
        <v>40368</v>
      </c>
      <c r="BJ682" s="114">
        <f t="shared" si="718"/>
        <v>0</v>
      </c>
      <c r="BK682" s="114">
        <f t="shared" si="719"/>
        <v>0</v>
      </c>
      <c r="BL682" s="114">
        <f t="shared" si="729"/>
        <v>100</v>
      </c>
      <c r="BM682" s="114">
        <f t="shared" si="720"/>
        <v>9414.5</v>
      </c>
    </row>
    <row r="683" spans="1:65" x14ac:dyDescent="0.25">
      <c r="A683" s="228">
        <f t="shared" si="708"/>
        <v>24</v>
      </c>
      <c r="C683" s="278" t="s">
        <v>17</v>
      </c>
      <c r="E683" s="103">
        <f>IF($C683="",0,
IF(AND($E$2="Monthly",$A683&gt;12),0,
IF($E$2="Monthly",VLOOKUP($C683,'Employee information'!$B:$AM,COLUMNS('Employee information'!$B:S),0),
IF($E$2="Fortnightly",VLOOKUP($C683,'Employee information'!$B:$AM,COLUMNS('Employee information'!$B:R),0),
0))))</f>
        <v>75</v>
      </c>
      <c r="F683" s="106"/>
      <c r="G683" s="106"/>
      <c r="H683" s="106"/>
      <c r="I683" s="106"/>
      <c r="J683" s="103">
        <f t="shared" si="721"/>
        <v>75</v>
      </c>
      <c r="L683" s="113">
        <f>IF(AND($E$2="Monthly",$A683&gt;12),"",
IFERROR($J683*VLOOKUP($C683,'Employee information'!$B:$AI,COLUMNS('Employee information'!$B:$P),0),0))</f>
        <v>2500</v>
      </c>
      <c r="M683" s="114">
        <f t="shared" si="722"/>
        <v>60000</v>
      </c>
      <c r="O683" s="103">
        <f t="shared" si="723"/>
        <v>75</v>
      </c>
      <c r="P683" s="113">
        <f>IFERROR(
IF(AND($E$2="Monthly",$A683&gt;12),0,
$O683*VLOOKUP($C683,'Employee information'!$B:$AI,COLUMNS('Employee information'!$B:$P),0)),
0)</f>
        <v>2500</v>
      </c>
      <c r="R683" s="114">
        <f t="shared" si="709"/>
        <v>60000</v>
      </c>
      <c r="T683" s="103"/>
      <c r="U683" s="103"/>
      <c r="V683" s="282">
        <f>IF($C683="","",
IF(AND($E$2="Monthly",$A683&gt;12),"",
$T683*VLOOKUP($C683,'Employee information'!$B:$P,COLUMNS('Employee information'!$B:$P),0)))</f>
        <v>0</v>
      </c>
      <c r="W683" s="282">
        <f>IF($C683="","",
IF(AND($E$2="Monthly",$A683&gt;12),"",
$U683*VLOOKUP($C683,'Employee information'!$B:$P,COLUMNS('Employee information'!$B:$P),0)))</f>
        <v>0</v>
      </c>
      <c r="X683" s="114">
        <f t="shared" si="710"/>
        <v>0</v>
      </c>
      <c r="Y683" s="114">
        <f t="shared" si="711"/>
        <v>0</v>
      </c>
      <c r="AA683" s="118">
        <f>IFERROR(
IF(OR('Basic payroll data'!$D$12="",'Basic payroll data'!$D$12="No"),0,
$T683*VLOOKUP($C683,'Employee information'!$B:$P,COLUMNS('Employee information'!$B:$P),0)*AL_loading_perc),
0)</f>
        <v>0</v>
      </c>
      <c r="AC683" s="118"/>
      <c r="AD683" s="118"/>
      <c r="AE683" s="283" t="str">
        <f t="shared" si="724"/>
        <v/>
      </c>
      <c r="AF683" s="283" t="str">
        <f t="shared" si="725"/>
        <v/>
      </c>
      <c r="AG683" s="118"/>
      <c r="AH683" s="118"/>
      <c r="AI683" s="283" t="str">
        <f t="shared" si="726"/>
        <v/>
      </c>
      <c r="AJ683" s="118"/>
      <c r="AK683" s="118"/>
      <c r="AM683" s="118">
        <f t="shared" si="727"/>
        <v>2500</v>
      </c>
      <c r="AN683" s="118">
        <f t="shared" si="712"/>
        <v>2500</v>
      </c>
      <c r="AO683" s="118" t="str">
        <f>IFERROR(
IF(VLOOKUP($C683,'Employee information'!$B:$M,COLUMNS('Employee information'!$B:$M),0)=1,
IF($E$2="Fortnightly",
ROUND(
ROUND((((TRUNC($AN683/2,0)+0.99))*VLOOKUP((TRUNC($AN683/2,0)+0.99),'Tax scales - NAT 1004'!$A$12:$C$18,2,1)-VLOOKUP((TRUNC($AN683/2,0)+0.99),'Tax scales - NAT 1004'!$A$12:$C$18,3,1)),0)
*2,
0),
IF(AND($E$2="Monthly",ROUND($AN683-TRUNC($AN683),2)=0.33),
ROUND(
ROUND(((TRUNC(($AN683+0.01)*3/13,0)+0.99)*VLOOKUP((TRUNC(($AN683+0.01)*3/13,0)+0.99),'Tax scales - NAT 1004'!$A$12:$C$18,2,1)-VLOOKUP((TRUNC(($AN683+0.01)*3/13,0)+0.99),'Tax scales - NAT 1004'!$A$12:$C$18,3,1)),0)
*13/3,
0),
IF($E$2="Monthly",
ROUND(
ROUND(((TRUNC($AN683*3/13,0)+0.99)*VLOOKUP((TRUNC($AN683*3/13,0)+0.99),'Tax scales - NAT 1004'!$A$12:$C$18,2,1)-VLOOKUP((TRUNC($AN683*3/13,0)+0.99),'Tax scales - NAT 1004'!$A$12:$C$18,3,1)),0)
*13/3,
0),
""))),
""),
"")</f>
        <v/>
      </c>
      <c r="AP683" s="118" t="str">
        <f>IFERROR(
IF(VLOOKUP($C683,'Employee information'!$B:$M,COLUMNS('Employee information'!$B:$M),0)=2,
IF($E$2="Fortnightly",
ROUND(
ROUND((((TRUNC($AN683/2,0)+0.99))*VLOOKUP((TRUNC($AN683/2,0)+0.99),'Tax scales - NAT 1004'!$A$25:$C$33,2,1)-VLOOKUP((TRUNC($AN683/2,0)+0.99),'Tax scales - NAT 1004'!$A$25:$C$33,3,1)),0)
*2,
0),
IF(AND($E$2="Monthly",ROUND($AN683-TRUNC($AN683),2)=0.33),
ROUND(
ROUND(((TRUNC(($AN683+0.01)*3/13,0)+0.99)*VLOOKUP((TRUNC(($AN683+0.01)*3/13,0)+0.99),'Tax scales - NAT 1004'!$A$25:$C$33,2,1)-VLOOKUP((TRUNC(($AN683+0.01)*3/13,0)+0.99),'Tax scales - NAT 1004'!$A$25:$C$33,3,1)),0)
*13/3,
0),
IF($E$2="Monthly",
ROUND(
ROUND(((TRUNC($AN683*3/13,0)+0.99)*VLOOKUP((TRUNC($AN683*3/13,0)+0.99),'Tax scales - NAT 1004'!$A$25:$C$33,2,1)-VLOOKUP((TRUNC($AN683*3/13,0)+0.99),'Tax scales - NAT 1004'!$A$25:$C$33,3,1)),0)
*13/3,
0),
""))),
""),
"")</f>
        <v/>
      </c>
      <c r="AQ683" s="118" t="str">
        <f>IFERROR(
IF(VLOOKUP($C683,'Employee information'!$B:$M,COLUMNS('Employee information'!$B:$M),0)=3,
IF($E$2="Fortnightly",
ROUND(
ROUND((((TRUNC($AN683/2,0)+0.99))*VLOOKUP((TRUNC($AN683/2,0)+0.99),'Tax scales - NAT 1004'!$A$39:$C$41,2,1)-VLOOKUP((TRUNC($AN683/2,0)+0.99),'Tax scales - NAT 1004'!$A$39:$C$41,3,1)),0)
*2,
0),
IF(AND($E$2="Monthly",ROUND($AN683-TRUNC($AN683),2)=0.33),
ROUND(
ROUND(((TRUNC(($AN683+0.01)*3/13,0)+0.99)*VLOOKUP((TRUNC(($AN683+0.01)*3/13,0)+0.99),'Tax scales - NAT 1004'!$A$39:$C$41,2,1)-VLOOKUP((TRUNC(($AN683+0.01)*3/13,0)+0.99),'Tax scales - NAT 1004'!$A$39:$C$41,3,1)),0)
*13/3,
0),
IF($E$2="Monthly",
ROUND(
ROUND(((TRUNC($AN683*3/13,0)+0.99)*VLOOKUP((TRUNC($AN683*3/13,0)+0.99),'Tax scales - NAT 1004'!$A$39:$C$41,2,1)-VLOOKUP((TRUNC($AN683*3/13,0)+0.99),'Tax scales - NAT 1004'!$A$39:$C$41,3,1)),0)
*13/3,
0),
""))),
""),
"")</f>
        <v/>
      </c>
      <c r="AR683" s="118">
        <f>IFERROR(
IF(AND(VLOOKUP($C683,'Employee information'!$B:$M,COLUMNS('Employee information'!$B:$M),0)=4,
VLOOKUP($C683,'Employee information'!$B:$J,COLUMNS('Employee information'!$B:$J),0)="Resident"),
TRUNC(TRUNC($AN683)*'Tax scales - NAT 1004'!$B$47),
IF(AND(VLOOKUP($C683,'Employee information'!$B:$M,COLUMNS('Employee information'!$B:$M),0)=4,
VLOOKUP($C683,'Employee information'!$B:$J,COLUMNS('Employee information'!$B:$J),0)="Foreign resident"),
TRUNC(TRUNC($AN683)*'Tax scales - NAT 1004'!$B$48),
"")),
"")</f>
        <v>1175</v>
      </c>
      <c r="AS683" s="118" t="str">
        <f>IFERROR(
IF(VLOOKUP($C683,'Employee information'!$B:$M,COLUMNS('Employee information'!$B:$M),0)=5,
IF($E$2="Fortnightly",
ROUND(
ROUND((((TRUNC($AN683/2,0)+0.99))*VLOOKUP((TRUNC($AN683/2,0)+0.99),'Tax scales - NAT 1004'!$A$53:$C$59,2,1)-VLOOKUP((TRUNC($AN683/2,0)+0.99),'Tax scales - NAT 1004'!$A$53:$C$59,3,1)),0)
*2,
0),
IF(AND($E$2="Monthly",ROUND($AN683-TRUNC($AN683),2)=0.33),
ROUND(
ROUND(((TRUNC(($AN683+0.01)*3/13,0)+0.99)*VLOOKUP((TRUNC(($AN683+0.01)*3/13,0)+0.99),'Tax scales - NAT 1004'!$A$53:$C$59,2,1)-VLOOKUP((TRUNC(($AN683+0.01)*3/13,0)+0.99),'Tax scales - NAT 1004'!$A$53:$C$59,3,1)),0)
*13/3,
0),
IF($E$2="Monthly",
ROUND(
ROUND(((TRUNC($AN683*3/13,0)+0.99)*VLOOKUP((TRUNC($AN683*3/13,0)+0.99),'Tax scales - NAT 1004'!$A$53:$C$59,2,1)-VLOOKUP((TRUNC($AN683*3/13,0)+0.99),'Tax scales - NAT 1004'!$A$53:$C$59,3,1)),0)
*13/3,
0),
""))),
""),
"")</f>
        <v/>
      </c>
      <c r="AT683" s="118" t="str">
        <f>IFERROR(
IF(VLOOKUP($C683,'Employee information'!$B:$M,COLUMNS('Employee information'!$B:$M),0)=6,
IF($E$2="Fortnightly",
ROUND(
ROUND((((TRUNC($AN683/2,0)+0.99))*VLOOKUP((TRUNC($AN683/2,0)+0.99),'Tax scales - NAT 1004'!$A$65:$C$73,2,1)-VLOOKUP((TRUNC($AN683/2,0)+0.99),'Tax scales - NAT 1004'!$A$65:$C$73,3,1)),0)
*2,
0),
IF(AND($E$2="Monthly",ROUND($AN683-TRUNC($AN683),2)=0.33),
ROUND(
ROUND(((TRUNC(($AN683+0.01)*3/13,0)+0.99)*VLOOKUP((TRUNC(($AN683+0.01)*3/13,0)+0.99),'Tax scales - NAT 1004'!$A$65:$C$73,2,1)-VLOOKUP((TRUNC(($AN683+0.01)*3/13,0)+0.99),'Tax scales - NAT 1004'!$A$65:$C$73,3,1)),0)
*13/3,
0),
IF($E$2="Monthly",
ROUND(
ROUND(((TRUNC($AN683*3/13,0)+0.99)*VLOOKUP((TRUNC($AN683*3/13,0)+0.99),'Tax scales - NAT 1004'!$A$65:$C$73,2,1)-VLOOKUP((TRUNC($AN683*3/13,0)+0.99),'Tax scales - NAT 1004'!$A$65:$C$73,3,1)),0)
*13/3,
0),
""))),
""),
"")</f>
        <v/>
      </c>
      <c r="AU683" s="118" t="str">
        <f>IFERROR(
IF(VLOOKUP($C683,'Employee information'!$B:$M,COLUMNS('Employee information'!$B:$M),0)=11,
IF($E$2="Fortnightly",
ROUND(
ROUND((((TRUNC($AN683/2,0)+0.99))*VLOOKUP((TRUNC($AN683/2,0)+0.99),'Tax scales - NAT 3539'!$A$14:$C$38,2,1)-VLOOKUP((TRUNC($AN683/2,0)+0.99),'Tax scales - NAT 3539'!$A$14:$C$38,3,1)),0)
*2,
0),
IF(AND($E$2="Monthly",ROUND($AN683-TRUNC($AN683),2)=0.33),
ROUND(
ROUND(((TRUNC(($AN683+0.01)*3/13,0)+0.99)*VLOOKUP((TRUNC(($AN683+0.01)*3/13,0)+0.99),'Tax scales - NAT 3539'!$A$14:$C$38,2,1)-VLOOKUP((TRUNC(($AN683+0.01)*3/13,0)+0.99),'Tax scales - NAT 3539'!$A$14:$C$38,3,1)),0)
*13/3,
0),
IF($E$2="Monthly",
ROUND(
ROUND(((TRUNC($AN683*3/13,0)+0.99)*VLOOKUP((TRUNC($AN683*3/13,0)+0.99),'Tax scales - NAT 3539'!$A$14:$C$38,2,1)-VLOOKUP((TRUNC($AN683*3/13,0)+0.99),'Tax scales - NAT 3539'!$A$14:$C$38,3,1)),0)
*13/3,
0),
""))),
""),
"")</f>
        <v/>
      </c>
      <c r="AV683" s="118" t="str">
        <f>IFERROR(
IF(VLOOKUP($C683,'Employee information'!$B:$M,COLUMNS('Employee information'!$B:$M),0)=22,
IF($E$2="Fortnightly",
ROUND(
ROUND((((TRUNC($AN683/2,0)+0.99))*VLOOKUP((TRUNC($AN683/2,0)+0.99),'Tax scales - NAT 3539'!$A$43:$C$69,2,1)-VLOOKUP((TRUNC($AN683/2,0)+0.99),'Tax scales - NAT 3539'!$A$43:$C$69,3,1)),0)
*2,
0),
IF(AND($E$2="Monthly",ROUND($AN683-TRUNC($AN683),2)=0.33),
ROUND(
ROUND(((TRUNC(($AN683+0.01)*3/13,0)+0.99)*VLOOKUP((TRUNC(($AN683+0.01)*3/13,0)+0.99),'Tax scales - NAT 3539'!$A$43:$C$69,2,1)-VLOOKUP((TRUNC(($AN683+0.01)*3/13,0)+0.99),'Tax scales - NAT 3539'!$A$43:$C$69,3,1)),0)
*13/3,
0),
IF($E$2="Monthly",
ROUND(
ROUND(((TRUNC($AN683*3/13,0)+0.99)*VLOOKUP((TRUNC($AN683*3/13,0)+0.99),'Tax scales - NAT 3539'!$A$43:$C$69,2,1)-VLOOKUP((TRUNC($AN683*3/13,0)+0.99),'Tax scales - NAT 3539'!$A$43:$C$69,3,1)),0)
*13/3,
0),
""))),
""),
"")</f>
        <v/>
      </c>
      <c r="AW683" s="118" t="str">
        <f>IFERROR(
IF(VLOOKUP($C683,'Employee information'!$B:$M,COLUMNS('Employee information'!$B:$M),0)=33,
IF($E$2="Fortnightly",
ROUND(
ROUND((((TRUNC($AN683/2,0)+0.99))*VLOOKUP((TRUNC($AN683/2,0)+0.99),'Tax scales - NAT 3539'!$A$74:$C$94,2,1)-VLOOKUP((TRUNC($AN683/2,0)+0.99),'Tax scales - NAT 3539'!$A$74:$C$94,3,1)),0)
*2,
0),
IF(AND($E$2="Monthly",ROUND($AN683-TRUNC($AN683),2)=0.33),
ROUND(
ROUND(((TRUNC(($AN683+0.01)*3/13,0)+0.99)*VLOOKUP((TRUNC(($AN683+0.01)*3/13,0)+0.99),'Tax scales - NAT 3539'!$A$74:$C$94,2,1)-VLOOKUP((TRUNC(($AN683+0.01)*3/13,0)+0.99),'Tax scales - NAT 3539'!$A$74:$C$94,3,1)),0)
*13/3,
0),
IF($E$2="Monthly",
ROUND(
ROUND(((TRUNC($AN683*3/13,0)+0.99)*VLOOKUP((TRUNC($AN683*3/13,0)+0.99),'Tax scales - NAT 3539'!$A$74:$C$94,2,1)-VLOOKUP((TRUNC($AN683*3/13,0)+0.99),'Tax scales - NAT 3539'!$A$74:$C$94,3,1)),0)
*13/3,
0),
""))),
""),
"")</f>
        <v/>
      </c>
      <c r="AX683" s="118" t="str">
        <f>IFERROR(
IF(VLOOKUP($C683,'Employee information'!$B:$M,COLUMNS('Employee information'!$B:$M),0)=55,
IF($E$2="Fortnightly",
ROUND(
ROUND((((TRUNC($AN683/2,0)+0.99))*VLOOKUP((TRUNC($AN683/2,0)+0.99),'Tax scales - NAT 3539'!$A$99:$C$123,2,1)-VLOOKUP((TRUNC($AN683/2,0)+0.99),'Tax scales - NAT 3539'!$A$99:$C$123,3,1)),0)
*2,
0),
IF(AND($E$2="Monthly",ROUND($AN683-TRUNC($AN683),2)=0.33),
ROUND(
ROUND(((TRUNC(($AN683+0.01)*3/13,0)+0.99)*VLOOKUP((TRUNC(($AN683+0.01)*3/13,0)+0.99),'Tax scales - NAT 3539'!$A$99:$C$123,2,1)-VLOOKUP((TRUNC(($AN683+0.01)*3/13,0)+0.99),'Tax scales - NAT 3539'!$A$99:$C$123,3,1)),0)
*13/3,
0),
IF($E$2="Monthly",
ROUND(
ROUND(((TRUNC($AN683*3/13,0)+0.99)*VLOOKUP((TRUNC($AN683*3/13,0)+0.99),'Tax scales - NAT 3539'!$A$99:$C$123,2,1)-VLOOKUP((TRUNC($AN683*3/13,0)+0.99),'Tax scales - NAT 3539'!$A$99:$C$123,3,1)),0)
*13/3,
0),
""))),
""),
"")</f>
        <v/>
      </c>
      <c r="AY683" s="118" t="str">
        <f>IFERROR(
IF(VLOOKUP($C683,'Employee information'!$B:$M,COLUMNS('Employee information'!$B:$M),0)=66,
IF($E$2="Fortnightly",
ROUND(
ROUND((((TRUNC($AN683/2,0)+0.99))*VLOOKUP((TRUNC($AN683/2,0)+0.99),'Tax scales - NAT 3539'!$A$127:$C$154,2,1)-VLOOKUP((TRUNC($AN683/2,0)+0.99),'Tax scales - NAT 3539'!$A$127:$C$154,3,1)),0)
*2,
0),
IF(AND($E$2="Monthly",ROUND($AN683-TRUNC($AN683),2)=0.33),
ROUND(
ROUND(((TRUNC(($AN683+0.01)*3/13,0)+0.99)*VLOOKUP((TRUNC(($AN683+0.01)*3/13,0)+0.99),'Tax scales - NAT 3539'!$A$127:$C$154,2,1)-VLOOKUP((TRUNC(($AN683+0.01)*3/13,0)+0.99),'Tax scales - NAT 3539'!$A$127:$C$154,3,1)),0)
*13/3,
0),
IF($E$2="Monthly",
ROUND(
ROUND(((TRUNC($AN683*3/13,0)+0.99)*VLOOKUP((TRUNC($AN683*3/13,0)+0.99),'Tax scales - NAT 3539'!$A$127:$C$154,2,1)-VLOOKUP((TRUNC($AN683*3/13,0)+0.99),'Tax scales - NAT 3539'!$A$127:$C$154,3,1)),0)
*13/3,
0),
""))),
""),
"")</f>
        <v/>
      </c>
      <c r="AZ683" s="118">
        <f>IFERROR(
HLOOKUP(VLOOKUP($C683,'Employee information'!$B:$M,COLUMNS('Employee information'!$B:$M),0),'PAYG worksheet'!$AO$677:$AY$696,COUNTA($C$678:$C683)+1,0),
0)</f>
        <v>1175</v>
      </c>
      <c r="BA683" s="118"/>
      <c r="BB683" s="118">
        <f t="shared" si="728"/>
        <v>1325</v>
      </c>
      <c r="BC683" s="119">
        <f>IFERROR(
IF(OR($AE683=1,$AE683=""),SUM($P683,$AA683,$AC683,$AK683)*VLOOKUP($C683,'Employee information'!$B:$Q,COLUMNS('Employee information'!$B:$H),0),
IF($AE683=0,SUM($P683,$AA683,$AK683)*VLOOKUP($C683,'Employee information'!$B:$Q,COLUMNS('Employee information'!$B:$H),0),
0)),
0)</f>
        <v>237.5</v>
      </c>
      <c r="BE683" s="114">
        <f t="shared" si="713"/>
        <v>60000</v>
      </c>
      <c r="BF683" s="114">
        <f t="shared" si="714"/>
        <v>60000</v>
      </c>
      <c r="BG683" s="114">
        <f t="shared" si="715"/>
        <v>0</v>
      </c>
      <c r="BH683" s="114">
        <f t="shared" si="716"/>
        <v>0</v>
      </c>
      <c r="BI683" s="114">
        <f t="shared" si="717"/>
        <v>28200</v>
      </c>
      <c r="BJ683" s="114">
        <f t="shared" si="718"/>
        <v>0</v>
      </c>
      <c r="BK683" s="114">
        <f t="shared" si="719"/>
        <v>0</v>
      </c>
      <c r="BL683" s="114">
        <f t="shared" si="729"/>
        <v>0</v>
      </c>
      <c r="BM683" s="114">
        <f t="shared" si="720"/>
        <v>5700</v>
      </c>
    </row>
    <row r="684" spans="1:65" x14ac:dyDescent="0.25">
      <c r="A684" s="228">
        <f t="shared" si="708"/>
        <v>24</v>
      </c>
      <c r="C684" s="278" t="s">
        <v>95</v>
      </c>
      <c r="E684" s="103">
        <f>IF($C684="",0,
IF(AND($E$2="Monthly",$A684&gt;12),0,
IF($E$2="Monthly",VLOOKUP($C684,'Employee information'!$B:$AM,COLUMNS('Employee information'!$B:S),0),
IF($E$2="Fortnightly",VLOOKUP($C684,'Employee information'!$B:$AM,COLUMNS('Employee information'!$B:R),0),
0))))</f>
        <v>45</v>
      </c>
      <c r="F684" s="106"/>
      <c r="G684" s="106"/>
      <c r="H684" s="106"/>
      <c r="I684" s="106"/>
      <c r="J684" s="103">
        <f t="shared" si="721"/>
        <v>45</v>
      </c>
      <c r="L684" s="113">
        <f>IF(AND($E$2="Monthly",$A684&gt;12),"",
IFERROR($J684*VLOOKUP($C684,'Employee information'!$B:$AI,COLUMNS('Employee information'!$B:$P),0),0))</f>
        <v>1107.6923076923078</v>
      </c>
      <c r="M684" s="114">
        <f t="shared" si="722"/>
        <v>26584.615384615397</v>
      </c>
      <c r="O684" s="103">
        <f t="shared" si="723"/>
        <v>45</v>
      </c>
      <c r="P684" s="113">
        <f>IFERROR(
IF(AND($E$2="Monthly",$A684&gt;12),0,
$O684*VLOOKUP($C684,'Employee information'!$B:$AI,COLUMNS('Employee information'!$B:$P),0)),
0)</f>
        <v>1107.6923076923078</v>
      </c>
      <c r="R684" s="114">
        <f t="shared" si="709"/>
        <v>26584.615384615397</v>
      </c>
      <c r="T684" s="103"/>
      <c r="U684" s="103"/>
      <c r="V684" s="282">
        <f>IF($C684="","",
IF(AND($E$2="Monthly",$A684&gt;12),"",
$T684*VLOOKUP($C684,'Employee information'!$B:$P,COLUMNS('Employee information'!$B:$P),0)))</f>
        <v>0</v>
      </c>
      <c r="W684" s="282">
        <f>IF($C684="","",
IF(AND($E$2="Monthly",$A684&gt;12),"",
$U684*VLOOKUP($C684,'Employee information'!$B:$P,COLUMNS('Employee information'!$B:$P),0)))</f>
        <v>0</v>
      </c>
      <c r="X684" s="114">
        <f t="shared" si="710"/>
        <v>0</v>
      </c>
      <c r="Y684" s="114">
        <f t="shared" si="711"/>
        <v>0</v>
      </c>
      <c r="AA684" s="118">
        <f>IFERROR(
IF(OR('Basic payroll data'!$D$12="",'Basic payroll data'!$D$12="No"),0,
$T684*VLOOKUP($C684,'Employee information'!$B:$P,COLUMNS('Employee information'!$B:$P),0)*AL_loading_perc),
0)</f>
        <v>0</v>
      </c>
      <c r="AC684" s="118"/>
      <c r="AD684" s="118"/>
      <c r="AE684" s="283" t="str">
        <f t="shared" si="724"/>
        <v/>
      </c>
      <c r="AF684" s="283" t="str">
        <f t="shared" si="725"/>
        <v/>
      </c>
      <c r="AG684" s="118"/>
      <c r="AH684" s="118"/>
      <c r="AI684" s="283" t="str">
        <f t="shared" si="726"/>
        <v/>
      </c>
      <c r="AJ684" s="118"/>
      <c r="AK684" s="118"/>
      <c r="AM684" s="118">
        <f t="shared" si="727"/>
        <v>1107.6923076923078</v>
      </c>
      <c r="AN684" s="118">
        <f t="shared" si="712"/>
        <v>1107.6923076923078</v>
      </c>
      <c r="AO684" s="118" t="str">
        <f>IFERROR(
IF(VLOOKUP($C684,'Employee information'!$B:$M,COLUMNS('Employee information'!$B:$M),0)=1,
IF($E$2="Fortnightly",
ROUND(
ROUND((((TRUNC($AN684/2,0)+0.99))*VLOOKUP((TRUNC($AN684/2,0)+0.99),'Tax scales - NAT 1004'!$A$12:$C$18,2,1)-VLOOKUP((TRUNC($AN684/2,0)+0.99),'Tax scales - NAT 1004'!$A$12:$C$18,3,1)),0)
*2,
0),
IF(AND($E$2="Monthly",ROUND($AN684-TRUNC($AN684),2)=0.33),
ROUND(
ROUND(((TRUNC(($AN684+0.01)*3/13,0)+0.99)*VLOOKUP((TRUNC(($AN684+0.01)*3/13,0)+0.99),'Tax scales - NAT 1004'!$A$12:$C$18,2,1)-VLOOKUP((TRUNC(($AN684+0.01)*3/13,0)+0.99),'Tax scales - NAT 1004'!$A$12:$C$18,3,1)),0)
*13/3,
0),
IF($E$2="Monthly",
ROUND(
ROUND(((TRUNC($AN684*3/13,0)+0.99)*VLOOKUP((TRUNC($AN684*3/13,0)+0.99),'Tax scales - NAT 1004'!$A$12:$C$18,2,1)-VLOOKUP((TRUNC($AN684*3/13,0)+0.99),'Tax scales - NAT 1004'!$A$12:$C$18,3,1)),0)
*13/3,
0),
""))),
""),
"")</f>
        <v/>
      </c>
      <c r="AP684" s="118" t="str">
        <f>IFERROR(
IF(VLOOKUP($C684,'Employee information'!$B:$M,COLUMNS('Employee information'!$B:$M),0)=2,
IF($E$2="Fortnightly",
ROUND(
ROUND((((TRUNC($AN684/2,0)+0.99))*VLOOKUP((TRUNC($AN684/2,0)+0.99),'Tax scales - NAT 1004'!$A$25:$C$33,2,1)-VLOOKUP((TRUNC($AN684/2,0)+0.99),'Tax scales - NAT 1004'!$A$25:$C$33,3,1)),0)
*2,
0),
IF(AND($E$2="Monthly",ROUND($AN684-TRUNC($AN684),2)=0.33),
ROUND(
ROUND(((TRUNC(($AN684+0.01)*3/13,0)+0.99)*VLOOKUP((TRUNC(($AN684+0.01)*3/13,0)+0.99),'Tax scales - NAT 1004'!$A$25:$C$33,2,1)-VLOOKUP((TRUNC(($AN684+0.01)*3/13,0)+0.99),'Tax scales - NAT 1004'!$A$25:$C$33,3,1)),0)
*13/3,
0),
IF($E$2="Monthly",
ROUND(
ROUND(((TRUNC($AN684*3/13,0)+0.99)*VLOOKUP((TRUNC($AN684*3/13,0)+0.99),'Tax scales - NAT 1004'!$A$25:$C$33,2,1)-VLOOKUP((TRUNC($AN684*3/13,0)+0.99),'Tax scales - NAT 1004'!$A$25:$C$33,3,1)),0)
*13/3,
0),
""))),
""),
"")</f>
        <v/>
      </c>
      <c r="AQ684" s="118" t="str">
        <f>IFERROR(
IF(VLOOKUP($C684,'Employee information'!$B:$M,COLUMNS('Employee information'!$B:$M),0)=3,
IF($E$2="Fortnightly",
ROUND(
ROUND((((TRUNC($AN684/2,0)+0.99))*VLOOKUP((TRUNC($AN684/2,0)+0.99),'Tax scales - NAT 1004'!$A$39:$C$41,2,1)-VLOOKUP((TRUNC($AN684/2,0)+0.99),'Tax scales - NAT 1004'!$A$39:$C$41,3,1)),0)
*2,
0),
IF(AND($E$2="Monthly",ROUND($AN684-TRUNC($AN684),2)=0.33),
ROUND(
ROUND(((TRUNC(($AN684+0.01)*3/13,0)+0.99)*VLOOKUP((TRUNC(($AN684+0.01)*3/13,0)+0.99),'Tax scales - NAT 1004'!$A$39:$C$41,2,1)-VLOOKUP((TRUNC(($AN684+0.01)*3/13,0)+0.99),'Tax scales - NAT 1004'!$A$39:$C$41,3,1)),0)
*13/3,
0),
IF($E$2="Monthly",
ROUND(
ROUND(((TRUNC($AN684*3/13,0)+0.99)*VLOOKUP((TRUNC($AN684*3/13,0)+0.99),'Tax scales - NAT 1004'!$A$39:$C$41,2,1)-VLOOKUP((TRUNC($AN684*3/13,0)+0.99),'Tax scales - NAT 1004'!$A$39:$C$41,3,1)),0)
*13/3,
0),
""))),
""),
"")</f>
        <v/>
      </c>
      <c r="AR684" s="118" t="str">
        <f>IFERROR(
IF(AND(VLOOKUP($C684,'Employee information'!$B:$M,COLUMNS('Employee information'!$B:$M),0)=4,
VLOOKUP($C684,'Employee information'!$B:$J,COLUMNS('Employee information'!$B:$J),0)="Resident"),
TRUNC(TRUNC($AN684)*'Tax scales - NAT 1004'!$B$47),
IF(AND(VLOOKUP($C684,'Employee information'!$B:$M,COLUMNS('Employee information'!$B:$M),0)=4,
VLOOKUP($C684,'Employee information'!$B:$J,COLUMNS('Employee information'!$B:$J),0)="Foreign resident"),
TRUNC(TRUNC($AN684)*'Tax scales - NAT 1004'!$B$48),
"")),
"")</f>
        <v/>
      </c>
      <c r="AS684" s="118" t="str">
        <f>IFERROR(
IF(VLOOKUP($C684,'Employee information'!$B:$M,COLUMNS('Employee information'!$B:$M),0)=5,
IF($E$2="Fortnightly",
ROUND(
ROUND((((TRUNC($AN684/2,0)+0.99))*VLOOKUP((TRUNC($AN684/2,0)+0.99),'Tax scales - NAT 1004'!$A$53:$C$59,2,1)-VLOOKUP((TRUNC($AN684/2,0)+0.99),'Tax scales - NAT 1004'!$A$53:$C$59,3,1)),0)
*2,
0),
IF(AND($E$2="Monthly",ROUND($AN684-TRUNC($AN684),2)=0.33),
ROUND(
ROUND(((TRUNC(($AN684+0.01)*3/13,0)+0.99)*VLOOKUP((TRUNC(($AN684+0.01)*3/13,0)+0.99),'Tax scales - NAT 1004'!$A$53:$C$59,2,1)-VLOOKUP((TRUNC(($AN684+0.01)*3/13,0)+0.99),'Tax scales - NAT 1004'!$A$53:$C$59,3,1)),0)
*13/3,
0),
IF($E$2="Monthly",
ROUND(
ROUND(((TRUNC($AN684*3/13,0)+0.99)*VLOOKUP((TRUNC($AN684*3/13,0)+0.99),'Tax scales - NAT 1004'!$A$53:$C$59,2,1)-VLOOKUP((TRUNC($AN684*3/13,0)+0.99),'Tax scales - NAT 1004'!$A$53:$C$59,3,1)),0)
*13/3,
0),
""))),
""),
"")</f>
        <v/>
      </c>
      <c r="AT684" s="118" t="str">
        <f>IFERROR(
IF(VLOOKUP($C684,'Employee information'!$B:$M,COLUMNS('Employee information'!$B:$M),0)=6,
IF($E$2="Fortnightly",
ROUND(
ROUND((((TRUNC($AN684/2,0)+0.99))*VLOOKUP((TRUNC($AN684/2,0)+0.99),'Tax scales - NAT 1004'!$A$65:$C$73,2,1)-VLOOKUP((TRUNC($AN684/2,0)+0.99),'Tax scales - NAT 1004'!$A$65:$C$73,3,1)),0)
*2,
0),
IF(AND($E$2="Monthly",ROUND($AN684-TRUNC($AN684),2)=0.33),
ROUND(
ROUND(((TRUNC(($AN684+0.01)*3/13,0)+0.99)*VLOOKUP((TRUNC(($AN684+0.01)*3/13,0)+0.99),'Tax scales - NAT 1004'!$A$65:$C$73,2,1)-VLOOKUP((TRUNC(($AN684+0.01)*3/13,0)+0.99),'Tax scales - NAT 1004'!$A$65:$C$73,3,1)),0)
*13/3,
0),
IF($E$2="Monthly",
ROUND(
ROUND(((TRUNC($AN684*3/13,0)+0.99)*VLOOKUP((TRUNC($AN684*3/13,0)+0.99),'Tax scales - NAT 1004'!$A$65:$C$73,2,1)-VLOOKUP((TRUNC($AN684*3/13,0)+0.99),'Tax scales - NAT 1004'!$A$65:$C$73,3,1)),0)
*13/3,
0),
""))),
""),
"")</f>
        <v/>
      </c>
      <c r="AU684" s="118" t="str">
        <f>IFERROR(
IF(VLOOKUP($C684,'Employee information'!$B:$M,COLUMNS('Employee information'!$B:$M),0)=11,
IF($E$2="Fortnightly",
ROUND(
ROUND((((TRUNC($AN684/2,0)+0.99))*VLOOKUP((TRUNC($AN684/2,0)+0.99),'Tax scales - NAT 3539'!$A$14:$C$38,2,1)-VLOOKUP((TRUNC($AN684/2,0)+0.99),'Tax scales - NAT 3539'!$A$14:$C$38,3,1)),0)
*2,
0),
IF(AND($E$2="Monthly",ROUND($AN684-TRUNC($AN684),2)=0.33),
ROUND(
ROUND(((TRUNC(($AN684+0.01)*3/13,0)+0.99)*VLOOKUP((TRUNC(($AN684+0.01)*3/13,0)+0.99),'Tax scales - NAT 3539'!$A$14:$C$38,2,1)-VLOOKUP((TRUNC(($AN684+0.01)*3/13,0)+0.99),'Tax scales - NAT 3539'!$A$14:$C$38,3,1)),0)
*13/3,
0),
IF($E$2="Monthly",
ROUND(
ROUND(((TRUNC($AN684*3/13,0)+0.99)*VLOOKUP((TRUNC($AN684*3/13,0)+0.99),'Tax scales - NAT 3539'!$A$14:$C$38,2,1)-VLOOKUP((TRUNC($AN684*3/13,0)+0.99),'Tax scales - NAT 3539'!$A$14:$C$38,3,1)),0)
*13/3,
0),
""))),
""),
"")</f>
        <v/>
      </c>
      <c r="AV684" s="118" t="str">
        <f>IFERROR(
IF(VLOOKUP($C684,'Employee information'!$B:$M,COLUMNS('Employee information'!$B:$M),0)=22,
IF($E$2="Fortnightly",
ROUND(
ROUND((((TRUNC($AN684/2,0)+0.99))*VLOOKUP((TRUNC($AN684/2,0)+0.99),'Tax scales - NAT 3539'!$A$43:$C$69,2,1)-VLOOKUP((TRUNC($AN684/2,0)+0.99),'Tax scales - NAT 3539'!$A$43:$C$69,3,1)),0)
*2,
0),
IF(AND($E$2="Monthly",ROUND($AN684-TRUNC($AN684),2)=0.33),
ROUND(
ROUND(((TRUNC(($AN684+0.01)*3/13,0)+0.99)*VLOOKUP((TRUNC(($AN684+0.01)*3/13,0)+0.99),'Tax scales - NAT 3539'!$A$43:$C$69,2,1)-VLOOKUP((TRUNC(($AN684+0.01)*3/13,0)+0.99),'Tax scales - NAT 3539'!$A$43:$C$69,3,1)),0)
*13/3,
0),
IF($E$2="Monthly",
ROUND(
ROUND(((TRUNC($AN684*3/13,0)+0.99)*VLOOKUP((TRUNC($AN684*3/13,0)+0.99),'Tax scales - NAT 3539'!$A$43:$C$69,2,1)-VLOOKUP((TRUNC($AN684*3/13,0)+0.99),'Tax scales - NAT 3539'!$A$43:$C$69,3,1)),0)
*13/3,
0),
""))),
""),
"")</f>
        <v/>
      </c>
      <c r="AW684" s="118" t="str">
        <f>IFERROR(
IF(VLOOKUP($C684,'Employee information'!$B:$M,COLUMNS('Employee information'!$B:$M),0)=33,
IF($E$2="Fortnightly",
ROUND(
ROUND((((TRUNC($AN684/2,0)+0.99))*VLOOKUP((TRUNC($AN684/2,0)+0.99),'Tax scales - NAT 3539'!$A$74:$C$94,2,1)-VLOOKUP((TRUNC($AN684/2,0)+0.99),'Tax scales - NAT 3539'!$A$74:$C$94,3,1)),0)
*2,
0),
IF(AND($E$2="Monthly",ROUND($AN684-TRUNC($AN684),2)=0.33),
ROUND(
ROUND(((TRUNC(($AN684+0.01)*3/13,0)+0.99)*VLOOKUP((TRUNC(($AN684+0.01)*3/13,0)+0.99),'Tax scales - NAT 3539'!$A$74:$C$94,2,1)-VLOOKUP((TRUNC(($AN684+0.01)*3/13,0)+0.99),'Tax scales - NAT 3539'!$A$74:$C$94,3,1)),0)
*13/3,
0),
IF($E$2="Monthly",
ROUND(
ROUND(((TRUNC($AN684*3/13,0)+0.99)*VLOOKUP((TRUNC($AN684*3/13,0)+0.99),'Tax scales - NAT 3539'!$A$74:$C$94,2,1)-VLOOKUP((TRUNC($AN684*3/13,0)+0.99),'Tax scales - NAT 3539'!$A$74:$C$94,3,1)),0)
*13/3,
0),
""))),
""),
"")</f>
        <v/>
      </c>
      <c r="AX684" s="118" t="str">
        <f>IFERROR(
IF(VLOOKUP($C684,'Employee information'!$B:$M,COLUMNS('Employee information'!$B:$M),0)=55,
IF($E$2="Fortnightly",
ROUND(
ROUND((((TRUNC($AN684/2,0)+0.99))*VLOOKUP((TRUNC($AN684/2,0)+0.99),'Tax scales - NAT 3539'!$A$99:$C$123,2,1)-VLOOKUP((TRUNC($AN684/2,0)+0.99),'Tax scales - NAT 3539'!$A$99:$C$123,3,1)),0)
*2,
0),
IF(AND($E$2="Monthly",ROUND($AN684-TRUNC($AN684),2)=0.33),
ROUND(
ROUND(((TRUNC(($AN684+0.01)*3/13,0)+0.99)*VLOOKUP((TRUNC(($AN684+0.01)*3/13,0)+0.99),'Tax scales - NAT 3539'!$A$99:$C$123,2,1)-VLOOKUP((TRUNC(($AN684+0.01)*3/13,0)+0.99),'Tax scales - NAT 3539'!$A$99:$C$123,3,1)),0)
*13/3,
0),
IF($E$2="Monthly",
ROUND(
ROUND(((TRUNC($AN684*3/13,0)+0.99)*VLOOKUP((TRUNC($AN684*3/13,0)+0.99),'Tax scales - NAT 3539'!$A$99:$C$123,2,1)-VLOOKUP((TRUNC($AN684*3/13,0)+0.99),'Tax scales - NAT 3539'!$A$99:$C$123,3,1)),0)
*13/3,
0),
""))),
""),
"")</f>
        <v/>
      </c>
      <c r="AY684" s="118">
        <f>IFERROR(
IF(VLOOKUP($C684,'Employee information'!$B:$M,COLUMNS('Employee information'!$B:$M),0)=66,
IF($E$2="Fortnightly",
ROUND(
ROUND((((TRUNC($AN684/2,0)+0.99))*VLOOKUP((TRUNC($AN684/2,0)+0.99),'Tax scales - NAT 3539'!$A$127:$C$154,2,1)-VLOOKUP((TRUNC($AN684/2,0)+0.99),'Tax scales - NAT 3539'!$A$127:$C$154,3,1)),0)
*2,
0),
IF(AND($E$2="Monthly",ROUND($AN684-TRUNC($AN684),2)=0.33),
ROUND(
ROUND(((TRUNC(($AN684+0.01)*3/13,0)+0.99)*VLOOKUP((TRUNC(($AN684+0.01)*3/13,0)+0.99),'Tax scales - NAT 3539'!$A$127:$C$154,2,1)-VLOOKUP((TRUNC(($AN684+0.01)*3/13,0)+0.99),'Tax scales - NAT 3539'!$A$127:$C$154,3,1)),0)
*13/3,
0),
IF($E$2="Monthly",
ROUND(
ROUND(((TRUNC($AN684*3/13,0)+0.99)*VLOOKUP((TRUNC($AN684*3/13,0)+0.99),'Tax scales - NAT 3539'!$A$127:$C$154,2,1)-VLOOKUP((TRUNC($AN684*3/13,0)+0.99),'Tax scales - NAT 3539'!$A$127:$C$154,3,1)),0)
*13/3,
0),
""))),
""),
"")</f>
        <v>74</v>
      </c>
      <c r="AZ684" s="118">
        <f>IFERROR(
HLOOKUP(VLOOKUP($C684,'Employee information'!$B:$M,COLUMNS('Employee information'!$B:$M),0),'PAYG worksheet'!$AO$677:$AY$696,COUNTA($C$678:$C684)+1,0),
0)</f>
        <v>74</v>
      </c>
      <c r="BA684" s="118"/>
      <c r="BB684" s="118">
        <f t="shared" si="728"/>
        <v>1033.6923076923078</v>
      </c>
      <c r="BC684" s="119">
        <f>IFERROR(
IF(OR($AE684=1,$AE684=""),SUM($P684,$AA684,$AC684,$AK684)*VLOOKUP($C684,'Employee information'!$B:$Q,COLUMNS('Employee information'!$B:$H),0),
IF($AE684=0,SUM($P684,$AA684,$AK684)*VLOOKUP($C684,'Employee information'!$B:$Q,COLUMNS('Employee information'!$B:$H),0),
0)),
0)</f>
        <v>105.23076923076924</v>
      </c>
      <c r="BE684" s="114">
        <f t="shared" si="713"/>
        <v>26584.615384615397</v>
      </c>
      <c r="BF684" s="114">
        <f t="shared" si="714"/>
        <v>26584.615384615397</v>
      </c>
      <c r="BG684" s="114">
        <f t="shared" si="715"/>
        <v>0</v>
      </c>
      <c r="BH684" s="114">
        <f t="shared" si="716"/>
        <v>0</v>
      </c>
      <c r="BI684" s="114">
        <f t="shared" si="717"/>
        <v>1776</v>
      </c>
      <c r="BJ684" s="114">
        <f t="shared" si="718"/>
        <v>0</v>
      </c>
      <c r="BK684" s="114">
        <f t="shared" si="719"/>
        <v>0</v>
      </c>
      <c r="BL684" s="114">
        <f t="shared" si="729"/>
        <v>0</v>
      </c>
      <c r="BM684" s="114">
        <f t="shared" si="720"/>
        <v>2525.5384615384614</v>
      </c>
    </row>
    <row r="685" spans="1:65" x14ac:dyDescent="0.25">
      <c r="A685" s="228">
        <f t="shared" si="708"/>
        <v>24</v>
      </c>
      <c r="C685" s="278"/>
      <c r="E685" s="103">
        <f>IF($C685="",0,
IF(AND($E$2="Monthly",$A685&gt;12),0,
IF($E$2="Monthly",VLOOKUP($C685,'Employee information'!$B:$AM,COLUMNS('Employee information'!$B:S),0),
IF($E$2="Fortnightly",VLOOKUP($C685,'Employee information'!$B:$AM,COLUMNS('Employee information'!$B:R),0),
0))))</f>
        <v>0</v>
      </c>
      <c r="F685" s="106"/>
      <c r="G685" s="106"/>
      <c r="H685" s="106"/>
      <c r="I685" s="106"/>
      <c r="J685" s="103">
        <f>IF($E$2="Monthly",
IF(AND($E$2="Monthly",$H685&lt;&gt;""),$H685,
IF(AND($E$2="Monthly",$E685=0),SUM($F685:$G685),
$E685)),
IF($E$2="Fortnightly",
IF(AND($E$2="Fortnightly",$H685&lt;&gt;""),$H685,
IF(AND($E$2="Fortnightly",$F685&lt;&gt;"",$E685&lt;&gt;0),$F685,
IF(AND($E$2="Fortnightly",$E685=0),SUM($F685:$G685),
$E685)))))</f>
        <v>0</v>
      </c>
      <c r="L685" s="113">
        <f>IF(AND($E$2="Monthly",$A685&gt;12),"",
IFERROR($J685*VLOOKUP($C685,'Employee information'!$B:$AI,COLUMNS('Employee information'!$B:$P),0),0))</f>
        <v>0</v>
      </c>
      <c r="M685" s="114">
        <f t="shared" si="722"/>
        <v>0</v>
      </c>
      <c r="O685" s="103">
        <f t="shared" si="723"/>
        <v>0</v>
      </c>
      <c r="P685" s="113">
        <f>IFERROR(
IF(AND($E$2="Monthly",$A685&gt;12),0,
$O685*VLOOKUP($C685,'Employee information'!$B:$AI,COLUMNS('Employee information'!$B:$P),0)),
0)</f>
        <v>0</v>
      </c>
      <c r="R685" s="114">
        <f t="shared" si="709"/>
        <v>0</v>
      </c>
      <c r="T685" s="103"/>
      <c r="U685" s="103"/>
      <c r="V685" s="282" t="str">
        <f>IF($C685="","",
IF(AND($E$2="Monthly",$A685&gt;12),"",
$T685*VLOOKUP($C685,'Employee information'!$B:$P,COLUMNS('Employee information'!$B:$P),0)))</f>
        <v/>
      </c>
      <c r="W685" s="282" t="str">
        <f>IF($C685="","",
IF(AND($E$2="Monthly",$A685&gt;12),"",
$U685*VLOOKUP($C685,'Employee information'!$B:$P,COLUMNS('Employee information'!$B:$P),0)))</f>
        <v/>
      </c>
      <c r="X685" s="114">
        <f t="shared" si="710"/>
        <v>0</v>
      </c>
      <c r="Y685" s="114">
        <f t="shared" si="711"/>
        <v>0</v>
      </c>
      <c r="AA685" s="118">
        <f>IFERROR(
IF(OR('Basic payroll data'!$D$12="",'Basic payroll data'!$D$12="No"),0,
$T685*VLOOKUP($C685,'Employee information'!$B:$P,COLUMNS('Employee information'!$B:$P),0)*AL_loading_perc),
0)</f>
        <v>0</v>
      </c>
      <c r="AC685" s="118"/>
      <c r="AD685" s="118"/>
      <c r="AE685" s="283" t="str">
        <f t="shared" si="724"/>
        <v/>
      </c>
      <c r="AF685" s="283" t="str">
        <f t="shared" si="725"/>
        <v/>
      </c>
      <c r="AG685" s="118"/>
      <c r="AH685" s="118"/>
      <c r="AI685" s="283" t="str">
        <f t="shared" si="726"/>
        <v/>
      </c>
      <c r="AJ685" s="118"/>
      <c r="AK685" s="118"/>
      <c r="AM685" s="118">
        <f t="shared" si="727"/>
        <v>0</v>
      </c>
      <c r="AN685" s="118">
        <f t="shared" si="712"/>
        <v>0</v>
      </c>
      <c r="AO685" s="118" t="str">
        <f>IFERROR(
IF(VLOOKUP($C685,'Employee information'!$B:$M,COLUMNS('Employee information'!$B:$M),0)=1,
IF($E$2="Fortnightly",
ROUND(
ROUND((((TRUNC($AN685/2,0)+0.99))*VLOOKUP((TRUNC($AN685/2,0)+0.99),'Tax scales - NAT 1004'!$A$12:$C$18,2,1)-VLOOKUP((TRUNC($AN685/2,0)+0.99),'Tax scales - NAT 1004'!$A$12:$C$18,3,1)),0)
*2,
0),
IF(AND($E$2="Monthly",ROUND($AN685-TRUNC($AN685),2)=0.33),
ROUND(
ROUND(((TRUNC(($AN685+0.01)*3/13,0)+0.99)*VLOOKUP((TRUNC(($AN685+0.01)*3/13,0)+0.99),'Tax scales - NAT 1004'!$A$12:$C$18,2,1)-VLOOKUP((TRUNC(($AN685+0.01)*3/13,0)+0.99),'Tax scales - NAT 1004'!$A$12:$C$18,3,1)),0)
*13/3,
0),
IF($E$2="Monthly",
ROUND(
ROUND(((TRUNC($AN685*3/13,0)+0.99)*VLOOKUP((TRUNC($AN685*3/13,0)+0.99),'Tax scales - NAT 1004'!$A$12:$C$18,2,1)-VLOOKUP((TRUNC($AN685*3/13,0)+0.99),'Tax scales - NAT 1004'!$A$12:$C$18,3,1)),0)
*13/3,
0),
""))),
""),
"")</f>
        <v/>
      </c>
      <c r="AP685" s="118" t="str">
        <f>IFERROR(
IF(VLOOKUP($C685,'Employee information'!$B:$M,COLUMNS('Employee information'!$B:$M),0)=2,
IF($E$2="Fortnightly",
ROUND(
ROUND((((TRUNC($AN685/2,0)+0.99))*VLOOKUP((TRUNC($AN685/2,0)+0.99),'Tax scales - NAT 1004'!$A$25:$C$33,2,1)-VLOOKUP((TRUNC($AN685/2,0)+0.99),'Tax scales - NAT 1004'!$A$25:$C$33,3,1)),0)
*2,
0),
IF(AND($E$2="Monthly",ROUND($AN685-TRUNC($AN685),2)=0.33),
ROUND(
ROUND(((TRUNC(($AN685+0.01)*3/13,0)+0.99)*VLOOKUP((TRUNC(($AN685+0.01)*3/13,0)+0.99),'Tax scales - NAT 1004'!$A$25:$C$33,2,1)-VLOOKUP((TRUNC(($AN685+0.01)*3/13,0)+0.99),'Tax scales - NAT 1004'!$A$25:$C$33,3,1)),0)
*13/3,
0),
IF($E$2="Monthly",
ROUND(
ROUND(((TRUNC($AN685*3/13,0)+0.99)*VLOOKUP((TRUNC($AN685*3/13,0)+0.99),'Tax scales - NAT 1004'!$A$25:$C$33,2,1)-VLOOKUP((TRUNC($AN685*3/13,0)+0.99),'Tax scales - NAT 1004'!$A$25:$C$33,3,1)),0)
*13/3,
0),
""))),
""),
"")</f>
        <v/>
      </c>
      <c r="AQ685" s="118" t="str">
        <f>IFERROR(
IF(VLOOKUP($C685,'Employee information'!$B:$M,COLUMNS('Employee information'!$B:$M),0)=3,
IF($E$2="Fortnightly",
ROUND(
ROUND((((TRUNC($AN685/2,0)+0.99))*VLOOKUP((TRUNC($AN685/2,0)+0.99),'Tax scales - NAT 1004'!$A$39:$C$41,2,1)-VLOOKUP((TRUNC($AN685/2,0)+0.99),'Tax scales - NAT 1004'!$A$39:$C$41,3,1)),0)
*2,
0),
IF(AND($E$2="Monthly",ROUND($AN685-TRUNC($AN685),2)=0.33),
ROUND(
ROUND(((TRUNC(($AN685+0.01)*3/13,0)+0.99)*VLOOKUP((TRUNC(($AN685+0.01)*3/13,0)+0.99),'Tax scales - NAT 1004'!$A$39:$C$41,2,1)-VLOOKUP((TRUNC(($AN685+0.01)*3/13,0)+0.99),'Tax scales - NAT 1004'!$A$39:$C$41,3,1)),0)
*13/3,
0),
IF($E$2="Monthly",
ROUND(
ROUND(((TRUNC($AN685*3/13,0)+0.99)*VLOOKUP((TRUNC($AN685*3/13,0)+0.99),'Tax scales - NAT 1004'!$A$39:$C$41,2,1)-VLOOKUP((TRUNC($AN685*3/13,0)+0.99),'Tax scales - NAT 1004'!$A$39:$C$41,3,1)),0)
*13/3,
0),
""))),
""),
"")</f>
        <v/>
      </c>
      <c r="AR685" s="118" t="str">
        <f>IFERROR(
IF(AND(VLOOKUP($C685,'Employee information'!$B:$M,COLUMNS('Employee information'!$B:$M),0)=4,
VLOOKUP($C685,'Employee information'!$B:$J,COLUMNS('Employee information'!$B:$J),0)="Resident"),
TRUNC(TRUNC($AN685)*'Tax scales - NAT 1004'!$B$47),
IF(AND(VLOOKUP($C685,'Employee information'!$B:$M,COLUMNS('Employee information'!$B:$M),0)=4,
VLOOKUP($C685,'Employee information'!$B:$J,COLUMNS('Employee information'!$B:$J),0)="Foreign resident"),
TRUNC(TRUNC($AN685)*'Tax scales - NAT 1004'!$B$48),
"")),
"")</f>
        <v/>
      </c>
      <c r="AS685" s="118" t="str">
        <f>IFERROR(
IF(VLOOKUP($C685,'Employee information'!$B:$M,COLUMNS('Employee information'!$B:$M),0)=5,
IF($E$2="Fortnightly",
ROUND(
ROUND((((TRUNC($AN685/2,0)+0.99))*VLOOKUP((TRUNC($AN685/2,0)+0.99),'Tax scales - NAT 1004'!$A$53:$C$59,2,1)-VLOOKUP((TRUNC($AN685/2,0)+0.99),'Tax scales - NAT 1004'!$A$53:$C$59,3,1)),0)
*2,
0),
IF(AND($E$2="Monthly",ROUND($AN685-TRUNC($AN685),2)=0.33),
ROUND(
ROUND(((TRUNC(($AN685+0.01)*3/13,0)+0.99)*VLOOKUP((TRUNC(($AN685+0.01)*3/13,0)+0.99),'Tax scales - NAT 1004'!$A$53:$C$59,2,1)-VLOOKUP((TRUNC(($AN685+0.01)*3/13,0)+0.99),'Tax scales - NAT 1004'!$A$53:$C$59,3,1)),0)
*13/3,
0),
IF($E$2="Monthly",
ROUND(
ROUND(((TRUNC($AN685*3/13,0)+0.99)*VLOOKUP((TRUNC($AN685*3/13,0)+0.99),'Tax scales - NAT 1004'!$A$53:$C$59,2,1)-VLOOKUP((TRUNC($AN685*3/13,0)+0.99),'Tax scales - NAT 1004'!$A$53:$C$59,3,1)),0)
*13/3,
0),
""))),
""),
"")</f>
        <v/>
      </c>
      <c r="AT685" s="118" t="str">
        <f>IFERROR(
IF(VLOOKUP($C685,'Employee information'!$B:$M,COLUMNS('Employee information'!$B:$M),0)=6,
IF($E$2="Fortnightly",
ROUND(
ROUND((((TRUNC($AN685/2,0)+0.99))*VLOOKUP((TRUNC($AN685/2,0)+0.99),'Tax scales - NAT 1004'!$A$65:$C$73,2,1)-VLOOKUP((TRUNC($AN685/2,0)+0.99),'Tax scales - NAT 1004'!$A$65:$C$73,3,1)),0)
*2,
0),
IF(AND($E$2="Monthly",ROUND($AN685-TRUNC($AN685),2)=0.33),
ROUND(
ROUND(((TRUNC(($AN685+0.01)*3/13,0)+0.99)*VLOOKUP((TRUNC(($AN685+0.01)*3/13,0)+0.99),'Tax scales - NAT 1004'!$A$65:$C$73,2,1)-VLOOKUP((TRUNC(($AN685+0.01)*3/13,0)+0.99),'Tax scales - NAT 1004'!$A$65:$C$73,3,1)),0)
*13/3,
0),
IF($E$2="Monthly",
ROUND(
ROUND(((TRUNC($AN685*3/13,0)+0.99)*VLOOKUP((TRUNC($AN685*3/13,0)+0.99),'Tax scales - NAT 1004'!$A$65:$C$73,2,1)-VLOOKUP((TRUNC($AN685*3/13,0)+0.99),'Tax scales - NAT 1004'!$A$65:$C$73,3,1)),0)
*13/3,
0),
""))),
""),
"")</f>
        <v/>
      </c>
      <c r="AU685" s="118" t="str">
        <f>IFERROR(
IF(VLOOKUP($C685,'Employee information'!$B:$M,COLUMNS('Employee information'!$B:$M),0)=11,
IF($E$2="Fortnightly",
ROUND(
ROUND((((TRUNC($AN685/2,0)+0.99))*VLOOKUP((TRUNC($AN685/2,0)+0.99),'Tax scales - NAT 3539'!$A$14:$C$38,2,1)-VLOOKUP((TRUNC($AN685/2,0)+0.99),'Tax scales - NAT 3539'!$A$14:$C$38,3,1)),0)
*2,
0),
IF(AND($E$2="Monthly",ROUND($AN685-TRUNC($AN685),2)=0.33),
ROUND(
ROUND(((TRUNC(($AN685+0.01)*3/13,0)+0.99)*VLOOKUP((TRUNC(($AN685+0.01)*3/13,0)+0.99),'Tax scales - NAT 3539'!$A$14:$C$38,2,1)-VLOOKUP((TRUNC(($AN685+0.01)*3/13,0)+0.99),'Tax scales - NAT 3539'!$A$14:$C$38,3,1)),0)
*13/3,
0),
IF($E$2="Monthly",
ROUND(
ROUND(((TRUNC($AN685*3/13,0)+0.99)*VLOOKUP((TRUNC($AN685*3/13,0)+0.99),'Tax scales - NAT 3539'!$A$14:$C$38,2,1)-VLOOKUP((TRUNC($AN685*3/13,0)+0.99),'Tax scales - NAT 3539'!$A$14:$C$38,3,1)),0)
*13/3,
0),
""))),
""),
"")</f>
        <v/>
      </c>
      <c r="AV685" s="118" t="str">
        <f>IFERROR(
IF(VLOOKUP($C685,'Employee information'!$B:$M,COLUMNS('Employee information'!$B:$M),0)=22,
IF($E$2="Fortnightly",
ROUND(
ROUND((((TRUNC($AN685/2,0)+0.99))*VLOOKUP((TRUNC($AN685/2,0)+0.99),'Tax scales - NAT 3539'!$A$43:$C$69,2,1)-VLOOKUP((TRUNC($AN685/2,0)+0.99),'Tax scales - NAT 3539'!$A$43:$C$69,3,1)),0)
*2,
0),
IF(AND($E$2="Monthly",ROUND($AN685-TRUNC($AN685),2)=0.33),
ROUND(
ROUND(((TRUNC(($AN685+0.01)*3/13,0)+0.99)*VLOOKUP((TRUNC(($AN685+0.01)*3/13,0)+0.99),'Tax scales - NAT 3539'!$A$43:$C$69,2,1)-VLOOKUP((TRUNC(($AN685+0.01)*3/13,0)+0.99),'Tax scales - NAT 3539'!$A$43:$C$69,3,1)),0)
*13/3,
0),
IF($E$2="Monthly",
ROUND(
ROUND(((TRUNC($AN685*3/13,0)+0.99)*VLOOKUP((TRUNC($AN685*3/13,0)+0.99),'Tax scales - NAT 3539'!$A$43:$C$69,2,1)-VLOOKUP((TRUNC($AN685*3/13,0)+0.99),'Tax scales - NAT 3539'!$A$43:$C$69,3,1)),0)
*13/3,
0),
""))),
""),
"")</f>
        <v/>
      </c>
      <c r="AW685" s="118" t="str">
        <f>IFERROR(
IF(VLOOKUP($C685,'Employee information'!$B:$M,COLUMNS('Employee information'!$B:$M),0)=33,
IF($E$2="Fortnightly",
ROUND(
ROUND((((TRUNC($AN685/2,0)+0.99))*VLOOKUP((TRUNC($AN685/2,0)+0.99),'Tax scales - NAT 3539'!$A$74:$C$94,2,1)-VLOOKUP((TRUNC($AN685/2,0)+0.99),'Tax scales - NAT 3539'!$A$74:$C$94,3,1)),0)
*2,
0),
IF(AND($E$2="Monthly",ROUND($AN685-TRUNC($AN685),2)=0.33),
ROUND(
ROUND(((TRUNC(($AN685+0.01)*3/13,0)+0.99)*VLOOKUP((TRUNC(($AN685+0.01)*3/13,0)+0.99),'Tax scales - NAT 3539'!$A$74:$C$94,2,1)-VLOOKUP((TRUNC(($AN685+0.01)*3/13,0)+0.99),'Tax scales - NAT 3539'!$A$74:$C$94,3,1)),0)
*13/3,
0),
IF($E$2="Monthly",
ROUND(
ROUND(((TRUNC($AN685*3/13,0)+0.99)*VLOOKUP((TRUNC($AN685*3/13,0)+0.99),'Tax scales - NAT 3539'!$A$74:$C$94,2,1)-VLOOKUP((TRUNC($AN685*3/13,0)+0.99),'Tax scales - NAT 3539'!$A$74:$C$94,3,1)),0)
*13/3,
0),
""))),
""),
"")</f>
        <v/>
      </c>
      <c r="AX685" s="118" t="str">
        <f>IFERROR(
IF(VLOOKUP($C685,'Employee information'!$B:$M,COLUMNS('Employee information'!$B:$M),0)=55,
IF($E$2="Fortnightly",
ROUND(
ROUND((((TRUNC($AN685/2,0)+0.99))*VLOOKUP((TRUNC($AN685/2,0)+0.99),'Tax scales - NAT 3539'!$A$99:$C$123,2,1)-VLOOKUP((TRUNC($AN685/2,0)+0.99),'Tax scales - NAT 3539'!$A$99:$C$123,3,1)),0)
*2,
0),
IF(AND($E$2="Monthly",ROUND($AN685-TRUNC($AN685),2)=0.33),
ROUND(
ROUND(((TRUNC(($AN685+0.01)*3/13,0)+0.99)*VLOOKUP((TRUNC(($AN685+0.01)*3/13,0)+0.99),'Tax scales - NAT 3539'!$A$99:$C$123,2,1)-VLOOKUP((TRUNC(($AN685+0.01)*3/13,0)+0.99),'Tax scales - NAT 3539'!$A$99:$C$123,3,1)),0)
*13/3,
0),
IF($E$2="Monthly",
ROUND(
ROUND(((TRUNC($AN685*3/13,0)+0.99)*VLOOKUP((TRUNC($AN685*3/13,0)+0.99),'Tax scales - NAT 3539'!$A$99:$C$123,2,1)-VLOOKUP((TRUNC($AN685*3/13,0)+0.99),'Tax scales - NAT 3539'!$A$99:$C$123,3,1)),0)
*13/3,
0),
""))),
""),
"")</f>
        <v/>
      </c>
      <c r="AY685" s="118" t="str">
        <f>IFERROR(
IF(VLOOKUP($C685,'Employee information'!$B:$M,COLUMNS('Employee information'!$B:$M),0)=66,
IF($E$2="Fortnightly",
ROUND(
ROUND((((TRUNC($AN685/2,0)+0.99))*VLOOKUP((TRUNC($AN685/2,0)+0.99),'Tax scales - NAT 3539'!$A$127:$C$154,2,1)-VLOOKUP((TRUNC($AN685/2,0)+0.99),'Tax scales - NAT 3539'!$A$127:$C$154,3,1)),0)
*2,
0),
IF(AND($E$2="Monthly",ROUND($AN685-TRUNC($AN685),2)=0.33),
ROUND(
ROUND(((TRUNC(($AN685+0.01)*3/13,0)+0.99)*VLOOKUP((TRUNC(($AN685+0.01)*3/13,0)+0.99),'Tax scales - NAT 3539'!$A$127:$C$154,2,1)-VLOOKUP((TRUNC(($AN685+0.01)*3/13,0)+0.99),'Tax scales - NAT 3539'!$A$127:$C$154,3,1)),0)
*13/3,
0),
IF($E$2="Monthly",
ROUND(
ROUND(((TRUNC($AN685*3/13,0)+0.99)*VLOOKUP((TRUNC($AN685*3/13,0)+0.99),'Tax scales - NAT 3539'!$A$127:$C$154,2,1)-VLOOKUP((TRUNC($AN685*3/13,0)+0.99),'Tax scales - NAT 3539'!$A$127:$C$154,3,1)),0)
*13/3,
0),
""))),
""),
"")</f>
        <v/>
      </c>
      <c r="AZ685" s="118">
        <f>IFERROR(
HLOOKUP(VLOOKUP($C685,'Employee information'!$B:$M,COLUMNS('Employee information'!$B:$M),0),'PAYG worksheet'!$AO$677:$AY$696,COUNTA($C$678:$C685)+1,0),
0)</f>
        <v>0</v>
      </c>
      <c r="BA685" s="118"/>
      <c r="BB685" s="118">
        <f t="shared" si="728"/>
        <v>0</v>
      </c>
      <c r="BC685" s="119">
        <f>IFERROR(
IF(OR($AE685=1,$AE685=""),SUM($P685,$AA685,$AC685,$AK685)*VLOOKUP($C685,'Employee information'!$B:$Q,COLUMNS('Employee information'!$B:$H),0),
IF($AE685=0,SUM($P685,$AA685,$AK685)*VLOOKUP($C685,'Employee information'!$B:$Q,COLUMNS('Employee information'!$B:$H),0),
0)),
0)</f>
        <v>0</v>
      </c>
      <c r="BE685" s="114">
        <f t="shared" si="713"/>
        <v>0</v>
      </c>
      <c r="BF685" s="114">
        <f t="shared" si="714"/>
        <v>0</v>
      </c>
      <c r="BG685" s="114">
        <f t="shared" si="715"/>
        <v>0</v>
      </c>
      <c r="BH685" s="114">
        <f t="shared" si="716"/>
        <v>0</v>
      </c>
      <c r="BI685" s="114">
        <f t="shared" si="717"/>
        <v>0</v>
      </c>
      <c r="BJ685" s="114">
        <f t="shared" si="718"/>
        <v>0</v>
      </c>
      <c r="BK685" s="114">
        <f t="shared" si="719"/>
        <v>0</v>
      </c>
      <c r="BL685" s="114">
        <f t="shared" si="729"/>
        <v>0</v>
      </c>
      <c r="BM685" s="114">
        <f t="shared" si="720"/>
        <v>0</v>
      </c>
    </row>
    <row r="686" spans="1:65" x14ac:dyDescent="0.25">
      <c r="A686" s="228">
        <f t="shared" si="708"/>
        <v>24</v>
      </c>
      <c r="C686" s="278"/>
      <c r="E686" s="103">
        <f>IF($C686="",0,
IF(AND($E$2="Monthly",$A686&gt;12),0,
IF($E$2="Monthly",VLOOKUP($C686,'Employee information'!$B:$AM,COLUMNS('Employee information'!$B:S),0),
IF($E$2="Fortnightly",VLOOKUP($C686,'Employee information'!$B:$AM,COLUMNS('Employee information'!$B:R),0),
0))))</f>
        <v>0</v>
      </c>
      <c r="F686" s="106"/>
      <c r="G686" s="106"/>
      <c r="H686" s="106"/>
      <c r="I686" s="106"/>
      <c r="J686" s="103">
        <f t="shared" si="721"/>
        <v>0</v>
      </c>
      <c r="L686" s="113">
        <f>IF(AND($E$2="Monthly",$A686&gt;12),"",
IFERROR($J686*VLOOKUP($C686,'Employee information'!$B:$AI,COLUMNS('Employee information'!$B:$P),0),0))</f>
        <v>0</v>
      </c>
      <c r="M686" s="114">
        <f t="shared" si="722"/>
        <v>0</v>
      </c>
      <c r="O686" s="103">
        <f t="shared" si="723"/>
        <v>0</v>
      </c>
      <c r="P686" s="113">
        <f>IFERROR(
IF(AND($E$2="Monthly",$A686&gt;12),0,
$O686*VLOOKUP($C686,'Employee information'!$B:$AI,COLUMNS('Employee information'!$B:$P),0)),
0)</f>
        <v>0</v>
      </c>
      <c r="R686" s="114">
        <f t="shared" si="709"/>
        <v>0</v>
      </c>
      <c r="T686" s="103"/>
      <c r="U686" s="103"/>
      <c r="V686" s="282" t="str">
        <f>IF($C686="","",
IF(AND($E$2="Monthly",$A686&gt;12),"",
$T686*VLOOKUP($C686,'Employee information'!$B:$P,COLUMNS('Employee information'!$B:$P),0)))</f>
        <v/>
      </c>
      <c r="W686" s="282" t="str">
        <f>IF($C686="","",
IF(AND($E$2="Monthly",$A686&gt;12),"",
$U686*VLOOKUP($C686,'Employee information'!$B:$P,COLUMNS('Employee information'!$B:$P),0)))</f>
        <v/>
      </c>
      <c r="X686" s="114">
        <f t="shared" si="710"/>
        <v>0</v>
      </c>
      <c r="Y686" s="114">
        <f t="shared" si="711"/>
        <v>0</v>
      </c>
      <c r="AA686" s="118">
        <f>IFERROR(
IF(OR('Basic payroll data'!$D$12="",'Basic payroll data'!$D$12="No"),0,
$T686*VLOOKUP($C686,'Employee information'!$B:$P,COLUMNS('Employee information'!$B:$P),0)*AL_loading_perc),
0)</f>
        <v>0</v>
      </c>
      <c r="AC686" s="118"/>
      <c r="AD686" s="118"/>
      <c r="AE686" s="283" t="str">
        <f t="shared" si="724"/>
        <v/>
      </c>
      <c r="AF686" s="283" t="str">
        <f t="shared" si="725"/>
        <v/>
      </c>
      <c r="AG686" s="118"/>
      <c r="AH686" s="118"/>
      <c r="AI686" s="283" t="str">
        <f t="shared" si="726"/>
        <v/>
      </c>
      <c r="AJ686" s="118"/>
      <c r="AK686" s="118"/>
      <c r="AM686" s="118">
        <f t="shared" si="727"/>
        <v>0</v>
      </c>
      <c r="AN686" s="118">
        <f t="shared" si="712"/>
        <v>0</v>
      </c>
      <c r="AO686" s="118" t="str">
        <f>IFERROR(
IF(VLOOKUP($C686,'Employee information'!$B:$M,COLUMNS('Employee information'!$B:$M),0)=1,
IF($E$2="Fortnightly",
ROUND(
ROUND((((TRUNC($AN686/2,0)+0.99))*VLOOKUP((TRUNC($AN686/2,0)+0.99),'Tax scales - NAT 1004'!$A$12:$C$18,2,1)-VLOOKUP((TRUNC($AN686/2,0)+0.99),'Tax scales - NAT 1004'!$A$12:$C$18,3,1)),0)
*2,
0),
IF(AND($E$2="Monthly",ROUND($AN686-TRUNC($AN686),2)=0.33),
ROUND(
ROUND(((TRUNC(($AN686+0.01)*3/13,0)+0.99)*VLOOKUP((TRUNC(($AN686+0.01)*3/13,0)+0.99),'Tax scales - NAT 1004'!$A$12:$C$18,2,1)-VLOOKUP((TRUNC(($AN686+0.01)*3/13,0)+0.99),'Tax scales - NAT 1004'!$A$12:$C$18,3,1)),0)
*13/3,
0),
IF($E$2="Monthly",
ROUND(
ROUND(((TRUNC($AN686*3/13,0)+0.99)*VLOOKUP((TRUNC($AN686*3/13,0)+0.99),'Tax scales - NAT 1004'!$A$12:$C$18,2,1)-VLOOKUP((TRUNC($AN686*3/13,0)+0.99),'Tax scales - NAT 1004'!$A$12:$C$18,3,1)),0)
*13/3,
0),
""))),
""),
"")</f>
        <v/>
      </c>
      <c r="AP686" s="118" t="str">
        <f>IFERROR(
IF(VLOOKUP($C686,'Employee information'!$B:$M,COLUMNS('Employee information'!$B:$M),0)=2,
IF($E$2="Fortnightly",
ROUND(
ROUND((((TRUNC($AN686/2,0)+0.99))*VLOOKUP((TRUNC($AN686/2,0)+0.99),'Tax scales - NAT 1004'!$A$25:$C$33,2,1)-VLOOKUP((TRUNC($AN686/2,0)+0.99),'Tax scales - NAT 1004'!$A$25:$C$33,3,1)),0)
*2,
0),
IF(AND($E$2="Monthly",ROUND($AN686-TRUNC($AN686),2)=0.33),
ROUND(
ROUND(((TRUNC(($AN686+0.01)*3/13,0)+0.99)*VLOOKUP((TRUNC(($AN686+0.01)*3/13,0)+0.99),'Tax scales - NAT 1004'!$A$25:$C$33,2,1)-VLOOKUP((TRUNC(($AN686+0.01)*3/13,0)+0.99),'Tax scales - NAT 1004'!$A$25:$C$33,3,1)),0)
*13/3,
0),
IF($E$2="Monthly",
ROUND(
ROUND(((TRUNC($AN686*3/13,0)+0.99)*VLOOKUP((TRUNC($AN686*3/13,0)+0.99),'Tax scales - NAT 1004'!$A$25:$C$33,2,1)-VLOOKUP((TRUNC($AN686*3/13,0)+0.99),'Tax scales - NAT 1004'!$A$25:$C$33,3,1)),0)
*13/3,
0),
""))),
""),
"")</f>
        <v/>
      </c>
      <c r="AQ686" s="118" t="str">
        <f>IFERROR(
IF(VLOOKUP($C686,'Employee information'!$B:$M,COLUMNS('Employee information'!$B:$M),0)=3,
IF($E$2="Fortnightly",
ROUND(
ROUND((((TRUNC($AN686/2,0)+0.99))*VLOOKUP((TRUNC($AN686/2,0)+0.99),'Tax scales - NAT 1004'!$A$39:$C$41,2,1)-VLOOKUP((TRUNC($AN686/2,0)+0.99),'Tax scales - NAT 1004'!$A$39:$C$41,3,1)),0)
*2,
0),
IF(AND($E$2="Monthly",ROUND($AN686-TRUNC($AN686),2)=0.33),
ROUND(
ROUND(((TRUNC(($AN686+0.01)*3/13,0)+0.99)*VLOOKUP((TRUNC(($AN686+0.01)*3/13,0)+0.99),'Tax scales - NAT 1004'!$A$39:$C$41,2,1)-VLOOKUP((TRUNC(($AN686+0.01)*3/13,0)+0.99),'Tax scales - NAT 1004'!$A$39:$C$41,3,1)),0)
*13/3,
0),
IF($E$2="Monthly",
ROUND(
ROUND(((TRUNC($AN686*3/13,0)+0.99)*VLOOKUP((TRUNC($AN686*3/13,0)+0.99),'Tax scales - NAT 1004'!$A$39:$C$41,2,1)-VLOOKUP((TRUNC($AN686*3/13,0)+0.99),'Tax scales - NAT 1004'!$A$39:$C$41,3,1)),0)
*13/3,
0),
""))),
""),
"")</f>
        <v/>
      </c>
      <c r="AR686" s="118" t="str">
        <f>IFERROR(
IF(AND(VLOOKUP($C686,'Employee information'!$B:$M,COLUMNS('Employee information'!$B:$M),0)=4,
VLOOKUP($C686,'Employee information'!$B:$J,COLUMNS('Employee information'!$B:$J),0)="Resident"),
TRUNC(TRUNC($AN686)*'Tax scales - NAT 1004'!$B$47),
IF(AND(VLOOKUP($C686,'Employee information'!$B:$M,COLUMNS('Employee information'!$B:$M),0)=4,
VLOOKUP($C686,'Employee information'!$B:$J,COLUMNS('Employee information'!$B:$J),0)="Foreign resident"),
TRUNC(TRUNC($AN686)*'Tax scales - NAT 1004'!$B$48),
"")),
"")</f>
        <v/>
      </c>
      <c r="AS686" s="118" t="str">
        <f>IFERROR(
IF(VLOOKUP($C686,'Employee information'!$B:$M,COLUMNS('Employee information'!$B:$M),0)=5,
IF($E$2="Fortnightly",
ROUND(
ROUND((((TRUNC($AN686/2,0)+0.99))*VLOOKUP((TRUNC($AN686/2,0)+0.99),'Tax scales - NAT 1004'!$A$53:$C$59,2,1)-VLOOKUP((TRUNC($AN686/2,0)+0.99),'Tax scales - NAT 1004'!$A$53:$C$59,3,1)),0)
*2,
0),
IF(AND($E$2="Monthly",ROUND($AN686-TRUNC($AN686),2)=0.33),
ROUND(
ROUND(((TRUNC(($AN686+0.01)*3/13,0)+0.99)*VLOOKUP((TRUNC(($AN686+0.01)*3/13,0)+0.99),'Tax scales - NAT 1004'!$A$53:$C$59,2,1)-VLOOKUP((TRUNC(($AN686+0.01)*3/13,0)+0.99),'Tax scales - NAT 1004'!$A$53:$C$59,3,1)),0)
*13/3,
0),
IF($E$2="Monthly",
ROUND(
ROUND(((TRUNC($AN686*3/13,0)+0.99)*VLOOKUP((TRUNC($AN686*3/13,0)+0.99),'Tax scales - NAT 1004'!$A$53:$C$59,2,1)-VLOOKUP((TRUNC($AN686*3/13,0)+0.99),'Tax scales - NAT 1004'!$A$53:$C$59,3,1)),0)
*13/3,
0),
""))),
""),
"")</f>
        <v/>
      </c>
      <c r="AT686" s="118" t="str">
        <f>IFERROR(
IF(VLOOKUP($C686,'Employee information'!$B:$M,COLUMNS('Employee information'!$B:$M),0)=6,
IF($E$2="Fortnightly",
ROUND(
ROUND((((TRUNC($AN686/2,0)+0.99))*VLOOKUP((TRUNC($AN686/2,0)+0.99),'Tax scales - NAT 1004'!$A$65:$C$73,2,1)-VLOOKUP((TRUNC($AN686/2,0)+0.99),'Tax scales - NAT 1004'!$A$65:$C$73,3,1)),0)
*2,
0),
IF(AND($E$2="Monthly",ROUND($AN686-TRUNC($AN686),2)=0.33),
ROUND(
ROUND(((TRUNC(($AN686+0.01)*3/13,0)+0.99)*VLOOKUP((TRUNC(($AN686+0.01)*3/13,0)+0.99),'Tax scales - NAT 1004'!$A$65:$C$73,2,1)-VLOOKUP((TRUNC(($AN686+0.01)*3/13,0)+0.99),'Tax scales - NAT 1004'!$A$65:$C$73,3,1)),0)
*13/3,
0),
IF($E$2="Monthly",
ROUND(
ROUND(((TRUNC($AN686*3/13,0)+0.99)*VLOOKUP((TRUNC($AN686*3/13,0)+0.99),'Tax scales - NAT 1004'!$A$65:$C$73,2,1)-VLOOKUP((TRUNC($AN686*3/13,0)+0.99),'Tax scales - NAT 1004'!$A$65:$C$73,3,1)),0)
*13/3,
0),
""))),
""),
"")</f>
        <v/>
      </c>
      <c r="AU686" s="118" t="str">
        <f>IFERROR(
IF(VLOOKUP($C686,'Employee information'!$B:$M,COLUMNS('Employee information'!$B:$M),0)=11,
IF($E$2="Fortnightly",
ROUND(
ROUND((((TRUNC($AN686/2,0)+0.99))*VLOOKUP((TRUNC($AN686/2,0)+0.99),'Tax scales - NAT 3539'!$A$14:$C$38,2,1)-VLOOKUP((TRUNC($AN686/2,0)+0.99),'Tax scales - NAT 3539'!$A$14:$C$38,3,1)),0)
*2,
0),
IF(AND($E$2="Monthly",ROUND($AN686-TRUNC($AN686),2)=0.33),
ROUND(
ROUND(((TRUNC(($AN686+0.01)*3/13,0)+0.99)*VLOOKUP((TRUNC(($AN686+0.01)*3/13,0)+0.99),'Tax scales - NAT 3539'!$A$14:$C$38,2,1)-VLOOKUP((TRUNC(($AN686+0.01)*3/13,0)+0.99),'Tax scales - NAT 3539'!$A$14:$C$38,3,1)),0)
*13/3,
0),
IF($E$2="Monthly",
ROUND(
ROUND(((TRUNC($AN686*3/13,0)+0.99)*VLOOKUP((TRUNC($AN686*3/13,0)+0.99),'Tax scales - NAT 3539'!$A$14:$C$38,2,1)-VLOOKUP((TRUNC($AN686*3/13,0)+0.99),'Tax scales - NAT 3539'!$A$14:$C$38,3,1)),0)
*13/3,
0),
""))),
""),
"")</f>
        <v/>
      </c>
      <c r="AV686" s="118" t="str">
        <f>IFERROR(
IF(VLOOKUP($C686,'Employee information'!$B:$M,COLUMNS('Employee information'!$B:$M),0)=22,
IF($E$2="Fortnightly",
ROUND(
ROUND((((TRUNC($AN686/2,0)+0.99))*VLOOKUP((TRUNC($AN686/2,0)+0.99),'Tax scales - NAT 3539'!$A$43:$C$69,2,1)-VLOOKUP((TRUNC($AN686/2,0)+0.99),'Tax scales - NAT 3539'!$A$43:$C$69,3,1)),0)
*2,
0),
IF(AND($E$2="Monthly",ROUND($AN686-TRUNC($AN686),2)=0.33),
ROUND(
ROUND(((TRUNC(($AN686+0.01)*3/13,0)+0.99)*VLOOKUP((TRUNC(($AN686+0.01)*3/13,0)+0.99),'Tax scales - NAT 3539'!$A$43:$C$69,2,1)-VLOOKUP((TRUNC(($AN686+0.01)*3/13,0)+0.99),'Tax scales - NAT 3539'!$A$43:$C$69,3,1)),0)
*13/3,
0),
IF($E$2="Monthly",
ROUND(
ROUND(((TRUNC($AN686*3/13,0)+0.99)*VLOOKUP((TRUNC($AN686*3/13,0)+0.99),'Tax scales - NAT 3539'!$A$43:$C$69,2,1)-VLOOKUP((TRUNC($AN686*3/13,0)+0.99),'Tax scales - NAT 3539'!$A$43:$C$69,3,1)),0)
*13/3,
0),
""))),
""),
"")</f>
        <v/>
      </c>
      <c r="AW686" s="118" t="str">
        <f>IFERROR(
IF(VLOOKUP($C686,'Employee information'!$B:$M,COLUMNS('Employee information'!$B:$M),0)=33,
IF($E$2="Fortnightly",
ROUND(
ROUND((((TRUNC($AN686/2,0)+0.99))*VLOOKUP((TRUNC($AN686/2,0)+0.99),'Tax scales - NAT 3539'!$A$74:$C$94,2,1)-VLOOKUP((TRUNC($AN686/2,0)+0.99),'Tax scales - NAT 3539'!$A$74:$C$94,3,1)),0)
*2,
0),
IF(AND($E$2="Monthly",ROUND($AN686-TRUNC($AN686),2)=0.33),
ROUND(
ROUND(((TRUNC(($AN686+0.01)*3/13,0)+0.99)*VLOOKUP((TRUNC(($AN686+0.01)*3/13,0)+0.99),'Tax scales - NAT 3539'!$A$74:$C$94,2,1)-VLOOKUP((TRUNC(($AN686+0.01)*3/13,0)+0.99),'Tax scales - NAT 3539'!$A$74:$C$94,3,1)),0)
*13/3,
0),
IF($E$2="Monthly",
ROUND(
ROUND(((TRUNC($AN686*3/13,0)+0.99)*VLOOKUP((TRUNC($AN686*3/13,0)+0.99),'Tax scales - NAT 3539'!$A$74:$C$94,2,1)-VLOOKUP((TRUNC($AN686*3/13,0)+0.99),'Tax scales - NAT 3539'!$A$74:$C$94,3,1)),0)
*13/3,
0),
""))),
""),
"")</f>
        <v/>
      </c>
      <c r="AX686" s="118" t="str">
        <f>IFERROR(
IF(VLOOKUP($C686,'Employee information'!$B:$M,COLUMNS('Employee information'!$B:$M),0)=55,
IF($E$2="Fortnightly",
ROUND(
ROUND((((TRUNC($AN686/2,0)+0.99))*VLOOKUP((TRUNC($AN686/2,0)+0.99),'Tax scales - NAT 3539'!$A$99:$C$123,2,1)-VLOOKUP((TRUNC($AN686/2,0)+0.99),'Tax scales - NAT 3539'!$A$99:$C$123,3,1)),0)
*2,
0),
IF(AND($E$2="Monthly",ROUND($AN686-TRUNC($AN686),2)=0.33),
ROUND(
ROUND(((TRUNC(($AN686+0.01)*3/13,0)+0.99)*VLOOKUP((TRUNC(($AN686+0.01)*3/13,0)+0.99),'Tax scales - NAT 3539'!$A$99:$C$123,2,1)-VLOOKUP((TRUNC(($AN686+0.01)*3/13,0)+0.99),'Tax scales - NAT 3539'!$A$99:$C$123,3,1)),0)
*13/3,
0),
IF($E$2="Monthly",
ROUND(
ROUND(((TRUNC($AN686*3/13,0)+0.99)*VLOOKUP((TRUNC($AN686*3/13,0)+0.99),'Tax scales - NAT 3539'!$A$99:$C$123,2,1)-VLOOKUP((TRUNC($AN686*3/13,0)+0.99),'Tax scales - NAT 3539'!$A$99:$C$123,3,1)),0)
*13/3,
0),
""))),
""),
"")</f>
        <v/>
      </c>
      <c r="AY686" s="118" t="str">
        <f>IFERROR(
IF(VLOOKUP($C686,'Employee information'!$B:$M,COLUMNS('Employee information'!$B:$M),0)=66,
IF($E$2="Fortnightly",
ROUND(
ROUND((((TRUNC($AN686/2,0)+0.99))*VLOOKUP((TRUNC($AN686/2,0)+0.99),'Tax scales - NAT 3539'!$A$127:$C$154,2,1)-VLOOKUP((TRUNC($AN686/2,0)+0.99),'Tax scales - NAT 3539'!$A$127:$C$154,3,1)),0)
*2,
0),
IF(AND($E$2="Monthly",ROUND($AN686-TRUNC($AN686),2)=0.33),
ROUND(
ROUND(((TRUNC(($AN686+0.01)*3/13,0)+0.99)*VLOOKUP((TRUNC(($AN686+0.01)*3/13,0)+0.99),'Tax scales - NAT 3539'!$A$127:$C$154,2,1)-VLOOKUP((TRUNC(($AN686+0.01)*3/13,0)+0.99),'Tax scales - NAT 3539'!$A$127:$C$154,3,1)),0)
*13/3,
0),
IF($E$2="Monthly",
ROUND(
ROUND(((TRUNC($AN686*3/13,0)+0.99)*VLOOKUP((TRUNC($AN686*3/13,0)+0.99),'Tax scales - NAT 3539'!$A$127:$C$154,2,1)-VLOOKUP((TRUNC($AN686*3/13,0)+0.99),'Tax scales - NAT 3539'!$A$127:$C$154,3,1)),0)
*13/3,
0),
""))),
""),
"")</f>
        <v/>
      </c>
      <c r="AZ686" s="118">
        <f>IFERROR(
HLOOKUP(VLOOKUP($C686,'Employee information'!$B:$M,COLUMNS('Employee information'!$B:$M),0),'PAYG worksheet'!$AO$677:$AY$696,COUNTA($C$678:$C686)+1,0),
0)</f>
        <v>0</v>
      </c>
      <c r="BA686" s="118"/>
      <c r="BB686" s="118">
        <f t="shared" si="728"/>
        <v>0</v>
      </c>
      <c r="BC686" s="119">
        <f>IFERROR(
IF(OR($AE686=1,$AE686=""),SUM($P686,$AA686,$AC686,$AK686)*VLOOKUP($C686,'Employee information'!$B:$Q,COLUMNS('Employee information'!$B:$H),0),
IF($AE686=0,SUM($P686,$AA686,$AK686)*VLOOKUP($C686,'Employee information'!$B:$Q,COLUMNS('Employee information'!$B:$H),0),
0)),
0)</f>
        <v>0</v>
      </c>
      <c r="BE686" s="114">
        <f t="shared" si="713"/>
        <v>0</v>
      </c>
      <c r="BF686" s="114">
        <f t="shared" si="714"/>
        <v>0</v>
      </c>
      <c r="BG686" s="114">
        <f t="shared" si="715"/>
        <v>0</v>
      </c>
      <c r="BH686" s="114">
        <f t="shared" si="716"/>
        <v>0</v>
      </c>
      <c r="BI686" s="114">
        <f t="shared" si="717"/>
        <v>0</v>
      </c>
      <c r="BJ686" s="114">
        <f t="shared" si="718"/>
        <v>0</v>
      </c>
      <c r="BK686" s="114">
        <f t="shared" si="719"/>
        <v>0</v>
      </c>
      <c r="BL686" s="114">
        <f t="shared" si="729"/>
        <v>0</v>
      </c>
      <c r="BM686" s="114">
        <f t="shared" si="720"/>
        <v>0</v>
      </c>
    </row>
    <row r="687" spans="1:65" x14ac:dyDescent="0.25">
      <c r="A687" s="228">
        <f t="shared" si="708"/>
        <v>24</v>
      </c>
      <c r="C687" s="278"/>
      <c r="E687" s="103">
        <f>IF($C687="",0,
IF(AND($E$2="Monthly",$A687&gt;12),0,
IF($E$2="Monthly",VLOOKUP($C687,'Employee information'!$B:$AM,COLUMNS('Employee information'!$B:S),0),
IF($E$2="Fortnightly",VLOOKUP($C687,'Employee information'!$B:$AM,COLUMNS('Employee information'!$B:R),0),
0))))</f>
        <v>0</v>
      </c>
      <c r="F687" s="106"/>
      <c r="G687" s="106"/>
      <c r="H687" s="106"/>
      <c r="I687" s="106"/>
      <c r="J687" s="103">
        <f t="shared" si="721"/>
        <v>0</v>
      </c>
      <c r="L687" s="113">
        <f>IF(AND($E$2="Monthly",$A687&gt;12),"",
IFERROR($J687*VLOOKUP($C687,'Employee information'!$B:$AI,COLUMNS('Employee information'!$B:$P),0),0))</f>
        <v>0</v>
      </c>
      <c r="M687" s="114">
        <f t="shared" si="722"/>
        <v>0</v>
      </c>
      <c r="O687" s="103">
        <f>IF($E$2="Monthly",
IF(AND($E$2="Monthly",$H687&lt;&gt;""),$H687,
IF(AND($E$2="Monthly",$E687=0),$F687,
$E687)),
IF($E$2="Fortnightly",
IF(AND($E$2="Fortnightly",$H687&lt;&gt;""),$H687,
IF(AND($E$2="Fortnightly",$F687&lt;&gt;"",$E687&lt;&gt;0),$F687,
IF(AND($E$2="Fortnightly",$E687=0),$F687,
$E687)))))</f>
        <v>0</v>
      </c>
      <c r="P687" s="113">
        <f>IFERROR(
IF(AND($E$2="Monthly",$A687&gt;12),0,
$O687*VLOOKUP($C687,'Employee information'!$B:$AI,COLUMNS('Employee information'!$B:$P),0)),
0)</f>
        <v>0</v>
      </c>
      <c r="R687" s="114">
        <f t="shared" si="709"/>
        <v>0</v>
      </c>
      <c r="T687" s="103"/>
      <c r="U687" s="103"/>
      <c r="V687" s="282" t="str">
        <f>IF($C687="","",
IF(AND($E$2="Monthly",$A687&gt;12),"",
$T687*VLOOKUP($C687,'Employee information'!$B:$P,COLUMNS('Employee information'!$B:$P),0)))</f>
        <v/>
      </c>
      <c r="W687" s="282" t="str">
        <f>IF($C687="","",
IF(AND($E$2="Monthly",$A687&gt;12),"",
$U687*VLOOKUP($C687,'Employee information'!$B:$P,COLUMNS('Employee information'!$B:$P),0)))</f>
        <v/>
      </c>
      <c r="X687" s="114">
        <f t="shared" si="710"/>
        <v>0</v>
      </c>
      <c r="Y687" s="114">
        <f t="shared" si="711"/>
        <v>0</v>
      </c>
      <c r="AA687" s="118">
        <f>IFERROR(
IF(OR('Basic payroll data'!$D$12="",'Basic payroll data'!$D$12="No"),0,
$T687*VLOOKUP($C687,'Employee information'!$B:$P,COLUMNS('Employee information'!$B:$P),0)*AL_loading_perc),
0)</f>
        <v>0</v>
      </c>
      <c r="AC687" s="118"/>
      <c r="AD687" s="118"/>
      <c r="AE687" s="283" t="str">
        <f t="shared" si="724"/>
        <v/>
      </c>
      <c r="AF687" s="283" t="str">
        <f t="shared" si="725"/>
        <v/>
      </c>
      <c r="AG687" s="118"/>
      <c r="AH687" s="118"/>
      <c r="AI687" s="283" t="str">
        <f t="shared" si="726"/>
        <v/>
      </c>
      <c r="AJ687" s="118"/>
      <c r="AK687" s="118"/>
      <c r="AM687" s="118">
        <f t="shared" si="727"/>
        <v>0</v>
      </c>
      <c r="AN687" s="118">
        <f t="shared" si="712"/>
        <v>0</v>
      </c>
      <c r="AO687" s="118" t="str">
        <f>IFERROR(
IF(VLOOKUP($C687,'Employee information'!$B:$M,COLUMNS('Employee information'!$B:$M),0)=1,
IF($E$2="Fortnightly",
ROUND(
ROUND((((TRUNC($AN687/2,0)+0.99))*VLOOKUP((TRUNC($AN687/2,0)+0.99),'Tax scales - NAT 1004'!$A$12:$C$18,2,1)-VLOOKUP((TRUNC($AN687/2,0)+0.99),'Tax scales - NAT 1004'!$A$12:$C$18,3,1)),0)
*2,
0),
IF(AND($E$2="Monthly",ROUND($AN687-TRUNC($AN687),2)=0.33),
ROUND(
ROUND(((TRUNC(($AN687+0.01)*3/13,0)+0.99)*VLOOKUP((TRUNC(($AN687+0.01)*3/13,0)+0.99),'Tax scales - NAT 1004'!$A$12:$C$18,2,1)-VLOOKUP((TRUNC(($AN687+0.01)*3/13,0)+0.99),'Tax scales - NAT 1004'!$A$12:$C$18,3,1)),0)
*13/3,
0),
IF($E$2="Monthly",
ROUND(
ROUND(((TRUNC($AN687*3/13,0)+0.99)*VLOOKUP((TRUNC($AN687*3/13,0)+0.99),'Tax scales - NAT 1004'!$A$12:$C$18,2,1)-VLOOKUP((TRUNC($AN687*3/13,0)+0.99),'Tax scales - NAT 1004'!$A$12:$C$18,3,1)),0)
*13/3,
0),
""))),
""),
"")</f>
        <v/>
      </c>
      <c r="AP687" s="118" t="str">
        <f>IFERROR(
IF(VLOOKUP($C687,'Employee information'!$B:$M,COLUMNS('Employee information'!$B:$M),0)=2,
IF($E$2="Fortnightly",
ROUND(
ROUND((((TRUNC($AN687/2,0)+0.99))*VLOOKUP((TRUNC($AN687/2,0)+0.99),'Tax scales - NAT 1004'!$A$25:$C$33,2,1)-VLOOKUP((TRUNC($AN687/2,0)+0.99),'Tax scales - NAT 1004'!$A$25:$C$33,3,1)),0)
*2,
0),
IF(AND($E$2="Monthly",ROUND($AN687-TRUNC($AN687),2)=0.33),
ROUND(
ROUND(((TRUNC(($AN687+0.01)*3/13,0)+0.99)*VLOOKUP((TRUNC(($AN687+0.01)*3/13,0)+0.99),'Tax scales - NAT 1004'!$A$25:$C$33,2,1)-VLOOKUP((TRUNC(($AN687+0.01)*3/13,0)+0.99),'Tax scales - NAT 1004'!$A$25:$C$33,3,1)),0)
*13/3,
0),
IF($E$2="Monthly",
ROUND(
ROUND(((TRUNC($AN687*3/13,0)+0.99)*VLOOKUP((TRUNC($AN687*3/13,0)+0.99),'Tax scales - NAT 1004'!$A$25:$C$33,2,1)-VLOOKUP((TRUNC($AN687*3/13,0)+0.99),'Tax scales - NAT 1004'!$A$25:$C$33,3,1)),0)
*13/3,
0),
""))),
""),
"")</f>
        <v/>
      </c>
      <c r="AQ687" s="118" t="str">
        <f>IFERROR(
IF(VLOOKUP($C687,'Employee information'!$B:$M,COLUMNS('Employee information'!$B:$M),0)=3,
IF($E$2="Fortnightly",
ROUND(
ROUND((((TRUNC($AN687/2,0)+0.99))*VLOOKUP((TRUNC($AN687/2,0)+0.99),'Tax scales - NAT 1004'!$A$39:$C$41,2,1)-VLOOKUP((TRUNC($AN687/2,0)+0.99),'Tax scales - NAT 1004'!$A$39:$C$41,3,1)),0)
*2,
0),
IF(AND($E$2="Monthly",ROUND($AN687-TRUNC($AN687),2)=0.33),
ROUND(
ROUND(((TRUNC(($AN687+0.01)*3/13,0)+0.99)*VLOOKUP((TRUNC(($AN687+0.01)*3/13,0)+0.99),'Tax scales - NAT 1004'!$A$39:$C$41,2,1)-VLOOKUP((TRUNC(($AN687+0.01)*3/13,0)+0.99),'Tax scales - NAT 1004'!$A$39:$C$41,3,1)),0)
*13/3,
0),
IF($E$2="Monthly",
ROUND(
ROUND(((TRUNC($AN687*3/13,0)+0.99)*VLOOKUP((TRUNC($AN687*3/13,0)+0.99),'Tax scales - NAT 1004'!$A$39:$C$41,2,1)-VLOOKUP((TRUNC($AN687*3/13,0)+0.99),'Tax scales - NAT 1004'!$A$39:$C$41,3,1)),0)
*13/3,
0),
""))),
""),
"")</f>
        <v/>
      </c>
      <c r="AR687" s="118" t="str">
        <f>IFERROR(
IF(AND(VLOOKUP($C687,'Employee information'!$B:$M,COLUMNS('Employee information'!$B:$M),0)=4,
VLOOKUP($C687,'Employee information'!$B:$J,COLUMNS('Employee information'!$B:$J),0)="Resident"),
TRUNC(TRUNC($AN687)*'Tax scales - NAT 1004'!$B$47),
IF(AND(VLOOKUP($C687,'Employee information'!$B:$M,COLUMNS('Employee information'!$B:$M),0)=4,
VLOOKUP($C687,'Employee information'!$B:$J,COLUMNS('Employee information'!$B:$J),0)="Foreign resident"),
TRUNC(TRUNC($AN687)*'Tax scales - NAT 1004'!$B$48),
"")),
"")</f>
        <v/>
      </c>
      <c r="AS687" s="118" t="str">
        <f>IFERROR(
IF(VLOOKUP($C687,'Employee information'!$B:$M,COLUMNS('Employee information'!$B:$M),0)=5,
IF($E$2="Fortnightly",
ROUND(
ROUND((((TRUNC($AN687/2,0)+0.99))*VLOOKUP((TRUNC($AN687/2,0)+0.99),'Tax scales - NAT 1004'!$A$53:$C$59,2,1)-VLOOKUP((TRUNC($AN687/2,0)+0.99),'Tax scales - NAT 1004'!$A$53:$C$59,3,1)),0)
*2,
0),
IF(AND($E$2="Monthly",ROUND($AN687-TRUNC($AN687),2)=0.33),
ROUND(
ROUND(((TRUNC(($AN687+0.01)*3/13,0)+0.99)*VLOOKUP((TRUNC(($AN687+0.01)*3/13,0)+0.99),'Tax scales - NAT 1004'!$A$53:$C$59,2,1)-VLOOKUP((TRUNC(($AN687+0.01)*3/13,0)+0.99),'Tax scales - NAT 1004'!$A$53:$C$59,3,1)),0)
*13/3,
0),
IF($E$2="Monthly",
ROUND(
ROUND(((TRUNC($AN687*3/13,0)+0.99)*VLOOKUP((TRUNC($AN687*3/13,0)+0.99),'Tax scales - NAT 1004'!$A$53:$C$59,2,1)-VLOOKUP((TRUNC($AN687*3/13,0)+0.99),'Tax scales - NAT 1004'!$A$53:$C$59,3,1)),0)
*13/3,
0),
""))),
""),
"")</f>
        <v/>
      </c>
      <c r="AT687" s="118" t="str">
        <f>IFERROR(
IF(VLOOKUP($C687,'Employee information'!$B:$M,COLUMNS('Employee information'!$B:$M),0)=6,
IF($E$2="Fortnightly",
ROUND(
ROUND((((TRUNC($AN687/2,0)+0.99))*VLOOKUP((TRUNC($AN687/2,0)+0.99),'Tax scales - NAT 1004'!$A$65:$C$73,2,1)-VLOOKUP((TRUNC($AN687/2,0)+0.99),'Tax scales - NAT 1004'!$A$65:$C$73,3,1)),0)
*2,
0),
IF(AND($E$2="Monthly",ROUND($AN687-TRUNC($AN687),2)=0.33),
ROUND(
ROUND(((TRUNC(($AN687+0.01)*3/13,0)+0.99)*VLOOKUP((TRUNC(($AN687+0.01)*3/13,0)+0.99),'Tax scales - NAT 1004'!$A$65:$C$73,2,1)-VLOOKUP((TRUNC(($AN687+0.01)*3/13,0)+0.99),'Tax scales - NAT 1004'!$A$65:$C$73,3,1)),0)
*13/3,
0),
IF($E$2="Monthly",
ROUND(
ROUND(((TRUNC($AN687*3/13,0)+0.99)*VLOOKUP((TRUNC($AN687*3/13,0)+0.99),'Tax scales - NAT 1004'!$A$65:$C$73,2,1)-VLOOKUP((TRUNC($AN687*3/13,0)+0.99),'Tax scales - NAT 1004'!$A$65:$C$73,3,1)),0)
*13/3,
0),
""))),
""),
"")</f>
        <v/>
      </c>
      <c r="AU687" s="118" t="str">
        <f>IFERROR(
IF(VLOOKUP($C687,'Employee information'!$B:$M,COLUMNS('Employee information'!$B:$M),0)=11,
IF($E$2="Fortnightly",
ROUND(
ROUND((((TRUNC($AN687/2,0)+0.99))*VLOOKUP((TRUNC($AN687/2,0)+0.99),'Tax scales - NAT 3539'!$A$14:$C$38,2,1)-VLOOKUP((TRUNC($AN687/2,0)+0.99),'Tax scales - NAT 3539'!$A$14:$C$38,3,1)),0)
*2,
0),
IF(AND($E$2="Monthly",ROUND($AN687-TRUNC($AN687),2)=0.33),
ROUND(
ROUND(((TRUNC(($AN687+0.01)*3/13,0)+0.99)*VLOOKUP((TRUNC(($AN687+0.01)*3/13,0)+0.99),'Tax scales - NAT 3539'!$A$14:$C$38,2,1)-VLOOKUP((TRUNC(($AN687+0.01)*3/13,0)+0.99),'Tax scales - NAT 3539'!$A$14:$C$38,3,1)),0)
*13/3,
0),
IF($E$2="Monthly",
ROUND(
ROUND(((TRUNC($AN687*3/13,0)+0.99)*VLOOKUP((TRUNC($AN687*3/13,0)+0.99),'Tax scales - NAT 3539'!$A$14:$C$38,2,1)-VLOOKUP((TRUNC($AN687*3/13,0)+0.99),'Tax scales - NAT 3539'!$A$14:$C$38,3,1)),0)
*13/3,
0),
""))),
""),
"")</f>
        <v/>
      </c>
      <c r="AV687" s="118" t="str">
        <f>IFERROR(
IF(VLOOKUP($C687,'Employee information'!$B:$M,COLUMNS('Employee information'!$B:$M),0)=22,
IF($E$2="Fortnightly",
ROUND(
ROUND((((TRUNC($AN687/2,0)+0.99))*VLOOKUP((TRUNC($AN687/2,0)+0.99),'Tax scales - NAT 3539'!$A$43:$C$69,2,1)-VLOOKUP((TRUNC($AN687/2,0)+0.99),'Tax scales - NAT 3539'!$A$43:$C$69,3,1)),0)
*2,
0),
IF(AND($E$2="Monthly",ROUND($AN687-TRUNC($AN687),2)=0.33),
ROUND(
ROUND(((TRUNC(($AN687+0.01)*3/13,0)+0.99)*VLOOKUP((TRUNC(($AN687+0.01)*3/13,0)+0.99),'Tax scales - NAT 3539'!$A$43:$C$69,2,1)-VLOOKUP((TRUNC(($AN687+0.01)*3/13,0)+0.99),'Tax scales - NAT 3539'!$A$43:$C$69,3,1)),0)
*13/3,
0),
IF($E$2="Monthly",
ROUND(
ROUND(((TRUNC($AN687*3/13,0)+0.99)*VLOOKUP((TRUNC($AN687*3/13,0)+0.99),'Tax scales - NAT 3539'!$A$43:$C$69,2,1)-VLOOKUP((TRUNC($AN687*3/13,0)+0.99),'Tax scales - NAT 3539'!$A$43:$C$69,3,1)),0)
*13/3,
0),
""))),
""),
"")</f>
        <v/>
      </c>
      <c r="AW687" s="118" t="str">
        <f>IFERROR(
IF(VLOOKUP($C687,'Employee information'!$B:$M,COLUMNS('Employee information'!$B:$M),0)=33,
IF($E$2="Fortnightly",
ROUND(
ROUND((((TRUNC($AN687/2,0)+0.99))*VLOOKUP((TRUNC($AN687/2,0)+0.99),'Tax scales - NAT 3539'!$A$74:$C$94,2,1)-VLOOKUP((TRUNC($AN687/2,0)+0.99),'Tax scales - NAT 3539'!$A$74:$C$94,3,1)),0)
*2,
0),
IF(AND($E$2="Monthly",ROUND($AN687-TRUNC($AN687),2)=0.33),
ROUND(
ROUND(((TRUNC(($AN687+0.01)*3/13,0)+0.99)*VLOOKUP((TRUNC(($AN687+0.01)*3/13,0)+0.99),'Tax scales - NAT 3539'!$A$74:$C$94,2,1)-VLOOKUP((TRUNC(($AN687+0.01)*3/13,0)+0.99),'Tax scales - NAT 3539'!$A$74:$C$94,3,1)),0)
*13/3,
0),
IF($E$2="Monthly",
ROUND(
ROUND(((TRUNC($AN687*3/13,0)+0.99)*VLOOKUP((TRUNC($AN687*3/13,0)+0.99),'Tax scales - NAT 3539'!$A$74:$C$94,2,1)-VLOOKUP((TRUNC($AN687*3/13,0)+0.99),'Tax scales - NAT 3539'!$A$74:$C$94,3,1)),0)
*13/3,
0),
""))),
""),
"")</f>
        <v/>
      </c>
      <c r="AX687" s="118" t="str">
        <f>IFERROR(
IF(VLOOKUP($C687,'Employee information'!$B:$M,COLUMNS('Employee information'!$B:$M),0)=55,
IF($E$2="Fortnightly",
ROUND(
ROUND((((TRUNC($AN687/2,0)+0.99))*VLOOKUP((TRUNC($AN687/2,0)+0.99),'Tax scales - NAT 3539'!$A$99:$C$123,2,1)-VLOOKUP((TRUNC($AN687/2,0)+0.99),'Tax scales - NAT 3539'!$A$99:$C$123,3,1)),0)
*2,
0),
IF(AND($E$2="Monthly",ROUND($AN687-TRUNC($AN687),2)=0.33),
ROUND(
ROUND(((TRUNC(($AN687+0.01)*3/13,0)+0.99)*VLOOKUP((TRUNC(($AN687+0.01)*3/13,0)+0.99),'Tax scales - NAT 3539'!$A$99:$C$123,2,1)-VLOOKUP((TRUNC(($AN687+0.01)*3/13,0)+0.99),'Tax scales - NAT 3539'!$A$99:$C$123,3,1)),0)
*13/3,
0),
IF($E$2="Monthly",
ROUND(
ROUND(((TRUNC($AN687*3/13,0)+0.99)*VLOOKUP((TRUNC($AN687*3/13,0)+0.99),'Tax scales - NAT 3539'!$A$99:$C$123,2,1)-VLOOKUP((TRUNC($AN687*3/13,0)+0.99),'Tax scales - NAT 3539'!$A$99:$C$123,3,1)),0)
*13/3,
0),
""))),
""),
"")</f>
        <v/>
      </c>
      <c r="AY687" s="118" t="str">
        <f>IFERROR(
IF(VLOOKUP($C687,'Employee information'!$B:$M,COLUMNS('Employee information'!$B:$M),0)=66,
IF($E$2="Fortnightly",
ROUND(
ROUND((((TRUNC($AN687/2,0)+0.99))*VLOOKUP((TRUNC($AN687/2,0)+0.99),'Tax scales - NAT 3539'!$A$127:$C$154,2,1)-VLOOKUP((TRUNC($AN687/2,0)+0.99),'Tax scales - NAT 3539'!$A$127:$C$154,3,1)),0)
*2,
0),
IF(AND($E$2="Monthly",ROUND($AN687-TRUNC($AN687),2)=0.33),
ROUND(
ROUND(((TRUNC(($AN687+0.01)*3/13,0)+0.99)*VLOOKUP((TRUNC(($AN687+0.01)*3/13,0)+0.99),'Tax scales - NAT 3539'!$A$127:$C$154,2,1)-VLOOKUP((TRUNC(($AN687+0.01)*3/13,0)+0.99),'Tax scales - NAT 3539'!$A$127:$C$154,3,1)),0)
*13/3,
0),
IF($E$2="Monthly",
ROUND(
ROUND(((TRUNC($AN687*3/13,0)+0.99)*VLOOKUP((TRUNC($AN687*3/13,0)+0.99),'Tax scales - NAT 3539'!$A$127:$C$154,2,1)-VLOOKUP((TRUNC($AN687*3/13,0)+0.99),'Tax scales - NAT 3539'!$A$127:$C$154,3,1)),0)
*13/3,
0),
""))),
""),
"")</f>
        <v/>
      </c>
      <c r="AZ687" s="118">
        <f>IFERROR(
HLOOKUP(VLOOKUP($C687,'Employee information'!$B:$M,COLUMNS('Employee information'!$B:$M),0),'PAYG worksheet'!$AO$677:$AY$696,COUNTA($C$678:$C687)+1,0),
0)</f>
        <v>0</v>
      </c>
      <c r="BA687" s="118"/>
      <c r="BB687" s="118">
        <f t="shared" si="728"/>
        <v>0</v>
      </c>
      <c r="BC687" s="119">
        <f>IFERROR(
IF(OR($AE687=1,$AE687=""),SUM($P687,$AA687,$AC687,$AK687)*VLOOKUP($C687,'Employee information'!$B:$Q,COLUMNS('Employee information'!$B:$H),0),
IF($AE687=0,SUM($P687,$AA687,$AK687)*VLOOKUP($C687,'Employee information'!$B:$Q,COLUMNS('Employee information'!$B:$H),0),
0)),
0)</f>
        <v>0</v>
      </c>
      <c r="BE687" s="114">
        <f t="shared" si="713"/>
        <v>0</v>
      </c>
      <c r="BF687" s="114">
        <f t="shared" si="714"/>
        <v>0</v>
      </c>
      <c r="BG687" s="114">
        <f t="shared" si="715"/>
        <v>0</v>
      </c>
      <c r="BH687" s="114">
        <f t="shared" si="716"/>
        <v>0</v>
      </c>
      <c r="BI687" s="114">
        <f t="shared" si="717"/>
        <v>0</v>
      </c>
      <c r="BJ687" s="114">
        <f t="shared" si="718"/>
        <v>0</v>
      </c>
      <c r="BK687" s="114">
        <f t="shared" si="719"/>
        <v>0</v>
      </c>
      <c r="BL687" s="114">
        <f t="shared" si="729"/>
        <v>0</v>
      </c>
      <c r="BM687" s="114">
        <f t="shared" si="720"/>
        <v>0</v>
      </c>
    </row>
    <row r="688" spans="1:65" x14ac:dyDescent="0.25">
      <c r="A688" s="228">
        <f t="shared" si="708"/>
        <v>24</v>
      </c>
      <c r="C688" s="278"/>
      <c r="E688" s="103">
        <f>IF($C688="",0,
IF(AND($E$2="Monthly",$A688&gt;12),0,
IF($E$2="Monthly",VLOOKUP($C688,'Employee information'!$B:$AM,COLUMNS('Employee information'!$B:S),0),
IF($E$2="Fortnightly",VLOOKUP($C688,'Employee information'!$B:$AM,COLUMNS('Employee information'!$B:R),0),
0))))</f>
        <v>0</v>
      </c>
      <c r="F688" s="106"/>
      <c r="G688" s="106"/>
      <c r="H688" s="106"/>
      <c r="I688" s="106"/>
      <c r="J688" s="103">
        <f t="shared" si="721"/>
        <v>0</v>
      </c>
      <c r="L688" s="113">
        <f>IF(AND($E$2="Monthly",$A688&gt;12),"",
IFERROR($J688*VLOOKUP($C688,'Employee information'!$B:$AI,COLUMNS('Employee information'!$B:$P),0),0))</f>
        <v>0</v>
      </c>
      <c r="M688" s="114">
        <f t="shared" si="722"/>
        <v>0</v>
      </c>
      <c r="O688" s="103">
        <f t="shared" si="723"/>
        <v>0</v>
      </c>
      <c r="P688" s="113">
        <f>IFERROR(
IF(AND($E$2="Monthly",$A688&gt;12),0,
$O688*VLOOKUP($C688,'Employee information'!$B:$AI,COLUMNS('Employee information'!$B:$P),0)),
0)</f>
        <v>0</v>
      </c>
      <c r="R688" s="114">
        <f t="shared" si="709"/>
        <v>0</v>
      </c>
      <c r="T688" s="103"/>
      <c r="U688" s="103"/>
      <c r="V688" s="282" t="str">
        <f>IF($C688="","",
IF(AND($E$2="Monthly",$A688&gt;12),"",
$T688*VLOOKUP($C688,'Employee information'!$B:$P,COLUMNS('Employee information'!$B:$P),0)))</f>
        <v/>
      </c>
      <c r="W688" s="282" t="str">
        <f>IF($C688="","",
IF(AND($E$2="Monthly",$A688&gt;12),"",
$U688*VLOOKUP($C688,'Employee information'!$B:$P,COLUMNS('Employee information'!$B:$P),0)))</f>
        <v/>
      </c>
      <c r="X688" s="114">
        <f t="shared" si="710"/>
        <v>0</v>
      </c>
      <c r="Y688" s="114">
        <f t="shared" si="711"/>
        <v>0</v>
      </c>
      <c r="AA688" s="118">
        <f>IFERROR(
IF(OR('Basic payroll data'!$D$12="",'Basic payroll data'!$D$12="No"),0,
$T688*VLOOKUP($C688,'Employee information'!$B:$P,COLUMNS('Employee information'!$B:$P),0)*AL_loading_perc),
0)</f>
        <v>0</v>
      </c>
      <c r="AC688" s="118"/>
      <c r="AD688" s="118"/>
      <c r="AE688" s="283" t="str">
        <f t="shared" si="724"/>
        <v/>
      </c>
      <c r="AF688" s="283" t="str">
        <f t="shared" si="725"/>
        <v/>
      </c>
      <c r="AG688" s="118"/>
      <c r="AH688" s="118"/>
      <c r="AI688" s="283" t="str">
        <f t="shared" si="726"/>
        <v/>
      </c>
      <c r="AJ688" s="118"/>
      <c r="AK688" s="118"/>
      <c r="AM688" s="118">
        <f t="shared" si="727"/>
        <v>0</v>
      </c>
      <c r="AN688" s="118">
        <f t="shared" si="712"/>
        <v>0</v>
      </c>
      <c r="AO688" s="118" t="str">
        <f>IFERROR(
IF(VLOOKUP($C688,'Employee information'!$B:$M,COLUMNS('Employee information'!$B:$M),0)=1,
IF($E$2="Fortnightly",
ROUND(
ROUND((((TRUNC($AN688/2,0)+0.99))*VLOOKUP((TRUNC($AN688/2,0)+0.99),'Tax scales - NAT 1004'!$A$12:$C$18,2,1)-VLOOKUP((TRUNC($AN688/2,0)+0.99),'Tax scales - NAT 1004'!$A$12:$C$18,3,1)),0)
*2,
0),
IF(AND($E$2="Monthly",ROUND($AN688-TRUNC($AN688),2)=0.33),
ROUND(
ROUND(((TRUNC(($AN688+0.01)*3/13,0)+0.99)*VLOOKUP((TRUNC(($AN688+0.01)*3/13,0)+0.99),'Tax scales - NAT 1004'!$A$12:$C$18,2,1)-VLOOKUP((TRUNC(($AN688+0.01)*3/13,0)+0.99),'Tax scales - NAT 1004'!$A$12:$C$18,3,1)),0)
*13/3,
0),
IF($E$2="Monthly",
ROUND(
ROUND(((TRUNC($AN688*3/13,0)+0.99)*VLOOKUP((TRUNC($AN688*3/13,0)+0.99),'Tax scales - NAT 1004'!$A$12:$C$18,2,1)-VLOOKUP((TRUNC($AN688*3/13,0)+0.99),'Tax scales - NAT 1004'!$A$12:$C$18,3,1)),0)
*13/3,
0),
""))),
""),
"")</f>
        <v/>
      </c>
      <c r="AP688" s="118" t="str">
        <f>IFERROR(
IF(VLOOKUP($C688,'Employee information'!$B:$M,COLUMNS('Employee information'!$B:$M),0)=2,
IF($E$2="Fortnightly",
ROUND(
ROUND((((TRUNC($AN688/2,0)+0.99))*VLOOKUP((TRUNC($AN688/2,0)+0.99),'Tax scales - NAT 1004'!$A$25:$C$33,2,1)-VLOOKUP((TRUNC($AN688/2,0)+0.99),'Tax scales - NAT 1004'!$A$25:$C$33,3,1)),0)
*2,
0),
IF(AND($E$2="Monthly",ROUND($AN688-TRUNC($AN688),2)=0.33),
ROUND(
ROUND(((TRUNC(($AN688+0.01)*3/13,0)+0.99)*VLOOKUP((TRUNC(($AN688+0.01)*3/13,0)+0.99),'Tax scales - NAT 1004'!$A$25:$C$33,2,1)-VLOOKUP((TRUNC(($AN688+0.01)*3/13,0)+0.99),'Tax scales - NAT 1004'!$A$25:$C$33,3,1)),0)
*13/3,
0),
IF($E$2="Monthly",
ROUND(
ROUND(((TRUNC($AN688*3/13,0)+0.99)*VLOOKUP((TRUNC($AN688*3/13,0)+0.99),'Tax scales - NAT 1004'!$A$25:$C$33,2,1)-VLOOKUP((TRUNC($AN688*3/13,0)+0.99),'Tax scales - NAT 1004'!$A$25:$C$33,3,1)),0)
*13/3,
0),
""))),
""),
"")</f>
        <v/>
      </c>
      <c r="AQ688" s="118" t="str">
        <f>IFERROR(
IF(VLOOKUP($C688,'Employee information'!$B:$M,COLUMNS('Employee information'!$B:$M),0)=3,
IF($E$2="Fortnightly",
ROUND(
ROUND((((TRUNC($AN688/2,0)+0.99))*VLOOKUP((TRUNC($AN688/2,0)+0.99),'Tax scales - NAT 1004'!$A$39:$C$41,2,1)-VLOOKUP((TRUNC($AN688/2,0)+0.99),'Tax scales - NAT 1004'!$A$39:$C$41,3,1)),0)
*2,
0),
IF(AND($E$2="Monthly",ROUND($AN688-TRUNC($AN688),2)=0.33),
ROUND(
ROUND(((TRUNC(($AN688+0.01)*3/13,0)+0.99)*VLOOKUP((TRUNC(($AN688+0.01)*3/13,0)+0.99),'Tax scales - NAT 1004'!$A$39:$C$41,2,1)-VLOOKUP((TRUNC(($AN688+0.01)*3/13,0)+0.99),'Tax scales - NAT 1004'!$A$39:$C$41,3,1)),0)
*13/3,
0),
IF($E$2="Monthly",
ROUND(
ROUND(((TRUNC($AN688*3/13,0)+0.99)*VLOOKUP((TRUNC($AN688*3/13,0)+0.99),'Tax scales - NAT 1004'!$A$39:$C$41,2,1)-VLOOKUP((TRUNC($AN688*3/13,0)+0.99),'Tax scales - NAT 1004'!$A$39:$C$41,3,1)),0)
*13/3,
0),
""))),
""),
"")</f>
        <v/>
      </c>
      <c r="AR688" s="118" t="str">
        <f>IFERROR(
IF(AND(VLOOKUP($C688,'Employee information'!$B:$M,COLUMNS('Employee information'!$B:$M),0)=4,
VLOOKUP($C688,'Employee information'!$B:$J,COLUMNS('Employee information'!$B:$J),0)="Resident"),
TRUNC(TRUNC($AN688)*'Tax scales - NAT 1004'!$B$47),
IF(AND(VLOOKUP($C688,'Employee information'!$B:$M,COLUMNS('Employee information'!$B:$M),0)=4,
VLOOKUP($C688,'Employee information'!$B:$J,COLUMNS('Employee information'!$B:$J),0)="Foreign resident"),
TRUNC(TRUNC($AN688)*'Tax scales - NAT 1004'!$B$48),
"")),
"")</f>
        <v/>
      </c>
      <c r="AS688" s="118" t="str">
        <f>IFERROR(
IF(VLOOKUP($C688,'Employee information'!$B:$M,COLUMNS('Employee information'!$B:$M),0)=5,
IF($E$2="Fortnightly",
ROUND(
ROUND((((TRUNC($AN688/2,0)+0.99))*VLOOKUP((TRUNC($AN688/2,0)+0.99),'Tax scales - NAT 1004'!$A$53:$C$59,2,1)-VLOOKUP((TRUNC($AN688/2,0)+0.99),'Tax scales - NAT 1004'!$A$53:$C$59,3,1)),0)
*2,
0),
IF(AND($E$2="Monthly",ROUND($AN688-TRUNC($AN688),2)=0.33),
ROUND(
ROUND(((TRUNC(($AN688+0.01)*3/13,0)+0.99)*VLOOKUP((TRUNC(($AN688+0.01)*3/13,0)+0.99),'Tax scales - NAT 1004'!$A$53:$C$59,2,1)-VLOOKUP((TRUNC(($AN688+0.01)*3/13,0)+0.99),'Tax scales - NAT 1004'!$A$53:$C$59,3,1)),0)
*13/3,
0),
IF($E$2="Monthly",
ROUND(
ROUND(((TRUNC($AN688*3/13,0)+0.99)*VLOOKUP((TRUNC($AN688*3/13,0)+0.99),'Tax scales - NAT 1004'!$A$53:$C$59,2,1)-VLOOKUP((TRUNC($AN688*3/13,0)+0.99),'Tax scales - NAT 1004'!$A$53:$C$59,3,1)),0)
*13/3,
0),
""))),
""),
"")</f>
        <v/>
      </c>
      <c r="AT688" s="118" t="str">
        <f>IFERROR(
IF(VLOOKUP($C688,'Employee information'!$B:$M,COLUMNS('Employee information'!$B:$M),0)=6,
IF($E$2="Fortnightly",
ROUND(
ROUND((((TRUNC($AN688/2,0)+0.99))*VLOOKUP((TRUNC($AN688/2,0)+0.99),'Tax scales - NAT 1004'!$A$65:$C$73,2,1)-VLOOKUP((TRUNC($AN688/2,0)+0.99),'Tax scales - NAT 1004'!$A$65:$C$73,3,1)),0)
*2,
0),
IF(AND($E$2="Monthly",ROUND($AN688-TRUNC($AN688),2)=0.33),
ROUND(
ROUND(((TRUNC(($AN688+0.01)*3/13,0)+0.99)*VLOOKUP((TRUNC(($AN688+0.01)*3/13,0)+0.99),'Tax scales - NAT 1004'!$A$65:$C$73,2,1)-VLOOKUP((TRUNC(($AN688+0.01)*3/13,0)+0.99),'Tax scales - NAT 1004'!$A$65:$C$73,3,1)),0)
*13/3,
0),
IF($E$2="Monthly",
ROUND(
ROUND(((TRUNC($AN688*3/13,0)+0.99)*VLOOKUP((TRUNC($AN688*3/13,0)+0.99),'Tax scales - NAT 1004'!$A$65:$C$73,2,1)-VLOOKUP((TRUNC($AN688*3/13,0)+0.99),'Tax scales - NAT 1004'!$A$65:$C$73,3,1)),0)
*13/3,
0),
""))),
""),
"")</f>
        <v/>
      </c>
      <c r="AU688" s="118" t="str">
        <f>IFERROR(
IF(VLOOKUP($C688,'Employee information'!$B:$M,COLUMNS('Employee information'!$B:$M),0)=11,
IF($E$2="Fortnightly",
ROUND(
ROUND((((TRUNC($AN688/2,0)+0.99))*VLOOKUP((TRUNC($AN688/2,0)+0.99),'Tax scales - NAT 3539'!$A$14:$C$38,2,1)-VLOOKUP((TRUNC($AN688/2,0)+0.99),'Tax scales - NAT 3539'!$A$14:$C$38,3,1)),0)
*2,
0),
IF(AND($E$2="Monthly",ROUND($AN688-TRUNC($AN688),2)=0.33),
ROUND(
ROUND(((TRUNC(($AN688+0.01)*3/13,0)+0.99)*VLOOKUP((TRUNC(($AN688+0.01)*3/13,0)+0.99),'Tax scales - NAT 3539'!$A$14:$C$38,2,1)-VLOOKUP((TRUNC(($AN688+0.01)*3/13,0)+0.99),'Tax scales - NAT 3539'!$A$14:$C$38,3,1)),0)
*13/3,
0),
IF($E$2="Monthly",
ROUND(
ROUND(((TRUNC($AN688*3/13,0)+0.99)*VLOOKUP((TRUNC($AN688*3/13,0)+0.99),'Tax scales - NAT 3539'!$A$14:$C$38,2,1)-VLOOKUP((TRUNC($AN688*3/13,0)+0.99),'Tax scales - NAT 3539'!$A$14:$C$38,3,1)),0)
*13/3,
0),
""))),
""),
"")</f>
        <v/>
      </c>
      <c r="AV688" s="118" t="str">
        <f>IFERROR(
IF(VLOOKUP($C688,'Employee information'!$B:$M,COLUMNS('Employee information'!$B:$M),0)=22,
IF($E$2="Fortnightly",
ROUND(
ROUND((((TRUNC($AN688/2,0)+0.99))*VLOOKUP((TRUNC($AN688/2,0)+0.99),'Tax scales - NAT 3539'!$A$43:$C$69,2,1)-VLOOKUP((TRUNC($AN688/2,0)+0.99),'Tax scales - NAT 3539'!$A$43:$C$69,3,1)),0)
*2,
0),
IF(AND($E$2="Monthly",ROUND($AN688-TRUNC($AN688),2)=0.33),
ROUND(
ROUND(((TRUNC(($AN688+0.01)*3/13,0)+0.99)*VLOOKUP((TRUNC(($AN688+0.01)*3/13,0)+0.99),'Tax scales - NAT 3539'!$A$43:$C$69,2,1)-VLOOKUP((TRUNC(($AN688+0.01)*3/13,0)+0.99),'Tax scales - NAT 3539'!$A$43:$C$69,3,1)),0)
*13/3,
0),
IF($E$2="Monthly",
ROUND(
ROUND(((TRUNC($AN688*3/13,0)+0.99)*VLOOKUP((TRUNC($AN688*3/13,0)+0.99),'Tax scales - NAT 3539'!$A$43:$C$69,2,1)-VLOOKUP((TRUNC($AN688*3/13,0)+0.99),'Tax scales - NAT 3539'!$A$43:$C$69,3,1)),0)
*13/3,
0),
""))),
""),
"")</f>
        <v/>
      </c>
      <c r="AW688" s="118" t="str">
        <f>IFERROR(
IF(VLOOKUP($C688,'Employee information'!$B:$M,COLUMNS('Employee information'!$B:$M),0)=33,
IF($E$2="Fortnightly",
ROUND(
ROUND((((TRUNC($AN688/2,0)+0.99))*VLOOKUP((TRUNC($AN688/2,0)+0.99),'Tax scales - NAT 3539'!$A$74:$C$94,2,1)-VLOOKUP((TRUNC($AN688/2,0)+0.99),'Tax scales - NAT 3539'!$A$74:$C$94,3,1)),0)
*2,
0),
IF(AND($E$2="Monthly",ROUND($AN688-TRUNC($AN688),2)=0.33),
ROUND(
ROUND(((TRUNC(($AN688+0.01)*3/13,0)+0.99)*VLOOKUP((TRUNC(($AN688+0.01)*3/13,0)+0.99),'Tax scales - NAT 3539'!$A$74:$C$94,2,1)-VLOOKUP((TRUNC(($AN688+0.01)*3/13,0)+0.99),'Tax scales - NAT 3539'!$A$74:$C$94,3,1)),0)
*13/3,
0),
IF($E$2="Monthly",
ROUND(
ROUND(((TRUNC($AN688*3/13,0)+0.99)*VLOOKUP((TRUNC($AN688*3/13,0)+0.99),'Tax scales - NAT 3539'!$A$74:$C$94,2,1)-VLOOKUP((TRUNC($AN688*3/13,0)+0.99),'Tax scales - NAT 3539'!$A$74:$C$94,3,1)),0)
*13/3,
0),
""))),
""),
"")</f>
        <v/>
      </c>
      <c r="AX688" s="118" t="str">
        <f>IFERROR(
IF(VLOOKUP($C688,'Employee information'!$B:$M,COLUMNS('Employee information'!$B:$M),0)=55,
IF($E$2="Fortnightly",
ROUND(
ROUND((((TRUNC($AN688/2,0)+0.99))*VLOOKUP((TRUNC($AN688/2,0)+0.99),'Tax scales - NAT 3539'!$A$99:$C$123,2,1)-VLOOKUP((TRUNC($AN688/2,0)+0.99),'Tax scales - NAT 3539'!$A$99:$C$123,3,1)),0)
*2,
0),
IF(AND($E$2="Monthly",ROUND($AN688-TRUNC($AN688),2)=0.33),
ROUND(
ROUND(((TRUNC(($AN688+0.01)*3/13,0)+0.99)*VLOOKUP((TRUNC(($AN688+0.01)*3/13,0)+0.99),'Tax scales - NAT 3539'!$A$99:$C$123,2,1)-VLOOKUP((TRUNC(($AN688+0.01)*3/13,0)+0.99),'Tax scales - NAT 3539'!$A$99:$C$123,3,1)),0)
*13/3,
0),
IF($E$2="Monthly",
ROUND(
ROUND(((TRUNC($AN688*3/13,0)+0.99)*VLOOKUP((TRUNC($AN688*3/13,0)+0.99),'Tax scales - NAT 3539'!$A$99:$C$123,2,1)-VLOOKUP((TRUNC($AN688*3/13,0)+0.99),'Tax scales - NAT 3539'!$A$99:$C$123,3,1)),0)
*13/3,
0),
""))),
""),
"")</f>
        <v/>
      </c>
      <c r="AY688" s="118" t="str">
        <f>IFERROR(
IF(VLOOKUP($C688,'Employee information'!$B:$M,COLUMNS('Employee information'!$B:$M),0)=66,
IF($E$2="Fortnightly",
ROUND(
ROUND((((TRUNC($AN688/2,0)+0.99))*VLOOKUP((TRUNC($AN688/2,0)+0.99),'Tax scales - NAT 3539'!$A$127:$C$154,2,1)-VLOOKUP((TRUNC($AN688/2,0)+0.99),'Tax scales - NAT 3539'!$A$127:$C$154,3,1)),0)
*2,
0),
IF(AND($E$2="Monthly",ROUND($AN688-TRUNC($AN688),2)=0.33),
ROUND(
ROUND(((TRUNC(($AN688+0.01)*3/13,0)+0.99)*VLOOKUP((TRUNC(($AN688+0.01)*3/13,0)+0.99),'Tax scales - NAT 3539'!$A$127:$C$154,2,1)-VLOOKUP((TRUNC(($AN688+0.01)*3/13,0)+0.99),'Tax scales - NAT 3539'!$A$127:$C$154,3,1)),0)
*13/3,
0),
IF($E$2="Monthly",
ROUND(
ROUND(((TRUNC($AN688*3/13,0)+0.99)*VLOOKUP((TRUNC($AN688*3/13,0)+0.99),'Tax scales - NAT 3539'!$A$127:$C$154,2,1)-VLOOKUP((TRUNC($AN688*3/13,0)+0.99),'Tax scales - NAT 3539'!$A$127:$C$154,3,1)),0)
*13/3,
0),
""))),
""),
"")</f>
        <v/>
      </c>
      <c r="AZ688" s="118">
        <f>IFERROR(
HLOOKUP(VLOOKUP($C688,'Employee information'!$B:$M,COLUMNS('Employee information'!$B:$M),0),'PAYG worksheet'!$AO$677:$AY$696,COUNTA($C$678:$C688)+1,0),
0)</f>
        <v>0</v>
      </c>
      <c r="BA688" s="118"/>
      <c r="BB688" s="118">
        <f t="shared" si="728"/>
        <v>0</v>
      </c>
      <c r="BC688" s="119">
        <f>IFERROR(
IF(OR($AE688=1,$AE688=""),SUM($P688,$AA688,$AC688,$AK688)*VLOOKUP($C688,'Employee information'!$B:$Q,COLUMNS('Employee information'!$B:$H),0),
IF($AE688=0,SUM($P688,$AA688,$AK688)*VLOOKUP($C688,'Employee information'!$B:$Q,COLUMNS('Employee information'!$B:$H),0),
0)),
0)</f>
        <v>0</v>
      </c>
      <c r="BE688" s="114">
        <f t="shared" si="713"/>
        <v>0</v>
      </c>
      <c r="BF688" s="114">
        <f t="shared" si="714"/>
        <v>0</v>
      </c>
      <c r="BG688" s="114">
        <f t="shared" si="715"/>
        <v>0</v>
      </c>
      <c r="BH688" s="114">
        <f t="shared" si="716"/>
        <v>0</v>
      </c>
      <c r="BI688" s="114">
        <f t="shared" si="717"/>
        <v>0</v>
      </c>
      <c r="BJ688" s="114">
        <f t="shared" si="718"/>
        <v>0</v>
      </c>
      <c r="BK688" s="114">
        <f t="shared" si="719"/>
        <v>0</v>
      </c>
      <c r="BL688" s="114">
        <f t="shared" si="729"/>
        <v>0</v>
      </c>
      <c r="BM688" s="114">
        <f t="shared" si="720"/>
        <v>0</v>
      </c>
    </row>
    <row r="689" spans="1:65" x14ac:dyDescent="0.25">
      <c r="A689" s="228">
        <f t="shared" si="708"/>
        <v>24</v>
      </c>
      <c r="C689" s="278"/>
      <c r="E689" s="103">
        <f>IF($C689="",0,
IF(AND($E$2="Monthly",$A689&gt;12),0,
IF($E$2="Monthly",VLOOKUP($C689,'Employee information'!$B:$AM,COLUMNS('Employee information'!$B:S),0),
IF($E$2="Fortnightly",VLOOKUP($C689,'Employee information'!$B:$AM,COLUMNS('Employee information'!$B:R),0),
0))))</f>
        <v>0</v>
      </c>
      <c r="F689" s="106"/>
      <c r="G689" s="106"/>
      <c r="H689" s="106"/>
      <c r="I689" s="106"/>
      <c r="J689" s="103">
        <f t="shared" si="721"/>
        <v>0</v>
      </c>
      <c r="L689" s="113">
        <f>IF(AND($E$2="Monthly",$A689&gt;12),"",
IFERROR($J689*VLOOKUP($C689,'Employee information'!$B:$AI,COLUMNS('Employee information'!$B:$P),0),0))</f>
        <v>0</v>
      </c>
      <c r="M689" s="114">
        <f t="shared" si="722"/>
        <v>0</v>
      </c>
      <c r="O689" s="103">
        <f t="shared" si="723"/>
        <v>0</v>
      </c>
      <c r="P689" s="113">
        <f>IFERROR(
IF(AND($E$2="Monthly",$A689&gt;12),0,
$O689*VLOOKUP($C689,'Employee information'!$B:$AI,COLUMNS('Employee information'!$B:$P),0)),
0)</f>
        <v>0</v>
      </c>
      <c r="R689" s="114">
        <f t="shared" si="709"/>
        <v>0</v>
      </c>
      <c r="T689" s="103"/>
      <c r="U689" s="103"/>
      <c r="V689" s="282" t="str">
        <f>IF($C689="","",
IF(AND($E$2="Monthly",$A689&gt;12),"",
$T689*VLOOKUP($C689,'Employee information'!$B:$P,COLUMNS('Employee information'!$B:$P),0)))</f>
        <v/>
      </c>
      <c r="W689" s="282" t="str">
        <f>IF($C689="","",
IF(AND($E$2="Monthly",$A689&gt;12),"",
$U689*VLOOKUP($C689,'Employee information'!$B:$P,COLUMNS('Employee information'!$B:$P),0)))</f>
        <v/>
      </c>
      <c r="X689" s="114">
        <f t="shared" si="710"/>
        <v>0</v>
      </c>
      <c r="Y689" s="114">
        <f t="shared" si="711"/>
        <v>0</v>
      </c>
      <c r="AA689" s="118">
        <f>IFERROR(
IF(OR('Basic payroll data'!$D$12="",'Basic payroll data'!$D$12="No"),0,
$T689*VLOOKUP($C689,'Employee information'!$B:$P,COLUMNS('Employee information'!$B:$P),0)*AL_loading_perc),
0)</f>
        <v>0</v>
      </c>
      <c r="AC689" s="118"/>
      <c r="AD689" s="118"/>
      <c r="AE689" s="283" t="str">
        <f t="shared" si="724"/>
        <v/>
      </c>
      <c r="AF689" s="283" t="str">
        <f t="shared" si="725"/>
        <v/>
      </c>
      <c r="AG689" s="118"/>
      <c r="AH689" s="118"/>
      <c r="AI689" s="283" t="str">
        <f t="shared" si="726"/>
        <v/>
      </c>
      <c r="AJ689" s="118"/>
      <c r="AK689" s="118"/>
      <c r="AM689" s="118">
        <f t="shared" si="727"/>
        <v>0</v>
      </c>
      <c r="AN689" s="118">
        <f t="shared" si="712"/>
        <v>0</v>
      </c>
      <c r="AO689" s="118" t="str">
        <f>IFERROR(
IF(VLOOKUP($C689,'Employee information'!$B:$M,COLUMNS('Employee information'!$B:$M),0)=1,
IF($E$2="Fortnightly",
ROUND(
ROUND((((TRUNC($AN689/2,0)+0.99))*VLOOKUP((TRUNC($AN689/2,0)+0.99),'Tax scales - NAT 1004'!$A$12:$C$18,2,1)-VLOOKUP((TRUNC($AN689/2,0)+0.99),'Tax scales - NAT 1004'!$A$12:$C$18,3,1)),0)
*2,
0),
IF(AND($E$2="Monthly",ROUND($AN689-TRUNC($AN689),2)=0.33),
ROUND(
ROUND(((TRUNC(($AN689+0.01)*3/13,0)+0.99)*VLOOKUP((TRUNC(($AN689+0.01)*3/13,0)+0.99),'Tax scales - NAT 1004'!$A$12:$C$18,2,1)-VLOOKUP((TRUNC(($AN689+0.01)*3/13,0)+0.99),'Tax scales - NAT 1004'!$A$12:$C$18,3,1)),0)
*13/3,
0),
IF($E$2="Monthly",
ROUND(
ROUND(((TRUNC($AN689*3/13,0)+0.99)*VLOOKUP((TRUNC($AN689*3/13,0)+0.99),'Tax scales - NAT 1004'!$A$12:$C$18,2,1)-VLOOKUP((TRUNC($AN689*3/13,0)+0.99),'Tax scales - NAT 1004'!$A$12:$C$18,3,1)),0)
*13/3,
0),
""))),
""),
"")</f>
        <v/>
      </c>
      <c r="AP689" s="118" t="str">
        <f>IFERROR(
IF(VLOOKUP($C689,'Employee information'!$B:$M,COLUMNS('Employee information'!$B:$M),0)=2,
IF($E$2="Fortnightly",
ROUND(
ROUND((((TRUNC($AN689/2,0)+0.99))*VLOOKUP((TRUNC($AN689/2,0)+0.99),'Tax scales - NAT 1004'!$A$25:$C$33,2,1)-VLOOKUP((TRUNC($AN689/2,0)+0.99),'Tax scales - NAT 1004'!$A$25:$C$33,3,1)),0)
*2,
0),
IF(AND($E$2="Monthly",ROUND($AN689-TRUNC($AN689),2)=0.33),
ROUND(
ROUND(((TRUNC(($AN689+0.01)*3/13,0)+0.99)*VLOOKUP((TRUNC(($AN689+0.01)*3/13,0)+0.99),'Tax scales - NAT 1004'!$A$25:$C$33,2,1)-VLOOKUP((TRUNC(($AN689+0.01)*3/13,0)+0.99),'Tax scales - NAT 1004'!$A$25:$C$33,3,1)),0)
*13/3,
0),
IF($E$2="Monthly",
ROUND(
ROUND(((TRUNC($AN689*3/13,0)+0.99)*VLOOKUP((TRUNC($AN689*3/13,0)+0.99),'Tax scales - NAT 1004'!$A$25:$C$33,2,1)-VLOOKUP((TRUNC($AN689*3/13,0)+0.99),'Tax scales - NAT 1004'!$A$25:$C$33,3,1)),0)
*13/3,
0),
""))),
""),
"")</f>
        <v/>
      </c>
      <c r="AQ689" s="118" t="str">
        <f>IFERROR(
IF(VLOOKUP($C689,'Employee information'!$B:$M,COLUMNS('Employee information'!$B:$M),0)=3,
IF($E$2="Fortnightly",
ROUND(
ROUND((((TRUNC($AN689/2,0)+0.99))*VLOOKUP((TRUNC($AN689/2,0)+0.99),'Tax scales - NAT 1004'!$A$39:$C$41,2,1)-VLOOKUP((TRUNC($AN689/2,0)+0.99),'Tax scales - NAT 1004'!$A$39:$C$41,3,1)),0)
*2,
0),
IF(AND($E$2="Monthly",ROUND($AN689-TRUNC($AN689),2)=0.33),
ROUND(
ROUND(((TRUNC(($AN689+0.01)*3/13,0)+0.99)*VLOOKUP((TRUNC(($AN689+0.01)*3/13,0)+0.99),'Tax scales - NAT 1004'!$A$39:$C$41,2,1)-VLOOKUP((TRUNC(($AN689+0.01)*3/13,0)+0.99),'Tax scales - NAT 1004'!$A$39:$C$41,3,1)),0)
*13/3,
0),
IF($E$2="Monthly",
ROUND(
ROUND(((TRUNC($AN689*3/13,0)+0.99)*VLOOKUP((TRUNC($AN689*3/13,0)+0.99),'Tax scales - NAT 1004'!$A$39:$C$41,2,1)-VLOOKUP((TRUNC($AN689*3/13,0)+0.99),'Tax scales - NAT 1004'!$A$39:$C$41,3,1)),0)
*13/3,
0),
""))),
""),
"")</f>
        <v/>
      </c>
      <c r="AR689" s="118" t="str">
        <f>IFERROR(
IF(AND(VLOOKUP($C689,'Employee information'!$B:$M,COLUMNS('Employee information'!$B:$M),0)=4,
VLOOKUP($C689,'Employee information'!$B:$J,COLUMNS('Employee information'!$B:$J),0)="Resident"),
TRUNC(TRUNC($AN689)*'Tax scales - NAT 1004'!$B$47),
IF(AND(VLOOKUP($C689,'Employee information'!$B:$M,COLUMNS('Employee information'!$B:$M),0)=4,
VLOOKUP($C689,'Employee information'!$B:$J,COLUMNS('Employee information'!$B:$J),0)="Foreign resident"),
TRUNC(TRUNC($AN689)*'Tax scales - NAT 1004'!$B$48),
"")),
"")</f>
        <v/>
      </c>
      <c r="AS689" s="118" t="str">
        <f>IFERROR(
IF(VLOOKUP($C689,'Employee information'!$B:$M,COLUMNS('Employee information'!$B:$M),0)=5,
IF($E$2="Fortnightly",
ROUND(
ROUND((((TRUNC($AN689/2,0)+0.99))*VLOOKUP((TRUNC($AN689/2,0)+0.99),'Tax scales - NAT 1004'!$A$53:$C$59,2,1)-VLOOKUP((TRUNC($AN689/2,0)+0.99),'Tax scales - NAT 1004'!$A$53:$C$59,3,1)),0)
*2,
0),
IF(AND($E$2="Monthly",ROUND($AN689-TRUNC($AN689),2)=0.33),
ROUND(
ROUND(((TRUNC(($AN689+0.01)*3/13,0)+0.99)*VLOOKUP((TRUNC(($AN689+0.01)*3/13,0)+0.99),'Tax scales - NAT 1004'!$A$53:$C$59,2,1)-VLOOKUP((TRUNC(($AN689+0.01)*3/13,0)+0.99),'Tax scales - NAT 1004'!$A$53:$C$59,3,1)),0)
*13/3,
0),
IF($E$2="Monthly",
ROUND(
ROUND(((TRUNC($AN689*3/13,0)+0.99)*VLOOKUP((TRUNC($AN689*3/13,0)+0.99),'Tax scales - NAT 1004'!$A$53:$C$59,2,1)-VLOOKUP((TRUNC($AN689*3/13,0)+0.99),'Tax scales - NAT 1004'!$A$53:$C$59,3,1)),0)
*13/3,
0),
""))),
""),
"")</f>
        <v/>
      </c>
      <c r="AT689" s="118" t="str">
        <f>IFERROR(
IF(VLOOKUP($C689,'Employee information'!$B:$M,COLUMNS('Employee information'!$B:$M),0)=6,
IF($E$2="Fortnightly",
ROUND(
ROUND((((TRUNC($AN689/2,0)+0.99))*VLOOKUP((TRUNC($AN689/2,0)+0.99),'Tax scales - NAT 1004'!$A$65:$C$73,2,1)-VLOOKUP((TRUNC($AN689/2,0)+0.99),'Tax scales - NAT 1004'!$A$65:$C$73,3,1)),0)
*2,
0),
IF(AND($E$2="Monthly",ROUND($AN689-TRUNC($AN689),2)=0.33),
ROUND(
ROUND(((TRUNC(($AN689+0.01)*3/13,0)+0.99)*VLOOKUP((TRUNC(($AN689+0.01)*3/13,0)+0.99),'Tax scales - NAT 1004'!$A$65:$C$73,2,1)-VLOOKUP((TRUNC(($AN689+0.01)*3/13,0)+0.99),'Tax scales - NAT 1004'!$A$65:$C$73,3,1)),0)
*13/3,
0),
IF($E$2="Monthly",
ROUND(
ROUND(((TRUNC($AN689*3/13,0)+0.99)*VLOOKUP((TRUNC($AN689*3/13,0)+0.99),'Tax scales - NAT 1004'!$A$65:$C$73,2,1)-VLOOKUP((TRUNC($AN689*3/13,0)+0.99),'Tax scales - NAT 1004'!$A$65:$C$73,3,1)),0)
*13/3,
0),
""))),
""),
"")</f>
        <v/>
      </c>
      <c r="AU689" s="118" t="str">
        <f>IFERROR(
IF(VLOOKUP($C689,'Employee information'!$B:$M,COLUMNS('Employee information'!$B:$M),0)=11,
IF($E$2="Fortnightly",
ROUND(
ROUND((((TRUNC($AN689/2,0)+0.99))*VLOOKUP((TRUNC($AN689/2,0)+0.99),'Tax scales - NAT 3539'!$A$14:$C$38,2,1)-VLOOKUP((TRUNC($AN689/2,0)+0.99),'Tax scales - NAT 3539'!$A$14:$C$38,3,1)),0)
*2,
0),
IF(AND($E$2="Monthly",ROUND($AN689-TRUNC($AN689),2)=0.33),
ROUND(
ROUND(((TRUNC(($AN689+0.01)*3/13,0)+0.99)*VLOOKUP((TRUNC(($AN689+0.01)*3/13,0)+0.99),'Tax scales - NAT 3539'!$A$14:$C$38,2,1)-VLOOKUP((TRUNC(($AN689+0.01)*3/13,0)+0.99),'Tax scales - NAT 3539'!$A$14:$C$38,3,1)),0)
*13/3,
0),
IF($E$2="Monthly",
ROUND(
ROUND(((TRUNC($AN689*3/13,0)+0.99)*VLOOKUP((TRUNC($AN689*3/13,0)+0.99),'Tax scales - NAT 3539'!$A$14:$C$38,2,1)-VLOOKUP((TRUNC($AN689*3/13,0)+0.99),'Tax scales - NAT 3539'!$A$14:$C$38,3,1)),0)
*13/3,
0),
""))),
""),
"")</f>
        <v/>
      </c>
      <c r="AV689" s="118" t="str">
        <f>IFERROR(
IF(VLOOKUP($C689,'Employee information'!$B:$M,COLUMNS('Employee information'!$B:$M),0)=22,
IF($E$2="Fortnightly",
ROUND(
ROUND((((TRUNC($AN689/2,0)+0.99))*VLOOKUP((TRUNC($AN689/2,0)+0.99),'Tax scales - NAT 3539'!$A$43:$C$69,2,1)-VLOOKUP((TRUNC($AN689/2,0)+0.99),'Tax scales - NAT 3539'!$A$43:$C$69,3,1)),0)
*2,
0),
IF(AND($E$2="Monthly",ROUND($AN689-TRUNC($AN689),2)=0.33),
ROUND(
ROUND(((TRUNC(($AN689+0.01)*3/13,0)+0.99)*VLOOKUP((TRUNC(($AN689+0.01)*3/13,0)+0.99),'Tax scales - NAT 3539'!$A$43:$C$69,2,1)-VLOOKUP((TRUNC(($AN689+0.01)*3/13,0)+0.99),'Tax scales - NAT 3539'!$A$43:$C$69,3,1)),0)
*13/3,
0),
IF($E$2="Monthly",
ROUND(
ROUND(((TRUNC($AN689*3/13,0)+0.99)*VLOOKUP((TRUNC($AN689*3/13,0)+0.99),'Tax scales - NAT 3539'!$A$43:$C$69,2,1)-VLOOKUP((TRUNC($AN689*3/13,0)+0.99),'Tax scales - NAT 3539'!$A$43:$C$69,3,1)),0)
*13/3,
0),
""))),
""),
"")</f>
        <v/>
      </c>
      <c r="AW689" s="118" t="str">
        <f>IFERROR(
IF(VLOOKUP($C689,'Employee information'!$B:$M,COLUMNS('Employee information'!$B:$M),0)=33,
IF($E$2="Fortnightly",
ROUND(
ROUND((((TRUNC($AN689/2,0)+0.99))*VLOOKUP((TRUNC($AN689/2,0)+0.99),'Tax scales - NAT 3539'!$A$74:$C$94,2,1)-VLOOKUP((TRUNC($AN689/2,0)+0.99),'Tax scales - NAT 3539'!$A$74:$C$94,3,1)),0)
*2,
0),
IF(AND($E$2="Monthly",ROUND($AN689-TRUNC($AN689),2)=0.33),
ROUND(
ROUND(((TRUNC(($AN689+0.01)*3/13,0)+0.99)*VLOOKUP((TRUNC(($AN689+0.01)*3/13,0)+0.99),'Tax scales - NAT 3539'!$A$74:$C$94,2,1)-VLOOKUP((TRUNC(($AN689+0.01)*3/13,0)+0.99),'Tax scales - NAT 3539'!$A$74:$C$94,3,1)),0)
*13/3,
0),
IF($E$2="Monthly",
ROUND(
ROUND(((TRUNC($AN689*3/13,0)+0.99)*VLOOKUP((TRUNC($AN689*3/13,0)+0.99),'Tax scales - NAT 3539'!$A$74:$C$94,2,1)-VLOOKUP((TRUNC($AN689*3/13,0)+0.99),'Tax scales - NAT 3539'!$A$74:$C$94,3,1)),0)
*13/3,
0),
""))),
""),
"")</f>
        <v/>
      </c>
      <c r="AX689" s="118" t="str">
        <f>IFERROR(
IF(VLOOKUP($C689,'Employee information'!$B:$M,COLUMNS('Employee information'!$B:$M),0)=55,
IF($E$2="Fortnightly",
ROUND(
ROUND((((TRUNC($AN689/2,0)+0.99))*VLOOKUP((TRUNC($AN689/2,0)+0.99),'Tax scales - NAT 3539'!$A$99:$C$123,2,1)-VLOOKUP((TRUNC($AN689/2,0)+0.99),'Tax scales - NAT 3539'!$A$99:$C$123,3,1)),0)
*2,
0),
IF(AND($E$2="Monthly",ROUND($AN689-TRUNC($AN689),2)=0.33),
ROUND(
ROUND(((TRUNC(($AN689+0.01)*3/13,0)+0.99)*VLOOKUP((TRUNC(($AN689+0.01)*3/13,0)+0.99),'Tax scales - NAT 3539'!$A$99:$C$123,2,1)-VLOOKUP((TRUNC(($AN689+0.01)*3/13,0)+0.99),'Tax scales - NAT 3539'!$A$99:$C$123,3,1)),0)
*13/3,
0),
IF($E$2="Monthly",
ROUND(
ROUND(((TRUNC($AN689*3/13,0)+0.99)*VLOOKUP((TRUNC($AN689*3/13,0)+0.99),'Tax scales - NAT 3539'!$A$99:$C$123,2,1)-VLOOKUP((TRUNC($AN689*3/13,0)+0.99),'Tax scales - NAT 3539'!$A$99:$C$123,3,1)),0)
*13/3,
0),
""))),
""),
"")</f>
        <v/>
      </c>
      <c r="AY689" s="118" t="str">
        <f>IFERROR(
IF(VLOOKUP($C689,'Employee information'!$B:$M,COLUMNS('Employee information'!$B:$M),0)=66,
IF($E$2="Fortnightly",
ROUND(
ROUND((((TRUNC($AN689/2,0)+0.99))*VLOOKUP((TRUNC($AN689/2,0)+0.99),'Tax scales - NAT 3539'!$A$127:$C$154,2,1)-VLOOKUP((TRUNC($AN689/2,0)+0.99),'Tax scales - NAT 3539'!$A$127:$C$154,3,1)),0)
*2,
0),
IF(AND($E$2="Monthly",ROUND($AN689-TRUNC($AN689),2)=0.33),
ROUND(
ROUND(((TRUNC(($AN689+0.01)*3/13,0)+0.99)*VLOOKUP((TRUNC(($AN689+0.01)*3/13,0)+0.99),'Tax scales - NAT 3539'!$A$127:$C$154,2,1)-VLOOKUP((TRUNC(($AN689+0.01)*3/13,0)+0.99),'Tax scales - NAT 3539'!$A$127:$C$154,3,1)),0)
*13/3,
0),
IF($E$2="Monthly",
ROUND(
ROUND(((TRUNC($AN689*3/13,0)+0.99)*VLOOKUP((TRUNC($AN689*3/13,0)+0.99),'Tax scales - NAT 3539'!$A$127:$C$154,2,1)-VLOOKUP((TRUNC($AN689*3/13,0)+0.99),'Tax scales - NAT 3539'!$A$127:$C$154,3,1)),0)
*13/3,
0),
""))),
""),
"")</f>
        <v/>
      </c>
      <c r="AZ689" s="118">
        <f>IFERROR(
HLOOKUP(VLOOKUP($C689,'Employee information'!$B:$M,COLUMNS('Employee information'!$B:$M),0),'PAYG worksheet'!$AO$677:$AY$696,COUNTA($C$678:$C689)+1,0),
0)</f>
        <v>0</v>
      </c>
      <c r="BA689" s="118"/>
      <c r="BB689" s="118">
        <f t="shared" si="728"/>
        <v>0</v>
      </c>
      <c r="BC689" s="119">
        <f>IFERROR(
IF(OR($AE689=1,$AE689=""),SUM($P689,$AA689,$AC689,$AK689)*VLOOKUP($C689,'Employee information'!$B:$Q,COLUMNS('Employee information'!$B:$H),0),
IF($AE689=0,SUM($P689,$AA689,$AK689)*VLOOKUP($C689,'Employee information'!$B:$Q,COLUMNS('Employee information'!$B:$H),0),
0)),
0)</f>
        <v>0</v>
      </c>
      <c r="BE689" s="114">
        <f t="shared" si="713"/>
        <v>0</v>
      </c>
      <c r="BF689" s="114">
        <f t="shared" si="714"/>
        <v>0</v>
      </c>
      <c r="BG689" s="114">
        <f t="shared" si="715"/>
        <v>0</v>
      </c>
      <c r="BH689" s="114">
        <f t="shared" si="716"/>
        <v>0</v>
      </c>
      <c r="BI689" s="114">
        <f t="shared" si="717"/>
        <v>0</v>
      </c>
      <c r="BJ689" s="114">
        <f t="shared" si="718"/>
        <v>0</v>
      </c>
      <c r="BK689" s="114">
        <f t="shared" si="719"/>
        <v>0</v>
      </c>
      <c r="BL689" s="114">
        <f t="shared" si="729"/>
        <v>0</v>
      </c>
      <c r="BM689" s="114">
        <f t="shared" si="720"/>
        <v>0</v>
      </c>
    </row>
    <row r="690" spans="1:65" x14ac:dyDescent="0.25">
      <c r="A690" s="228">
        <f t="shared" si="708"/>
        <v>24</v>
      </c>
      <c r="C690" s="278"/>
      <c r="E690" s="103">
        <f>IF($C690="",0,
IF(AND($E$2="Monthly",$A690&gt;12),0,
IF($E$2="Monthly",VLOOKUP($C690,'Employee information'!$B:$AM,COLUMNS('Employee information'!$B:S),0),
IF($E$2="Fortnightly",VLOOKUP($C690,'Employee information'!$B:$AM,COLUMNS('Employee information'!$B:R),0),
0))))</f>
        <v>0</v>
      </c>
      <c r="F690" s="106"/>
      <c r="G690" s="106"/>
      <c r="H690" s="106"/>
      <c r="I690" s="106"/>
      <c r="J690" s="103">
        <f t="shared" si="721"/>
        <v>0</v>
      </c>
      <c r="L690" s="113">
        <f>IF(AND($E$2="Monthly",$A690&gt;12),"",
IFERROR($J690*VLOOKUP($C690,'Employee information'!$B:$AI,COLUMNS('Employee information'!$B:$P),0),0))</f>
        <v>0</v>
      </c>
      <c r="M690" s="114">
        <f t="shared" si="722"/>
        <v>0</v>
      </c>
      <c r="O690" s="103">
        <f t="shared" si="723"/>
        <v>0</v>
      </c>
      <c r="P690" s="113">
        <f>IFERROR(
IF(AND($E$2="Monthly",$A690&gt;12),0,
$O690*VLOOKUP($C690,'Employee information'!$B:$AI,COLUMNS('Employee information'!$B:$P),0)),
0)</f>
        <v>0</v>
      </c>
      <c r="R690" s="114">
        <f t="shared" si="709"/>
        <v>0</v>
      </c>
      <c r="T690" s="103"/>
      <c r="U690" s="103"/>
      <c r="V690" s="282" t="str">
        <f>IF($C690="","",
IF(AND($E$2="Monthly",$A690&gt;12),"",
$T690*VLOOKUP($C690,'Employee information'!$B:$P,COLUMNS('Employee information'!$B:$P),0)))</f>
        <v/>
      </c>
      <c r="W690" s="282" t="str">
        <f>IF($C690="","",
IF(AND($E$2="Monthly",$A690&gt;12),"",
$U690*VLOOKUP($C690,'Employee information'!$B:$P,COLUMNS('Employee information'!$B:$P),0)))</f>
        <v/>
      </c>
      <c r="X690" s="114">
        <f t="shared" si="710"/>
        <v>0</v>
      </c>
      <c r="Y690" s="114">
        <f t="shared" si="711"/>
        <v>0</v>
      </c>
      <c r="AA690" s="118">
        <f>IFERROR(
IF(OR('Basic payroll data'!$D$12="",'Basic payroll data'!$D$12="No"),0,
$T690*VLOOKUP($C690,'Employee information'!$B:$P,COLUMNS('Employee information'!$B:$P),0)*AL_loading_perc),
0)</f>
        <v>0</v>
      </c>
      <c r="AC690" s="118"/>
      <c r="AD690" s="118"/>
      <c r="AE690" s="283" t="str">
        <f t="shared" si="724"/>
        <v/>
      </c>
      <c r="AF690" s="283" t="str">
        <f t="shared" si="725"/>
        <v/>
      </c>
      <c r="AG690" s="118"/>
      <c r="AH690" s="118"/>
      <c r="AI690" s="283" t="str">
        <f t="shared" si="726"/>
        <v/>
      </c>
      <c r="AJ690" s="118"/>
      <c r="AK690" s="118"/>
      <c r="AM690" s="118">
        <f t="shared" si="727"/>
        <v>0</v>
      </c>
      <c r="AN690" s="118">
        <f t="shared" si="712"/>
        <v>0</v>
      </c>
      <c r="AO690" s="118" t="str">
        <f>IFERROR(
IF(VLOOKUP($C690,'Employee information'!$B:$M,COLUMNS('Employee information'!$B:$M),0)=1,
IF($E$2="Fortnightly",
ROUND(
ROUND((((TRUNC($AN690/2,0)+0.99))*VLOOKUP((TRUNC($AN690/2,0)+0.99),'Tax scales - NAT 1004'!$A$12:$C$18,2,1)-VLOOKUP((TRUNC($AN690/2,0)+0.99),'Tax scales - NAT 1004'!$A$12:$C$18,3,1)),0)
*2,
0),
IF(AND($E$2="Monthly",ROUND($AN690-TRUNC($AN690),2)=0.33),
ROUND(
ROUND(((TRUNC(($AN690+0.01)*3/13,0)+0.99)*VLOOKUP((TRUNC(($AN690+0.01)*3/13,0)+0.99),'Tax scales - NAT 1004'!$A$12:$C$18,2,1)-VLOOKUP((TRUNC(($AN690+0.01)*3/13,0)+0.99),'Tax scales - NAT 1004'!$A$12:$C$18,3,1)),0)
*13/3,
0),
IF($E$2="Monthly",
ROUND(
ROUND(((TRUNC($AN690*3/13,0)+0.99)*VLOOKUP((TRUNC($AN690*3/13,0)+0.99),'Tax scales - NAT 1004'!$A$12:$C$18,2,1)-VLOOKUP((TRUNC($AN690*3/13,0)+0.99),'Tax scales - NAT 1004'!$A$12:$C$18,3,1)),0)
*13/3,
0),
""))),
""),
"")</f>
        <v/>
      </c>
      <c r="AP690" s="118" t="str">
        <f>IFERROR(
IF(VLOOKUP($C690,'Employee information'!$B:$M,COLUMNS('Employee information'!$B:$M),0)=2,
IF($E$2="Fortnightly",
ROUND(
ROUND((((TRUNC($AN690/2,0)+0.99))*VLOOKUP((TRUNC($AN690/2,0)+0.99),'Tax scales - NAT 1004'!$A$25:$C$33,2,1)-VLOOKUP((TRUNC($AN690/2,0)+0.99),'Tax scales - NAT 1004'!$A$25:$C$33,3,1)),0)
*2,
0),
IF(AND($E$2="Monthly",ROUND($AN690-TRUNC($AN690),2)=0.33),
ROUND(
ROUND(((TRUNC(($AN690+0.01)*3/13,0)+0.99)*VLOOKUP((TRUNC(($AN690+0.01)*3/13,0)+0.99),'Tax scales - NAT 1004'!$A$25:$C$33,2,1)-VLOOKUP((TRUNC(($AN690+0.01)*3/13,0)+0.99),'Tax scales - NAT 1004'!$A$25:$C$33,3,1)),0)
*13/3,
0),
IF($E$2="Monthly",
ROUND(
ROUND(((TRUNC($AN690*3/13,0)+0.99)*VLOOKUP((TRUNC($AN690*3/13,0)+0.99),'Tax scales - NAT 1004'!$A$25:$C$33,2,1)-VLOOKUP((TRUNC($AN690*3/13,0)+0.99),'Tax scales - NAT 1004'!$A$25:$C$33,3,1)),0)
*13/3,
0),
""))),
""),
"")</f>
        <v/>
      </c>
      <c r="AQ690" s="118" t="str">
        <f>IFERROR(
IF(VLOOKUP($C690,'Employee information'!$B:$M,COLUMNS('Employee information'!$B:$M),0)=3,
IF($E$2="Fortnightly",
ROUND(
ROUND((((TRUNC($AN690/2,0)+0.99))*VLOOKUP((TRUNC($AN690/2,0)+0.99),'Tax scales - NAT 1004'!$A$39:$C$41,2,1)-VLOOKUP((TRUNC($AN690/2,0)+0.99),'Tax scales - NAT 1004'!$A$39:$C$41,3,1)),0)
*2,
0),
IF(AND($E$2="Monthly",ROUND($AN690-TRUNC($AN690),2)=0.33),
ROUND(
ROUND(((TRUNC(($AN690+0.01)*3/13,0)+0.99)*VLOOKUP((TRUNC(($AN690+0.01)*3/13,0)+0.99),'Tax scales - NAT 1004'!$A$39:$C$41,2,1)-VLOOKUP((TRUNC(($AN690+0.01)*3/13,0)+0.99),'Tax scales - NAT 1004'!$A$39:$C$41,3,1)),0)
*13/3,
0),
IF($E$2="Monthly",
ROUND(
ROUND(((TRUNC($AN690*3/13,0)+0.99)*VLOOKUP((TRUNC($AN690*3/13,0)+0.99),'Tax scales - NAT 1004'!$A$39:$C$41,2,1)-VLOOKUP((TRUNC($AN690*3/13,0)+0.99),'Tax scales - NAT 1004'!$A$39:$C$41,3,1)),0)
*13/3,
0),
""))),
""),
"")</f>
        <v/>
      </c>
      <c r="AR690" s="118" t="str">
        <f>IFERROR(
IF(AND(VLOOKUP($C690,'Employee information'!$B:$M,COLUMNS('Employee information'!$B:$M),0)=4,
VLOOKUP($C690,'Employee information'!$B:$J,COLUMNS('Employee information'!$B:$J),0)="Resident"),
TRUNC(TRUNC($AN690)*'Tax scales - NAT 1004'!$B$47),
IF(AND(VLOOKUP($C690,'Employee information'!$B:$M,COLUMNS('Employee information'!$B:$M),0)=4,
VLOOKUP($C690,'Employee information'!$B:$J,COLUMNS('Employee information'!$B:$J),0)="Foreign resident"),
TRUNC(TRUNC($AN690)*'Tax scales - NAT 1004'!$B$48),
"")),
"")</f>
        <v/>
      </c>
      <c r="AS690" s="118" t="str">
        <f>IFERROR(
IF(VLOOKUP($C690,'Employee information'!$B:$M,COLUMNS('Employee information'!$B:$M),0)=5,
IF($E$2="Fortnightly",
ROUND(
ROUND((((TRUNC($AN690/2,0)+0.99))*VLOOKUP((TRUNC($AN690/2,0)+0.99),'Tax scales - NAT 1004'!$A$53:$C$59,2,1)-VLOOKUP((TRUNC($AN690/2,0)+0.99),'Tax scales - NAT 1004'!$A$53:$C$59,3,1)),0)
*2,
0),
IF(AND($E$2="Monthly",ROUND($AN690-TRUNC($AN690),2)=0.33),
ROUND(
ROUND(((TRUNC(($AN690+0.01)*3/13,0)+0.99)*VLOOKUP((TRUNC(($AN690+0.01)*3/13,0)+0.99),'Tax scales - NAT 1004'!$A$53:$C$59,2,1)-VLOOKUP((TRUNC(($AN690+0.01)*3/13,0)+0.99),'Tax scales - NAT 1004'!$A$53:$C$59,3,1)),0)
*13/3,
0),
IF($E$2="Monthly",
ROUND(
ROUND(((TRUNC($AN690*3/13,0)+0.99)*VLOOKUP((TRUNC($AN690*3/13,0)+0.99),'Tax scales - NAT 1004'!$A$53:$C$59,2,1)-VLOOKUP((TRUNC($AN690*3/13,0)+0.99),'Tax scales - NAT 1004'!$A$53:$C$59,3,1)),0)
*13/3,
0),
""))),
""),
"")</f>
        <v/>
      </c>
      <c r="AT690" s="118" t="str">
        <f>IFERROR(
IF(VLOOKUP($C690,'Employee information'!$B:$M,COLUMNS('Employee information'!$B:$M),0)=6,
IF($E$2="Fortnightly",
ROUND(
ROUND((((TRUNC($AN690/2,0)+0.99))*VLOOKUP((TRUNC($AN690/2,0)+0.99),'Tax scales - NAT 1004'!$A$65:$C$73,2,1)-VLOOKUP((TRUNC($AN690/2,0)+0.99),'Tax scales - NAT 1004'!$A$65:$C$73,3,1)),0)
*2,
0),
IF(AND($E$2="Monthly",ROUND($AN690-TRUNC($AN690),2)=0.33),
ROUND(
ROUND(((TRUNC(($AN690+0.01)*3/13,0)+0.99)*VLOOKUP((TRUNC(($AN690+0.01)*3/13,0)+0.99),'Tax scales - NAT 1004'!$A$65:$C$73,2,1)-VLOOKUP((TRUNC(($AN690+0.01)*3/13,0)+0.99),'Tax scales - NAT 1004'!$A$65:$C$73,3,1)),0)
*13/3,
0),
IF($E$2="Monthly",
ROUND(
ROUND(((TRUNC($AN690*3/13,0)+0.99)*VLOOKUP((TRUNC($AN690*3/13,0)+0.99),'Tax scales - NAT 1004'!$A$65:$C$73,2,1)-VLOOKUP((TRUNC($AN690*3/13,0)+0.99),'Tax scales - NAT 1004'!$A$65:$C$73,3,1)),0)
*13/3,
0),
""))),
""),
"")</f>
        <v/>
      </c>
      <c r="AU690" s="118" t="str">
        <f>IFERROR(
IF(VLOOKUP($C690,'Employee information'!$B:$M,COLUMNS('Employee information'!$B:$M),0)=11,
IF($E$2="Fortnightly",
ROUND(
ROUND((((TRUNC($AN690/2,0)+0.99))*VLOOKUP((TRUNC($AN690/2,0)+0.99),'Tax scales - NAT 3539'!$A$14:$C$38,2,1)-VLOOKUP((TRUNC($AN690/2,0)+0.99),'Tax scales - NAT 3539'!$A$14:$C$38,3,1)),0)
*2,
0),
IF(AND($E$2="Monthly",ROUND($AN690-TRUNC($AN690),2)=0.33),
ROUND(
ROUND(((TRUNC(($AN690+0.01)*3/13,0)+0.99)*VLOOKUP((TRUNC(($AN690+0.01)*3/13,0)+0.99),'Tax scales - NAT 3539'!$A$14:$C$38,2,1)-VLOOKUP((TRUNC(($AN690+0.01)*3/13,0)+0.99),'Tax scales - NAT 3539'!$A$14:$C$38,3,1)),0)
*13/3,
0),
IF($E$2="Monthly",
ROUND(
ROUND(((TRUNC($AN690*3/13,0)+0.99)*VLOOKUP((TRUNC($AN690*3/13,0)+0.99),'Tax scales - NAT 3539'!$A$14:$C$38,2,1)-VLOOKUP((TRUNC($AN690*3/13,0)+0.99),'Tax scales - NAT 3539'!$A$14:$C$38,3,1)),0)
*13/3,
0),
""))),
""),
"")</f>
        <v/>
      </c>
      <c r="AV690" s="118" t="str">
        <f>IFERROR(
IF(VLOOKUP($C690,'Employee information'!$B:$M,COLUMNS('Employee information'!$B:$M),0)=22,
IF($E$2="Fortnightly",
ROUND(
ROUND((((TRUNC($AN690/2,0)+0.99))*VLOOKUP((TRUNC($AN690/2,0)+0.99),'Tax scales - NAT 3539'!$A$43:$C$69,2,1)-VLOOKUP((TRUNC($AN690/2,0)+0.99),'Tax scales - NAT 3539'!$A$43:$C$69,3,1)),0)
*2,
0),
IF(AND($E$2="Monthly",ROUND($AN690-TRUNC($AN690),2)=0.33),
ROUND(
ROUND(((TRUNC(($AN690+0.01)*3/13,0)+0.99)*VLOOKUP((TRUNC(($AN690+0.01)*3/13,0)+0.99),'Tax scales - NAT 3539'!$A$43:$C$69,2,1)-VLOOKUP((TRUNC(($AN690+0.01)*3/13,0)+0.99),'Tax scales - NAT 3539'!$A$43:$C$69,3,1)),0)
*13/3,
0),
IF($E$2="Monthly",
ROUND(
ROUND(((TRUNC($AN690*3/13,0)+0.99)*VLOOKUP((TRUNC($AN690*3/13,0)+0.99),'Tax scales - NAT 3539'!$A$43:$C$69,2,1)-VLOOKUP((TRUNC($AN690*3/13,0)+0.99),'Tax scales - NAT 3539'!$A$43:$C$69,3,1)),0)
*13/3,
0),
""))),
""),
"")</f>
        <v/>
      </c>
      <c r="AW690" s="118" t="str">
        <f>IFERROR(
IF(VLOOKUP($C690,'Employee information'!$B:$M,COLUMNS('Employee information'!$B:$M),0)=33,
IF($E$2="Fortnightly",
ROUND(
ROUND((((TRUNC($AN690/2,0)+0.99))*VLOOKUP((TRUNC($AN690/2,0)+0.99),'Tax scales - NAT 3539'!$A$74:$C$94,2,1)-VLOOKUP((TRUNC($AN690/2,0)+0.99),'Tax scales - NAT 3539'!$A$74:$C$94,3,1)),0)
*2,
0),
IF(AND($E$2="Monthly",ROUND($AN690-TRUNC($AN690),2)=0.33),
ROUND(
ROUND(((TRUNC(($AN690+0.01)*3/13,0)+0.99)*VLOOKUP((TRUNC(($AN690+0.01)*3/13,0)+0.99),'Tax scales - NAT 3539'!$A$74:$C$94,2,1)-VLOOKUP((TRUNC(($AN690+0.01)*3/13,0)+0.99),'Tax scales - NAT 3539'!$A$74:$C$94,3,1)),0)
*13/3,
0),
IF($E$2="Monthly",
ROUND(
ROUND(((TRUNC($AN690*3/13,0)+0.99)*VLOOKUP((TRUNC($AN690*3/13,0)+0.99),'Tax scales - NAT 3539'!$A$74:$C$94,2,1)-VLOOKUP((TRUNC($AN690*3/13,0)+0.99),'Tax scales - NAT 3539'!$A$74:$C$94,3,1)),0)
*13/3,
0),
""))),
""),
"")</f>
        <v/>
      </c>
      <c r="AX690" s="118" t="str">
        <f>IFERROR(
IF(VLOOKUP($C690,'Employee information'!$B:$M,COLUMNS('Employee information'!$B:$M),0)=55,
IF($E$2="Fortnightly",
ROUND(
ROUND((((TRUNC($AN690/2,0)+0.99))*VLOOKUP((TRUNC($AN690/2,0)+0.99),'Tax scales - NAT 3539'!$A$99:$C$123,2,1)-VLOOKUP((TRUNC($AN690/2,0)+0.99),'Tax scales - NAT 3539'!$A$99:$C$123,3,1)),0)
*2,
0),
IF(AND($E$2="Monthly",ROUND($AN690-TRUNC($AN690),2)=0.33),
ROUND(
ROUND(((TRUNC(($AN690+0.01)*3/13,0)+0.99)*VLOOKUP((TRUNC(($AN690+0.01)*3/13,0)+0.99),'Tax scales - NAT 3539'!$A$99:$C$123,2,1)-VLOOKUP((TRUNC(($AN690+0.01)*3/13,0)+0.99),'Tax scales - NAT 3539'!$A$99:$C$123,3,1)),0)
*13/3,
0),
IF($E$2="Monthly",
ROUND(
ROUND(((TRUNC($AN690*3/13,0)+0.99)*VLOOKUP((TRUNC($AN690*3/13,0)+0.99),'Tax scales - NAT 3539'!$A$99:$C$123,2,1)-VLOOKUP((TRUNC($AN690*3/13,0)+0.99),'Tax scales - NAT 3539'!$A$99:$C$123,3,1)),0)
*13/3,
0),
""))),
""),
"")</f>
        <v/>
      </c>
      <c r="AY690" s="118" t="str">
        <f>IFERROR(
IF(VLOOKUP($C690,'Employee information'!$B:$M,COLUMNS('Employee information'!$B:$M),0)=66,
IF($E$2="Fortnightly",
ROUND(
ROUND((((TRUNC($AN690/2,0)+0.99))*VLOOKUP((TRUNC($AN690/2,0)+0.99),'Tax scales - NAT 3539'!$A$127:$C$154,2,1)-VLOOKUP((TRUNC($AN690/2,0)+0.99),'Tax scales - NAT 3539'!$A$127:$C$154,3,1)),0)
*2,
0),
IF(AND($E$2="Monthly",ROUND($AN690-TRUNC($AN690),2)=0.33),
ROUND(
ROUND(((TRUNC(($AN690+0.01)*3/13,0)+0.99)*VLOOKUP((TRUNC(($AN690+0.01)*3/13,0)+0.99),'Tax scales - NAT 3539'!$A$127:$C$154,2,1)-VLOOKUP((TRUNC(($AN690+0.01)*3/13,0)+0.99),'Tax scales - NAT 3539'!$A$127:$C$154,3,1)),0)
*13/3,
0),
IF($E$2="Monthly",
ROUND(
ROUND(((TRUNC($AN690*3/13,0)+0.99)*VLOOKUP((TRUNC($AN690*3/13,0)+0.99),'Tax scales - NAT 3539'!$A$127:$C$154,2,1)-VLOOKUP((TRUNC($AN690*3/13,0)+0.99),'Tax scales - NAT 3539'!$A$127:$C$154,3,1)),0)
*13/3,
0),
""))),
""),
"")</f>
        <v/>
      </c>
      <c r="AZ690" s="118">
        <f>IFERROR(
HLOOKUP(VLOOKUP($C690,'Employee information'!$B:$M,COLUMNS('Employee information'!$B:$M),0),'PAYG worksheet'!$AO$677:$AY$696,COUNTA($C$678:$C690)+1,0),
0)</f>
        <v>0</v>
      </c>
      <c r="BA690" s="118"/>
      <c r="BB690" s="118">
        <f t="shared" si="728"/>
        <v>0</v>
      </c>
      <c r="BC690" s="119">
        <f>IFERROR(
IF(OR($AE690=1,$AE690=""),SUM($P690,$AA690,$AC690,$AK690)*VLOOKUP($C690,'Employee information'!$B:$Q,COLUMNS('Employee information'!$B:$H),0),
IF($AE690=0,SUM($P690,$AA690,$AK690)*VLOOKUP($C690,'Employee information'!$B:$Q,COLUMNS('Employee information'!$B:$H),0),
0)),
0)</f>
        <v>0</v>
      </c>
      <c r="BE690" s="114">
        <f t="shared" si="713"/>
        <v>0</v>
      </c>
      <c r="BF690" s="114">
        <f t="shared" si="714"/>
        <v>0</v>
      </c>
      <c r="BG690" s="114">
        <f t="shared" si="715"/>
        <v>0</v>
      </c>
      <c r="BH690" s="114">
        <f t="shared" si="716"/>
        <v>0</v>
      </c>
      <c r="BI690" s="114">
        <f t="shared" si="717"/>
        <v>0</v>
      </c>
      <c r="BJ690" s="114">
        <f t="shared" si="718"/>
        <v>0</v>
      </c>
      <c r="BK690" s="114">
        <f t="shared" si="719"/>
        <v>0</v>
      </c>
      <c r="BL690" s="114">
        <f t="shared" si="729"/>
        <v>0</v>
      </c>
      <c r="BM690" s="114">
        <f t="shared" si="720"/>
        <v>0</v>
      </c>
    </row>
    <row r="691" spans="1:65" x14ac:dyDescent="0.25">
      <c r="A691" s="228">
        <f t="shared" si="708"/>
        <v>24</v>
      </c>
      <c r="C691" s="278"/>
      <c r="E691" s="103">
        <f>IF($C691="",0,
IF(AND($E$2="Monthly",$A691&gt;12),0,
IF($E$2="Monthly",VLOOKUP($C691,'Employee information'!$B:$AM,COLUMNS('Employee information'!$B:S),0),
IF($E$2="Fortnightly",VLOOKUP($C691,'Employee information'!$B:$AM,COLUMNS('Employee information'!$B:R),0),
0))))</f>
        <v>0</v>
      </c>
      <c r="F691" s="106"/>
      <c r="G691" s="106"/>
      <c r="H691" s="106"/>
      <c r="I691" s="106"/>
      <c r="J691" s="103">
        <f t="shared" si="721"/>
        <v>0</v>
      </c>
      <c r="L691" s="113">
        <f>IF(AND($E$2="Monthly",$A691&gt;12),"",
IFERROR($J691*VLOOKUP($C691,'Employee information'!$B:$AI,COLUMNS('Employee information'!$B:$P),0),0))</f>
        <v>0</v>
      </c>
      <c r="M691" s="114">
        <f t="shared" si="722"/>
        <v>0</v>
      </c>
      <c r="O691" s="103">
        <f t="shared" si="723"/>
        <v>0</v>
      </c>
      <c r="P691" s="113">
        <f>IFERROR(
IF(AND($E$2="Monthly",$A691&gt;12),0,
$O691*VLOOKUP($C691,'Employee information'!$B:$AI,COLUMNS('Employee information'!$B:$P),0)),
0)</f>
        <v>0</v>
      </c>
      <c r="R691" s="114">
        <f t="shared" si="709"/>
        <v>0</v>
      </c>
      <c r="T691" s="103"/>
      <c r="U691" s="103"/>
      <c r="V691" s="282" t="str">
        <f>IF($C691="","",
IF(AND($E$2="Monthly",$A691&gt;12),"",
$T691*VLOOKUP($C691,'Employee information'!$B:$P,COLUMNS('Employee information'!$B:$P),0)))</f>
        <v/>
      </c>
      <c r="W691" s="282" t="str">
        <f>IF($C691="","",
IF(AND($E$2="Monthly",$A691&gt;12),"",
$U691*VLOOKUP($C691,'Employee information'!$B:$P,COLUMNS('Employee information'!$B:$P),0)))</f>
        <v/>
      </c>
      <c r="X691" s="114">
        <f t="shared" si="710"/>
        <v>0</v>
      </c>
      <c r="Y691" s="114">
        <f t="shared" si="711"/>
        <v>0</v>
      </c>
      <c r="AA691" s="118">
        <f>IFERROR(
IF(OR('Basic payroll data'!$D$12="",'Basic payroll data'!$D$12="No"),0,
$T691*VLOOKUP($C691,'Employee information'!$B:$P,COLUMNS('Employee information'!$B:$P),0)*AL_loading_perc),
0)</f>
        <v>0</v>
      </c>
      <c r="AC691" s="118"/>
      <c r="AD691" s="118"/>
      <c r="AE691" s="283" t="str">
        <f t="shared" si="724"/>
        <v/>
      </c>
      <c r="AF691" s="283" t="str">
        <f t="shared" si="725"/>
        <v/>
      </c>
      <c r="AG691" s="118"/>
      <c r="AH691" s="118"/>
      <c r="AI691" s="283" t="str">
        <f t="shared" si="726"/>
        <v/>
      </c>
      <c r="AJ691" s="118"/>
      <c r="AK691" s="118"/>
      <c r="AM691" s="118">
        <f t="shared" si="727"/>
        <v>0</v>
      </c>
      <c r="AN691" s="118">
        <f t="shared" si="712"/>
        <v>0</v>
      </c>
      <c r="AO691" s="118" t="str">
        <f>IFERROR(
IF(VLOOKUP($C691,'Employee information'!$B:$M,COLUMNS('Employee information'!$B:$M),0)=1,
IF($E$2="Fortnightly",
ROUND(
ROUND((((TRUNC($AN691/2,0)+0.99))*VLOOKUP((TRUNC($AN691/2,0)+0.99),'Tax scales - NAT 1004'!$A$12:$C$18,2,1)-VLOOKUP((TRUNC($AN691/2,0)+0.99),'Tax scales - NAT 1004'!$A$12:$C$18,3,1)),0)
*2,
0),
IF(AND($E$2="Monthly",ROUND($AN691-TRUNC($AN691),2)=0.33),
ROUND(
ROUND(((TRUNC(($AN691+0.01)*3/13,0)+0.99)*VLOOKUP((TRUNC(($AN691+0.01)*3/13,0)+0.99),'Tax scales - NAT 1004'!$A$12:$C$18,2,1)-VLOOKUP((TRUNC(($AN691+0.01)*3/13,0)+0.99),'Tax scales - NAT 1004'!$A$12:$C$18,3,1)),0)
*13/3,
0),
IF($E$2="Monthly",
ROUND(
ROUND(((TRUNC($AN691*3/13,0)+0.99)*VLOOKUP((TRUNC($AN691*3/13,0)+0.99),'Tax scales - NAT 1004'!$A$12:$C$18,2,1)-VLOOKUP((TRUNC($AN691*3/13,0)+0.99),'Tax scales - NAT 1004'!$A$12:$C$18,3,1)),0)
*13/3,
0),
""))),
""),
"")</f>
        <v/>
      </c>
      <c r="AP691" s="118" t="str">
        <f>IFERROR(
IF(VLOOKUP($C691,'Employee information'!$B:$M,COLUMNS('Employee information'!$B:$M),0)=2,
IF($E$2="Fortnightly",
ROUND(
ROUND((((TRUNC($AN691/2,0)+0.99))*VLOOKUP((TRUNC($AN691/2,0)+0.99),'Tax scales - NAT 1004'!$A$25:$C$33,2,1)-VLOOKUP((TRUNC($AN691/2,0)+0.99),'Tax scales - NAT 1004'!$A$25:$C$33,3,1)),0)
*2,
0),
IF(AND($E$2="Monthly",ROUND($AN691-TRUNC($AN691),2)=0.33),
ROUND(
ROUND(((TRUNC(($AN691+0.01)*3/13,0)+0.99)*VLOOKUP((TRUNC(($AN691+0.01)*3/13,0)+0.99),'Tax scales - NAT 1004'!$A$25:$C$33,2,1)-VLOOKUP((TRUNC(($AN691+0.01)*3/13,0)+0.99),'Tax scales - NAT 1004'!$A$25:$C$33,3,1)),0)
*13/3,
0),
IF($E$2="Monthly",
ROUND(
ROUND(((TRUNC($AN691*3/13,0)+0.99)*VLOOKUP((TRUNC($AN691*3/13,0)+0.99),'Tax scales - NAT 1004'!$A$25:$C$33,2,1)-VLOOKUP((TRUNC($AN691*3/13,0)+0.99),'Tax scales - NAT 1004'!$A$25:$C$33,3,1)),0)
*13/3,
0),
""))),
""),
"")</f>
        <v/>
      </c>
      <c r="AQ691" s="118" t="str">
        <f>IFERROR(
IF(VLOOKUP($C691,'Employee information'!$B:$M,COLUMNS('Employee information'!$B:$M),0)=3,
IF($E$2="Fortnightly",
ROUND(
ROUND((((TRUNC($AN691/2,0)+0.99))*VLOOKUP((TRUNC($AN691/2,0)+0.99),'Tax scales - NAT 1004'!$A$39:$C$41,2,1)-VLOOKUP((TRUNC($AN691/2,0)+0.99),'Tax scales - NAT 1004'!$A$39:$C$41,3,1)),0)
*2,
0),
IF(AND($E$2="Monthly",ROUND($AN691-TRUNC($AN691),2)=0.33),
ROUND(
ROUND(((TRUNC(($AN691+0.01)*3/13,0)+0.99)*VLOOKUP((TRUNC(($AN691+0.01)*3/13,0)+0.99),'Tax scales - NAT 1004'!$A$39:$C$41,2,1)-VLOOKUP((TRUNC(($AN691+0.01)*3/13,0)+0.99),'Tax scales - NAT 1004'!$A$39:$C$41,3,1)),0)
*13/3,
0),
IF($E$2="Monthly",
ROUND(
ROUND(((TRUNC($AN691*3/13,0)+0.99)*VLOOKUP((TRUNC($AN691*3/13,0)+0.99),'Tax scales - NAT 1004'!$A$39:$C$41,2,1)-VLOOKUP((TRUNC($AN691*3/13,0)+0.99),'Tax scales - NAT 1004'!$A$39:$C$41,3,1)),0)
*13/3,
0),
""))),
""),
"")</f>
        <v/>
      </c>
      <c r="AR691" s="118" t="str">
        <f>IFERROR(
IF(AND(VLOOKUP($C691,'Employee information'!$B:$M,COLUMNS('Employee information'!$B:$M),0)=4,
VLOOKUP($C691,'Employee information'!$B:$J,COLUMNS('Employee information'!$B:$J),0)="Resident"),
TRUNC(TRUNC($AN691)*'Tax scales - NAT 1004'!$B$47),
IF(AND(VLOOKUP($C691,'Employee information'!$B:$M,COLUMNS('Employee information'!$B:$M),0)=4,
VLOOKUP($C691,'Employee information'!$B:$J,COLUMNS('Employee information'!$B:$J),0)="Foreign resident"),
TRUNC(TRUNC($AN691)*'Tax scales - NAT 1004'!$B$48),
"")),
"")</f>
        <v/>
      </c>
      <c r="AS691" s="118" t="str">
        <f>IFERROR(
IF(VLOOKUP($C691,'Employee information'!$B:$M,COLUMNS('Employee information'!$B:$M),0)=5,
IF($E$2="Fortnightly",
ROUND(
ROUND((((TRUNC($AN691/2,0)+0.99))*VLOOKUP((TRUNC($AN691/2,0)+0.99),'Tax scales - NAT 1004'!$A$53:$C$59,2,1)-VLOOKUP((TRUNC($AN691/2,0)+0.99),'Tax scales - NAT 1004'!$A$53:$C$59,3,1)),0)
*2,
0),
IF(AND($E$2="Monthly",ROUND($AN691-TRUNC($AN691),2)=0.33),
ROUND(
ROUND(((TRUNC(($AN691+0.01)*3/13,0)+0.99)*VLOOKUP((TRUNC(($AN691+0.01)*3/13,0)+0.99),'Tax scales - NAT 1004'!$A$53:$C$59,2,1)-VLOOKUP((TRUNC(($AN691+0.01)*3/13,0)+0.99),'Tax scales - NAT 1004'!$A$53:$C$59,3,1)),0)
*13/3,
0),
IF($E$2="Monthly",
ROUND(
ROUND(((TRUNC($AN691*3/13,0)+0.99)*VLOOKUP((TRUNC($AN691*3/13,0)+0.99),'Tax scales - NAT 1004'!$A$53:$C$59,2,1)-VLOOKUP((TRUNC($AN691*3/13,0)+0.99),'Tax scales - NAT 1004'!$A$53:$C$59,3,1)),0)
*13/3,
0),
""))),
""),
"")</f>
        <v/>
      </c>
      <c r="AT691" s="118" t="str">
        <f>IFERROR(
IF(VLOOKUP($C691,'Employee information'!$B:$M,COLUMNS('Employee information'!$B:$M),0)=6,
IF($E$2="Fortnightly",
ROUND(
ROUND((((TRUNC($AN691/2,0)+0.99))*VLOOKUP((TRUNC($AN691/2,0)+0.99),'Tax scales - NAT 1004'!$A$65:$C$73,2,1)-VLOOKUP((TRUNC($AN691/2,0)+0.99),'Tax scales - NAT 1004'!$A$65:$C$73,3,1)),0)
*2,
0),
IF(AND($E$2="Monthly",ROUND($AN691-TRUNC($AN691),2)=0.33),
ROUND(
ROUND(((TRUNC(($AN691+0.01)*3/13,0)+0.99)*VLOOKUP((TRUNC(($AN691+0.01)*3/13,0)+0.99),'Tax scales - NAT 1004'!$A$65:$C$73,2,1)-VLOOKUP((TRUNC(($AN691+0.01)*3/13,0)+0.99),'Tax scales - NAT 1004'!$A$65:$C$73,3,1)),0)
*13/3,
0),
IF($E$2="Monthly",
ROUND(
ROUND(((TRUNC($AN691*3/13,0)+0.99)*VLOOKUP((TRUNC($AN691*3/13,0)+0.99),'Tax scales - NAT 1004'!$A$65:$C$73,2,1)-VLOOKUP((TRUNC($AN691*3/13,0)+0.99),'Tax scales - NAT 1004'!$A$65:$C$73,3,1)),0)
*13/3,
0),
""))),
""),
"")</f>
        <v/>
      </c>
      <c r="AU691" s="118" t="str">
        <f>IFERROR(
IF(VLOOKUP($C691,'Employee information'!$B:$M,COLUMNS('Employee information'!$B:$M),0)=11,
IF($E$2="Fortnightly",
ROUND(
ROUND((((TRUNC($AN691/2,0)+0.99))*VLOOKUP((TRUNC($AN691/2,0)+0.99),'Tax scales - NAT 3539'!$A$14:$C$38,2,1)-VLOOKUP((TRUNC($AN691/2,0)+0.99),'Tax scales - NAT 3539'!$A$14:$C$38,3,1)),0)
*2,
0),
IF(AND($E$2="Monthly",ROUND($AN691-TRUNC($AN691),2)=0.33),
ROUND(
ROUND(((TRUNC(($AN691+0.01)*3/13,0)+0.99)*VLOOKUP((TRUNC(($AN691+0.01)*3/13,0)+0.99),'Tax scales - NAT 3539'!$A$14:$C$38,2,1)-VLOOKUP((TRUNC(($AN691+0.01)*3/13,0)+0.99),'Tax scales - NAT 3539'!$A$14:$C$38,3,1)),0)
*13/3,
0),
IF($E$2="Monthly",
ROUND(
ROUND(((TRUNC($AN691*3/13,0)+0.99)*VLOOKUP((TRUNC($AN691*3/13,0)+0.99),'Tax scales - NAT 3539'!$A$14:$C$38,2,1)-VLOOKUP((TRUNC($AN691*3/13,0)+0.99),'Tax scales - NAT 3539'!$A$14:$C$38,3,1)),0)
*13/3,
0),
""))),
""),
"")</f>
        <v/>
      </c>
      <c r="AV691" s="118" t="str">
        <f>IFERROR(
IF(VLOOKUP($C691,'Employee information'!$B:$M,COLUMNS('Employee information'!$B:$M),0)=22,
IF($E$2="Fortnightly",
ROUND(
ROUND((((TRUNC($AN691/2,0)+0.99))*VLOOKUP((TRUNC($AN691/2,0)+0.99),'Tax scales - NAT 3539'!$A$43:$C$69,2,1)-VLOOKUP((TRUNC($AN691/2,0)+0.99),'Tax scales - NAT 3539'!$A$43:$C$69,3,1)),0)
*2,
0),
IF(AND($E$2="Monthly",ROUND($AN691-TRUNC($AN691),2)=0.33),
ROUND(
ROUND(((TRUNC(($AN691+0.01)*3/13,0)+0.99)*VLOOKUP((TRUNC(($AN691+0.01)*3/13,0)+0.99),'Tax scales - NAT 3539'!$A$43:$C$69,2,1)-VLOOKUP((TRUNC(($AN691+0.01)*3/13,0)+0.99),'Tax scales - NAT 3539'!$A$43:$C$69,3,1)),0)
*13/3,
0),
IF($E$2="Monthly",
ROUND(
ROUND(((TRUNC($AN691*3/13,0)+0.99)*VLOOKUP((TRUNC($AN691*3/13,0)+0.99),'Tax scales - NAT 3539'!$A$43:$C$69,2,1)-VLOOKUP((TRUNC($AN691*3/13,0)+0.99),'Tax scales - NAT 3539'!$A$43:$C$69,3,1)),0)
*13/3,
0),
""))),
""),
"")</f>
        <v/>
      </c>
      <c r="AW691" s="118" t="str">
        <f>IFERROR(
IF(VLOOKUP($C691,'Employee information'!$B:$M,COLUMNS('Employee information'!$B:$M),0)=33,
IF($E$2="Fortnightly",
ROUND(
ROUND((((TRUNC($AN691/2,0)+0.99))*VLOOKUP((TRUNC($AN691/2,0)+0.99),'Tax scales - NAT 3539'!$A$74:$C$94,2,1)-VLOOKUP((TRUNC($AN691/2,0)+0.99),'Tax scales - NAT 3539'!$A$74:$C$94,3,1)),0)
*2,
0),
IF(AND($E$2="Monthly",ROUND($AN691-TRUNC($AN691),2)=0.33),
ROUND(
ROUND(((TRUNC(($AN691+0.01)*3/13,0)+0.99)*VLOOKUP((TRUNC(($AN691+0.01)*3/13,0)+0.99),'Tax scales - NAT 3539'!$A$74:$C$94,2,1)-VLOOKUP((TRUNC(($AN691+0.01)*3/13,0)+0.99),'Tax scales - NAT 3539'!$A$74:$C$94,3,1)),0)
*13/3,
0),
IF($E$2="Monthly",
ROUND(
ROUND(((TRUNC($AN691*3/13,0)+0.99)*VLOOKUP((TRUNC($AN691*3/13,0)+0.99),'Tax scales - NAT 3539'!$A$74:$C$94,2,1)-VLOOKUP((TRUNC($AN691*3/13,0)+0.99),'Tax scales - NAT 3539'!$A$74:$C$94,3,1)),0)
*13/3,
0),
""))),
""),
"")</f>
        <v/>
      </c>
      <c r="AX691" s="118" t="str">
        <f>IFERROR(
IF(VLOOKUP($C691,'Employee information'!$B:$M,COLUMNS('Employee information'!$B:$M),0)=55,
IF($E$2="Fortnightly",
ROUND(
ROUND((((TRUNC($AN691/2,0)+0.99))*VLOOKUP((TRUNC($AN691/2,0)+0.99),'Tax scales - NAT 3539'!$A$99:$C$123,2,1)-VLOOKUP((TRUNC($AN691/2,0)+0.99),'Tax scales - NAT 3539'!$A$99:$C$123,3,1)),0)
*2,
0),
IF(AND($E$2="Monthly",ROUND($AN691-TRUNC($AN691),2)=0.33),
ROUND(
ROUND(((TRUNC(($AN691+0.01)*3/13,0)+0.99)*VLOOKUP((TRUNC(($AN691+0.01)*3/13,0)+0.99),'Tax scales - NAT 3539'!$A$99:$C$123,2,1)-VLOOKUP((TRUNC(($AN691+0.01)*3/13,0)+0.99),'Tax scales - NAT 3539'!$A$99:$C$123,3,1)),0)
*13/3,
0),
IF($E$2="Monthly",
ROUND(
ROUND(((TRUNC($AN691*3/13,0)+0.99)*VLOOKUP((TRUNC($AN691*3/13,0)+0.99),'Tax scales - NAT 3539'!$A$99:$C$123,2,1)-VLOOKUP((TRUNC($AN691*3/13,0)+0.99),'Tax scales - NAT 3539'!$A$99:$C$123,3,1)),0)
*13/3,
0),
""))),
""),
"")</f>
        <v/>
      </c>
      <c r="AY691" s="118" t="str">
        <f>IFERROR(
IF(VLOOKUP($C691,'Employee information'!$B:$M,COLUMNS('Employee information'!$B:$M),0)=66,
IF($E$2="Fortnightly",
ROUND(
ROUND((((TRUNC($AN691/2,0)+0.99))*VLOOKUP((TRUNC($AN691/2,0)+0.99),'Tax scales - NAT 3539'!$A$127:$C$154,2,1)-VLOOKUP((TRUNC($AN691/2,0)+0.99),'Tax scales - NAT 3539'!$A$127:$C$154,3,1)),0)
*2,
0),
IF(AND($E$2="Monthly",ROUND($AN691-TRUNC($AN691),2)=0.33),
ROUND(
ROUND(((TRUNC(($AN691+0.01)*3/13,0)+0.99)*VLOOKUP((TRUNC(($AN691+0.01)*3/13,0)+0.99),'Tax scales - NAT 3539'!$A$127:$C$154,2,1)-VLOOKUP((TRUNC(($AN691+0.01)*3/13,0)+0.99),'Tax scales - NAT 3539'!$A$127:$C$154,3,1)),0)
*13/3,
0),
IF($E$2="Monthly",
ROUND(
ROUND(((TRUNC($AN691*3/13,0)+0.99)*VLOOKUP((TRUNC($AN691*3/13,0)+0.99),'Tax scales - NAT 3539'!$A$127:$C$154,2,1)-VLOOKUP((TRUNC($AN691*3/13,0)+0.99),'Tax scales - NAT 3539'!$A$127:$C$154,3,1)),0)
*13/3,
0),
""))),
""),
"")</f>
        <v/>
      </c>
      <c r="AZ691" s="118">
        <f>IFERROR(
HLOOKUP(VLOOKUP($C691,'Employee information'!$B:$M,COLUMNS('Employee information'!$B:$M),0),'PAYG worksheet'!$AO$677:$AY$696,COUNTA($C$678:$C691)+1,0),
0)</f>
        <v>0</v>
      </c>
      <c r="BA691" s="118"/>
      <c r="BB691" s="118">
        <f t="shared" si="728"/>
        <v>0</v>
      </c>
      <c r="BC691" s="119">
        <f>IFERROR(
IF(OR($AE691=1,$AE691=""),SUM($P691,$AA691,$AC691,$AK691)*VLOOKUP($C691,'Employee information'!$B:$Q,COLUMNS('Employee information'!$B:$H),0),
IF($AE691=0,SUM($P691,$AA691,$AK691)*VLOOKUP($C691,'Employee information'!$B:$Q,COLUMNS('Employee information'!$B:$H),0),
0)),
0)</f>
        <v>0</v>
      </c>
      <c r="BE691" s="114">
        <f t="shared" si="713"/>
        <v>0</v>
      </c>
      <c r="BF691" s="114">
        <f t="shared" si="714"/>
        <v>0</v>
      </c>
      <c r="BG691" s="114">
        <f t="shared" si="715"/>
        <v>0</v>
      </c>
      <c r="BH691" s="114">
        <f t="shared" si="716"/>
        <v>0</v>
      </c>
      <c r="BI691" s="114">
        <f t="shared" si="717"/>
        <v>0</v>
      </c>
      <c r="BJ691" s="114">
        <f t="shared" si="718"/>
        <v>0</v>
      </c>
      <c r="BK691" s="114">
        <f t="shared" si="719"/>
        <v>0</v>
      </c>
      <c r="BL691" s="114">
        <f t="shared" si="729"/>
        <v>0</v>
      </c>
      <c r="BM691" s="114">
        <f t="shared" si="720"/>
        <v>0</v>
      </c>
    </row>
    <row r="692" spans="1:65" x14ac:dyDescent="0.25">
      <c r="A692" s="228">
        <f t="shared" si="708"/>
        <v>24</v>
      </c>
      <c r="C692" s="278"/>
      <c r="E692" s="103">
        <f>IF($C692="",0,
IF(AND($E$2="Monthly",$A692&gt;12),0,
IF($E$2="Monthly",VLOOKUP($C692,'Employee information'!$B:$AM,COLUMNS('Employee information'!$B:S),0),
IF($E$2="Fortnightly",VLOOKUP($C692,'Employee information'!$B:$AM,COLUMNS('Employee information'!$B:R),0),
0))))</f>
        <v>0</v>
      </c>
      <c r="F692" s="106"/>
      <c r="G692" s="106"/>
      <c r="H692" s="106"/>
      <c r="I692" s="106"/>
      <c r="J692" s="103">
        <f t="shared" si="721"/>
        <v>0</v>
      </c>
      <c r="L692" s="113">
        <f>IF(AND($E$2="Monthly",$A692&gt;12),"",
IFERROR($J692*VLOOKUP($C692,'Employee information'!$B:$AI,COLUMNS('Employee information'!$B:$P),0),0))</f>
        <v>0</v>
      </c>
      <c r="M692" s="114">
        <f t="shared" si="722"/>
        <v>0</v>
      </c>
      <c r="O692" s="103">
        <f t="shared" si="723"/>
        <v>0</v>
      </c>
      <c r="P692" s="113">
        <f>IFERROR(
IF(AND($E$2="Monthly",$A692&gt;12),0,
$O692*VLOOKUP($C692,'Employee information'!$B:$AI,COLUMNS('Employee information'!$B:$P),0)),
0)</f>
        <v>0</v>
      </c>
      <c r="R692" s="114">
        <f t="shared" si="709"/>
        <v>0</v>
      </c>
      <c r="T692" s="103"/>
      <c r="U692" s="103"/>
      <c r="V692" s="282" t="str">
        <f>IF($C692="","",
IF(AND($E$2="Monthly",$A692&gt;12),"",
$T692*VLOOKUP($C692,'Employee information'!$B:$P,COLUMNS('Employee information'!$B:$P),0)))</f>
        <v/>
      </c>
      <c r="W692" s="282" t="str">
        <f>IF($C692="","",
IF(AND($E$2="Monthly",$A692&gt;12),"",
$U692*VLOOKUP($C692,'Employee information'!$B:$P,COLUMNS('Employee information'!$B:$P),0)))</f>
        <v/>
      </c>
      <c r="X692" s="114">
        <f t="shared" si="710"/>
        <v>0</v>
      </c>
      <c r="Y692" s="114">
        <f t="shared" si="711"/>
        <v>0</v>
      </c>
      <c r="AA692" s="118">
        <f>IFERROR(
IF(OR('Basic payroll data'!$D$12="",'Basic payroll data'!$D$12="No"),0,
$T692*VLOOKUP($C692,'Employee information'!$B:$P,COLUMNS('Employee information'!$B:$P),0)*AL_loading_perc),
0)</f>
        <v>0</v>
      </c>
      <c r="AC692" s="118"/>
      <c r="AD692" s="118"/>
      <c r="AE692" s="283" t="str">
        <f t="shared" si="724"/>
        <v/>
      </c>
      <c r="AF692" s="283" t="str">
        <f t="shared" si="725"/>
        <v/>
      </c>
      <c r="AG692" s="118"/>
      <c r="AH692" s="118"/>
      <c r="AI692" s="283" t="str">
        <f t="shared" si="726"/>
        <v/>
      </c>
      <c r="AJ692" s="118"/>
      <c r="AK692" s="118"/>
      <c r="AM692" s="118">
        <f t="shared" si="727"/>
        <v>0</v>
      </c>
      <c r="AN692" s="118">
        <f t="shared" si="712"/>
        <v>0</v>
      </c>
      <c r="AO692" s="118" t="str">
        <f>IFERROR(
IF(VLOOKUP($C692,'Employee information'!$B:$M,COLUMNS('Employee information'!$B:$M),0)=1,
IF($E$2="Fortnightly",
ROUND(
ROUND((((TRUNC($AN692/2,0)+0.99))*VLOOKUP((TRUNC($AN692/2,0)+0.99),'Tax scales - NAT 1004'!$A$12:$C$18,2,1)-VLOOKUP((TRUNC($AN692/2,0)+0.99),'Tax scales - NAT 1004'!$A$12:$C$18,3,1)),0)
*2,
0),
IF(AND($E$2="Monthly",ROUND($AN692-TRUNC($AN692),2)=0.33),
ROUND(
ROUND(((TRUNC(($AN692+0.01)*3/13,0)+0.99)*VLOOKUP((TRUNC(($AN692+0.01)*3/13,0)+0.99),'Tax scales - NAT 1004'!$A$12:$C$18,2,1)-VLOOKUP((TRUNC(($AN692+0.01)*3/13,0)+0.99),'Tax scales - NAT 1004'!$A$12:$C$18,3,1)),0)
*13/3,
0),
IF($E$2="Monthly",
ROUND(
ROUND(((TRUNC($AN692*3/13,0)+0.99)*VLOOKUP((TRUNC($AN692*3/13,0)+0.99),'Tax scales - NAT 1004'!$A$12:$C$18,2,1)-VLOOKUP((TRUNC($AN692*3/13,0)+0.99),'Tax scales - NAT 1004'!$A$12:$C$18,3,1)),0)
*13/3,
0),
""))),
""),
"")</f>
        <v/>
      </c>
      <c r="AP692" s="118" t="str">
        <f>IFERROR(
IF(VLOOKUP($C692,'Employee information'!$B:$M,COLUMNS('Employee information'!$B:$M),0)=2,
IF($E$2="Fortnightly",
ROUND(
ROUND((((TRUNC($AN692/2,0)+0.99))*VLOOKUP((TRUNC($AN692/2,0)+0.99),'Tax scales - NAT 1004'!$A$25:$C$33,2,1)-VLOOKUP((TRUNC($AN692/2,0)+0.99),'Tax scales - NAT 1004'!$A$25:$C$33,3,1)),0)
*2,
0),
IF(AND($E$2="Monthly",ROUND($AN692-TRUNC($AN692),2)=0.33),
ROUND(
ROUND(((TRUNC(($AN692+0.01)*3/13,0)+0.99)*VLOOKUP((TRUNC(($AN692+0.01)*3/13,0)+0.99),'Tax scales - NAT 1004'!$A$25:$C$33,2,1)-VLOOKUP((TRUNC(($AN692+0.01)*3/13,0)+0.99),'Tax scales - NAT 1004'!$A$25:$C$33,3,1)),0)
*13/3,
0),
IF($E$2="Monthly",
ROUND(
ROUND(((TRUNC($AN692*3/13,0)+0.99)*VLOOKUP((TRUNC($AN692*3/13,0)+0.99),'Tax scales - NAT 1004'!$A$25:$C$33,2,1)-VLOOKUP((TRUNC($AN692*3/13,0)+0.99),'Tax scales - NAT 1004'!$A$25:$C$33,3,1)),0)
*13/3,
0),
""))),
""),
"")</f>
        <v/>
      </c>
      <c r="AQ692" s="118" t="str">
        <f>IFERROR(
IF(VLOOKUP($C692,'Employee information'!$B:$M,COLUMNS('Employee information'!$B:$M),0)=3,
IF($E$2="Fortnightly",
ROUND(
ROUND((((TRUNC($AN692/2,0)+0.99))*VLOOKUP((TRUNC($AN692/2,0)+0.99),'Tax scales - NAT 1004'!$A$39:$C$41,2,1)-VLOOKUP((TRUNC($AN692/2,0)+0.99),'Tax scales - NAT 1004'!$A$39:$C$41,3,1)),0)
*2,
0),
IF(AND($E$2="Monthly",ROUND($AN692-TRUNC($AN692),2)=0.33),
ROUND(
ROUND(((TRUNC(($AN692+0.01)*3/13,0)+0.99)*VLOOKUP((TRUNC(($AN692+0.01)*3/13,0)+0.99),'Tax scales - NAT 1004'!$A$39:$C$41,2,1)-VLOOKUP((TRUNC(($AN692+0.01)*3/13,0)+0.99),'Tax scales - NAT 1004'!$A$39:$C$41,3,1)),0)
*13/3,
0),
IF($E$2="Monthly",
ROUND(
ROUND(((TRUNC($AN692*3/13,0)+0.99)*VLOOKUP((TRUNC($AN692*3/13,0)+0.99),'Tax scales - NAT 1004'!$A$39:$C$41,2,1)-VLOOKUP((TRUNC($AN692*3/13,0)+0.99),'Tax scales - NAT 1004'!$A$39:$C$41,3,1)),0)
*13/3,
0),
""))),
""),
"")</f>
        <v/>
      </c>
      <c r="AR692" s="118" t="str">
        <f>IFERROR(
IF(AND(VLOOKUP($C692,'Employee information'!$B:$M,COLUMNS('Employee information'!$B:$M),0)=4,
VLOOKUP($C692,'Employee information'!$B:$J,COLUMNS('Employee information'!$B:$J),0)="Resident"),
TRUNC(TRUNC($AN692)*'Tax scales - NAT 1004'!$B$47),
IF(AND(VLOOKUP($C692,'Employee information'!$B:$M,COLUMNS('Employee information'!$B:$M),0)=4,
VLOOKUP($C692,'Employee information'!$B:$J,COLUMNS('Employee information'!$B:$J),0)="Foreign resident"),
TRUNC(TRUNC($AN692)*'Tax scales - NAT 1004'!$B$48),
"")),
"")</f>
        <v/>
      </c>
      <c r="AS692" s="118" t="str">
        <f>IFERROR(
IF(VLOOKUP($C692,'Employee information'!$B:$M,COLUMNS('Employee information'!$B:$M),0)=5,
IF($E$2="Fortnightly",
ROUND(
ROUND((((TRUNC($AN692/2,0)+0.99))*VLOOKUP((TRUNC($AN692/2,0)+0.99),'Tax scales - NAT 1004'!$A$53:$C$59,2,1)-VLOOKUP((TRUNC($AN692/2,0)+0.99),'Tax scales - NAT 1004'!$A$53:$C$59,3,1)),0)
*2,
0),
IF(AND($E$2="Monthly",ROUND($AN692-TRUNC($AN692),2)=0.33),
ROUND(
ROUND(((TRUNC(($AN692+0.01)*3/13,0)+0.99)*VLOOKUP((TRUNC(($AN692+0.01)*3/13,0)+0.99),'Tax scales - NAT 1004'!$A$53:$C$59,2,1)-VLOOKUP((TRUNC(($AN692+0.01)*3/13,0)+0.99),'Tax scales - NAT 1004'!$A$53:$C$59,3,1)),0)
*13/3,
0),
IF($E$2="Monthly",
ROUND(
ROUND(((TRUNC($AN692*3/13,0)+0.99)*VLOOKUP((TRUNC($AN692*3/13,0)+0.99),'Tax scales - NAT 1004'!$A$53:$C$59,2,1)-VLOOKUP((TRUNC($AN692*3/13,0)+0.99),'Tax scales - NAT 1004'!$A$53:$C$59,3,1)),0)
*13/3,
0),
""))),
""),
"")</f>
        <v/>
      </c>
      <c r="AT692" s="118" t="str">
        <f>IFERROR(
IF(VLOOKUP($C692,'Employee information'!$B:$M,COLUMNS('Employee information'!$B:$M),0)=6,
IF($E$2="Fortnightly",
ROUND(
ROUND((((TRUNC($AN692/2,0)+0.99))*VLOOKUP((TRUNC($AN692/2,0)+0.99),'Tax scales - NAT 1004'!$A$65:$C$73,2,1)-VLOOKUP((TRUNC($AN692/2,0)+0.99),'Tax scales - NAT 1004'!$A$65:$C$73,3,1)),0)
*2,
0),
IF(AND($E$2="Monthly",ROUND($AN692-TRUNC($AN692),2)=0.33),
ROUND(
ROUND(((TRUNC(($AN692+0.01)*3/13,0)+0.99)*VLOOKUP((TRUNC(($AN692+0.01)*3/13,0)+0.99),'Tax scales - NAT 1004'!$A$65:$C$73,2,1)-VLOOKUP((TRUNC(($AN692+0.01)*3/13,0)+0.99),'Tax scales - NAT 1004'!$A$65:$C$73,3,1)),0)
*13/3,
0),
IF($E$2="Monthly",
ROUND(
ROUND(((TRUNC($AN692*3/13,0)+0.99)*VLOOKUP((TRUNC($AN692*3/13,0)+0.99),'Tax scales - NAT 1004'!$A$65:$C$73,2,1)-VLOOKUP((TRUNC($AN692*3/13,0)+0.99),'Tax scales - NAT 1004'!$A$65:$C$73,3,1)),0)
*13/3,
0),
""))),
""),
"")</f>
        <v/>
      </c>
      <c r="AU692" s="118" t="str">
        <f>IFERROR(
IF(VLOOKUP($C692,'Employee information'!$B:$M,COLUMNS('Employee information'!$B:$M),0)=11,
IF($E$2="Fortnightly",
ROUND(
ROUND((((TRUNC($AN692/2,0)+0.99))*VLOOKUP((TRUNC($AN692/2,0)+0.99),'Tax scales - NAT 3539'!$A$14:$C$38,2,1)-VLOOKUP((TRUNC($AN692/2,0)+0.99),'Tax scales - NAT 3539'!$A$14:$C$38,3,1)),0)
*2,
0),
IF(AND($E$2="Monthly",ROUND($AN692-TRUNC($AN692),2)=0.33),
ROUND(
ROUND(((TRUNC(($AN692+0.01)*3/13,0)+0.99)*VLOOKUP((TRUNC(($AN692+0.01)*3/13,0)+0.99),'Tax scales - NAT 3539'!$A$14:$C$38,2,1)-VLOOKUP((TRUNC(($AN692+0.01)*3/13,0)+0.99),'Tax scales - NAT 3539'!$A$14:$C$38,3,1)),0)
*13/3,
0),
IF($E$2="Monthly",
ROUND(
ROUND(((TRUNC($AN692*3/13,0)+0.99)*VLOOKUP((TRUNC($AN692*3/13,0)+0.99),'Tax scales - NAT 3539'!$A$14:$C$38,2,1)-VLOOKUP((TRUNC($AN692*3/13,0)+0.99),'Tax scales - NAT 3539'!$A$14:$C$38,3,1)),0)
*13/3,
0),
""))),
""),
"")</f>
        <v/>
      </c>
      <c r="AV692" s="118" t="str">
        <f>IFERROR(
IF(VLOOKUP($C692,'Employee information'!$B:$M,COLUMNS('Employee information'!$B:$M),0)=22,
IF($E$2="Fortnightly",
ROUND(
ROUND((((TRUNC($AN692/2,0)+0.99))*VLOOKUP((TRUNC($AN692/2,0)+0.99),'Tax scales - NAT 3539'!$A$43:$C$69,2,1)-VLOOKUP((TRUNC($AN692/2,0)+0.99),'Tax scales - NAT 3539'!$A$43:$C$69,3,1)),0)
*2,
0),
IF(AND($E$2="Monthly",ROUND($AN692-TRUNC($AN692),2)=0.33),
ROUND(
ROUND(((TRUNC(($AN692+0.01)*3/13,0)+0.99)*VLOOKUP((TRUNC(($AN692+0.01)*3/13,0)+0.99),'Tax scales - NAT 3539'!$A$43:$C$69,2,1)-VLOOKUP((TRUNC(($AN692+0.01)*3/13,0)+0.99),'Tax scales - NAT 3539'!$A$43:$C$69,3,1)),0)
*13/3,
0),
IF($E$2="Monthly",
ROUND(
ROUND(((TRUNC($AN692*3/13,0)+0.99)*VLOOKUP((TRUNC($AN692*3/13,0)+0.99),'Tax scales - NAT 3539'!$A$43:$C$69,2,1)-VLOOKUP((TRUNC($AN692*3/13,0)+0.99),'Tax scales - NAT 3539'!$A$43:$C$69,3,1)),0)
*13/3,
0),
""))),
""),
"")</f>
        <v/>
      </c>
      <c r="AW692" s="118" t="str">
        <f>IFERROR(
IF(VLOOKUP($C692,'Employee information'!$B:$M,COLUMNS('Employee information'!$B:$M),0)=33,
IF($E$2="Fortnightly",
ROUND(
ROUND((((TRUNC($AN692/2,0)+0.99))*VLOOKUP((TRUNC($AN692/2,0)+0.99),'Tax scales - NAT 3539'!$A$74:$C$94,2,1)-VLOOKUP((TRUNC($AN692/2,0)+0.99),'Tax scales - NAT 3539'!$A$74:$C$94,3,1)),0)
*2,
0),
IF(AND($E$2="Monthly",ROUND($AN692-TRUNC($AN692),2)=0.33),
ROUND(
ROUND(((TRUNC(($AN692+0.01)*3/13,0)+0.99)*VLOOKUP((TRUNC(($AN692+0.01)*3/13,0)+0.99),'Tax scales - NAT 3539'!$A$74:$C$94,2,1)-VLOOKUP((TRUNC(($AN692+0.01)*3/13,0)+0.99),'Tax scales - NAT 3539'!$A$74:$C$94,3,1)),0)
*13/3,
0),
IF($E$2="Monthly",
ROUND(
ROUND(((TRUNC($AN692*3/13,0)+0.99)*VLOOKUP((TRUNC($AN692*3/13,0)+0.99),'Tax scales - NAT 3539'!$A$74:$C$94,2,1)-VLOOKUP((TRUNC($AN692*3/13,0)+0.99),'Tax scales - NAT 3539'!$A$74:$C$94,3,1)),0)
*13/3,
0),
""))),
""),
"")</f>
        <v/>
      </c>
      <c r="AX692" s="118" t="str">
        <f>IFERROR(
IF(VLOOKUP($C692,'Employee information'!$B:$M,COLUMNS('Employee information'!$B:$M),0)=55,
IF($E$2="Fortnightly",
ROUND(
ROUND((((TRUNC($AN692/2,0)+0.99))*VLOOKUP((TRUNC($AN692/2,0)+0.99),'Tax scales - NAT 3539'!$A$99:$C$123,2,1)-VLOOKUP((TRUNC($AN692/2,0)+0.99),'Tax scales - NAT 3539'!$A$99:$C$123,3,1)),0)
*2,
0),
IF(AND($E$2="Monthly",ROUND($AN692-TRUNC($AN692),2)=0.33),
ROUND(
ROUND(((TRUNC(($AN692+0.01)*3/13,0)+0.99)*VLOOKUP((TRUNC(($AN692+0.01)*3/13,0)+0.99),'Tax scales - NAT 3539'!$A$99:$C$123,2,1)-VLOOKUP((TRUNC(($AN692+0.01)*3/13,0)+0.99),'Tax scales - NAT 3539'!$A$99:$C$123,3,1)),0)
*13/3,
0),
IF($E$2="Monthly",
ROUND(
ROUND(((TRUNC($AN692*3/13,0)+0.99)*VLOOKUP((TRUNC($AN692*3/13,0)+0.99),'Tax scales - NAT 3539'!$A$99:$C$123,2,1)-VLOOKUP((TRUNC($AN692*3/13,0)+0.99),'Tax scales - NAT 3539'!$A$99:$C$123,3,1)),0)
*13/3,
0),
""))),
""),
"")</f>
        <v/>
      </c>
      <c r="AY692" s="118" t="str">
        <f>IFERROR(
IF(VLOOKUP($C692,'Employee information'!$B:$M,COLUMNS('Employee information'!$B:$M),0)=66,
IF($E$2="Fortnightly",
ROUND(
ROUND((((TRUNC($AN692/2,0)+0.99))*VLOOKUP((TRUNC($AN692/2,0)+0.99),'Tax scales - NAT 3539'!$A$127:$C$154,2,1)-VLOOKUP((TRUNC($AN692/2,0)+0.99),'Tax scales - NAT 3539'!$A$127:$C$154,3,1)),0)
*2,
0),
IF(AND($E$2="Monthly",ROUND($AN692-TRUNC($AN692),2)=0.33),
ROUND(
ROUND(((TRUNC(($AN692+0.01)*3/13,0)+0.99)*VLOOKUP((TRUNC(($AN692+0.01)*3/13,0)+0.99),'Tax scales - NAT 3539'!$A$127:$C$154,2,1)-VLOOKUP((TRUNC(($AN692+0.01)*3/13,0)+0.99),'Tax scales - NAT 3539'!$A$127:$C$154,3,1)),0)
*13/3,
0),
IF($E$2="Monthly",
ROUND(
ROUND(((TRUNC($AN692*3/13,0)+0.99)*VLOOKUP((TRUNC($AN692*3/13,0)+0.99),'Tax scales - NAT 3539'!$A$127:$C$154,2,1)-VLOOKUP((TRUNC($AN692*3/13,0)+0.99),'Tax scales - NAT 3539'!$A$127:$C$154,3,1)),0)
*13/3,
0),
""))),
""),
"")</f>
        <v/>
      </c>
      <c r="AZ692" s="118">
        <f>IFERROR(
HLOOKUP(VLOOKUP($C692,'Employee information'!$B:$M,COLUMNS('Employee information'!$B:$M),0),'PAYG worksheet'!$AO$677:$AY$696,COUNTA($C$678:$C692)+1,0),
0)</f>
        <v>0</v>
      </c>
      <c r="BA692" s="118"/>
      <c r="BB692" s="118">
        <f t="shared" si="728"/>
        <v>0</v>
      </c>
      <c r="BC692" s="119">
        <f>IFERROR(
IF(OR($AE692=1,$AE692=""),SUM($P692,$AA692,$AC692,$AK692)*VLOOKUP($C692,'Employee information'!$B:$Q,COLUMNS('Employee information'!$B:$H),0),
IF($AE692=0,SUM($P692,$AA692,$AK692)*VLOOKUP($C692,'Employee information'!$B:$Q,COLUMNS('Employee information'!$B:$H),0),
0)),
0)</f>
        <v>0</v>
      </c>
      <c r="BE692" s="114">
        <f t="shared" si="713"/>
        <v>0</v>
      </c>
      <c r="BF692" s="114">
        <f t="shared" si="714"/>
        <v>0</v>
      </c>
      <c r="BG692" s="114">
        <f t="shared" si="715"/>
        <v>0</v>
      </c>
      <c r="BH692" s="114">
        <f t="shared" si="716"/>
        <v>0</v>
      </c>
      <c r="BI692" s="114">
        <f t="shared" si="717"/>
        <v>0</v>
      </c>
      <c r="BJ692" s="114">
        <f t="shared" si="718"/>
        <v>0</v>
      </c>
      <c r="BK692" s="114">
        <f t="shared" si="719"/>
        <v>0</v>
      </c>
      <c r="BL692" s="114">
        <f t="shared" si="729"/>
        <v>0</v>
      </c>
      <c r="BM692" s="114">
        <f t="shared" si="720"/>
        <v>0</v>
      </c>
    </row>
    <row r="693" spans="1:65" x14ac:dyDescent="0.25">
      <c r="A693" s="228">
        <f t="shared" si="708"/>
        <v>24</v>
      </c>
      <c r="C693" s="278"/>
      <c r="E693" s="103">
        <f>IF($C693="",0,
IF(AND($E$2="Monthly",$A693&gt;12),0,
IF($E$2="Monthly",VLOOKUP($C693,'Employee information'!$B:$AM,COLUMNS('Employee information'!$B:S),0),
IF($E$2="Fortnightly",VLOOKUP($C693,'Employee information'!$B:$AM,COLUMNS('Employee information'!$B:R),0),
0))))</f>
        <v>0</v>
      </c>
      <c r="F693" s="106"/>
      <c r="G693" s="106"/>
      <c r="H693" s="106"/>
      <c r="I693" s="106"/>
      <c r="J693" s="103">
        <f t="shared" si="721"/>
        <v>0</v>
      </c>
      <c r="L693" s="113">
        <f>IF(AND($E$2="Monthly",$A693&gt;12),"",
IFERROR($J693*VLOOKUP($C693,'Employee information'!$B:$AI,COLUMNS('Employee information'!$B:$P),0),0))</f>
        <v>0</v>
      </c>
      <c r="M693" s="114">
        <f t="shared" si="722"/>
        <v>0</v>
      </c>
      <c r="O693" s="103">
        <f t="shared" si="723"/>
        <v>0</v>
      </c>
      <c r="P693" s="113">
        <f>IFERROR(
IF(AND($E$2="Monthly",$A693&gt;12),0,
$O693*VLOOKUP($C693,'Employee information'!$B:$AI,COLUMNS('Employee information'!$B:$P),0)),
0)</f>
        <v>0</v>
      </c>
      <c r="R693" s="114">
        <f t="shared" si="709"/>
        <v>0</v>
      </c>
      <c r="T693" s="103"/>
      <c r="U693" s="103"/>
      <c r="V693" s="282" t="str">
        <f>IF($C693="","",
IF(AND($E$2="Monthly",$A693&gt;12),"",
$T693*VLOOKUP($C693,'Employee information'!$B:$P,COLUMNS('Employee information'!$B:$P),0)))</f>
        <v/>
      </c>
      <c r="W693" s="282" t="str">
        <f>IF($C693="","",
IF(AND($E$2="Monthly",$A693&gt;12),"",
$U693*VLOOKUP($C693,'Employee information'!$B:$P,COLUMNS('Employee information'!$B:$P),0)))</f>
        <v/>
      </c>
      <c r="X693" s="114">
        <f t="shared" si="710"/>
        <v>0</v>
      </c>
      <c r="Y693" s="114">
        <f t="shared" si="711"/>
        <v>0</v>
      </c>
      <c r="AA693" s="118">
        <f>IFERROR(
IF(OR('Basic payroll data'!$D$12="",'Basic payroll data'!$D$12="No"),0,
$T693*VLOOKUP($C693,'Employee information'!$B:$P,COLUMNS('Employee information'!$B:$P),0)*AL_loading_perc),
0)</f>
        <v>0</v>
      </c>
      <c r="AC693" s="118"/>
      <c r="AD693" s="118"/>
      <c r="AE693" s="283" t="str">
        <f t="shared" si="724"/>
        <v/>
      </c>
      <c r="AF693" s="283" t="str">
        <f t="shared" si="725"/>
        <v/>
      </c>
      <c r="AG693" s="118"/>
      <c r="AH693" s="118"/>
      <c r="AI693" s="283" t="str">
        <f t="shared" si="726"/>
        <v/>
      </c>
      <c r="AJ693" s="118"/>
      <c r="AK693" s="118"/>
      <c r="AM693" s="118">
        <f t="shared" si="727"/>
        <v>0</v>
      </c>
      <c r="AN693" s="118">
        <f t="shared" si="712"/>
        <v>0</v>
      </c>
      <c r="AO693" s="118" t="str">
        <f>IFERROR(
IF(VLOOKUP($C693,'Employee information'!$B:$M,COLUMNS('Employee information'!$B:$M),0)=1,
IF($E$2="Fortnightly",
ROUND(
ROUND((((TRUNC($AN693/2,0)+0.99))*VLOOKUP((TRUNC($AN693/2,0)+0.99),'Tax scales - NAT 1004'!$A$12:$C$18,2,1)-VLOOKUP((TRUNC($AN693/2,0)+0.99),'Tax scales - NAT 1004'!$A$12:$C$18,3,1)),0)
*2,
0),
IF(AND($E$2="Monthly",ROUND($AN693-TRUNC($AN693),2)=0.33),
ROUND(
ROUND(((TRUNC(($AN693+0.01)*3/13,0)+0.99)*VLOOKUP((TRUNC(($AN693+0.01)*3/13,0)+0.99),'Tax scales - NAT 1004'!$A$12:$C$18,2,1)-VLOOKUP((TRUNC(($AN693+0.01)*3/13,0)+0.99),'Tax scales - NAT 1004'!$A$12:$C$18,3,1)),0)
*13/3,
0),
IF($E$2="Monthly",
ROUND(
ROUND(((TRUNC($AN693*3/13,0)+0.99)*VLOOKUP((TRUNC($AN693*3/13,0)+0.99),'Tax scales - NAT 1004'!$A$12:$C$18,2,1)-VLOOKUP((TRUNC($AN693*3/13,0)+0.99),'Tax scales - NAT 1004'!$A$12:$C$18,3,1)),0)
*13/3,
0),
""))),
""),
"")</f>
        <v/>
      </c>
      <c r="AP693" s="118" t="str">
        <f>IFERROR(
IF(VLOOKUP($C693,'Employee information'!$B:$M,COLUMNS('Employee information'!$B:$M),0)=2,
IF($E$2="Fortnightly",
ROUND(
ROUND((((TRUNC($AN693/2,0)+0.99))*VLOOKUP((TRUNC($AN693/2,0)+0.99),'Tax scales - NAT 1004'!$A$25:$C$33,2,1)-VLOOKUP((TRUNC($AN693/2,0)+0.99),'Tax scales - NAT 1004'!$A$25:$C$33,3,1)),0)
*2,
0),
IF(AND($E$2="Monthly",ROUND($AN693-TRUNC($AN693),2)=0.33),
ROUND(
ROUND(((TRUNC(($AN693+0.01)*3/13,0)+0.99)*VLOOKUP((TRUNC(($AN693+0.01)*3/13,0)+0.99),'Tax scales - NAT 1004'!$A$25:$C$33,2,1)-VLOOKUP((TRUNC(($AN693+0.01)*3/13,0)+0.99),'Tax scales - NAT 1004'!$A$25:$C$33,3,1)),0)
*13/3,
0),
IF($E$2="Monthly",
ROUND(
ROUND(((TRUNC($AN693*3/13,0)+0.99)*VLOOKUP((TRUNC($AN693*3/13,0)+0.99),'Tax scales - NAT 1004'!$A$25:$C$33,2,1)-VLOOKUP((TRUNC($AN693*3/13,0)+0.99),'Tax scales - NAT 1004'!$A$25:$C$33,3,1)),0)
*13/3,
0),
""))),
""),
"")</f>
        <v/>
      </c>
      <c r="AQ693" s="118" t="str">
        <f>IFERROR(
IF(VLOOKUP($C693,'Employee information'!$B:$M,COLUMNS('Employee information'!$B:$M),0)=3,
IF($E$2="Fortnightly",
ROUND(
ROUND((((TRUNC($AN693/2,0)+0.99))*VLOOKUP((TRUNC($AN693/2,0)+0.99),'Tax scales - NAT 1004'!$A$39:$C$41,2,1)-VLOOKUP((TRUNC($AN693/2,0)+0.99),'Tax scales - NAT 1004'!$A$39:$C$41,3,1)),0)
*2,
0),
IF(AND($E$2="Monthly",ROUND($AN693-TRUNC($AN693),2)=0.33),
ROUND(
ROUND(((TRUNC(($AN693+0.01)*3/13,0)+0.99)*VLOOKUP((TRUNC(($AN693+0.01)*3/13,0)+0.99),'Tax scales - NAT 1004'!$A$39:$C$41,2,1)-VLOOKUP((TRUNC(($AN693+0.01)*3/13,0)+0.99),'Tax scales - NAT 1004'!$A$39:$C$41,3,1)),0)
*13/3,
0),
IF($E$2="Monthly",
ROUND(
ROUND(((TRUNC($AN693*3/13,0)+0.99)*VLOOKUP((TRUNC($AN693*3/13,0)+0.99),'Tax scales - NAT 1004'!$A$39:$C$41,2,1)-VLOOKUP((TRUNC($AN693*3/13,0)+0.99),'Tax scales - NAT 1004'!$A$39:$C$41,3,1)),0)
*13/3,
0),
""))),
""),
"")</f>
        <v/>
      </c>
      <c r="AR693" s="118" t="str">
        <f>IFERROR(
IF(AND(VLOOKUP($C693,'Employee information'!$B:$M,COLUMNS('Employee information'!$B:$M),0)=4,
VLOOKUP($C693,'Employee information'!$B:$J,COLUMNS('Employee information'!$B:$J),0)="Resident"),
TRUNC(TRUNC($AN693)*'Tax scales - NAT 1004'!$B$47),
IF(AND(VLOOKUP($C693,'Employee information'!$B:$M,COLUMNS('Employee information'!$B:$M),0)=4,
VLOOKUP($C693,'Employee information'!$B:$J,COLUMNS('Employee information'!$B:$J),0)="Foreign resident"),
TRUNC(TRUNC($AN693)*'Tax scales - NAT 1004'!$B$48),
"")),
"")</f>
        <v/>
      </c>
      <c r="AS693" s="118" t="str">
        <f>IFERROR(
IF(VLOOKUP($C693,'Employee information'!$B:$M,COLUMNS('Employee information'!$B:$M),0)=5,
IF($E$2="Fortnightly",
ROUND(
ROUND((((TRUNC($AN693/2,0)+0.99))*VLOOKUP((TRUNC($AN693/2,0)+0.99),'Tax scales - NAT 1004'!$A$53:$C$59,2,1)-VLOOKUP((TRUNC($AN693/2,0)+0.99),'Tax scales - NAT 1004'!$A$53:$C$59,3,1)),0)
*2,
0),
IF(AND($E$2="Monthly",ROUND($AN693-TRUNC($AN693),2)=0.33),
ROUND(
ROUND(((TRUNC(($AN693+0.01)*3/13,0)+0.99)*VLOOKUP((TRUNC(($AN693+0.01)*3/13,0)+0.99),'Tax scales - NAT 1004'!$A$53:$C$59,2,1)-VLOOKUP((TRUNC(($AN693+0.01)*3/13,0)+0.99),'Tax scales - NAT 1004'!$A$53:$C$59,3,1)),0)
*13/3,
0),
IF($E$2="Monthly",
ROUND(
ROUND(((TRUNC($AN693*3/13,0)+0.99)*VLOOKUP((TRUNC($AN693*3/13,0)+0.99),'Tax scales - NAT 1004'!$A$53:$C$59,2,1)-VLOOKUP((TRUNC($AN693*3/13,0)+0.99),'Tax scales - NAT 1004'!$A$53:$C$59,3,1)),0)
*13/3,
0),
""))),
""),
"")</f>
        <v/>
      </c>
      <c r="AT693" s="118" t="str">
        <f>IFERROR(
IF(VLOOKUP($C693,'Employee information'!$B:$M,COLUMNS('Employee information'!$B:$M),0)=6,
IF($E$2="Fortnightly",
ROUND(
ROUND((((TRUNC($AN693/2,0)+0.99))*VLOOKUP((TRUNC($AN693/2,0)+0.99),'Tax scales - NAT 1004'!$A$65:$C$73,2,1)-VLOOKUP((TRUNC($AN693/2,0)+0.99),'Tax scales - NAT 1004'!$A$65:$C$73,3,1)),0)
*2,
0),
IF(AND($E$2="Monthly",ROUND($AN693-TRUNC($AN693),2)=0.33),
ROUND(
ROUND(((TRUNC(($AN693+0.01)*3/13,0)+0.99)*VLOOKUP((TRUNC(($AN693+0.01)*3/13,0)+0.99),'Tax scales - NAT 1004'!$A$65:$C$73,2,1)-VLOOKUP((TRUNC(($AN693+0.01)*3/13,0)+0.99),'Tax scales - NAT 1004'!$A$65:$C$73,3,1)),0)
*13/3,
0),
IF($E$2="Monthly",
ROUND(
ROUND(((TRUNC($AN693*3/13,0)+0.99)*VLOOKUP((TRUNC($AN693*3/13,0)+0.99),'Tax scales - NAT 1004'!$A$65:$C$73,2,1)-VLOOKUP((TRUNC($AN693*3/13,0)+0.99),'Tax scales - NAT 1004'!$A$65:$C$73,3,1)),0)
*13/3,
0),
""))),
""),
"")</f>
        <v/>
      </c>
      <c r="AU693" s="118" t="str">
        <f>IFERROR(
IF(VLOOKUP($C693,'Employee information'!$B:$M,COLUMNS('Employee information'!$B:$M),0)=11,
IF($E$2="Fortnightly",
ROUND(
ROUND((((TRUNC($AN693/2,0)+0.99))*VLOOKUP((TRUNC($AN693/2,0)+0.99),'Tax scales - NAT 3539'!$A$14:$C$38,2,1)-VLOOKUP((TRUNC($AN693/2,0)+0.99),'Tax scales - NAT 3539'!$A$14:$C$38,3,1)),0)
*2,
0),
IF(AND($E$2="Monthly",ROUND($AN693-TRUNC($AN693),2)=0.33),
ROUND(
ROUND(((TRUNC(($AN693+0.01)*3/13,0)+0.99)*VLOOKUP((TRUNC(($AN693+0.01)*3/13,0)+0.99),'Tax scales - NAT 3539'!$A$14:$C$38,2,1)-VLOOKUP((TRUNC(($AN693+0.01)*3/13,0)+0.99),'Tax scales - NAT 3539'!$A$14:$C$38,3,1)),0)
*13/3,
0),
IF($E$2="Monthly",
ROUND(
ROUND(((TRUNC($AN693*3/13,0)+0.99)*VLOOKUP((TRUNC($AN693*3/13,0)+0.99),'Tax scales - NAT 3539'!$A$14:$C$38,2,1)-VLOOKUP((TRUNC($AN693*3/13,0)+0.99),'Tax scales - NAT 3539'!$A$14:$C$38,3,1)),0)
*13/3,
0),
""))),
""),
"")</f>
        <v/>
      </c>
      <c r="AV693" s="118" t="str">
        <f>IFERROR(
IF(VLOOKUP($C693,'Employee information'!$B:$M,COLUMNS('Employee information'!$B:$M),0)=22,
IF($E$2="Fortnightly",
ROUND(
ROUND((((TRUNC($AN693/2,0)+0.99))*VLOOKUP((TRUNC($AN693/2,0)+0.99),'Tax scales - NAT 3539'!$A$43:$C$69,2,1)-VLOOKUP((TRUNC($AN693/2,0)+0.99),'Tax scales - NAT 3539'!$A$43:$C$69,3,1)),0)
*2,
0),
IF(AND($E$2="Monthly",ROUND($AN693-TRUNC($AN693),2)=0.33),
ROUND(
ROUND(((TRUNC(($AN693+0.01)*3/13,0)+0.99)*VLOOKUP((TRUNC(($AN693+0.01)*3/13,0)+0.99),'Tax scales - NAT 3539'!$A$43:$C$69,2,1)-VLOOKUP((TRUNC(($AN693+0.01)*3/13,0)+0.99),'Tax scales - NAT 3539'!$A$43:$C$69,3,1)),0)
*13/3,
0),
IF($E$2="Monthly",
ROUND(
ROUND(((TRUNC($AN693*3/13,0)+0.99)*VLOOKUP((TRUNC($AN693*3/13,0)+0.99),'Tax scales - NAT 3539'!$A$43:$C$69,2,1)-VLOOKUP((TRUNC($AN693*3/13,0)+0.99),'Tax scales - NAT 3539'!$A$43:$C$69,3,1)),0)
*13/3,
0),
""))),
""),
"")</f>
        <v/>
      </c>
      <c r="AW693" s="118" t="str">
        <f>IFERROR(
IF(VLOOKUP($C693,'Employee information'!$B:$M,COLUMNS('Employee information'!$B:$M),0)=33,
IF($E$2="Fortnightly",
ROUND(
ROUND((((TRUNC($AN693/2,0)+0.99))*VLOOKUP((TRUNC($AN693/2,0)+0.99),'Tax scales - NAT 3539'!$A$74:$C$94,2,1)-VLOOKUP((TRUNC($AN693/2,0)+0.99),'Tax scales - NAT 3539'!$A$74:$C$94,3,1)),0)
*2,
0),
IF(AND($E$2="Monthly",ROUND($AN693-TRUNC($AN693),2)=0.33),
ROUND(
ROUND(((TRUNC(($AN693+0.01)*3/13,0)+0.99)*VLOOKUP((TRUNC(($AN693+0.01)*3/13,0)+0.99),'Tax scales - NAT 3539'!$A$74:$C$94,2,1)-VLOOKUP((TRUNC(($AN693+0.01)*3/13,0)+0.99),'Tax scales - NAT 3539'!$A$74:$C$94,3,1)),0)
*13/3,
0),
IF($E$2="Monthly",
ROUND(
ROUND(((TRUNC($AN693*3/13,0)+0.99)*VLOOKUP((TRUNC($AN693*3/13,0)+0.99),'Tax scales - NAT 3539'!$A$74:$C$94,2,1)-VLOOKUP((TRUNC($AN693*3/13,0)+0.99),'Tax scales - NAT 3539'!$A$74:$C$94,3,1)),0)
*13/3,
0),
""))),
""),
"")</f>
        <v/>
      </c>
      <c r="AX693" s="118" t="str">
        <f>IFERROR(
IF(VLOOKUP($C693,'Employee information'!$B:$M,COLUMNS('Employee information'!$B:$M),0)=55,
IF($E$2="Fortnightly",
ROUND(
ROUND((((TRUNC($AN693/2,0)+0.99))*VLOOKUP((TRUNC($AN693/2,0)+0.99),'Tax scales - NAT 3539'!$A$99:$C$123,2,1)-VLOOKUP((TRUNC($AN693/2,0)+0.99),'Tax scales - NAT 3539'!$A$99:$C$123,3,1)),0)
*2,
0),
IF(AND($E$2="Monthly",ROUND($AN693-TRUNC($AN693),2)=0.33),
ROUND(
ROUND(((TRUNC(($AN693+0.01)*3/13,0)+0.99)*VLOOKUP((TRUNC(($AN693+0.01)*3/13,0)+0.99),'Tax scales - NAT 3539'!$A$99:$C$123,2,1)-VLOOKUP((TRUNC(($AN693+0.01)*3/13,0)+0.99),'Tax scales - NAT 3539'!$A$99:$C$123,3,1)),0)
*13/3,
0),
IF($E$2="Monthly",
ROUND(
ROUND(((TRUNC($AN693*3/13,0)+0.99)*VLOOKUP((TRUNC($AN693*3/13,0)+0.99),'Tax scales - NAT 3539'!$A$99:$C$123,2,1)-VLOOKUP((TRUNC($AN693*3/13,0)+0.99),'Tax scales - NAT 3539'!$A$99:$C$123,3,1)),0)
*13/3,
0),
""))),
""),
"")</f>
        <v/>
      </c>
      <c r="AY693" s="118" t="str">
        <f>IFERROR(
IF(VLOOKUP($C693,'Employee information'!$B:$M,COLUMNS('Employee information'!$B:$M),0)=66,
IF($E$2="Fortnightly",
ROUND(
ROUND((((TRUNC($AN693/2,0)+0.99))*VLOOKUP((TRUNC($AN693/2,0)+0.99),'Tax scales - NAT 3539'!$A$127:$C$154,2,1)-VLOOKUP((TRUNC($AN693/2,0)+0.99),'Tax scales - NAT 3539'!$A$127:$C$154,3,1)),0)
*2,
0),
IF(AND($E$2="Monthly",ROUND($AN693-TRUNC($AN693),2)=0.33),
ROUND(
ROUND(((TRUNC(($AN693+0.01)*3/13,0)+0.99)*VLOOKUP((TRUNC(($AN693+0.01)*3/13,0)+0.99),'Tax scales - NAT 3539'!$A$127:$C$154,2,1)-VLOOKUP((TRUNC(($AN693+0.01)*3/13,0)+0.99),'Tax scales - NAT 3539'!$A$127:$C$154,3,1)),0)
*13/3,
0),
IF($E$2="Monthly",
ROUND(
ROUND(((TRUNC($AN693*3/13,0)+0.99)*VLOOKUP((TRUNC($AN693*3/13,0)+0.99),'Tax scales - NAT 3539'!$A$127:$C$154,2,1)-VLOOKUP((TRUNC($AN693*3/13,0)+0.99),'Tax scales - NAT 3539'!$A$127:$C$154,3,1)),0)
*13/3,
0),
""))),
""),
"")</f>
        <v/>
      </c>
      <c r="AZ693" s="118">
        <f>IFERROR(
HLOOKUP(VLOOKUP($C693,'Employee information'!$B:$M,COLUMNS('Employee information'!$B:$M),0),'PAYG worksheet'!$AO$677:$AY$696,COUNTA($C$678:$C693)+1,0),
0)</f>
        <v>0</v>
      </c>
      <c r="BA693" s="118"/>
      <c r="BB693" s="118">
        <f t="shared" si="728"/>
        <v>0</v>
      </c>
      <c r="BC693" s="119">
        <f>IFERROR(
IF(OR($AE693=1,$AE693=""),SUM($P693,$AA693,$AC693,$AK693)*VLOOKUP($C693,'Employee information'!$B:$Q,COLUMNS('Employee information'!$B:$H),0),
IF($AE693=0,SUM($P693,$AA693,$AK693)*VLOOKUP($C693,'Employee information'!$B:$Q,COLUMNS('Employee information'!$B:$H),0),
0)),
0)</f>
        <v>0</v>
      </c>
      <c r="BE693" s="114">
        <f t="shared" si="713"/>
        <v>0</v>
      </c>
      <c r="BF693" s="114">
        <f t="shared" si="714"/>
        <v>0</v>
      </c>
      <c r="BG693" s="114">
        <f t="shared" si="715"/>
        <v>0</v>
      </c>
      <c r="BH693" s="114">
        <f t="shared" si="716"/>
        <v>0</v>
      </c>
      <c r="BI693" s="114">
        <f t="shared" si="717"/>
        <v>0</v>
      </c>
      <c r="BJ693" s="114">
        <f t="shared" si="718"/>
        <v>0</v>
      </c>
      <c r="BK693" s="114">
        <f t="shared" si="719"/>
        <v>0</v>
      </c>
      <c r="BL693" s="114">
        <f t="shared" si="729"/>
        <v>0</v>
      </c>
      <c r="BM693" s="114">
        <f t="shared" si="720"/>
        <v>0</v>
      </c>
    </row>
    <row r="694" spans="1:65" x14ac:dyDescent="0.25">
      <c r="A694" s="228">
        <f t="shared" si="708"/>
        <v>24</v>
      </c>
      <c r="C694" s="278"/>
      <c r="E694" s="103">
        <f>IF($C694="",0,
IF(AND($E$2="Monthly",$A694&gt;12),0,
IF($E$2="Monthly",VLOOKUP($C694,'Employee information'!$B:$AM,COLUMNS('Employee information'!$B:S),0),
IF($E$2="Fortnightly",VLOOKUP($C694,'Employee information'!$B:$AM,COLUMNS('Employee information'!$B:R),0),
0))))</f>
        <v>0</v>
      </c>
      <c r="F694" s="106"/>
      <c r="G694" s="106"/>
      <c r="H694" s="106"/>
      <c r="I694" s="106"/>
      <c r="J694" s="103">
        <f t="shared" si="721"/>
        <v>0</v>
      </c>
      <c r="L694" s="113">
        <f>IF(AND($E$2="Monthly",$A694&gt;12),"",
IFERROR($J694*VLOOKUP($C694,'Employee information'!$B:$AI,COLUMNS('Employee information'!$B:$P),0),0))</f>
        <v>0</v>
      </c>
      <c r="M694" s="114">
        <f t="shared" si="722"/>
        <v>0</v>
      </c>
      <c r="O694" s="103">
        <f t="shared" si="723"/>
        <v>0</v>
      </c>
      <c r="P694" s="113">
        <f>IFERROR(
IF(AND($E$2="Monthly",$A694&gt;12),0,
$O694*VLOOKUP($C694,'Employee information'!$B:$AI,COLUMNS('Employee information'!$B:$P),0)),
0)</f>
        <v>0</v>
      </c>
      <c r="R694" s="114">
        <f t="shared" si="709"/>
        <v>0</v>
      </c>
      <c r="T694" s="103"/>
      <c r="U694" s="103"/>
      <c r="V694" s="282" t="str">
        <f>IF($C694="","",
IF(AND($E$2="Monthly",$A694&gt;12),"",
$T694*VLOOKUP($C694,'Employee information'!$B:$P,COLUMNS('Employee information'!$B:$P),0)))</f>
        <v/>
      </c>
      <c r="W694" s="282" t="str">
        <f>IF($C694="","",
IF(AND($E$2="Monthly",$A694&gt;12),"",
$U694*VLOOKUP($C694,'Employee information'!$B:$P,COLUMNS('Employee information'!$B:$P),0)))</f>
        <v/>
      </c>
      <c r="X694" s="114">
        <f t="shared" si="710"/>
        <v>0</v>
      </c>
      <c r="Y694" s="114">
        <f t="shared" si="711"/>
        <v>0</v>
      </c>
      <c r="AA694" s="118">
        <f>IFERROR(
IF(OR('Basic payroll data'!$D$12="",'Basic payroll data'!$D$12="No"),0,
$T694*VLOOKUP($C694,'Employee information'!$B:$P,COLUMNS('Employee information'!$B:$P),0)*AL_loading_perc),
0)</f>
        <v>0</v>
      </c>
      <c r="AC694" s="118"/>
      <c r="AD694" s="118"/>
      <c r="AE694" s="283" t="str">
        <f t="shared" si="724"/>
        <v/>
      </c>
      <c r="AF694" s="283" t="str">
        <f t="shared" si="725"/>
        <v/>
      </c>
      <c r="AG694" s="118"/>
      <c r="AH694" s="118"/>
      <c r="AI694" s="283" t="str">
        <f t="shared" si="726"/>
        <v/>
      </c>
      <c r="AJ694" s="118"/>
      <c r="AK694" s="118"/>
      <c r="AM694" s="118">
        <f t="shared" si="727"/>
        <v>0</v>
      </c>
      <c r="AN694" s="118">
        <f t="shared" si="712"/>
        <v>0</v>
      </c>
      <c r="AO694" s="118" t="str">
        <f>IFERROR(
IF(VLOOKUP($C694,'Employee information'!$B:$M,COLUMNS('Employee information'!$B:$M),0)=1,
IF($E$2="Fortnightly",
ROUND(
ROUND((((TRUNC($AN694/2,0)+0.99))*VLOOKUP((TRUNC($AN694/2,0)+0.99),'Tax scales - NAT 1004'!$A$12:$C$18,2,1)-VLOOKUP((TRUNC($AN694/2,0)+0.99),'Tax scales - NAT 1004'!$A$12:$C$18,3,1)),0)
*2,
0),
IF(AND($E$2="Monthly",ROUND($AN694-TRUNC($AN694),2)=0.33),
ROUND(
ROUND(((TRUNC(($AN694+0.01)*3/13,0)+0.99)*VLOOKUP((TRUNC(($AN694+0.01)*3/13,0)+0.99),'Tax scales - NAT 1004'!$A$12:$C$18,2,1)-VLOOKUP((TRUNC(($AN694+0.01)*3/13,0)+0.99),'Tax scales - NAT 1004'!$A$12:$C$18,3,1)),0)
*13/3,
0),
IF($E$2="Monthly",
ROUND(
ROUND(((TRUNC($AN694*3/13,0)+0.99)*VLOOKUP((TRUNC($AN694*3/13,0)+0.99),'Tax scales - NAT 1004'!$A$12:$C$18,2,1)-VLOOKUP((TRUNC($AN694*3/13,0)+0.99),'Tax scales - NAT 1004'!$A$12:$C$18,3,1)),0)
*13/3,
0),
""))),
""),
"")</f>
        <v/>
      </c>
      <c r="AP694" s="118" t="str">
        <f>IFERROR(
IF(VLOOKUP($C694,'Employee information'!$B:$M,COLUMNS('Employee information'!$B:$M),0)=2,
IF($E$2="Fortnightly",
ROUND(
ROUND((((TRUNC($AN694/2,0)+0.99))*VLOOKUP((TRUNC($AN694/2,0)+0.99),'Tax scales - NAT 1004'!$A$25:$C$33,2,1)-VLOOKUP((TRUNC($AN694/2,0)+0.99),'Tax scales - NAT 1004'!$A$25:$C$33,3,1)),0)
*2,
0),
IF(AND($E$2="Monthly",ROUND($AN694-TRUNC($AN694),2)=0.33),
ROUND(
ROUND(((TRUNC(($AN694+0.01)*3/13,0)+0.99)*VLOOKUP((TRUNC(($AN694+0.01)*3/13,0)+0.99),'Tax scales - NAT 1004'!$A$25:$C$33,2,1)-VLOOKUP((TRUNC(($AN694+0.01)*3/13,0)+0.99),'Tax scales - NAT 1004'!$A$25:$C$33,3,1)),0)
*13/3,
0),
IF($E$2="Monthly",
ROUND(
ROUND(((TRUNC($AN694*3/13,0)+0.99)*VLOOKUP((TRUNC($AN694*3/13,0)+0.99),'Tax scales - NAT 1004'!$A$25:$C$33,2,1)-VLOOKUP((TRUNC($AN694*3/13,0)+0.99),'Tax scales - NAT 1004'!$A$25:$C$33,3,1)),0)
*13/3,
0),
""))),
""),
"")</f>
        <v/>
      </c>
      <c r="AQ694" s="118" t="str">
        <f>IFERROR(
IF(VLOOKUP($C694,'Employee information'!$B:$M,COLUMNS('Employee information'!$B:$M),0)=3,
IF($E$2="Fortnightly",
ROUND(
ROUND((((TRUNC($AN694/2,0)+0.99))*VLOOKUP((TRUNC($AN694/2,0)+0.99),'Tax scales - NAT 1004'!$A$39:$C$41,2,1)-VLOOKUP((TRUNC($AN694/2,0)+0.99),'Tax scales - NAT 1004'!$A$39:$C$41,3,1)),0)
*2,
0),
IF(AND($E$2="Monthly",ROUND($AN694-TRUNC($AN694),2)=0.33),
ROUND(
ROUND(((TRUNC(($AN694+0.01)*3/13,0)+0.99)*VLOOKUP((TRUNC(($AN694+0.01)*3/13,0)+0.99),'Tax scales - NAT 1004'!$A$39:$C$41,2,1)-VLOOKUP((TRUNC(($AN694+0.01)*3/13,0)+0.99),'Tax scales - NAT 1004'!$A$39:$C$41,3,1)),0)
*13/3,
0),
IF($E$2="Monthly",
ROUND(
ROUND(((TRUNC($AN694*3/13,0)+0.99)*VLOOKUP((TRUNC($AN694*3/13,0)+0.99),'Tax scales - NAT 1004'!$A$39:$C$41,2,1)-VLOOKUP((TRUNC($AN694*3/13,0)+0.99),'Tax scales - NAT 1004'!$A$39:$C$41,3,1)),0)
*13/3,
0),
""))),
""),
"")</f>
        <v/>
      </c>
      <c r="AR694" s="118" t="str">
        <f>IFERROR(
IF(AND(VLOOKUP($C694,'Employee information'!$B:$M,COLUMNS('Employee information'!$B:$M),0)=4,
VLOOKUP($C694,'Employee information'!$B:$J,COLUMNS('Employee information'!$B:$J),0)="Resident"),
TRUNC(TRUNC($AN694)*'Tax scales - NAT 1004'!$B$47),
IF(AND(VLOOKUP($C694,'Employee information'!$B:$M,COLUMNS('Employee information'!$B:$M),0)=4,
VLOOKUP($C694,'Employee information'!$B:$J,COLUMNS('Employee information'!$B:$J),0)="Foreign resident"),
TRUNC(TRUNC($AN694)*'Tax scales - NAT 1004'!$B$48),
"")),
"")</f>
        <v/>
      </c>
      <c r="AS694" s="118" t="str">
        <f>IFERROR(
IF(VLOOKUP($C694,'Employee information'!$B:$M,COLUMNS('Employee information'!$B:$M),0)=5,
IF($E$2="Fortnightly",
ROUND(
ROUND((((TRUNC($AN694/2,0)+0.99))*VLOOKUP((TRUNC($AN694/2,0)+0.99),'Tax scales - NAT 1004'!$A$53:$C$59,2,1)-VLOOKUP((TRUNC($AN694/2,0)+0.99),'Tax scales - NAT 1004'!$A$53:$C$59,3,1)),0)
*2,
0),
IF(AND($E$2="Monthly",ROUND($AN694-TRUNC($AN694),2)=0.33),
ROUND(
ROUND(((TRUNC(($AN694+0.01)*3/13,0)+0.99)*VLOOKUP((TRUNC(($AN694+0.01)*3/13,0)+0.99),'Tax scales - NAT 1004'!$A$53:$C$59,2,1)-VLOOKUP((TRUNC(($AN694+0.01)*3/13,0)+0.99),'Tax scales - NAT 1004'!$A$53:$C$59,3,1)),0)
*13/3,
0),
IF($E$2="Monthly",
ROUND(
ROUND(((TRUNC($AN694*3/13,0)+0.99)*VLOOKUP((TRUNC($AN694*3/13,0)+0.99),'Tax scales - NAT 1004'!$A$53:$C$59,2,1)-VLOOKUP((TRUNC($AN694*3/13,0)+0.99),'Tax scales - NAT 1004'!$A$53:$C$59,3,1)),0)
*13/3,
0),
""))),
""),
"")</f>
        <v/>
      </c>
      <c r="AT694" s="118" t="str">
        <f>IFERROR(
IF(VLOOKUP($C694,'Employee information'!$B:$M,COLUMNS('Employee information'!$B:$M),0)=6,
IF($E$2="Fortnightly",
ROUND(
ROUND((((TRUNC($AN694/2,0)+0.99))*VLOOKUP((TRUNC($AN694/2,0)+0.99),'Tax scales - NAT 1004'!$A$65:$C$73,2,1)-VLOOKUP((TRUNC($AN694/2,0)+0.99),'Tax scales - NAT 1004'!$A$65:$C$73,3,1)),0)
*2,
0),
IF(AND($E$2="Monthly",ROUND($AN694-TRUNC($AN694),2)=0.33),
ROUND(
ROUND(((TRUNC(($AN694+0.01)*3/13,0)+0.99)*VLOOKUP((TRUNC(($AN694+0.01)*3/13,0)+0.99),'Tax scales - NAT 1004'!$A$65:$C$73,2,1)-VLOOKUP((TRUNC(($AN694+0.01)*3/13,0)+0.99),'Tax scales - NAT 1004'!$A$65:$C$73,3,1)),0)
*13/3,
0),
IF($E$2="Monthly",
ROUND(
ROUND(((TRUNC($AN694*3/13,0)+0.99)*VLOOKUP((TRUNC($AN694*3/13,0)+0.99),'Tax scales - NAT 1004'!$A$65:$C$73,2,1)-VLOOKUP((TRUNC($AN694*3/13,0)+0.99),'Tax scales - NAT 1004'!$A$65:$C$73,3,1)),0)
*13/3,
0),
""))),
""),
"")</f>
        <v/>
      </c>
      <c r="AU694" s="118" t="str">
        <f>IFERROR(
IF(VLOOKUP($C694,'Employee information'!$B:$M,COLUMNS('Employee information'!$B:$M),0)=11,
IF($E$2="Fortnightly",
ROUND(
ROUND((((TRUNC($AN694/2,0)+0.99))*VLOOKUP((TRUNC($AN694/2,0)+0.99),'Tax scales - NAT 3539'!$A$14:$C$38,2,1)-VLOOKUP((TRUNC($AN694/2,0)+0.99),'Tax scales - NAT 3539'!$A$14:$C$38,3,1)),0)
*2,
0),
IF(AND($E$2="Monthly",ROUND($AN694-TRUNC($AN694),2)=0.33),
ROUND(
ROUND(((TRUNC(($AN694+0.01)*3/13,0)+0.99)*VLOOKUP((TRUNC(($AN694+0.01)*3/13,0)+0.99),'Tax scales - NAT 3539'!$A$14:$C$38,2,1)-VLOOKUP((TRUNC(($AN694+0.01)*3/13,0)+0.99),'Tax scales - NAT 3539'!$A$14:$C$38,3,1)),0)
*13/3,
0),
IF($E$2="Monthly",
ROUND(
ROUND(((TRUNC($AN694*3/13,0)+0.99)*VLOOKUP((TRUNC($AN694*3/13,0)+0.99),'Tax scales - NAT 3539'!$A$14:$C$38,2,1)-VLOOKUP((TRUNC($AN694*3/13,0)+0.99),'Tax scales - NAT 3539'!$A$14:$C$38,3,1)),0)
*13/3,
0),
""))),
""),
"")</f>
        <v/>
      </c>
      <c r="AV694" s="118" t="str">
        <f>IFERROR(
IF(VLOOKUP($C694,'Employee information'!$B:$M,COLUMNS('Employee information'!$B:$M),0)=22,
IF($E$2="Fortnightly",
ROUND(
ROUND((((TRUNC($AN694/2,0)+0.99))*VLOOKUP((TRUNC($AN694/2,0)+0.99),'Tax scales - NAT 3539'!$A$43:$C$69,2,1)-VLOOKUP((TRUNC($AN694/2,0)+0.99),'Tax scales - NAT 3539'!$A$43:$C$69,3,1)),0)
*2,
0),
IF(AND($E$2="Monthly",ROUND($AN694-TRUNC($AN694),2)=0.33),
ROUND(
ROUND(((TRUNC(($AN694+0.01)*3/13,0)+0.99)*VLOOKUP((TRUNC(($AN694+0.01)*3/13,0)+0.99),'Tax scales - NAT 3539'!$A$43:$C$69,2,1)-VLOOKUP((TRUNC(($AN694+0.01)*3/13,0)+0.99),'Tax scales - NAT 3539'!$A$43:$C$69,3,1)),0)
*13/3,
0),
IF($E$2="Monthly",
ROUND(
ROUND(((TRUNC($AN694*3/13,0)+0.99)*VLOOKUP((TRUNC($AN694*3/13,0)+0.99),'Tax scales - NAT 3539'!$A$43:$C$69,2,1)-VLOOKUP((TRUNC($AN694*3/13,0)+0.99),'Tax scales - NAT 3539'!$A$43:$C$69,3,1)),0)
*13/3,
0),
""))),
""),
"")</f>
        <v/>
      </c>
      <c r="AW694" s="118" t="str">
        <f>IFERROR(
IF(VLOOKUP($C694,'Employee information'!$B:$M,COLUMNS('Employee information'!$B:$M),0)=33,
IF($E$2="Fortnightly",
ROUND(
ROUND((((TRUNC($AN694/2,0)+0.99))*VLOOKUP((TRUNC($AN694/2,0)+0.99),'Tax scales - NAT 3539'!$A$74:$C$94,2,1)-VLOOKUP((TRUNC($AN694/2,0)+0.99),'Tax scales - NAT 3539'!$A$74:$C$94,3,1)),0)
*2,
0),
IF(AND($E$2="Monthly",ROUND($AN694-TRUNC($AN694),2)=0.33),
ROUND(
ROUND(((TRUNC(($AN694+0.01)*3/13,0)+0.99)*VLOOKUP((TRUNC(($AN694+0.01)*3/13,0)+0.99),'Tax scales - NAT 3539'!$A$74:$C$94,2,1)-VLOOKUP((TRUNC(($AN694+0.01)*3/13,0)+0.99),'Tax scales - NAT 3539'!$A$74:$C$94,3,1)),0)
*13/3,
0),
IF($E$2="Monthly",
ROUND(
ROUND(((TRUNC($AN694*3/13,0)+0.99)*VLOOKUP((TRUNC($AN694*3/13,0)+0.99),'Tax scales - NAT 3539'!$A$74:$C$94,2,1)-VLOOKUP((TRUNC($AN694*3/13,0)+0.99),'Tax scales - NAT 3539'!$A$74:$C$94,3,1)),0)
*13/3,
0),
""))),
""),
"")</f>
        <v/>
      </c>
      <c r="AX694" s="118" t="str">
        <f>IFERROR(
IF(VLOOKUP($C694,'Employee information'!$B:$M,COLUMNS('Employee information'!$B:$M),0)=55,
IF($E$2="Fortnightly",
ROUND(
ROUND((((TRUNC($AN694/2,0)+0.99))*VLOOKUP((TRUNC($AN694/2,0)+0.99),'Tax scales - NAT 3539'!$A$99:$C$123,2,1)-VLOOKUP((TRUNC($AN694/2,0)+0.99),'Tax scales - NAT 3539'!$A$99:$C$123,3,1)),0)
*2,
0),
IF(AND($E$2="Monthly",ROUND($AN694-TRUNC($AN694),2)=0.33),
ROUND(
ROUND(((TRUNC(($AN694+0.01)*3/13,0)+0.99)*VLOOKUP((TRUNC(($AN694+0.01)*3/13,0)+0.99),'Tax scales - NAT 3539'!$A$99:$C$123,2,1)-VLOOKUP((TRUNC(($AN694+0.01)*3/13,0)+0.99),'Tax scales - NAT 3539'!$A$99:$C$123,3,1)),0)
*13/3,
0),
IF($E$2="Monthly",
ROUND(
ROUND(((TRUNC($AN694*3/13,0)+0.99)*VLOOKUP((TRUNC($AN694*3/13,0)+0.99),'Tax scales - NAT 3539'!$A$99:$C$123,2,1)-VLOOKUP((TRUNC($AN694*3/13,0)+0.99),'Tax scales - NAT 3539'!$A$99:$C$123,3,1)),0)
*13/3,
0),
""))),
""),
"")</f>
        <v/>
      </c>
      <c r="AY694" s="118" t="str">
        <f>IFERROR(
IF(VLOOKUP($C694,'Employee information'!$B:$M,COLUMNS('Employee information'!$B:$M),0)=66,
IF($E$2="Fortnightly",
ROUND(
ROUND((((TRUNC($AN694/2,0)+0.99))*VLOOKUP((TRUNC($AN694/2,0)+0.99),'Tax scales - NAT 3539'!$A$127:$C$154,2,1)-VLOOKUP((TRUNC($AN694/2,0)+0.99),'Tax scales - NAT 3539'!$A$127:$C$154,3,1)),0)
*2,
0),
IF(AND($E$2="Monthly",ROUND($AN694-TRUNC($AN694),2)=0.33),
ROUND(
ROUND(((TRUNC(($AN694+0.01)*3/13,0)+0.99)*VLOOKUP((TRUNC(($AN694+0.01)*3/13,0)+0.99),'Tax scales - NAT 3539'!$A$127:$C$154,2,1)-VLOOKUP((TRUNC(($AN694+0.01)*3/13,0)+0.99),'Tax scales - NAT 3539'!$A$127:$C$154,3,1)),0)
*13/3,
0),
IF($E$2="Monthly",
ROUND(
ROUND(((TRUNC($AN694*3/13,0)+0.99)*VLOOKUP((TRUNC($AN694*3/13,0)+0.99),'Tax scales - NAT 3539'!$A$127:$C$154,2,1)-VLOOKUP((TRUNC($AN694*3/13,0)+0.99),'Tax scales - NAT 3539'!$A$127:$C$154,3,1)),0)
*13/3,
0),
""))),
""),
"")</f>
        <v/>
      </c>
      <c r="AZ694" s="118">
        <f>IFERROR(
HLOOKUP(VLOOKUP($C694,'Employee information'!$B:$M,COLUMNS('Employee information'!$B:$M),0),'PAYG worksheet'!$AO$677:$AY$696,COUNTA($C$678:$C694)+1,0),
0)</f>
        <v>0</v>
      </c>
      <c r="BA694" s="118"/>
      <c r="BB694" s="118">
        <f t="shared" si="728"/>
        <v>0</v>
      </c>
      <c r="BC694" s="119">
        <f>IFERROR(
IF(OR($AE694=1,$AE694=""),SUM($P694,$AA694,$AC694,$AK694)*VLOOKUP($C694,'Employee information'!$B:$Q,COLUMNS('Employee information'!$B:$H),0),
IF($AE694=0,SUM($P694,$AA694,$AK694)*VLOOKUP($C694,'Employee information'!$B:$Q,COLUMNS('Employee information'!$B:$H),0),
0)),
0)</f>
        <v>0</v>
      </c>
      <c r="BE694" s="114">
        <f t="shared" si="713"/>
        <v>0</v>
      </c>
      <c r="BF694" s="114">
        <f t="shared" si="714"/>
        <v>0</v>
      </c>
      <c r="BG694" s="114">
        <f t="shared" si="715"/>
        <v>0</v>
      </c>
      <c r="BH694" s="114">
        <f t="shared" si="716"/>
        <v>0</v>
      </c>
      <c r="BI694" s="114">
        <f t="shared" si="717"/>
        <v>0</v>
      </c>
      <c r="BJ694" s="114">
        <f t="shared" si="718"/>
        <v>0</v>
      </c>
      <c r="BK694" s="114">
        <f t="shared" si="719"/>
        <v>0</v>
      </c>
      <c r="BL694" s="114">
        <f t="shared" si="729"/>
        <v>0</v>
      </c>
      <c r="BM694" s="114">
        <f t="shared" si="720"/>
        <v>0</v>
      </c>
    </row>
    <row r="695" spans="1:65" x14ac:dyDescent="0.25">
      <c r="A695" s="228">
        <f t="shared" si="708"/>
        <v>24</v>
      </c>
      <c r="C695" s="278"/>
      <c r="E695" s="103">
        <f>IF($C695="",0,
IF(AND($E$2="Monthly",$A695&gt;12),0,
IF($E$2="Monthly",VLOOKUP($C695,'Employee information'!$B:$AM,COLUMNS('Employee information'!$B:S),0),
IF($E$2="Fortnightly",VLOOKUP($C695,'Employee information'!$B:$AM,COLUMNS('Employee information'!$B:R),0),
0))))</f>
        <v>0</v>
      </c>
      <c r="F695" s="106"/>
      <c r="G695" s="106"/>
      <c r="H695" s="106"/>
      <c r="I695" s="106"/>
      <c r="J695" s="103">
        <f t="shared" si="721"/>
        <v>0</v>
      </c>
      <c r="L695" s="113">
        <f>IF(AND($E$2="Monthly",$A695&gt;12),"",
IFERROR($J695*VLOOKUP($C695,'Employee information'!$B:$AI,COLUMNS('Employee information'!$B:$P),0),0))</f>
        <v>0</v>
      </c>
      <c r="M695" s="114">
        <f t="shared" si="722"/>
        <v>0</v>
      </c>
      <c r="O695" s="103">
        <f t="shared" si="723"/>
        <v>0</v>
      </c>
      <c r="P695" s="113">
        <f>IFERROR(
IF(AND($E$2="Monthly",$A695&gt;12),0,
$O695*VLOOKUP($C695,'Employee information'!$B:$AI,COLUMNS('Employee information'!$B:$P),0)),
0)</f>
        <v>0</v>
      </c>
      <c r="R695" s="114">
        <f t="shared" si="709"/>
        <v>0</v>
      </c>
      <c r="T695" s="103"/>
      <c r="U695" s="103"/>
      <c r="V695" s="282" t="str">
        <f>IF($C695="","",
IF(AND($E$2="Monthly",$A695&gt;12),"",
$T695*VLOOKUP($C695,'Employee information'!$B:$P,COLUMNS('Employee information'!$B:$P),0)))</f>
        <v/>
      </c>
      <c r="W695" s="282" t="str">
        <f>IF($C695="","",
IF(AND($E$2="Monthly",$A695&gt;12),"",
$U695*VLOOKUP($C695,'Employee information'!$B:$P,COLUMNS('Employee information'!$B:$P),0)))</f>
        <v/>
      </c>
      <c r="X695" s="114">
        <f t="shared" si="710"/>
        <v>0</v>
      </c>
      <c r="Y695" s="114">
        <f t="shared" si="711"/>
        <v>0</v>
      </c>
      <c r="AA695" s="118">
        <f>IFERROR(
IF(OR('Basic payroll data'!$D$12="",'Basic payroll data'!$D$12="No"),0,
$T695*VLOOKUP($C695,'Employee information'!$B:$P,COLUMNS('Employee information'!$B:$P),0)*AL_loading_perc),
0)</f>
        <v>0</v>
      </c>
      <c r="AC695" s="118"/>
      <c r="AD695" s="118"/>
      <c r="AE695" s="283" t="str">
        <f t="shared" si="724"/>
        <v/>
      </c>
      <c r="AF695" s="283" t="str">
        <f t="shared" si="725"/>
        <v/>
      </c>
      <c r="AG695" s="118"/>
      <c r="AH695" s="118"/>
      <c r="AI695" s="283" t="str">
        <f t="shared" si="726"/>
        <v/>
      </c>
      <c r="AJ695" s="118"/>
      <c r="AK695" s="118"/>
      <c r="AM695" s="118">
        <f t="shared" si="727"/>
        <v>0</v>
      </c>
      <c r="AN695" s="118">
        <f t="shared" si="712"/>
        <v>0</v>
      </c>
      <c r="AO695" s="118" t="str">
        <f>IFERROR(
IF(VLOOKUP($C695,'Employee information'!$B:$M,COLUMNS('Employee information'!$B:$M),0)=1,
IF($E$2="Fortnightly",
ROUND(
ROUND((((TRUNC($AN695/2,0)+0.99))*VLOOKUP((TRUNC($AN695/2,0)+0.99),'Tax scales - NAT 1004'!$A$12:$C$18,2,1)-VLOOKUP((TRUNC($AN695/2,0)+0.99),'Tax scales - NAT 1004'!$A$12:$C$18,3,1)),0)
*2,
0),
IF(AND($E$2="Monthly",ROUND($AN695-TRUNC($AN695),2)=0.33),
ROUND(
ROUND(((TRUNC(($AN695+0.01)*3/13,0)+0.99)*VLOOKUP((TRUNC(($AN695+0.01)*3/13,0)+0.99),'Tax scales - NAT 1004'!$A$12:$C$18,2,1)-VLOOKUP((TRUNC(($AN695+0.01)*3/13,0)+0.99),'Tax scales - NAT 1004'!$A$12:$C$18,3,1)),0)
*13/3,
0),
IF($E$2="Monthly",
ROUND(
ROUND(((TRUNC($AN695*3/13,0)+0.99)*VLOOKUP((TRUNC($AN695*3/13,0)+0.99),'Tax scales - NAT 1004'!$A$12:$C$18,2,1)-VLOOKUP((TRUNC($AN695*3/13,0)+0.99),'Tax scales - NAT 1004'!$A$12:$C$18,3,1)),0)
*13/3,
0),
""))),
""),
"")</f>
        <v/>
      </c>
      <c r="AP695" s="118" t="str">
        <f>IFERROR(
IF(VLOOKUP($C695,'Employee information'!$B:$M,COLUMNS('Employee information'!$B:$M),0)=2,
IF($E$2="Fortnightly",
ROUND(
ROUND((((TRUNC($AN695/2,0)+0.99))*VLOOKUP((TRUNC($AN695/2,0)+0.99),'Tax scales - NAT 1004'!$A$25:$C$33,2,1)-VLOOKUP((TRUNC($AN695/2,0)+0.99),'Tax scales - NAT 1004'!$A$25:$C$33,3,1)),0)
*2,
0),
IF(AND($E$2="Monthly",ROUND($AN695-TRUNC($AN695),2)=0.33),
ROUND(
ROUND(((TRUNC(($AN695+0.01)*3/13,0)+0.99)*VLOOKUP((TRUNC(($AN695+0.01)*3/13,0)+0.99),'Tax scales - NAT 1004'!$A$25:$C$33,2,1)-VLOOKUP((TRUNC(($AN695+0.01)*3/13,0)+0.99),'Tax scales - NAT 1004'!$A$25:$C$33,3,1)),0)
*13/3,
0),
IF($E$2="Monthly",
ROUND(
ROUND(((TRUNC($AN695*3/13,0)+0.99)*VLOOKUP((TRUNC($AN695*3/13,0)+0.99),'Tax scales - NAT 1004'!$A$25:$C$33,2,1)-VLOOKUP((TRUNC($AN695*3/13,0)+0.99),'Tax scales - NAT 1004'!$A$25:$C$33,3,1)),0)
*13/3,
0),
""))),
""),
"")</f>
        <v/>
      </c>
      <c r="AQ695" s="118" t="str">
        <f>IFERROR(
IF(VLOOKUP($C695,'Employee information'!$B:$M,COLUMNS('Employee information'!$B:$M),0)=3,
IF($E$2="Fortnightly",
ROUND(
ROUND((((TRUNC($AN695/2,0)+0.99))*VLOOKUP((TRUNC($AN695/2,0)+0.99),'Tax scales - NAT 1004'!$A$39:$C$41,2,1)-VLOOKUP((TRUNC($AN695/2,0)+0.99),'Tax scales - NAT 1004'!$A$39:$C$41,3,1)),0)
*2,
0),
IF(AND($E$2="Monthly",ROUND($AN695-TRUNC($AN695),2)=0.33),
ROUND(
ROUND(((TRUNC(($AN695+0.01)*3/13,0)+0.99)*VLOOKUP((TRUNC(($AN695+0.01)*3/13,0)+0.99),'Tax scales - NAT 1004'!$A$39:$C$41,2,1)-VLOOKUP((TRUNC(($AN695+0.01)*3/13,0)+0.99),'Tax scales - NAT 1004'!$A$39:$C$41,3,1)),0)
*13/3,
0),
IF($E$2="Monthly",
ROUND(
ROUND(((TRUNC($AN695*3/13,0)+0.99)*VLOOKUP((TRUNC($AN695*3/13,0)+0.99),'Tax scales - NAT 1004'!$A$39:$C$41,2,1)-VLOOKUP((TRUNC($AN695*3/13,0)+0.99),'Tax scales - NAT 1004'!$A$39:$C$41,3,1)),0)
*13/3,
0),
""))),
""),
"")</f>
        <v/>
      </c>
      <c r="AR695" s="118" t="str">
        <f>IFERROR(
IF(AND(VLOOKUP($C695,'Employee information'!$B:$M,COLUMNS('Employee information'!$B:$M),0)=4,
VLOOKUP($C695,'Employee information'!$B:$J,COLUMNS('Employee information'!$B:$J),0)="Resident"),
TRUNC(TRUNC($AN695)*'Tax scales - NAT 1004'!$B$47),
IF(AND(VLOOKUP($C695,'Employee information'!$B:$M,COLUMNS('Employee information'!$B:$M),0)=4,
VLOOKUP($C695,'Employee information'!$B:$J,COLUMNS('Employee information'!$B:$J),0)="Foreign resident"),
TRUNC(TRUNC($AN695)*'Tax scales - NAT 1004'!$B$48),
"")),
"")</f>
        <v/>
      </c>
      <c r="AS695" s="118" t="str">
        <f>IFERROR(
IF(VLOOKUP($C695,'Employee information'!$B:$M,COLUMNS('Employee information'!$B:$M),0)=5,
IF($E$2="Fortnightly",
ROUND(
ROUND((((TRUNC($AN695/2,0)+0.99))*VLOOKUP((TRUNC($AN695/2,0)+0.99),'Tax scales - NAT 1004'!$A$53:$C$59,2,1)-VLOOKUP((TRUNC($AN695/2,0)+0.99),'Tax scales - NAT 1004'!$A$53:$C$59,3,1)),0)
*2,
0),
IF(AND($E$2="Monthly",ROUND($AN695-TRUNC($AN695),2)=0.33),
ROUND(
ROUND(((TRUNC(($AN695+0.01)*3/13,0)+0.99)*VLOOKUP((TRUNC(($AN695+0.01)*3/13,0)+0.99),'Tax scales - NAT 1004'!$A$53:$C$59,2,1)-VLOOKUP((TRUNC(($AN695+0.01)*3/13,0)+0.99),'Tax scales - NAT 1004'!$A$53:$C$59,3,1)),0)
*13/3,
0),
IF($E$2="Monthly",
ROUND(
ROUND(((TRUNC($AN695*3/13,0)+0.99)*VLOOKUP((TRUNC($AN695*3/13,0)+0.99),'Tax scales - NAT 1004'!$A$53:$C$59,2,1)-VLOOKUP((TRUNC($AN695*3/13,0)+0.99),'Tax scales - NAT 1004'!$A$53:$C$59,3,1)),0)
*13/3,
0),
""))),
""),
"")</f>
        <v/>
      </c>
      <c r="AT695" s="118" t="str">
        <f>IFERROR(
IF(VLOOKUP($C695,'Employee information'!$B:$M,COLUMNS('Employee information'!$B:$M),0)=6,
IF($E$2="Fortnightly",
ROUND(
ROUND((((TRUNC($AN695/2,0)+0.99))*VLOOKUP((TRUNC($AN695/2,0)+0.99),'Tax scales - NAT 1004'!$A$65:$C$73,2,1)-VLOOKUP((TRUNC($AN695/2,0)+0.99),'Tax scales - NAT 1004'!$A$65:$C$73,3,1)),0)
*2,
0),
IF(AND($E$2="Monthly",ROUND($AN695-TRUNC($AN695),2)=0.33),
ROUND(
ROUND(((TRUNC(($AN695+0.01)*3/13,0)+0.99)*VLOOKUP((TRUNC(($AN695+0.01)*3/13,0)+0.99),'Tax scales - NAT 1004'!$A$65:$C$73,2,1)-VLOOKUP((TRUNC(($AN695+0.01)*3/13,0)+0.99),'Tax scales - NAT 1004'!$A$65:$C$73,3,1)),0)
*13/3,
0),
IF($E$2="Monthly",
ROUND(
ROUND(((TRUNC($AN695*3/13,0)+0.99)*VLOOKUP((TRUNC($AN695*3/13,0)+0.99),'Tax scales - NAT 1004'!$A$65:$C$73,2,1)-VLOOKUP((TRUNC($AN695*3/13,0)+0.99),'Tax scales - NAT 1004'!$A$65:$C$73,3,1)),0)
*13/3,
0),
""))),
""),
"")</f>
        <v/>
      </c>
      <c r="AU695" s="118" t="str">
        <f>IFERROR(
IF(VLOOKUP($C695,'Employee information'!$B:$M,COLUMNS('Employee information'!$B:$M),0)=11,
IF($E$2="Fortnightly",
ROUND(
ROUND((((TRUNC($AN695/2,0)+0.99))*VLOOKUP((TRUNC($AN695/2,0)+0.99),'Tax scales - NAT 3539'!$A$14:$C$38,2,1)-VLOOKUP((TRUNC($AN695/2,0)+0.99),'Tax scales - NAT 3539'!$A$14:$C$38,3,1)),0)
*2,
0),
IF(AND($E$2="Monthly",ROUND($AN695-TRUNC($AN695),2)=0.33),
ROUND(
ROUND(((TRUNC(($AN695+0.01)*3/13,0)+0.99)*VLOOKUP((TRUNC(($AN695+0.01)*3/13,0)+0.99),'Tax scales - NAT 3539'!$A$14:$C$38,2,1)-VLOOKUP((TRUNC(($AN695+0.01)*3/13,0)+0.99),'Tax scales - NAT 3539'!$A$14:$C$38,3,1)),0)
*13/3,
0),
IF($E$2="Monthly",
ROUND(
ROUND(((TRUNC($AN695*3/13,0)+0.99)*VLOOKUP((TRUNC($AN695*3/13,0)+0.99),'Tax scales - NAT 3539'!$A$14:$C$38,2,1)-VLOOKUP((TRUNC($AN695*3/13,0)+0.99),'Tax scales - NAT 3539'!$A$14:$C$38,3,1)),0)
*13/3,
0),
""))),
""),
"")</f>
        <v/>
      </c>
      <c r="AV695" s="118" t="str">
        <f>IFERROR(
IF(VLOOKUP($C695,'Employee information'!$B:$M,COLUMNS('Employee information'!$B:$M),0)=22,
IF($E$2="Fortnightly",
ROUND(
ROUND((((TRUNC($AN695/2,0)+0.99))*VLOOKUP((TRUNC($AN695/2,0)+0.99),'Tax scales - NAT 3539'!$A$43:$C$69,2,1)-VLOOKUP((TRUNC($AN695/2,0)+0.99),'Tax scales - NAT 3539'!$A$43:$C$69,3,1)),0)
*2,
0),
IF(AND($E$2="Monthly",ROUND($AN695-TRUNC($AN695),2)=0.33),
ROUND(
ROUND(((TRUNC(($AN695+0.01)*3/13,0)+0.99)*VLOOKUP((TRUNC(($AN695+0.01)*3/13,0)+0.99),'Tax scales - NAT 3539'!$A$43:$C$69,2,1)-VLOOKUP((TRUNC(($AN695+0.01)*3/13,0)+0.99),'Tax scales - NAT 3539'!$A$43:$C$69,3,1)),0)
*13/3,
0),
IF($E$2="Monthly",
ROUND(
ROUND(((TRUNC($AN695*3/13,0)+0.99)*VLOOKUP((TRUNC($AN695*3/13,0)+0.99),'Tax scales - NAT 3539'!$A$43:$C$69,2,1)-VLOOKUP((TRUNC($AN695*3/13,0)+0.99),'Tax scales - NAT 3539'!$A$43:$C$69,3,1)),0)
*13/3,
0),
""))),
""),
"")</f>
        <v/>
      </c>
      <c r="AW695" s="118" t="str">
        <f>IFERROR(
IF(VLOOKUP($C695,'Employee information'!$B:$M,COLUMNS('Employee information'!$B:$M),0)=33,
IF($E$2="Fortnightly",
ROUND(
ROUND((((TRUNC($AN695/2,0)+0.99))*VLOOKUP((TRUNC($AN695/2,0)+0.99),'Tax scales - NAT 3539'!$A$74:$C$94,2,1)-VLOOKUP((TRUNC($AN695/2,0)+0.99),'Tax scales - NAT 3539'!$A$74:$C$94,3,1)),0)
*2,
0),
IF(AND($E$2="Monthly",ROUND($AN695-TRUNC($AN695),2)=0.33),
ROUND(
ROUND(((TRUNC(($AN695+0.01)*3/13,0)+0.99)*VLOOKUP((TRUNC(($AN695+0.01)*3/13,0)+0.99),'Tax scales - NAT 3539'!$A$74:$C$94,2,1)-VLOOKUP((TRUNC(($AN695+0.01)*3/13,0)+0.99),'Tax scales - NAT 3539'!$A$74:$C$94,3,1)),0)
*13/3,
0),
IF($E$2="Monthly",
ROUND(
ROUND(((TRUNC($AN695*3/13,0)+0.99)*VLOOKUP((TRUNC($AN695*3/13,0)+0.99),'Tax scales - NAT 3539'!$A$74:$C$94,2,1)-VLOOKUP((TRUNC($AN695*3/13,0)+0.99),'Tax scales - NAT 3539'!$A$74:$C$94,3,1)),0)
*13/3,
0),
""))),
""),
"")</f>
        <v/>
      </c>
      <c r="AX695" s="118" t="str">
        <f>IFERROR(
IF(VLOOKUP($C695,'Employee information'!$B:$M,COLUMNS('Employee information'!$B:$M),0)=55,
IF($E$2="Fortnightly",
ROUND(
ROUND((((TRUNC($AN695/2,0)+0.99))*VLOOKUP((TRUNC($AN695/2,0)+0.99),'Tax scales - NAT 3539'!$A$99:$C$123,2,1)-VLOOKUP((TRUNC($AN695/2,0)+0.99),'Tax scales - NAT 3539'!$A$99:$C$123,3,1)),0)
*2,
0),
IF(AND($E$2="Monthly",ROUND($AN695-TRUNC($AN695),2)=0.33),
ROUND(
ROUND(((TRUNC(($AN695+0.01)*3/13,0)+0.99)*VLOOKUP((TRUNC(($AN695+0.01)*3/13,0)+0.99),'Tax scales - NAT 3539'!$A$99:$C$123,2,1)-VLOOKUP((TRUNC(($AN695+0.01)*3/13,0)+0.99),'Tax scales - NAT 3539'!$A$99:$C$123,3,1)),0)
*13/3,
0),
IF($E$2="Monthly",
ROUND(
ROUND(((TRUNC($AN695*3/13,0)+0.99)*VLOOKUP((TRUNC($AN695*3/13,0)+0.99),'Tax scales - NAT 3539'!$A$99:$C$123,2,1)-VLOOKUP((TRUNC($AN695*3/13,0)+0.99),'Tax scales - NAT 3539'!$A$99:$C$123,3,1)),0)
*13/3,
0),
""))),
""),
"")</f>
        <v/>
      </c>
      <c r="AY695" s="118" t="str">
        <f>IFERROR(
IF(VLOOKUP($C695,'Employee information'!$B:$M,COLUMNS('Employee information'!$B:$M),0)=66,
IF($E$2="Fortnightly",
ROUND(
ROUND((((TRUNC($AN695/2,0)+0.99))*VLOOKUP((TRUNC($AN695/2,0)+0.99),'Tax scales - NAT 3539'!$A$127:$C$154,2,1)-VLOOKUP((TRUNC($AN695/2,0)+0.99),'Tax scales - NAT 3539'!$A$127:$C$154,3,1)),0)
*2,
0),
IF(AND($E$2="Monthly",ROUND($AN695-TRUNC($AN695),2)=0.33),
ROUND(
ROUND(((TRUNC(($AN695+0.01)*3/13,0)+0.99)*VLOOKUP((TRUNC(($AN695+0.01)*3/13,0)+0.99),'Tax scales - NAT 3539'!$A$127:$C$154,2,1)-VLOOKUP((TRUNC(($AN695+0.01)*3/13,0)+0.99),'Tax scales - NAT 3539'!$A$127:$C$154,3,1)),0)
*13/3,
0),
IF($E$2="Monthly",
ROUND(
ROUND(((TRUNC($AN695*3/13,0)+0.99)*VLOOKUP((TRUNC($AN695*3/13,0)+0.99),'Tax scales - NAT 3539'!$A$127:$C$154,2,1)-VLOOKUP((TRUNC($AN695*3/13,0)+0.99),'Tax scales - NAT 3539'!$A$127:$C$154,3,1)),0)
*13/3,
0),
""))),
""),
"")</f>
        <v/>
      </c>
      <c r="AZ695" s="118">
        <f>IFERROR(
HLOOKUP(VLOOKUP($C695,'Employee information'!$B:$M,COLUMNS('Employee information'!$B:$M),0),'PAYG worksheet'!$AO$677:$AY$696,COUNTA($C$678:$C695)+1,0),
0)</f>
        <v>0</v>
      </c>
      <c r="BA695" s="118"/>
      <c r="BB695" s="118">
        <f t="shared" si="728"/>
        <v>0</v>
      </c>
      <c r="BC695" s="119">
        <f>IFERROR(
IF(OR($AE695=1,$AE695=""),SUM($P695,$AA695,$AC695,$AK695)*VLOOKUP($C695,'Employee information'!$B:$Q,COLUMNS('Employee information'!$B:$H),0),
IF($AE695=0,SUM($P695,$AA695,$AK695)*VLOOKUP($C695,'Employee information'!$B:$Q,COLUMNS('Employee information'!$B:$H),0),
0)),
0)</f>
        <v>0</v>
      </c>
      <c r="BE695" s="114">
        <f t="shared" si="713"/>
        <v>0</v>
      </c>
      <c r="BF695" s="114">
        <f t="shared" si="714"/>
        <v>0</v>
      </c>
      <c r="BG695" s="114">
        <f t="shared" si="715"/>
        <v>0</v>
      </c>
      <c r="BH695" s="114">
        <f t="shared" si="716"/>
        <v>0</v>
      </c>
      <c r="BI695" s="114">
        <f t="shared" si="717"/>
        <v>0</v>
      </c>
      <c r="BJ695" s="114">
        <f t="shared" si="718"/>
        <v>0</v>
      </c>
      <c r="BK695" s="114">
        <f t="shared" si="719"/>
        <v>0</v>
      </c>
      <c r="BL695" s="114">
        <f t="shared" si="729"/>
        <v>0</v>
      </c>
      <c r="BM695" s="114">
        <f t="shared" si="720"/>
        <v>0</v>
      </c>
    </row>
    <row r="696" spans="1:65" x14ac:dyDescent="0.25">
      <c r="A696" s="228">
        <f t="shared" si="708"/>
        <v>24</v>
      </c>
      <c r="C696" s="278"/>
      <c r="E696" s="103">
        <f>IF($C696="",0,
IF(AND($E$2="Monthly",$A696&gt;12),0,
IF($E$2="Monthly",VLOOKUP($C696,'Employee information'!$B:$AM,COLUMNS('Employee information'!$B:S),0),
IF($E$2="Fortnightly",VLOOKUP($C696,'Employee information'!$B:$AM,COLUMNS('Employee information'!$B:R),0),
0))))</f>
        <v>0</v>
      </c>
      <c r="F696" s="106"/>
      <c r="G696" s="106"/>
      <c r="H696" s="106"/>
      <c r="I696" s="106"/>
      <c r="J696" s="103">
        <f t="shared" si="721"/>
        <v>0</v>
      </c>
      <c r="L696" s="113">
        <f>IF(AND($E$2="Monthly",$A696&gt;12),"",
IFERROR($J696*VLOOKUP($C696,'Employee information'!$B:$AI,COLUMNS('Employee information'!$B:$P),0),0))</f>
        <v>0</v>
      </c>
      <c r="M696" s="114">
        <f t="shared" si="722"/>
        <v>0</v>
      </c>
      <c r="O696" s="103">
        <f t="shared" si="723"/>
        <v>0</v>
      </c>
      <c r="P696" s="113">
        <f>IFERROR(
IF(AND($E$2="Monthly",$A696&gt;12),0,
$O696*VLOOKUP($C696,'Employee information'!$B:$AI,COLUMNS('Employee information'!$B:$P),0)),
0)</f>
        <v>0</v>
      </c>
      <c r="R696" s="114">
        <f t="shared" si="709"/>
        <v>0</v>
      </c>
      <c r="T696" s="103"/>
      <c r="U696" s="103"/>
      <c r="V696" s="282" t="str">
        <f>IF($C696="","",
IF(AND($E$2="Monthly",$A696&gt;12),"",
$T696*VLOOKUP($C696,'Employee information'!$B:$P,COLUMNS('Employee information'!$B:$P),0)))</f>
        <v/>
      </c>
      <c r="W696" s="282" t="str">
        <f>IF($C696="","",
IF(AND($E$2="Monthly",$A696&gt;12),"",
$U696*VLOOKUP($C696,'Employee information'!$B:$P,COLUMNS('Employee information'!$B:$P),0)))</f>
        <v/>
      </c>
      <c r="X696" s="114">
        <f t="shared" si="710"/>
        <v>0</v>
      </c>
      <c r="Y696" s="114">
        <f t="shared" si="711"/>
        <v>0</v>
      </c>
      <c r="AA696" s="118">
        <f>IFERROR(
IF(OR('Basic payroll data'!$D$12="",'Basic payroll data'!$D$12="No"),0,
$T696*VLOOKUP($C696,'Employee information'!$B:$P,COLUMNS('Employee information'!$B:$P),0)*AL_loading_perc),
0)</f>
        <v>0</v>
      </c>
      <c r="AC696" s="118"/>
      <c r="AD696" s="118"/>
      <c r="AE696" s="283" t="str">
        <f t="shared" si="724"/>
        <v/>
      </c>
      <c r="AF696" s="283" t="str">
        <f t="shared" si="725"/>
        <v/>
      </c>
      <c r="AG696" s="118"/>
      <c r="AH696" s="118"/>
      <c r="AI696" s="283" t="str">
        <f t="shared" si="726"/>
        <v/>
      </c>
      <c r="AJ696" s="118"/>
      <c r="AK696" s="118"/>
      <c r="AM696" s="118">
        <f t="shared" si="727"/>
        <v>0</v>
      </c>
      <c r="AN696" s="118">
        <f t="shared" si="712"/>
        <v>0</v>
      </c>
      <c r="AO696" s="118" t="str">
        <f>IFERROR(
IF(VLOOKUP($C696,'Employee information'!$B:$M,COLUMNS('Employee information'!$B:$M),0)=1,
IF($E$2="Fortnightly",
ROUND(
ROUND((((TRUNC($AN696/2,0)+0.99))*VLOOKUP((TRUNC($AN696/2,0)+0.99),'Tax scales - NAT 1004'!$A$12:$C$18,2,1)-VLOOKUP((TRUNC($AN696/2,0)+0.99),'Tax scales - NAT 1004'!$A$12:$C$18,3,1)),0)
*2,
0),
IF(AND($E$2="Monthly",ROUND($AN696-TRUNC($AN696),2)=0.33),
ROUND(
ROUND(((TRUNC(($AN696+0.01)*3/13,0)+0.99)*VLOOKUP((TRUNC(($AN696+0.01)*3/13,0)+0.99),'Tax scales - NAT 1004'!$A$12:$C$18,2,1)-VLOOKUP((TRUNC(($AN696+0.01)*3/13,0)+0.99),'Tax scales - NAT 1004'!$A$12:$C$18,3,1)),0)
*13/3,
0),
IF($E$2="Monthly",
ROUND(
ROUND(((TRUNC($AN696*3/13,0)+0.99)*VLOOKUP((TRUNC($AN696*3/13,0)+0.99),'Tax scales - NAT 1004'!$A$12:$C$18,2,1)-VLOOKUP((TRUNC($AN696*3/13,0)+0.99),'Tax scales - NAT 1004'!$A$12:$C$18,3,1)),0)
*13/3,
0),
""))),
""),
"")</f>
        <v/>
      </c>
      <c r="AP696" s="118" t="str">
        <f>IFERROR(
IF(VLOOKUP($C696,'Employee information'!$B:$M,COLUMNS('Employee information'!$B:$M),0)=2,
IF($E$2="Fortnightly",
ROUND(
ROUND((((TRUNC($AN696/2,0)+0.99))*VLOOKUP((TRUNC($AN696/2,0)+0.99),'Tax scales - NAT 1004'!$A$25:$C$33,2,1)-VLOOKUP((TRUNC($AN696/2,0)+0.99),'Tax scales - NAT 1004'!$A$25:$C$33,3,1)),0)
*2,
0),
IF(AND($E$2="Monthly",ROUND($AN696-TRUNC($AN696),2)=0.33),
ROUND(
ROUND(((TRUNC(($AN696+0.01)*3/13,0)+0.99)*VLOOKUP((TRUNC(($AN696+0.01)*3/13,0)+0.99),'Tax scales - NAT 1004'!$A$25:$C$33,2,1)-VLOOKUP((TRUNC(($AN696+0.01)*3/13,0)+0.99),'Tax scales - NAT 1004'!$A$25:$C$33,3,1)),0)
*13/3,
0),
IF($E$2="Monthly",
ROUND(
ROUND(((TRUNC($AN696*3/13,0)+0.99)*VLOOKUP((TRUNC($AN696*3/13,0)+0.99),'Tax scales - NAT 1004'!$A$25:$C$33,2,1)-VLOOKUP((TRUNC($AN696*3/13,0)+0.99),'Tax scales - NAT 1004'!$A$25:$C$33,3,1)),0)
*13/3,
0),
""))),
""),
"")</f>
        <v/>
      </c>
      <c r="AQ696" s="118" t="str">
        <f>IFERROR(
IF(VLOOKUP($C696,'Employee information'!$B:$M,COLUMNS('Employee information'!$B:$M),0)=3,
IF($E$2="Fortnightly",
ROUND(
ROUND((((TRUNC($AN696/2,0)+0.99))*VLOOKUP((TRUNC($AN696/2,0)+0.99),'Tax scales - NAT 1004'!$A$39:$C$41,2,1)-VLOOKUP((TRUNC($AN696/2,0)+0.99),'Tax scales - NAT 1004'!$A$39:$C$41,3,1)),0)
*2,
0),
IF(AND($E$2="Monthly",ROUND($AN696-TRUNC($AN696),2)=0.33),
ROUND(
ROUND(((TRUNC(($AN696+0.01)*3/13,0)+0.99)*VLOOKUP((TRUNC(($AN696+0.01)*3/13,0)+0.99),'Tax scales - NAT 1004'!$A$39:$C$41,2,1)-VLOOKUP((TRUNC(($AN696+0.01)*3/13,0)+0.99),'Tax scales - NAT 1004'!$A$39:$C$41,3,1)),0)
*13/3,
0),
IF($E$2="Monthly",
ROUND(
ROUND(((TRUNC($AN696*3/13,0)+0.99)*VLOOKUP((TRUNC($AN696*3/13,0)+0.99),'Tax scales - NAT 1004'!$A$39:$C$41,2,1)-VLOOKUP((TRUNC($AN696*3/13,0)+0.99),'Tax scales - NAT 1004'!$A$39:$C$41,3,1)),0)
*13/3,
0),
""))),
""),
"")</f>
        <v/>
      </c>
      <c r="AR696" s="118" t="str">
        <f>IFERROR(
IF(AND(VLOOKUP($C696,'Employee information'!$B:$M,COLUMNS('Employee information'!$B:$M),0)=4,
VLOOKUP($C696,'Employee information'!$B:$J,COLUMNS('Employee information'!$B:$J),0)="Resident"),
TRUNC(TRUNC($AN696)*'Tax scales - NAT 1004'!$B$47),
IF(AND(VLOOKUP($C696,'Employee information'!$B:$M,COLUMNS('Employee information'!$B:$M),0)=4,
VLOOKUP($C696,'Employee information'!$B:$J,COLUMNS('Employee information'!$B:$J),0)="Foreign resident"),
TRUNC(TRUNC($AN696)*'Tax scales - NAT 1004'!$B$48),
"")),
"")</f>
        <v/>
      </c>
      <c r="AS696" s="118" t="str">
        <f>IFERROR(
IF(VLOOKUP($C696,'Employee information'!$B:$M,COLUMNS('Employee information'!$B:$M),0)=5,
IF($E$2="Fortnightly",
ROUND(
ROUND((((TRUNC($AN696/2,0)+0.99))*VLOOKUP((TRUNC($AN696/2,0)+0.99),'Tax scales - NAT 1004'!$A$53:$C$59,2,1)-VLOOKUP((TRUNC($AN696/2,0)+0.99),'Tax scales - NAT 1004'!$A$53:$C$59,3,1)),0)
*2,
0),
IF(AND($E$2="Monthly",ROUND($AN696-TRUNC($AN696),2)=0.33),
ROUND(
ROUND(((TRUNC(($AN696+0.01)*3/13,0)+0.99)*VLOOKUP((TRUNC(($AN696+0.01)*3/13,0)+0.99),'Tax scales - NAT 1004'!$A$53:$C$59,2,1)-VLOOKUP((TRUNC(($AN696+0.01)*3/13,0)+0.99),'Tax scales - NAT 1004'!$A$53:$C$59,3,1)),0)
*13/3,
0),
IF($E$2="Monthly",
ROUND(
ROUND(((TRUNC($AN696*3/13,0)+0.99)*VLOOKUP((TRUNC($AN696*3/13,0)+0.99),'Tax scales - NAT 1004'!$A$53:$C$59,2,1)-VLOOKUP((TRUNC($AN696*3/13,0)+0.99),'Tax scales - NAT 1004'!$A$53:$C$59,3,1)),0)
*13/3,
0),
""))),
""),
"")</f>
        <v/>
      </c>
      <c r="AT696" s="118" t="str">
        <f>IFERROR(
IF(VLOOKUP($C696,'Employee information'!$B:$M,COLUMNS('Employee information'!$B:$M),0)=6,
IF($E$2="Fortnightly",
ROUND(
ROUND((((TRUNC($AN696/2,0)+0.99))*VLOOKUP((TRUNC($AN696/2,0)+0.99),'Tax scales - NAT 1004'!$A$65:$C$73,2,1)-VLOOKUP((TRUNC($AN696/2,0)+0.99),'Tax scales - NAT 1004'!$A$65:$C$73,3,1)),0)
*2,
0),
IF(AND($E$2="Monthly",ROUND($AN696-TRUNC($AN696),2)=0.33),
ROUND(
ROUND(((TRUNC(($AN696+0.01)*3/13,0)+0.99)*VLOOKUP((TRUNC(($AN696+0.01)*3/13,0)+0.99),'Tax scales - NAT 1004'!$A$65:$C$73,2,1)-VLOOKUP((TRUNC(($AN696+0.01)*3/13,0)+0.99),'Tax scales - NAT 1004'!$A$65:$C$73,3,1)),0)
*13/3,
0),
IF($E$2="Monthly",
ROUND(
ROUND(((TRUNC($AN696*3/13,0)+0.99)*VLOOKUP((TRUNC($AN696*3/13,0)+0.99),'Tax scales - NAT 1004'!$A$65:$C$73,2,1)-VLOOKUP((TRUNC($AN696*3/13,0)+0.99),'Tax scales - NAT 1004'!$A$65:$C$73,3,1)),0)
*13/3,
0),
""))),
""),
"")</f>
        <v/>
      </c>
      <c r="AU696" s="118" t="str">
        <f>IFERROR(
IF(VLOOKUP($C696,'Employee information'!$B:$M,COLUMNS('Employee information'!$B:$M),0)=11,
IF($E$2="Fortnightly",
ROUND(
ROUND((((TRUNC($AN696/2,0)+0.99))*VLOOKUP((TRUNC($AN696/2,0)+0.99),'Tax scales - NAT 3539'!$A$14:$C$38,2,1)-VLOOKUP((TRUNC($AN696/2,0)+0.99),'Tax scales - NAT 3539'!$A$14:$C$38,3,1)),0)
*2,
0),
IF(AND($E$2="Monthly",ROUND($AN696-TRUNC($AN696),2)=0.33),
ROUND(
ROUND(((TRUNC(($AN696+0.01)*3/13,0)+0.99)*VLOOKUP((TRUNC(($AN696+0.01)*3/13,0)+0.99),'Tax scales - NAT 3539'!$A$14:$C$38,2,1)-VLOOKUP((TRUNC(($AN696+0.01)*3/13,0)+0.99),'Tax scales - NAT 3539'!$A$14:$C$38,3,1)),0)
*13/3,
0),
IF($E$2="Monthly",
ROUND(
ROUND(((TRUNC($AN696*3/13,0)+0.99)*VLOOKUP((TRUNC($AN696*3/13,0)+0.99),'Tax scales - NAT 3539'!$A$14:$C$38,2,1)-VLOOKUP((TRUNC($AN696*3/13,0)+0.99),'Tax scales - NAT 3539'!$A$14:$C$38,3,1)),0)
*13/3,
0),
""))),
""),
"")</f>
        <v/>
      </c>
      <c r="AV696" s="118" t="str">
        <f>IFERROR(
IF(VLOOKUP($C696,'Employee information'!$B:$M,COLUMNS('Employee information'!$B:$M),0)=22,
IF($E$2="Fortnightly",
ROUND(
ROUND((((TRUNC($AN696/2,0)+0.99))*VLOOKUP((TRUNC($AN696/2,0)+0.99),'Tax scales - NAT 3539'!$A$43:$C$69,2,1)-VLOOKUP((TRUNC($AN696/2,0)+0.99),'Tax scales - NAT 3539'!$A$43:$C$69,3,1)),0)
*2,
0),
IF(AND($E$2="Monthly",ROUND($AN696-TRUNC($AN696),2)=0.33),
ROUND(
ROUND(((TRUNC(($AN696+0.01)*3/13,0)+0.99)*VLOOKUP((TRUNC(($AN696+0.01)*3/13,0)+0.99),'Tax scales - NAT 3539'!$A$43:$C$69,2,1)-VLOOKUP((TRUNC(($AN696+0.01)*3/13,0)+0.99),'Tax scales - NAT 3539'!$A$43:$C$69,3,1)),0)
*13/3,
0),
IF($E$2="Monthly",
ROUND(
ROUND(((TRUNC($AN696*3/13,0)+0.99)*VLOOKUP((TRUNC($AN696*3/13,0)+0.99),'Tax scales - NAT 3539'!$A$43:$C$69,2,1)-VLOOKUP((TRUNC($AN696*3/13,0)+0.99),'Tax scales - NAT 3539'!$A$43:$C$69,3,1)),0)
*13/3,
0),
""))),
""),
"")</f>
        <v/>
      </c>
      <c r="AW696" s="118" t="str">
        <f>IFERROR(
IF(VLOOKUP($C696,'Employee information'!$B:$M,COLUMNS('Employee information'!$B:$M),0)=33,
IF($E$2="Fortnightly",
ROUND(
ROUND((((TRUNC($AN696/2,0)+0.99))*VLOOKUP((TRUNC($AN696/2,0)+0.99),'Tax scales - NAT 3539'!$A$74:$C$94,2,1)-VLOOKUP((TRUNC($AN696/2,0)+0.99),'Tax scales - NAT 3539'!$A$74:$C$94,3,1)),0)
*2,
0),
IF(AND($E$2="Monthly",ROUND($AN696-TRUNC($AN696),2)=0.33),
ROUND(
ROUND(((TRUNC(($AN696+0.01)*3/13,0)+0.99)*VLOOKUP((TRUNC(($AN696+0.01)*3/13,0)+0.99),'Tax scales - NAT 3539'!$A$74:$C$94,2,1)-VLOOKUP((TRUNC(($AN696+0.01)*3/13,0)+0.99),'Tax scales - NAT 3539'!$A$74:$C$94,3,1)),0)
*13/3,
0),
IF($E$2="Monthly",
ROUND(
ROUND(((TRUNC($AN696*3/13,0)+0.99)*VLOOKUP((TRUNC($AN696*3/13,0)+0.99),'Tax scales - NAT 3539'!$A$74:$C$94,2,1)-VLOOKUP((TRUNC($AN696*3/13,0)+0.99),'Tax scales - NAT 3539'!$A$74:$C$94,3,1)),0)
*13/3,
0),
""))),
""),
"")</f>
        <v/>
      </c>
      <c r="AX696" s="118" t="str">
        <f>IFERROR(
IF(VLOOKUP($C696,'Employee information'!$B:$M,COLUMNS('Employee information'!$B:$M),0)=55,
IF($E$2="Fortnightly",
ROUND(
ROUND((((TRUNC($AN696/2,0)+0.99))*VLOOKUP((TRUNC($AN696/2,0)+0.99),'Tax scales - NAT 3539'!$A$99:$C$123,2,1)-VLOOKUP((TRUNC($AN696/2,0)+0.99),'Tax scales - NAT 3539'!$A$99:$C$123,3,1)),0)
*2,
0),
IF(AND($E$2="Monthly",ROUND($AN696-TRUNC($AN696),2)=0.33),
ROUND(
ROUND(((TRUNC(($AN696+0.01)*3/13,0)+0.99)*VLOOKUP((TRUNC(($AN696+0.01)*3/13,0)+0.99),'Tax scales - NAT 3539'!$A$99:$C$123,2,1)-VLOOKUP((TRUNC(($AN696+0.01)*3/13,0)+0.99),'Tax scales - NAT 3539'!$A$99:$C$123,3,1)),0)
*13/3,
0),
IF($E$2="Monthly",
ROUND(
ROUND(((TRUNC($AN696*3/13,0)+0.99)*VLOOKUP((TRUNC($AN696*3/13,0)+0.99),'Tax scales - NAT 3539'!$A$99:$C$123,2,1)-VLOOKUP((TRUNC($AN696*3/13,0)+0.99),'Tax scales - NAT 3539'!$A$99:$C$123,3,1)),0)
*13/3,
0),
""))),
""),
"")</f>
        <v/>
      </c>
      <c r="AY696" s="118" t="str">
        <f>IFERROR(
IF(VLOOKUP($C696,'Employee information'!$B:$M,COLUMNS('Employee information'!$B:$M),0)=66,
IF($E$2="Fortnightly",
ROUND(
ROUND((((TRUNC($AN696/2,0)+0.99))*VLOOKUP((TRUNC($AN696/2,0)+0.99),'Tax scales - NAT 3539'!$A$127:$C$154,2,1)-VLOOKUP((TRUNC($AN696/2,0)+0.99),'Tax scales - NAT 3539'!$A$127:$C$154,3,1)),0)
*2,
0),
IF(AND($E$2="Monthly",ROUND($AN696-TRUNC($AN696),2)=0.33),
ROUND(
ROUND(((TRUNC(($AN696+0.01)*3/13,0)+0.99)*VLOOKUP((TRUNC(($AN696+0.01)*3/13,0)+0.99),'Tax scales - NAT 3539'!$A$127:$C$154,2,1)-VLOOKUP((TRUNC(($AN696+0.01)*3/13,0)+0.99),'Tax scales - NAT 3539'!$A$127:$C$154,3,1)),0)
*13/3,
0),
IF($E$2="Monthly",
ROUND(
ROUND(((TRUNC($AN696*3/13,0)+0.99)*VLOOKUP((TRUNC($AN696*3/13,0)+0.99),'Tax scales - NAT 3539'!$A$127:$C$154,2,1)-VLOOKUP((TRUNC($AN696*3/13,0)+0.99),'Tax scales - NAT 3539'!$A$127:$C$154,3,1)),0)
*13/3,
0),
""))),
""),
"")</f>
        <v/>
      </c>
      <c r="AZ696" s="118">
        <f>IFERROR(
HLOOKUP(VLOOKUP($C696,'Employee information'!$B:$M,COLUMNS('Employee information'!$B:$M),0),'PAYG worksheet'!$AO$677:$AY$696,COUNTA($C$678:$C696)+1,0),
0)</f>
        <v>0</v>
      </c>
      <c r="BA696" s="118"/>
      <c r="BB696" s="118">
        <f t="shared" si="728"/>
        <v>0</v>
      </c>
      <c r="BC696" s="119">
        <f>IFERROR(
IF(OR($AE696=1,$AE696=""),SUM($P696,$AA696,$AC696,$AK696)*VLOOKUP($C696,'Employee information'!$B:$Q,COLUMNS('Employee information'!$B:$H),0),
IF($AE696=0,SUM($P696,$AA696,$AK696)*VLOOKUP($C696,'Employee information'!$B:$Q,COLUMNS('Employee information'!$B:$H),0),
0)),
0)</f>
        <v>0</v>
      </c>
      <c r="BE696" s="114">
        <f t="shared" si="713"/>
        <v>0</v>
      </c>
      <c r="BF696" s="114">
        <f t="shared" si="714"/>
        <v>0</v>
      </c>
      <c r="BG696" s="114">
        <f t="shared" si="715"/>
        <v>0</v>
      </c>
      <c r="BH696" s="114">
        <f t="shared" si="716"/>
        <v>0</v>
      </c>
      <c r="BI696" s="114">
        <f t="shared" si="717"/>
        <v>0</v>
      </c>
      <c r="BJ696" s="114">
        <f t="shared" si="718"/>
        <v>0</v>
      </c>
      <c r="BK696" s="114">
        <f t="shared" si="719"/>
        <v>0</v>
      </c>
      <c r="BL696" s="114">
        <f t="shared" si="729"/>
        <v>0</v>
      </c>
      <c r="BM696" s="114">
        <f t="shared" si="720"/>
        <v>0</v>
      </c>
    </row>
    <row r="697" spans="1:65" x14ac:dyDescent="0.25">
      <c r="C697" s="284" t="s">
        <v>39</v>
      </c>
      <c r="D697" s="223"/>
      <c r="E697" s="111">
        <f>SUM(E678:E696)</f>
        <v>345</v>
      </c>
      <c r="F697" s="112">
        <f t="shared" ref="F697:H697" si="730">SUM(F678:F696)</f>
        <v>0</v>
      </c>
      <c r="G697" s="112">
        <f t="shared" si="730"/>
        <v>0</v>
      </c>
      <c r="H697" s="112">
        <f t="shared" si="730"/>
        <v>0</v>
      </c>
      <c r="I697" s="112"/>
      <c r="J697" s="111">
        <f t="shared" ref="J697" si="731">SUM(J678:J696)</f>
        <v>345</v>
      </c>
      <c r="K697" s="223"/>
      <c r="L697" s="115">
        <f>SUM(L678:L696)</f>
        <v>19122.576396206536</v>
      </c>
      <c r="M697" s="115">
        <f>SUM(M678:M696)</f>
        <v>461457.21812434139</v>
      </c>
      <c r="N697" s="223"/>
      <c r="O697" s="116">
        <f>SUM(O678:O696)</f>
        <v>345</v>
      </c>
      <c r="P697" s="117">
        <f>SUM(P678:P696)</f>
        <v>19122.576396206536</v>
      </c>
      <c r="R697" s="117">
        <f>SUM(R678:R696)</f>
        <v>461457.21812434139</v>
      </c>
      <c r="S697" s="223"/>
      <c r="T697" s="116">
        <f>SUM(T678:T696)</f>
        <v>0</v>
      </c>
      <c r="U697" s="116">
        <f t="shared" ref="U697:Y697" si="732">SUM(U678:U696)</f>
        <v>0</v>
      </c>
      <c r="V697" s="285">
        <f t="shared" si="732"/>
        <v>0</v>
      </c>
      <c r="W697" s="285">
        <f t="shared" si="732"/>
        <v>0</v>
      </c>
      <c r="X697" s="285">
        <f t="shared" si="732"/>
        <v>1538.4615384615386</v>
      </c>
      <c r="Y697" s="285">
        <f t="shared" si="732"/>
        <v>801.28205128205127</v>
      </c>
      <c r="Z697" s="223"/>
      <c r="AA697" s="117">
        <f t="shared" ref="AA697" si="733">SUM(AA678:AA696)</f>
        <v>0</v>
      </c>
      <c r="AC697" s="117">
        <f t="shared" ref="AC697" si="734">SUM(AC678:AC696)</f>
        <v>0</v>
      </c>
      <c r="AD697" s="117"/>
      <c r="AE697" s="117"/>
      <c r="AF697" s="117"/>
      <c r="AG697" s="117">
        <f t="shared" ref="AG697" si="735">SUM(AG678:AG696)</f>
        <v>0</v>
      </c>
      <c r="AH697" s="117"/>
      <c r="AI697" s="117"/>
      <c r="AJ697" s="117">
        <f>SUM(AJ678:AJ696)</f>
        <v>0</v>
      </c>
      <c r="AK697" s="117">
        <f>SUM(AK678:AK696)</f>
        <v>0</v>
      </c>
      <c r="AM697" s="117">
        <f t="shared" ref="AM697:AN697" si="736">SUM(AM678:AM696)</f>
        <v>19122.576396206536</v>
      </c>
      <c r="AN697" s="117">
        <f t="shared" si="736"/>
        <v>19122.576396206536</v>
      </c>
      <c r="AO697" s="117"/>
      <c r="AP697" s="117"/>
      <c r="AQ697" s="117"/>
      <c r="AR697" s="117"/>
      <c r="AS697" s="117"/>
      <c r="AT697" s="117"/>
      <c r="AU697" s="117"/>
      <c r="AV697" s="117"/>
      <c r="AW697" s="117"/>
      <c r="AX697" s="117"/>
      <c r="AY697" s="117"/>
      <c r="AZ697" s="117">
        <f>SUM(AZ678:AZ696)</f>
        <v>7481</v>
      </c>
      <c r="BA697" s="117">
        <f>SUM(BA678:BA696)</f>
        <v>0</v>
      </c>
      <c r="BB697" s="117">
        <f>SUM(BB678:BB696)</f>
        <v>11641.576396206534</v>
      </c>
      <c r="BC697" s="117">
        <f t="shared" ref="BC697" si="737">SUM(BC678:BC696)</f>
        <v>1816.6447576396208</v>
      </c>
      <c r="BD697" s="136"/>
      <c r="BE697" s="117">
        <f t="shared" ref="BE697:BM697" si="738">SUM(BE678:BE696)</f>
        <v>461697.21812434139</v>
      </c>
      <c r="BF697" s="117">
        <f t="shared" si="738"/>
        <v>461557.21812434139</v>
      </c>
      <c r="BG697" s="117">
        <f t="shared" si="738"/>
        <v>0</v>
      </c>
      <c r="BH697" s="117">
        <f t="shared" si="738"/>
        <v>140</v>
      </c>
      <c r="BI697" s="117">
        <f t="shared" si="738"/>
        <v>180358</v>
      </c>
      <c r="BJ697" s="117">
        <f t="shared" si="738"/>
        <v>0</v>
      </c>
      <c r="BK697" s="117">
        <f t="shared" si="738"/>
        <v>0</v>
      </c>
      <c r="BL697" s="117">
        <f t="shared" si="738"/>
        <v>100</v>
      </c>
      <c r="BM697" s="117">
        <f t="shared" si="738"/>
        <v>43847.935721812428</v>
      </c>
    </row>
    <row r="699" spans="1:65" x14ac:dyDescent="0.25">
      <c r="B699" s="228">
        <v>25</v>
      </c>
      <c r="C699" s="230" t="s">
        <v>2</v>
      </c>
      <c r="E699" s="232">
        <v>44116</v>
      </c>
      <c r="F699" s="148" t="s">
        <v>91</v>
      </c>
      <c r="L699" s="286"/>
      <c r="T699" s="127"/>
      <c r="U699" s="127"/>
      <c r="V699" s="127"/>
      <c r="W699" s="127"/>
      <c r="X699" s="127"/>
      <c r="Y699" s="127"/>
    </row>
    <row r="700" spans="1:65" x14ac:dyDescent="0.25">
      <c r="C700" s="230" t="s">
        <v>3</v>
      </c>
      <c r="E700" s="232">
        <v>44127</v>
      </c>
      <c r="F700" s="148" t="s">
        <v>90</v>
      </c>
      <c r="G700" s="229"/>
      <c r="H700" s="229"/>
      <c r="I700" s="229"/>
      <c r="J700" s="229"/>
      <c r="L700" s="164"/>
      <c r="T700" s="127"/>
      <c r="U700" s="127"/>
      <c r="V700" s="127"/>
      <c r="W700" s="127"/>
      <c r="X700" s="127"/>
      <c r="Y700" s="127"/>
    </row>
    <row r="701" spans="1:65" x14ac:dyDescent="0.25">
      <c r="C701" s="233"/>
    </row>
    <row r="702" spans="1:65" ht="34.5" customHeight="1" x14ac:dyDescent="0.25">
      <c r="C702" s="234"/>
      <c r="D702" s="235"/>
      <c r="E702" s="441" t="s">
        <v>4</v>
      </c>
      <c r="F702" s="442"/>
      <c r="G702" s="442"/>
      <c r="H702" s="442"/>
      <c r="I702" s="442"/>
      <c r="J702" s="443"/>
      <c r="L702" s="444" t="s">
        <v>253</v>
      </c>
      <c r="M702" s="445"/>
      <c r="N702" s="235"/>
      <c r="O702" s="444" t="s">
        <v>148</v>
      </c>
      <c r="P702" s="445"/>
      <c r="R702" s="235"/>
      <c r="T702" s="446" t="s">
        <v>269</v>
      </c>
      <c r="U702" s="447"/>
      <c r="V702" s="447"/>
      <c r="W702" s="447"/>
      <c r="X702" s="447"/>
      <c r="Y702" s="447"/>
      <c r="Z702" s="447"/>
      <c r="AA702" s="447"/>
      <c r="AC702" s="438" t="s">
        <v>274</v>
      </c>
      <c r="AD702" s="438"/>
      <c r="AE702" s="438"/>
      <c r="AF702" s="438"/>
      <c r="AG702" s="438"/>
      <c r="AH702" s="438"/>
      <c r="AI702" s="438"/>
      <c r="AJ702" s="438"/>
      <c r="AK702" s="438"/>
      <c r="AM702" s="439" t="s">
        <v>270</v>
      </c>
      <c r="AN702" s="439"/>
      <c r="AO702" s="439"/>
      <c r="AP702" s="439"/>
      <c r="AQ702" s="439"/>
      <c r="AR702" s="439"/>
      <c r="AS702" s="439"/>
      <c r="AT702" s="439"/>
      <c r="AU702" s="439"/>
      <c r="AV702" s="439"/>
      <c r="AW702" s="439"/>
      <c r="AX702" s="439"/>
      <c r="AY702" s="439"/>
      <c r="AZ702" s="439"/>
      <c r="BA702" s="439"/>
      <c r="BB702" s="439"/>
      <c r="BC702" s="440"/>
      <c r="BE702" s="439" t="s">
        <v>246</v>
      </c>
      <c r="BF702" s="439"/>
      <c r="BG702" s="439"/>
      <c r="BH702" s="439"/>
      <c r="BI702" s="439"/>
      <c r="BJ702" s="439"/>
      <c r="BK702" s="439"/>
      <c r="BL702" s="439"/>
      <c r="BM702" s="439"/>
    </row>
    <row r="703" spans="1:65" x14ac:dyDescent="0.25">
      <c r="C703" s="236"/>
      <c r="E703" s="229"/>
      <c r="F703" s="229"/>
      <c r="G703" s="229"/>
      <c r="H703" s="229"/>
      <c r="I703" s="229"/>
      <c r="J703" s="229"/>
      <c r="L703" s="164"/>
      <c r="O703" s="229"/>
      <c r="P703" s="164"/>
      <c r="T703" s="127"/>
      <c r="U703" s="127"/>
      <c r="V703" s="127"/>
      <c r="W703" s="127"/>
      <c r="X703" s="127"/>
      <c r="Y703" s="127"/>
      <c r="AA703" s="229"/>
      <c r="AC703" s="229"/>
      <c r="AD703" s="229"/>
      <c r="AE703" s="229"/>
      <c r="AF703" s="229"/>
      <c r="AG703" s="229"/>
      <c r="AH703" s="229"/>
      <c r="AI703" s="229"/>
      <c r="AJ703" s="229"/>
      <c r="AK703" s="127"/>
      <c r="AM703" s="229"/>
      <c r="AN703" s="229"/>
      <c r="AO703" s="229"/>
      <c r="AP703" s="229"/>
      <c r="AQ703" s="229"/>
      <c r="AR703" s="229"/>
      <c r="AS703" s="229"/>
      <c r="AT703" s="229"/>
      <c r="AU703" s="229"/>
      <c r="AV703" s="229"/>
      <c r="AW703" s="229"/>
      <c r="AX703" s="229"/>
      <c r="AY703" s="229"/>
      <c r="AZ703" s="229"/>
      <c r="BA703" s="229"/>
      <c r="BB703" s="229"/>
      <c r="BC703" s="229"/>
    </row>
    <row r="704" spans="1:65" ht="60" x14ac:dyDescent="0.25">
      <c r="C704" s="238" t="s">
        <v>5</v>
      </c>
      <c r="D704" s="239"/>
      <c r="E704" s="240" t="s">
        <v>268</v>
      </c>
      <c r="F704" s="241" t="s">
        <v>271</v>
      </c>
      <c r="G704" s="242" t="s">
        <v>267</v>
      </c>
      <c r="H704" s="243" t="s">
        <v>266</v>
      </c>
      <c r="I704" s="242" t="s">
        <v>265</v>
      </c>
      <c r="J704" s="244" t="s">
        <v>6</v>
      </c>
      <c r="L704" s="245" t="s">
        <v>7</v>
      </c>
      <c r="M704" s="246" t="s">
        <v>254</v>
      </c>
      <c r="N704" s="247"/>
      <c r="O704" s="248" t="s">
        <v>272</v>
      </c>
      <c r="P704" s="249" t="s">
        <v>200</v>
      </c>
      <c r="R704" s="250" t="s">
        <v>151</v>
      </c>
      <c r="T704" s="251" t="s">
        <v>8</v>
      </c>
      <c r="U704" s="252" t="s">
        <v>9</v>
      </c>
      <c r="V704" s="252" t="s">
        <v>120</v>
      </c>
      <c r="W704" s="252" t="s">
        <v>121</v>
      </c>
      <c r="X704" s="253" t="s">
        <v>118</v>
      </c>
      <c r="Y704" s="254" t="s">
        <v>119</v>
      </c>
      <c r="AA704" s="255" t="s">
        <v>84</v>
      </c>
      <c r="AC704" s="256" t="s">
        <v>142</v>
      </c>
      <c r="AD704" s="256" t="s">
        <v>138</v>
      </c>
      <c r="AE704" s="257" t="s">
        <v>147</v>
      </c>
      <c r="AF704" s="257" t="s">
        <v>149</v>
      </c>
      <c r="AG704" s="256" t="s">
        <v>305</v>
      </c>
      <c r="AH704" s="256" t="s">
        <v>306</v>
      </c>
      <c r="AI704" s="257" t="s">
        <v>150</v>
      </c>
      <c r="AJ704" s="258" t="s">
        <v>250</v>
      </c>
      <c r="AK704" s="259" t="s">
        <v>373</v>
      </c>
      <c r="AM704" s="260" t="s">
        <v>256</v>
      </c>
      <c r="AN704" s="261" t="s">
        <v>372</v>
      </c>
      <c r="AO704" s="253" t="s">
        <v>170</v>
      </c>
      <c r="AP704" s="253" t="s">
        <v>171</v>
      </c>
      <c r="AQ704" s="253" t="s">
        <v>172</v>
      </c>
      <c r="AR704" s="253" t="s">
        <v>173</v>
      </c>
      <c r="AS704" s="253" t="s">
        <v>174</v>
      </c>
      <c r="AT704" s="253" t="s">
        <v>175</v>
      </c>
      <c r="AU704" s="262" t="s">
        <v>210</v>
      </c>
      <c r="AV704" s="262" t="s">
        <v>211</v>
      </c>
      <c r="AW704" s="262" t="s">
        <v>212</v>
      </c>
      <c r="AX704" s="262" t="s">
        <v>213</v>
      </c>
      <c r="AY704" s="263" t="s">
        <v>214</v>
      </c>
      <c r="AZ704" s="264" t="s">
        <v>111</v>
      </c>
      <c r="BA704" s="265" t="s">
        <v>199</v>
      </c>
      <c r="BB704" s="252" t="s">
        <v>223</v>
      </c>
      <c r="BC704" s="260" t="s">
        <v>112</v>
      </c>
      <c r="BE704" s="260" t="s">
        <v>257</v>
      </c>
      <c r="BF704" s="266" t="s">
        <v>255</v>
      </c>
      <c r="BG704" s="262" t="s">
        <v>247</v>
      </c>
      <c r="BH704" s="262" t="s">
        <v>248</v>
      </c>
      <c r="BI704" s="260" t="s">
        <v>249</v>
      </c>
      <c r="BJ704" s="253" t="s">
        <v>199</v>
      </c>
      <c r="BK704" s="262" t="s">
        <v>251</v>
      </c>
      <c r="BL704" s="259" t="s">
        <v>373</v>
      </c>
      <c r="BM704" s="260" t="s">
        <v>252</v>
      </c>
    </row>
    <row r="705" spans="1:65" x14ac:dyDescent="0.25">
      <c r="T705" s="120"/>
      <c r="U705" s="120"/>
      <c r="V705" s="120"/>
      <c r="W705" s="120"/>
      <c r="X705" s="120"/>
      <c r="Y705" s="120"/>
      <c r="AM705" s="267" t="s">
        <v>322</v>
      </c>
      <c r="AN705" s="237"/>
      <c r="AO705" s="237"/>
      <c r="AP705" s="237"/>
      <c r="AQ705" s="237"/>
      <c r="AR705" s="237"/>
      <c r="AS705" s="237"/>
      <c r="AT705" s="237"/>
      <c r="AU705" s="237"/>
      <c r="AV705" s="237"/>
      <c r="AW705" s="237"/>
      <c r="AX705" s="237"/>
      <c r="AY705" s="237"/>
      <c r="AZ705" s="436" t="s">
        <v>320</v>
      </c>
      <c r="BA705" s="437"/>
      <c r="BB705" s="237"/>
      <c r="BC705" s="267" t="s">
        <v>321</v>
      </c>
    </row>
    <row r="706" spans="1:65" x14ac:dyDescent="0.25">
      <c r="A706" s="228">
        <f t="shared" ref="A706:A725" si="739">IF($E$700="","",$B$699)</f>
        <v>25</v>
      </c>
      <c r="C706" s="268"/>
      <c r="D706" s="239"/>
      <c r="E706" s="269"/>
      <c r="F706" s="270"/>
      <c r="G706" s="271"/>
      <c r="H706" s="272"/>
      <c r="I706" s="271"/>
      <c r="J706" s="273"/>
      <c r="O706" s="274"/>
      <c r="P706" s="247"/>
      <c r="T706" s="271"/>
      <c r="U706" s="271"/>
      <c r="V706" s="275"/>
      <c r="W706" s="269"/>
      <c r="X706" s="269"/>
      <c r="Y706" s="269"/>
      <c r="AA706" s="271"/>
      <c r="AC706" s="271"/>
      <c r="AD706" s="271"/>
      <c r="AE706" s="271"/>
      <c r="AF706" s="271"/>
      <c r="AG706" s="271"/>
      <c r="AH706" s="271"/>
      <c r="AI706" s="271"/>
      <c r="AJ706" s="271"/>
      <c r="AK706" s="275"/>
      <c r="AM706" s="271"/>
      <c r="AN706" s="271"/>
      <c r="AO706" s="276">
        <v>1</v>
      </c>
      <c r="AP706" s="276">
        <v>2</v>
      </c>
      <c r="AQ706" s="276">
        <v>3</v>
      </c>
      <c r="AR706" s="277">
        <v>4</v>
      </c>
      <c r="AS706" s="276">
        <v>5</v>
      </c>
      <c r="AT706" s="276">
        <v>6</v>
      </c>
      <c r="AU706" s="276">
        <v>11</v>
      </c>
      <c r="AV706" s="276">
        <v>22</v>
      </c>
      <c r="AW706" s="276">
        <v>33</v>
      </c>
      <c r="AX706" s="276">
        <v>55</v>
      </c>
      <c r="AY706" s="276">
        <v>66</v>
      </c>
      <c r="AZ706" s="271"/>
      <c r="BA706" s="271"/>
      <c r="BB706" s="271"/>
      <c r="BC706" s="273"/>
    </row>
    <row r="707" spans="1:65" x14ac:dyDescent="0.25">
      <c r="A707" s="228">
        <f t="shared" si="739"/>
        <v>25</v>
      </c>
      <c r="C707" s="278" t="s">
        <v>12</v>
      </c>
      <c r="E707" s="103">
        <f>IF($C707="",0,
IF(AND($E$2="Monthly",$A707&gt;12),0,
IF($E$2="Monthly",VLOOKUP($C707,'Employee information'!$B:$AM,COLUMNS('Employee information'!$B:S),0),
IF($E$2="Fortnightly",VLOOKUP($C707,'Employee information'!$B:$AM,COLUMNS('Employee information'!$B:R),0),
0))))</f>
        <v>75</v>
      </c>
      <c r="F707" s="279"/>
      <c r="G707" s="106"/>
      <c r="H707" s="280"/>
      <c r="I707" s="106"/>
      <c r="J707" s="103">
        <f>IF($E$2="Monthly",
IF(AND($E$2="Monthly",$H707&lt;&gt;""),$H707,
IF(AND($E$2="Monthly",$E707=0),SUM($F707:$G707),
$E707)),
IF($E$2="Fortnightly",
IF(AND($E$2="Fortnightly",$H707&lt;&gt;""),$H707,
IF(AND($E$2="Fortnightly",$F707&lt;&gt;"",$E707&lt;&gt;0),$F707,
IF(AND($E$2="Fortnightly",$E707=0),SUM($F707:$G707),
$E707)))))</f>
        <v>75</v>
      </c>
      <c r="L707" s="113">
        <f>IF(AND($E$2="Monthly",$A707&gt;12),"",
IFERROR($J707*VLOOKUP($C707,'Employee information'!$B:$AI,COLUMNS('Employee information'!$B:$P),0),0))</f>
        <v>3697.576396206533</v>
      </c>
      <c r="M707" s="114">
        <f>IF(AND($E$2="Monthly",$A707&gt;12),"",
SUMIFS($L:$L,$C:$C,$C707,$A:$A,"&lt;="&amp;$A707)
)</f>
        <v>92439.409905163368</v>
      </c>
      <c r="O707" s="103">
        <f>IF($E$2="Monthly",
IF(AND($E$2="Monthly",$H707&lt;&gt;""),$H707,
IF(AND($E$2="Monthly",$E707=0),$F707,
$E707)),
IF($E$2="Fortnightly",
IF(AND($E$2="Fortnightly",$H707&lt;&gt;""),$H707,
IF(AND($E$2="Fortnightly",$F707&lt;&gt;"",$E707&lt;&gt;0),$F707,
IF(AND($E$2="Fortnightly",$E707=0),$F707,
$E707)))))</f>
        <v>75</v>
      </c>
      <c r="P707" s="113">
        <f>IFERROR(
IF(AND($E$2="Monthly",$A707&gt;12),0,
$O707*VLOOKUP($C707,'Employee information'!$B:$AI,COLUMNS('Employee information'!$B:$P),0)),
0)</f>
        <v>3697.576396206533</v>
      </c>
      <c r="R707" s="114">
        <f t="shared" ref="R707:R725" si="740">IF(AND($E$2="Monthly",$A707&gt;12),"",
SUMIFS($P:$P,$C:$C,$C707,$A:$A,"&lt;="&amp;$A707)
)</f>
        <v>92439.409905163368</v>
      </c>
      <c r="T707" s="281"/>
      <c r="U707" s="103"/>
      <c r="V707" s="282">
        <f>IF($C707="","",
IF(AND($E$2="Monthly",$A707&gt;12),"",
$T707*VLOOKUP($C707,'Employee information'!$B:$P,COLUMNS('Employee information'!$B:$P),0)))</f>
        <v>0</v>
      </c>
      <c r="W707" s="282">
        <f>IF($C707="","",
IF(AND($E$2="Monthly",$A707&gt;12),"",
$U707*VLOOKUP($C707,'Employee information'!$B:$P,COLUMNS('Employee information'!$B:$P),0)))</f>
        <v>0</v>
      </c>
      <c r="X707" s="114">
        <f t="shared" ref="X707:X725" si="741">IF(AND($E$2="Monthly",$A707&gt;12),"",
SUMIFS($V:$V,$C:$C,$C707,$A:$A,"&lt;="&amp;$A707)
)</f>
        <v>0</v>
      </c>
      <c r="Y707" s="114">
        <f t="shared" ref="Y707:Y725" si="742">IF(AND($E$2="Monthly",$A707&gt;12),"",
SUMIFS($W:$W,$C:$C,$C707,$A:$A,"&lt;="&amp;$A707)
)</f>
        <v>0</v>
      </c>
      <c r="AA707" s="118">
        <f>IFERROR(
IF(OR('Basic payroll data'!$D$12="",'Basic payroll data'!$D$12="No"),0,
$T707*VLOOKUP($C707,'Employee information'!$B:$P,COLUMNS('Employee information'!$B:$P),0)*AL_loading_perc),
0)</f>
        <v>0</v>
      </c>
      <c r="AC707" s="118"/>
      <c r="AD707" s="118"/>
      <c r="AE707" s="283" t="str">
        <f>IF(LEFT($AD707,6)="Is OTE",1,
IF(LEFT($AD707,10)="Is not OTE",0,
""))</f>
        <v/>
      </c>
      <c r="AF707" s="283" t="str">
        <f>IF(RIGHT($AD707,12)="tax withheld",1,
IF(RIGHT($AD707,16)="tax not withheld",0,
""))</f>
        <v/>
      </c>
      <c r="AG707" s="118"/>
      <c r="AH707" s="118"/>
      <c r="AI707" s="283" t="str">
        <f>IF($AH707="FBT",0,
IF($AH707="Not FBT",1,
""))</f>
        <v/>
      </c>
      <c r="AJ707" s="118"/>
      <c r="AK707" s="118"/>
      <c r="AM707" s="118">
        <f>SUM($L707,$AA707,$AC707,$AG707,$AK707)-$AJ707</f>
        <v>3697.576396206533</v>
      </c>
      <c r="AN707" s="118">
        <f t="shared" ref="AN707:AN725" si="743">IF(AND(OR($AF707=1,$AF707=""),OR($AI707=1,$AI707="")),SUM($L707,$AA707,$AC707,$AG707,$AK707)-$AJ707,
IF(AND(OR($AF707=1,$AF707=""),$AI707=0),SUM($L707,$AA707,$AC707,$AK707)-$AJ707,
IF(AND($AF707=0,OR($AI707=1,$AI707="")),SUM($L707,$AA707,$AG707,$AK707)-$AJ707,
IF(AND($AF707=0,$AI707=0),SUM($L707,$AA707,$AK707)-$AJ707,
""))))</f>
        <v>3697.576396206533</v>
      </c>
      <c r="AO707" s="118" t="str">
        <f>IFERROR(
IF(VLOOKUP($C707,'Employee information'!$B:$M,COLUMNS('Employee information'!$B:$M),0)=1,
IF($E$2="Fortnightly",
ROUND(
ROUND((((TRUNC($AN707/2,0)+0.99))*VLOOKUP((TRUNC($AN707/2,0)+0.99),'Tax scales - NAT 1004'!$A$12:$C$18,2,1)-VLOOKUP((TRUNC($AN707/2,0)+0.99),'Tax scales - NAT 1004'!$A$12:$C$18,3,1)),0)
*2,
0),
IF(AND($E$2="Monthly",ROUND($AN707-TRUNC($AN707),2)=0.33),
ROUND(
ROUND(((TRUNC(($AN707+0.01)*3/13,0)+0.99)*VLOOKUP((TRUNC(($AN707+0.01)*3/13,0)+0.99),'Tax scales - NAT 1004'!$A$12:$C$18,2,1)-VLOOKUP((TRUNC(($AN707+0.01)*3/13,0)+0.99),'Tax scales - NAT 1004'!$A$12:$C$18,3,1)),0)
*13/3,
0),
IF($E$2="Monthly",
ROUND(
ROUND(((TRUNC($AN707*3/13,0)+0.99)*VLOOKUP((TRUNC($AN707*3/13,0)+0.99),'Tax scales - NAT 1004'!$A$12:$C$18,2,1)-VLOOKUP((TRUNC($AN707*3/13,0)+0.99),'Tax scales - NAT 1004'!$A$12:$C$18,3,1)),0)
*13/3,
0),
""))),
""),
"")</f>
        <v/>
      </c>
      <c r="AP707" s="118" t="str">
        <f>IFERROR(
IF(VLOOKUP($C707,'Employee information'!$B:$M,COLUMNS('Employee information'!$B:$M),0)=2,
IF($E$2="Fortnightly",
ROUND(
ROUND((((TRUNC($AN707/2,0)+0.99))*VLOOKUP((TRUNC($AN707/2,0)+0.99),'Tax scales - NAT 1004'!$A$25:$C$33,2,1)-VLOOKUP((TRUNC($AN707/2,0)+0.99),'Tax scales - NAT 1004'!$A$25:$C$33,3,1)),0)
*2,
0),
IF(AND($E$2="Monthly",ROUND($AN707-TRUNC($AN707),2)=0.33),
ROUND(
ROUND(((TRUNC(($AN707+0.01)*3/13,0)+0.99)*VLOOKUP((TRUNC(($AN707+0.01)*3/13,0)+0.99),'Tax scales - NAT 1004'!$A$25:$C$33,2,1)-VLOOKUP((TRUNC(($AN707+0.01)*3/13,0)+0.99),'Tax scales - NAT 1004'!$A$25:$C$33,3,1)),0)
*13/3,
0),
IF($E$2="Monthly",
ROUND(
ROUND(((TRUNC($AN707*3/13,0)+0.99)*VLOOKUP((TRUNC($AN707*3/13,0)+0.99),'Tax scales - NAT 1004'!$A$25:$C$33,2,1)-VLOOKUP((TRUNC($AN707*3/13,0)+0.99),'Tax scales - NAT 1004'!$A$25:$C$33,3,1)),0)
*13/3,
0),
""))),
""),
"")</f>
        <v/>
      </c>
      <c r="AQ707" s="118" t="str">
        <f>IFERROR(
IF(VLOOKUP($C707,'Employee information'!$B:$M,COLUMNS('Employee information'!$B:$M),0)=3,
IF($E$2="Fortnightly",
ROUND(
ROUND((((TRUNC($AN707/2,0)+0.99))*VLOOKUP((TRUNC($AN707/2,0)+0.99),'Tax scales - NAT 1004'!$A$39:$C$41,2,1)-VLOOKUP((TRUNC($AN707/2,0)+0.99),'Tax scales - NAT 1004'!$A$39:$C$41,3,1)),0)
*2,
0),
IF(AND($E$2="Monthly",ROUND($AN707-TRUNC($AN707),2)=0.33),
ROUND(
ROUND(((TRUNC(($AN707+0.01)*3/13,0)+0.99)*VLOOKUP((TRUNC(($AN707+0.01)*3/13,0)+0.99),'Tax scales - NAT 1004'!$A$39:$C$41,2,1)-VLOOKUP((TRUNC(($AN707+0.01)*3/13,0)+0.99),'Tax scales - NAT 1004'!$A$39:$C$41,3,1)),0)
*13/3,
0),
IF($E$2="Monthly",
ROUND(
ROUND(((TRUNC($AN707*3/13,0)+0.99)*VLOOKUP((TRUNC($AN707*3/13,0)+0.99),'Tax scales - NAT 1004'!$A$39:$C$41,2,1)-VLOOKUP((TRUNC($AN707*3/13,0)+0.99),'Tax scales - NAT 1004'!$A$39:$C$41,3,1)),0)
*13/3,
0),
""))),
""),
"")</f>
        <v/>
      </c>
      <c r="AR707" s="118" t="str">
        <f>IFERROR(
IF(AND(VLOOKUP($C707,'Employee information'!$B:$M,COLUMNS('Employee information'!$B:$M),0)=4,
VLOOKUP($C707,'Employee information'!$B:$J,COLUMNS('Employee information'!$B:$J),0)="Resident"),
TRUNC(TRUNC($AN707)*'Tax scales - NAT 1004'!$B$47),
IF(AND(VLOOKUP($C707,'Employee information'!$B:$M,COLUMNS('Employee information'!$B:$M),0)=4,
VLOOKUP($C707,'Employee information'!$B:$J,COLUMNS('Employee information'!$B:$J),0)="Foreign resident"),
TRUNC(TRUNC($AN707)*'Tax scales - NAT 1004'!$B$48),
"")),
"")</f>
        <v/>
      </c>
      <c r="AS707" s="118" t="str">
        <f>IFERROR(
IF(VLOOKUP($C707,'Employee information'!$B:$M,COLUMNS('Employee information'!$B:$M),0)=5,
IF($E$2="Fortnightly",
ROUND(
ROUND((((TRUNC($AN707/2,0)+0.99))*VLOOKUP((TRUNC($AN707/2,0)+0.99),'Tax scales - NAT 1004'!$A$53:$C$59,2,1)-VLOOKUP((TRUNC($AN707/2,0)+0.99),'Tax scales - NAT 1004'!$A$53:$C$59,3,1)),0)
*2,
0),
IF(AND($E$2="Monthly",ROUND($AN707-TRUNC($AN707),2)=0.33),
ROUND(
ROUND(((TRUNC(($AN707+0.01)*3/13,0)+0.99)*VLOOKUP((TRUNC(($AN707+0.01)*3/13,0)+0.99),'Tax scales - NAT 1004'!$A$53:$C$59,2,1)-VLOOKUP((TRUNC(($AN707+0.01)*3/13,0)+0.99),'Tax scales - NAT 1004'!$A$53:$C$59,3,1)),0)
*13/3,
0),
IF($E$2="Monthly",
ROUND(
ROUND(((TRUNC($AN707*3/13,0)+0.99)*VLOOKUP((TRUNC($AN707*3/13,0)+0.99),'Tax scales - NAT 1004'!$A$53:$C$59,2,1)-VLOOKUP((TRUNC($AN707*3/13,0)+0.99),'Tax scales - NAT 1004'!$A$53:$C$59,3,1)),0)
*13/3,
0),
""))),
""),
"")</f>
        <v/>
      </c>
      <c r="AT707" s="118" t="str">
        <f>IFERROR(
IF(VLOOKUP($C707,'Employee information'!$B:$M,COLUMNS('Employee information'!$B:$M),0)=6,
IF($E$2="Fortnightly",
ROUND(
ROUND((((TRUNC($AN707/2,0)+0.99))*VLOOKUP((TRUNC($AN707/2,0)+0.99),'Tax scales - NAT 1004'!$A$65:$C$73,2,1)-VLOOKUP((TRUNC($AN707/2,0)+0.99),'Tax scales - NAT 1004'!$A$65:$C$73,3,1)),0)
*2,
0),
IF(AND($E$2="Monthly",ROUND($AN707-TRUNC($AN707),2)=0.33),
ROUND(
ROUND(((TRUNC(($AN707+0.01)*3/13,0)+0.99)*VLOOKUP((TRUNC(($AN707+0.01)*3/13,0)+0.99),'Tax scales - NAT 1004'!$A$65:$C$73,2,1)-VLOOKUP((TRUNC(($AN707+0.01)*3/13,0)+0.99),'Tax scales - NAT 1004'!$A$65:$C$73,3,1)),0)
*13/3,
0),
IF($E$2="Monthly",
ROUND(
ROUND(((TRUNC($AN707*3/13,0)+0.99)*VLOOKUP((TRUNC($AN707*3/13,0)+0.99),'Tax scales - NAT 1004'!$A$65:$C$73,2,1)-VLOOKUP((TRUNC($AN707*3/13,0)+0.99),'Tax scales - NAT 1004'!$A$65:$C$73,3,1)),0)
*13/3,
0),
""))),
""),
"")</f>
        <v/>
      </c>
      <c r="AU707" s="118">
        <f>IFERROR(
IF(VLOOKUP($C707,'Employee information'!$B:$M,COLUMNS('Employee information'!$B:$M),0)=11,
IF($E$2="Fortnightly",
ROUND(
ROUND((((TRUNC($AN707/2,0)+0.99))*VLOOKUP((TRUNC($AN707/2,0)+0.99),'Tax scales - NAT 3539'!$A$14:$C$38,2,1)-VLOOKUP((TRUNC($AN707/2,0)+0.99),'Tax scales - NAT 3539'!$A$14:$C$38,3,1)),0)
*2,
0),
IF(AND($E$2="Monthly",ROUND($AN707-TRUNC($AN707),2)=0.33),
ROUND(
ROUND(((TRUNC(($AN707+0.01)*3/13,0)+0.99)*VLOOKUP((TRUNC(($AN707+0.01)*3/13,0)+0.99),'Tax scales - NAT 3539'!$A$14:$C$38,2,1)-VLOOKUP((TRUNC(($AN707+0.01)*3/13,0)+0.99),'Tax scales - NAT 3539'!$A$14:$C$38,3,1)),0)
*13/3,
0),
IF($E$2="Monthly",
ROUND(
ROUND(((TRUNC($AN707*3/13,0)+0.99)*VLOOKUP((TRUNC($AN707*3/13,0)+0.99),'Tax scales - NAT 3539'!$A$14:$C$38,2,1)-VLOOKUP((TRUNC($AN707*3/13,0)+0.99),'Tax scales - NAT 3539'!$A$14:$C$38,3,1)),0)
*13/3,
0),
""))),
""),
"")</f>
        <v>1448</v>
      </c>
      <c r="AV707" s="118" t="str">
        <f>IFERROR(
IF(VLOOKUP($C707,'Employee information'!$B:$M,COLUMNS('Employee information'!$B:$M),0)=22,
IF($E$2="Fortnightly",
ROUND(
ROUND((((TRUNC($AN707/2,0)+0.99))*VLOOKUP((TRUNC($AN707/2,0)+0.99),'Tax scales - NAT 3539'!$A$43:$C$69,2,1)-VLOOKUP((TRUNC($AN707/2,0)+0.99),'Tax scales - NAT 3539'!$A$43:$C$69,3,1)),0)
*2,
0),
IF(AND($E$2="Monthly",ROUND($AN707-TRUNC($AN707),2)=0.33),
ROUND(
ROUND(((TRUNC(($AN707+0.01)*3/13,0)+0.99)*VLOOKUP((TRUNC(($AN707+0.01)*3/13,0)+0.99),'Tax scales - NAT 3539'!$A$43:$C$69,2,1)-VLOOKUP((TRUNC(($AN707+0.01)*3/13,0)+0.99),'Tax scales - NAT 3539'!$A$43:$C$69,3,1)),0)
*13/3,
0),
IF($E$2="Monthly",
ROUND(
ROUND(((TRUNC($AN707*3/13,0)+0.99)*VLOOKUP((TRUNC($AN707*3/13,0)+0.99),'Tax scales - NAT 3539'!$A$43:$C$69,2,1)-VLOOKUP((TRUNC($AN707*3/13,0)+0.99),'Tax scales - NAT 3539'!$A$43:$C$69,3,1)),0)
*13/3,
0),
""))),
""),
"")</f>
        <v/>
      </c>
      <c r="AW707" s="118" t="str">
        <f>IFERROR(
IF(VLOOKUP($C707,'Employee information'!$B:$M,COLUMNS('Employee information'!$B:$M),0)=33,
IF($E$2="Fortnightly",
ROUND(
ROUND((((TRUNC($AN707/2,0)+0.99))*VLOOKUP((TRUNC($AN707/2,0)+0.99),'Tax scales - NAT 3539'!$A$74:$C$94,2,1)-VLOOKUP((TRUNC($AN707/2,0)+0.99),'Tax scales - NAT 3539'!$A$74:$C$94,3,1)),0)
*2,
0),
IF(AND($E$2="Monthly",ROUND($AN707-TRUNC($AN707),2)=0.33),
ROUND(
ROUND(((TRUNC(($AN707+0.01)*3/13,0)+0.99)*VLOOKUP((TRUNC(($AN707+0.01)*3/13,0)+0.99),'Tax scales - NAT 3539'!$A$74:$C$94,2,1)-VLOOKUP((TRUNC(($AN707+0.01)*3/13,0)+0.99),'Tax scales - NAT 3539'!$A$74:$C$94,3,1)),0)
*13/3,
0),
IF($E$2="Monthly",
ROUND(
ROUND(((TRUNC($AN707*3/13,0)+0.99)*VLOOKUP((TRUNC($AN707*3/13,0)+0.99),'Tax scales - NAT 3539'!$A$74:$C$94,2,1)-VLOOKUP((TRUNC($AN707*3/13,0)+0.99),'Tax scales - NAT 3539'!$A$74:$C$94,3,1)),0)
*13/3,
0),
""))),
""),
"")</f>
        <v/>
      </c>
      <c r="AX707" s="118" t="str">
        <f>IFERROR(
IF(VLOOKUP($C707,'Employee information'!$B:$M,COLUMNS('Employee information'!$B:$M),0)=55,
IF($E$2="Fortnightly",
ROUND(
ROUND((((TRUNC($AN707/2,0)+0.99))*VLOOKUP((TRUNC($AN707/2,0)+0.99),'Tax scales - NAT 3539'!$A$99:$C$123,2,1)-VLOOKUP((TRUNC($AN707/2,0)+0.99),'Tax scales - NAT 3539'!$A$99:$C$123,3,1)),0)
*2,
0),
IF(AND($E$2="Monthly",ROUND($AN707-TRUNC($AN707),2)=0.33),
ROUND(
ROUND(((TRUNC(($AN707+0.01)*3/13,0)+0.99)*VLOOKUP((TRUNC(($AN707+0.01)*3/13,0)+0.99),'Tax scales - NAT 3539'!$A$99:$C$123,2,1)-VLOOKUP((TRUNC(($AN707+0.01)*3/13,0)+0.99),'Tax scales - NAT 3539'!$A$99:$C$123,3,1)),0)
*13/3,
0),
IF($E$2="Monthly",
ROUND(
ROUND(((TRUNC($AN707*3/13,0)+0.99)*VLOOKUP((TRUNC($AN707*3/13,0)+0.99),'Tax scales - NAT 3539'!$A$99:$C$123,2,1)-VLOOKUP((TRUNC($AN707*3/13,0)+0.99),'Tax scales - NAT 3539'!$A$99:$C$123,3,1)),0)
*13/3,
0),
""))),
""),
"")</f>
        <v/>
      </c>
      <c r="AY707" s="118" t="str">
        <f>IFERROR(
IF(VLOOKUP($C707,'Employee information'!$B:$M,COLUMNS('Employee information'!$B:$M),0)=66,
IF($E$2="Fortnightly",
ROUND(
ROUND((((TRUNC($AN707/2,0)+0.99))*VLOOKUP((TRUNC($AN707/2,0)+0.99),'Tax scales - NAT 3539'!$A$127:$C$154,2,1)-VLOOKUP((TRUNC($AN707/2,0)+0.99),'Tax scales - NAT 3539'!$A$127:$C$154,3,1)),0)
*2,
0),
IF(AND($E$2="Monthly",ROUND($AN707-TRUNC($AN707),2)=0.33),
ROUND(
ROUND(((TRUNC(($AN707+0.01)*3/13,0)+0.99)*VLOOKUP((TRUNC(($AN707+0.01)*3/13,0)+0.99),'Tax scales - NAT 3539'!$A$127:$C$154,2,1)-VLOOKUP((TRUNC(($AN707+0.01)*3/13,0)+0.99),'Tax scales - NAT 3539'!$A$127:$C$154,3,1)),0)
*13/3,
0),
IF($E$2="Monthly",
ROUND(
ROUND(((TRUNC($AN707*3/13,0)+0.99)*VLOOKUP((TRUNC($AN707*3/13,0)+0.99),'Tax scales - NAT 3539'!$A$127:$C$154,2,1)-VLOOKUP((TRUNC($AN707*3/13,0)+0.99),'Tax scales - NAT 3539'!$A$127:$C$154,3,1)),0)
*13/3,
0),
""))),
""),
"")</f>
        <v/>
      </c>
      <c r="AZ707" s="118">
        <f>IFERROR(
HLOOKUP(VLOOKUP($C707,'Employee information'!$B:$M,COLUMNS('Employee information'!$B:$M),0),'PAYG worksheet'!$AO$706:$AY$725,COUNTA($C$707:$C707)+1,0),
0)</f>
        <v>1448</v>
      </c>
      <c r="BA707" s="118"/>
      <c r="BB707" s="118">
        <f>IFERROR($AM707-$AZ707-$BA707,"")</f>
        <v>2249.576396206533</v>
      </c>
      <c r="BC707" s="119">
        <f>IFERROR(
IF(OR($AE707=1,$AE707=""),SUM($P707,$AA707,$AC707,$AK707)*VLOOKUP($C707,'Employee information'!$B:$Q,COLUMNS('Employee information'!$B:$H),0),
IF($AE707=0,SUM($P707,$AA707,$AK707)*VLOOKUP($C707,'Employee information'!$B:$Q,COLUMNS('Employee information'!$B:$H),0),
0)),
0)</f>
        <v>351.26975763962065</v>
      </c>
      <c r="BE707" s="114">
        <f t="shared" ref="BE707:BE725" si="744">IF(AND($E$2="Monthly",$A707&gt;12),"",
SUMIFS($AM:$AM,$C:$C,$C707,$A:$A,"&lt;="&amp;$A707)
)</f>
        <v>92439.409905163368</v>
      </c>
      <c r="BF707" s="114">
        <f t="shared" ref="BF707:BF725" si="745">IF(AND($E$2="Monthly",$A707&gt;12),"",
SUMIFS($AN:$AN,$C:$C,$C707,$A:$A,"&lt;="&amp;$A707)
)</f>
        <v>92439.409905163368</v>
      </c>
      <c r="BG707" s="114">
        <f t="shared" ref="BG707:BG725" si="746">IF(AND($E$2="Monthly",$A707&gt;12),"",
SUMIFS($AC:$AC,$C:$C,$C707,$A:$A,"&lt;="&amp;$A707)
)</f>
        <v>0</v>
      </c>
      <c r="BH707" s="114">
        <f t="shared" ref="BH707:BH725" si="747">IF(AND($E$2="Monthly",$A707&gt;12),"",
SUMIFS($AG:$AG,$C:$C,$C707,$A:$A,"&lt;="&amp;$A707)
)</f>
        <v>0</v>
      </c>
      <c r="BI707" s="114">
        <f t="shared" ref="BI707:BI725" si="748">IF(AND($E$2="Monthly",$A707&gt;12),"",
SUMIFS($AZ:$AZ,$C:$C,$C707,$A:$A,"&lt;="&amp;$A707)
)</f>
        <v>36200</v>
      </c>
      <c r="BJ707" s="114">
        <f t="shared" ref="BJ707:BJ725" si="749">IF(AND($E$2="Monthly",$A707&gt;12),"",
SUMIFS($BA:$BA,$C:$C,$C707,$A:$A,"&lt;="&amp;$A707)
)</f>
        <v>0</v>
      </c>
      <c r="BK707" s="114">
        <f t="shared" ref="BK707:BK725" si="750">IF(AND($E$2="Monthly",$A707&gt;12),"",
SUMIFS($AJ:$AJ,$C:$C,$C707,$A:$A,"&lt;="&amp;$A707)
)</f>
        <v>0</v>
      </c>
      <c r="BL707" s="114">
        <f>IF(AND($E$2="Monthly",$A707&gt;12),"",
SUMIFS($AK:$AK,$C:$C,$C707,$A:$A,"&lt;="&amp;$A707)
)</f>
        <v>0</v>
      </c>
      <c r="BM707" s="114">
        <f t="shared" ref="BM707:BM725" si="751">IF(AND($E$2="Monthly",$A707&gt;12),"",
SUMIFS($BC:$BC,$C:$C,$C707,$A:$A,"&lt;="&amp;$A707)
)</f>
        <v>8781.7439409905146</v>
      </c>
    </row>
    <row r="708" spans="1:65" x14ac:dyDescent="0.25">
      <c r="A708" s="228">
        <f t="shared" si="739"/>
        <v>25</v>
      </c>
      <c r="C708" s="278" t="s">
        <v>13</v>
      </c>
      <c r="E708" s="103">
        <f>IF($C708="",0,
IF(AND($E$2="Monthly",$A708&gt;12),0,
IF($E$2="Monthly",VLOOKUP($C708,'Employee information'!$B:$AM,COLUMNS('Employee information'!$B:S),0),
IF($E$2="Fortnightly",VLOOKUP($C708,'Employee information'!$B:$AM,COLUMNS('Employee information'!$B:R),0),
0))))</f>
        <v>0</v>
      </c>
      <c r="F708" s="106"/>
      <c r="G708" s="106"/>
      <c r="H708" s="106"/>
      <c r="I708" s="106"/>
      <c r="J708" s="103">
        <f t="shared" ref="J708:J725" si="752">IF($E$2="Monthly",
IF(AND($E$2="Monthly",$H708&lt;&gt;""),$H708,
IF(AND($E$2="Monthly",$E708=0),SUM($F708:$G708),
$E708)),
IF($E$2="Fortnightly",
IF(AND($E$2="Fortnightly",$H708&lt;&gt;""),$H708,
IF(AND($E$2="Fortnightly",$F708&lt;&gt;"",$E708&lt;&gt;0),$F708,
IF(AND($E$2="Fortnightly",$E708=0),SUM($F708:$G708),
$E708)))))</f>
        <v>0</v>
      </c>
      <c r="L708" s="113">
        <f>IF(AND($E$2="Monthly",$A708&gt;12),"",
IFERROR($J708*VLOOKUP($C708,'Employee information'!$B:$AI,COLUMNS('Employee information'!$B:$P),0),0))</f>
        <v>0</v>
      </c>
      <c r="M708" s="114">
        <f t="shared" ref="M708:M725" si="753">IF(AND($E$2="Monthly",$A708&gt;12),"",
SUMIFS($L:$L,$C:$C,$C708,$A:$A,"&lt;="&amp;$A708)
)</f>
        <v>1615.3846153846152</v>
      </c>
      <c r="O708" s="103">
        <f t="shared" ref="O708:O725" si="754">IF($E$2="Monthly",
IF(AND($E$2="Monthly",$H708&lt;&gt;""),$H708,
IF(AND($E$2="Monthly",$E708=0),$F708,
$E708)),
IF($E$2="Fortnightly",
IF(AND($E$2="Fortnightly",$H708&lt;&gt;""),$H708,
IF(AND($E$2="Fortnightly",$F708&lt;&gt;"",$E708&lt;&gt;0),$F708,
IF(AND($E$2="Fortnightly",$E708=0),$F708,
$E708)))))</f>
        <v>0</v>
      </c>
      <c r="P708" s="113">
        <f>IFERROR(
IF(AND($E$2="Monthly",$A708&gt;12),0,
$O708*VLOOKUP($C708,'Employee information'!$B:$AI,COLUMNS('Employee information'!$B:$P),0)),
0)</f>
        <v>0</v>
      </c>
      <c r="R708" s="114">
        <f t="shared" si="740"/>
        <v>1615.3846153846152</v>
      </c>
      <c r="T708" s="103"/>
      <c r="U708" s="103"/>
      <c r="V708" s="282">
        <f>IF($C708="","",
IF(AND($E$2="Monthly",$A708&gt;12),"",
$T708*VLOOKUP($C708,'Employee information'!$B:$P,COLUMNS('Employee information'!$B:$P),0)))</f>
        <v>0</v>
      </c>
      <c r="W708" s="282">
        <f>IF($C708="","",
IF(AND($E$2="Monthly",$A708&gt;12),"",
$U708*VLOOKUP($C708,'Employee information'!$B:$P,COLUMNS('Employee information'!$B:$P),0)))</f>
        <v>0</v>
      </c>
      <c r="X708" s="114">
        <f t="shared" si="741"/>
        <v>0</v>
      </c>
      <c r="Y708" s="114">
        <f t="shared" si="742"/>
        <v>288.46153846153845</v>
      </c>
      <c r="AA708" s="118">
        <f>IFERROR(
IF(OR('Basic payroll data'!$D$12="",'Basic payroll data'!$D$12="No"),0,
$T708*VLOOKUP($C708,'Employee information'!$B:$P,COLUMNS('Employee information'!$B:$P),0)*AL_loading_perc),
0)</f>
        <v>0</v>
      </c>
      <c r="AC708" s="118"/>
      <c r="AD708" s="118"/>
      <c r="AE708" s="283" t="str">
        <f t="shared" ref="AE708:AE725" si="755">IF(LEFT($AD708,6)="Is OTE",1,
IF(LEFT($AD708,10)="Is not OTE",0,
""))</f>
        <v/>
      </c>
      <c r="AF708" s="283" t="str">
        <f t="shared" ref="AF708:AF725" si="756">IF(RIGHT($AD708,12)="tax withheld",1,
IF(RIGHT($AD708,16)="tax not withheld",0,
""))</f>
        <v/>
      </c>
      <c r="AG708" s="118"/>
      <c r="AH708" s="118"/>
      <c r="AI708" s="283" t="str">
        <f t="shared" ref="AI708:AI725" si="757">IF($AH708="FBT",0,
IF($AH708="Not FBT",1,
""))</f>
        <v/>
      </c>
      <c r="AJ708" s="118"/>
      <c r="AK708" s="118"/>
      <c r="AM708" s="118">
        <f t="shared" ref="AM708:AM725" si="758">SUM($L708,$AA708,$AC708,$AG708,$AK708)-$AJ708</f>
        <v>0</v>
      </c>
      <c r="AN708" s="118">
        <f t="shared" si="743"/>
        <v>0</v>
      </c>
      <c r="AO708" s="118" t="str">
        <f>IFERROR(
IF(VLOOKUP($C708,'Employee information'!$B:$M,COLUMNS('Employee information'!$B:$M),0)=1,
IF($E$2="Fortnightly",
ROUND(
ROUND((((TRUNC($AN708/2,0)+0.99))*VLOOKUP((TRUNC($AN708/2,0)+0.99),'Tax scales - NAT 1004'!$A$12:$C$18,2,1)-VLOOKUP((TRUNC($AN708/2,0)+0.99),'Tax scales - NAT 1004'!$A$12:$C$18,3,1)),0)
*2,
0),
IF(AND($E$2="Monthly",ROUND($AN708-TRUNC($AN708),2)=0.33),
ROUND(
ROUND(((TRUNC(($AN708+0.01)*3/13,0)+0.99)*VLOOKUP((TRUNC(($AN708+0.01)*3/13,0)+0.99),'Tax scales - NAT 1004'!$A$12:$C$18,2,1)-VLOOKUP((TRUNC(($AN708+0.01)*3/13,0)+0.99),'Tax scales - NAT 1004'!$A$12:$C$18,3,1)),0)
*13/3,
0),
IF($E$2="Monthly",
ROUND(
ROUND(((TRUNC($AN708*3/13,0)+0.99)*VLOOKUP((TRUNC($AN708*3/13,0)+0.99),'Tax scales - NAT 1004'!$A$12:$C$18,2,1)-VLOOKUP((TRUNC($AN708*3/13,0)+0.99),'Tax scales - NAT 1004'!$A$12:$C$18,3,1)),0)
*13/3,
0),
""))),
""),
"")</f>
        <v/>
      </c>
      <c r="AP708" s="118" t="str">
        <f>IFERROR(
IF(VLOOKUP($C708,'Employee information'!$B:$M,COLUMNS('Employee information'!$B:$M),0)=2,
IF($E$2="Fortnightly",
ROUND(
ROUND((((TRUNC($AN708/2,0)+0.99))*VLOOKUP((TRUNC($AN708/2,0)+0.99),'Tax scales - NAT 1004'!$A$25:$C$33,2,1)-VLOOKUP((TRUNC($AN708/2,0)+0.99),'Tax scales - NAT 1004'!$A$25:$C$33,3,1)),0)
*2,
0),
IF(AND($E$2="Monthly",ROUND($AN708-TRUNC($AN708),2)=0.33),
ROUND(
ROUND(((TRUNC(($AN708+0.01)*3/13,0)+0.99)*VLOOKUP((TRUNC(($AN708+0.01)*3/13,0)+0.99),'Tax scales - NAT 1004'!$A$25:$C$33,2,1)-VLOOKUP((TRUNC(($AN708+0.01)*3/13,0)+0.99),'Tax scales - NAT 1004'!$A$25:$C$33,3,1)),0)
*13/3,
0),
IF($E$2="Monthly",
ROUND(
ROUND(((TRUNC($AN708*3/13,0)+0.99)*VLOOKUP((TRUNC($AN708*3/13,0)+0.99),'Tax scales - NAT 1004'!$A$25:$C$33,2,1)-VLOOKUP((TRUNC($AN708*3/13,0)+0.99),'Tax scales - NAT 1004'!$A$25:$C$33,3,1)),0)
*13/3,
0),
""))),
""),
"")</f>
        <v/>
      </c>
      <c r="AQ708" s="118" t="str">
        <f>IFERROR(
IF(VLOOKUP($C708,'Employee information'!$B:$M,COLUMNS('Employee information'!$B:$M),0)=3,
IF($E$2="Fortnightly",
ROUND(
ROUND((((TRUNC($AN708/2,0)+0.99))*VLOOKUP((TRUNC($AN708/2,0)+0.99),'Tax scales - NAT 1004'!$A$39:$C$41,2,1)-VLOOKUP((TRUNC($AN708/2,0)+0.99),'Tax scales - NAT 1004'!$A$39:$C$41,3,1)),0)
*2,
0),
IF(AND($E$2="Monthly",ROUND($AN708-TRUNC($AN708),2)=0.33),
ROUND(
ROUND(((TRUNC(($AN708+0.01)*3/13,0)+0.99)*VLOOKUP((TRUNC(($AN708+0.01)*3/13,0)+0.99),'Tax scales - NAT 1004'!$A$39:$C$41,2,1)-VLOOKUP((TRUNC(($AN708+0.01)*3/13,0)+0.99),'Tax scales - NAT 1004'!$A$39:$C$41,3,1)),0)
*13/3,
0),
IF($E$2="Monthly",
ROUND(
ROUND(((TRUNC($AN708*3/13,0)+0.99)*VLOOKUP((TRUNC($AN708*3/13,0)+0.99),'Tax scales - NAT 1004'!$A$39:$C$41,2,1)-VLOOKUP((TRUNC($AN708*3/13,0)+0.99),'Tax scales - NAT 1004'!$A$39:$C$41,3,1)),0)
*13/3,
0),
""))),
""),
"")</f>
        <v/>
      </c>
      <c r="AR708" s="118" t="str">
        <f>IFERROR(
IF(AND(VLOOKUP($C708,'Employee information'!$B:$M,COLUMNS('Employee information'!$B:$M),0)=4,
VLOOKUP($C708,'Employee information'!$B:$J,COLUMNS('Employee information'!$B:$J),0)="Resident"),
TRUNC(TRUNC($AN708)*'Tax scales - NAT 1004'!$B$47),
IF(AND(VLOOKUP($C708,'Employee information'!$B:$M,COLUMNS('Employee information'!$B:$M),0)=4,
VLOOKUP($C708,'Employee information'!$B:$J,COLUMNS('Employee information'!$B:$J),0)="Foreign resident"),
TRUNC(TRUNC($AN708)*'Tax scales - NAT 1004'!$B$48),
"")),
"")</f>
        <v/>
      </c>
      <c r="AS708" s="118" t="str">
        <f>IFERROR(
IF(VLOOKUP($C708,'Employee information'!$B:$M,COLUMNS('Employee information'!$B:$M),0)=5,
IF($E$2="Fortnightly",
ROUND(
ROUND((((TRUNC($AN708/2,0)+0.99))*VLOOKUP((TRUNC($AN708/2,0)+0.99),'Tax scales - NAT 1004'!$A$53:$C$59,2,1)-VLOOKUP((TRUNC($AN708/2,0)+0.99),'Tax scales - NAT 1004'!$A$53:$C$59,3,1)),0)
*2,
0),
IF(AND($E$2="Monthly",ROUND($AN708-TRUNC($AN708),2)=0.33),
ROUND(
ROUND(((TRUNC(($AN708+0.01)*3/13,0)+0.99)*VLOOKUP((TRUNC(($AN708+0.01)*3/13,0)+0.99),'Tax scales - NAT 1004'!$A$53:$C$59,2,1)-VLOOKUP((TRUNC(($AN708+0.01)*3/13,0)+0.99),'Tax scales - NAT 1004'!$A$53:$C$59,3,1)),0)
*13/3,
0),
IF($E$2="Monthly",
ROUND(
ROUND(((TRUNC($AN708*3/13,0)+0.99)*VLOOKUP((TRUNC($AN708*3/13,0)+0.99),'Tax scales - NAT 1004'!$A$53:$C$59,2,1)-VLOOKUP((TRUNC($AN708*3/13,0)+0.99),'Tax scales - NAT 1004'!$A$53:$C$59,3,1)),0)
*13/3,
0),
""))),
""),
"")</f>
        <v/>
      </c>
      <c r="AT708" s="118" t="str">
        <f>IFERROR(
IF(VLOOKUP($C708,'Employee information'!$B:$M,COLUMNS('Employee information'!$B:$M),0)=6,
IF($E$2="Fortnightly",
ROUND(
ROUND((((TRUNC($AN708/2,0)+0.99))*VLOOKUP((TRUNC($AN708/2,0)+0.99),'Tax scales - NAT 1004'!$A$65:$C$73,2,1)-VLOOKUP((TRUNC($AN708/2,0)+0.99),'Tax scales - NAT 1004'!$A$65:$C$73,3,1)),0)
*2,
0),
IF(AND($E$2="Monthly",ROUND($AN708-TRUNC($AN708),2)=0.33),
ROUND(
ROUND(((TRUNC(($AN708+0.01)*3/13,0)+0.99)*VLOOKUP((TRUNC(($AN708+0.01)*3/13,0)+0.99),'Tax scales - NAT 1004'!$A$65:$C$73,2,1)-VLOOKUP((TRUNC(($AN708+0.01)*3/13,0)+0.99),'Tax scales - NAT 1004'!$A$65:$C$73,3,1)),0)
*13/3,
0),
IF($E$2="Monthly",
ROUND(
ROUND(((TRUNC($AN708*3/13,0)+0.99)*VLOOKUP((TRUNC($AN708*3/13,0)+0.99),'Tax scales - NAT 1004'!$A$65:$C$73,2,1)-VLOOKUP((TRUNC($AN708*3/13,0)+0.99),'Tax scales - NAT 1004'!$A$65:$C$73,3,1)),0)
*13/3,
0),
""))),
""),
"")</f>
        <v/>
      </c>
      <c r="AU708" s="118">
        <f>IFERROR(
IF(VLOOKUP($C708,'Employee information'!$B:$M,COLUMNS('Employee information'!$B:$M),0)=11,
IF($E$2="Fortnightly",
ROUND(
ROUND((((TRUNC($AN708/2,0)+0.99))*VLOOKUP((TRUNC($AN708/2,0)+0.99),'Tax scales - NAT 3539'!$A$14:$C$38,2,1)-VLOOKUP((TRUNC($AN708/2,0)+0.99),'Tax scales - NAT 3539'!$A$14:$C$38,3,1)),0)
*2,
0),
IF(AND($E$2="Monthly",ROUND($AN708-TRUNC($AN708),2)=0.33),
ROUND(
ROUND(((TRUNC(($AN708+0.01)*3/13,0)+0.99)*VLOOKUP((TRUNC(($AN708+0.01)*3/13,0)+0.99),'Tax scales - NAT 3539'!$A$14:$C$38,2,1)-VLOOKUP((TRUNC(($AN708+0.01)*3/13,0)+0.99),'Tax scales - NAT 3539'!$A$14:$C$38,3,1)),0)
*13/3,
0),
IF($E$2="Monthly",
ROUND(
ROUND(((TRUNC($AN708*3/13,0)+0.99)*VLOOKUP((TRUNC($AN708*3/13,0)+0.99),'Tax scales - NAT 3539'!$A$14:$C$38,2,1)-VLOOKUP((TRUNC($AN708*3/13,0)+0.99),'Tax scales - NAT 3539'!$A$14:$C$38,3,1)),0)
*13/3,
0),
""))),
""),
"")</f>
        <v>0</v>
      </c>
      <c r="AV708" s="118" t="str">
        <f>IFERROR(
IF(VLOOKUP($C708,'Employee information'!$B:$M,COLUMNS('Employee information'!$B:$M),0)=22,
IF($E$2="Fortnightly",
ROUND(
ROUND((((TRUNC($AN708/2,0)+0.99))*VLOOKUP((TRUNC($AN708/2,0)+0.99),'Tax scales - NAT 3539'!$A$43:$C$69,2,1)-VLOOKUP((TRUNC($AN708/2,0)+0.99),'Tax scales - NAT 3539'!$A$43:$C$69,3,1)),0)
*2,
0),
IF(AND($E$2="Monthly",ROUND($AN708-TRUNC($AN708),2)=0.33),
ROUND(
ROUND(((TRUNC(($AN708+0.01)*3/13,0)+0.99)*VLOOKUP((TRUNC(($AN708+0.01)*3/13,0)+0.99),'Tax scales - NAT 3539'!$A$43:$C$69,2,1)-VLOOKUP((TRUNC(($AN708+0.01)*3/13,0)+0.99),'Tax scales - NAT 3539'!$A$43:$C$69,3,1)),0)
*13/3,
0),
IF($E$2="Monthly",
ROUND(
ROUND(((TRUNC($AN708*3/13,0)+0.99)*VLOOKUP((TRUNC($AN708*3/13,0)+0.99),'Tax scales - NAT 3539'!$A$43:$C$69,2,1)-VLOOKUP((TRUNC($AN708*3/13,0)+0.99),'Tax scales - NAT 3539'!$A$43:$C$69,3,1)),0)
*13/3,
0),
""))),
""),
"")</f>
        <v/>
      </c>
      <c r="AW708" s="118" t="str">
        <f>IFERROR(
IF(VLOOKUP($C708,'Employee information'!$B:$M,COLUMNS('Employee information'!$B:$M),0)=33,
IF($E$2="Fortnightly",
ROUND(
ROUND((((TRUNC($AN708/2,0)+0.99))*VLOOKUP((TRUNC($AN708/2,0)+0.99),'Tax scales - NAT 3539'!$A$74:$C$94,2,1)-VLOOKUP((TRUNC($AN708/2,0)+0.99),'Tax scales - NAT 3539'!$A$74:$C$94,3,1)),0)
*2,
0),
IF(AND($E$2="Monthly",ROUND($AN708-TRUNC($AN708),2)=0.33),
ROUND(
ROUND(((TRUNC(($AN708+0.01)*3/13,0)+0.99)*VLOOKUP((TRUNC(($AN708+0.01)*3/13,0)+0.99),'Tax scales - NAT 3539'!$A$74:$C$94,2,1)-VLOOKUP((TRUNC(($AN708+0.01)*3/13,0)+0.99),'Tax scales - NAT 3539'!$A$74:$C$94,3,1)),0)
*13/3,
0),
IF($E$2="Monthly",
ROUND(
ROUND(((TRUNC($AN708*3/13,0)+0.99)*VLOOKUP((TRUNC($AN708*3/13,0)+0.99),'Tax scales - NAT 3539'!$A$74:$C$94,2,1)-VLOOKUP((TRUNC($AN708*3/13,0)+0.99),'Tax scales - NAT 3539'!$A$74:$C$94,3,1)),0)
*13/3,
0),
""))),
""),
"")</f>
        <v/>
      </c>
      <c r="AX708" s="118" t="str">
        <f>IFERROR(
IF(VLOOKUP($C708,'Employee information'!$B:$M,COLUMNS('Employee information'!$B:$M),0)=55,
IF($E$2="Fortnightly",
ROUND(
ROUND((((TRUNC($AN708/2,0)+0.99))*VLOOKUP((TRUNC($AN708/2,0)+0.99),'Tax scales - NAT 3539'!$A$99:$C$123,2,1)-VLOOKUP((TRUNC($AN708/2,0)+0.99),'Tax scales - NAT 3539'!$A$99:$C$123,3,1)),0)
*2,
0),
IF(AND($E$2="Monthly",ROUND($AN708-TRUNC($AN708),2)=0.33),
ROUND(
ROUND(((TRUNC(($AN708+0.01)*3/13,0)+0.99)*VLOOKUP((TRUNC(($AN708+0.01)*3/13,0)+0.99),'Tax scales - NAT 3539'!$A$99:$C$123,2,1)-VLOOKUP((TRUNC(($AN708+0.01)*3/13,0)+0.99),'Tax scales - NAT 3539'!$A$99:$C$123,3,1)),0)
*13/3,
0),
IF($E$2="Monthly",
ROUND(
ROUND(((TRUNC($AN708*3/13,0)+0.99)*VLOOKUP((TRUNC($AN708*3/13,0)+0.99),'Tax scales - NAT 3539'!$A$99:$C$123,2,1)-VLOOKUP((TRUNC($AN708*3/13,0)+0.99),'Tax scales - NAT 3539'!$A$99:$C$123,3,1)),0)
*13/3,
0),
""))),
""),
"")</f>
        <v/>
      </c>
      <c r="AY708" s="118" t="str">
        <f>IFERROR(
IF(VLOOKUP($C708,'Employee information'!$B:$M,COLUMNS('Employee information'!$B:$M),0)=66,
IF($E$2="Fortnightly",
ROUND(
ROUND((((TRUNC($AN708/2,0)+0.99))*VLOOKUP((TRUNC($AN708/2,0)+0.99),'Tax scales - NAT 3539'!$A$127:$C$154,2,1)-VLOOKUP((TRUNC($AN708/2,0)+0.99),'Tax scales - NAT 3539'!$A$127:$C$154,3,1)),0)
*2,
0),
IF(AND($E$2="Monthly",ROUND($AN708-TRUNC($AN708),2)=0.33),
ROUND(
ROUND(((TRUNC(($AN708+0.01)*3/13,0)+0.99)*VLOOKUP((TRUNC(($AN708+0.01)*3/13,0)+0.99),'Tax scales - NAT 3539'!$A$127:$C$154,2,1)-VLOOKUP((TRUNC(($AN708+0.01)*3/13,0)+0.99),'Tax scales - NAT 3539'!$A$127:$C$154,3,1)),0)
*13/3,
0),
IF($E$2="Monthly",
ROUND(
ROUND(((TRUNC($AN708*3/13,0)+0.99)*VLOOKUP((TRUNC($AN708*3/13,0)+0.99),'Tax scales - NAT 3539'!$A$127:$C$154,2,1)-VLOOKUP((TRUNC($AN708*3/13,0)+0.99),'Tax scales - NAT 3539'!$A$127:$C$154,3,1)),0)
*13/3,
0),
""))),
""),
"")</f>
        <v/>
      </c>
      <c r="AZ708" s="118">
        <f>IFERROR(
HLOOKUP(VLOOKUP($C708,'Employee information'!$B:$M,COLUMNS('Employee information'!$B:$M),0),'PAYG worksheet'!$AO$706:$AY$725,COUNTA($C$707:$C708)+1,0),
0)</f>
        <v>0</v>
      </c>
      <c r="BA708" s="118"/>
      <c r="BB708" s="118">
        <f t="shared" ref="BB708:BB725" si="759">IFERROR($AM708-$AZ708-$BA708,"")</f>
        <v>0</v>
      </c>
      <c r="BC708" s="119">
        <f>IFERROR(
IF(OR($AE708=1,$AE708=""),SUM($P708,$AA708,$AC708,$AK708)*VLOOKUP($C708,'Employee information'!$B:$Q,COLUMNS('Employee information'!$B:$H),0),
IF($AE708=0,SUM($P708,$AA708,$AK708)*VLOOKUP($C708,'Employee information'!$B:$Q,COLUMNS('Employee information'!$B:$H),0),
0)),
0)</f>
        <v>0</v>
      </c>
      <c r="BE708" s="114">
        <f t="shared" si="744"/>
        <v>1615.3846153846152</v>
      </c>
      <c r="BF708" s="114">
        <f t="shared" si="745"/>
        <v>1615.3846153846152</v>
      </c>
      <c r="BG708" s="114">
        <f t="shared" si="746"/>
        <v>0</v>
      </c>
      <c r="BH708" s="114">
        <f t="shared" si="747"/>
        <v>0</v>
      </c>
      <c r="BI708" s="114">
        <f t="shared" si="748"/>
        <v>474</v>
      </c>
      <c r="BJ708" s="114">
        <f t="shared" si="749"/>
        <v>0</v>
      </c>
      <c r="BK708" s="114">
        <f t="shared" si="750"/>
        <v>0</v>
      </c>
      <c r="BL708" s="114">
        <f t="shared" ref="BL708:BL725" si="760">IF(AND($E$2="Monthly",$A708&gt;12),"",
SUMIFS($AK:$AK,$C:$C,$C708,$A:$A,"&lt;="&amp;$A708)
)</f>
        <v>0</v>
      </c>
      <c r="BM708" s="114">
        <f t="shared" si="751"/>
        <v>153.46153846153845</v>
      </c>
    </row>
    <row r="709" spans="1:65" x14ac:dyDescent="0.25">
      <c r="A709" s="228">
        <f t="shared" si="739"/>
        <v>25</v>
      </c>
      <c r="C709" s="278" t="s">
        <v>14</v>
      </c>
      <c r="E709" s="103">
        <f>IF($C709="",0,
IF(AND($E$2="Monthly",$A709&gt;12),0,
IF($E$2="Monthly",VLOOKUP($C709,'Employee information'!$B:$AM,COLUMNS('Employee information'!$B:S),0),
IF($E$2="Fortnightly",VLOOKUP($C709,'Employee information'!$B:$AM,COLUMNS('Employee information'!$B:R),0),
0))))</f>
        <v>0</v>
      </c>
      <c r="F709" s="106"/>
      <c r="G709" s="106"/>
      <c r="H709" s="106"/>
      <c r="I709" s="106"/>
      <c r="J709" s="103">
        <f t="shared" si="752"/>
        <v>0</v>
      </c>
      <c r="L709" s="113">
        <f>IF(AND($E$2="Monthly",$A709&gt;12),"",
IFERROR($J709*VLOOKUP($C709,'Employee information'!$B:$AI,COLUMNS('Employee information'!$B:$P),0),0))</f>
        <v>0</v>
      </c>
      <c r="M709" s="114">
        <f t="shared" si="753"/>
        <v>900</v>
      </c>
      <c r="O709" s="103">
        <f t="shared" si="754"/>
        <v>0</v>
      </c>
      <c r="P709" s="113">
        <f>IFERROR(
IF(AND($E$2="Monthly",$A709&gt;12),0,
$O709*VLOOKUP($C709,'Employee information'!$B:$AI,COLUMNS('Employee information'!$B:$P),0)),
0)</f>
        <v>0</v>
      </c>
      <c r="R709" s="114">
        <f t="shared" si="740"/>
        <v>900</v>
      </c>
      <c r="T709" s="103"/>
      <c r="U709" s="103"/>
      <c r="V709" s="282">
        <f>IF($C709="","",
IF(AND($E$2="Monthly",$A709&gt;12),"",
$T709*VLOOKUP($C709,'Employee information'!$B:$P,COLUMNS('Employee information'!$B:$P),0)))</f>
        <v>0</v>
      </c>
      <c r="W709" s="282">
        <f>IF($C709="","",
IF(AND($E$2="Monthly",$A709&gt;12),"",
$U709*VLOOKUP($C709,'Employee information'!$B:$P,COLUMNS('Employee information'!$B:$P),0)))</f>
        <v>0</v>
      </c>
      <c r="X709" s="114">
        <f t="shared" si="741"/>
        <v>0</v>
      </c>
      <c r="Y709" s="114">
        <f t="shared" si="742"/>
        <v>0</v>
      </c>
      <c r="AA709" s="118">
        <f>IFERROR(
IF(OR('Basic payroll data'!$D$12="",'Basic payroll data'!$D$12="No"),0,
$T709*VLOOKUP($C709,'Employee information'!$B:$P,COLUMNS('Employee information'!$B:$P),0)*AL_loading_perc),
0)</f>
        <v>0</v>
      </c>
      <c r="AC709" s="118"/>
      <c r="AD709" s="118"/>
      <c r="AE709" s="283" t="str">
        <f t="shared" si="755"/>
        <v/>
      </c>
      <c r="AF709" s="283" t="str">
        <f t="shared" si="756"/>
        <v/>
      </c>
      <c r="AG709" s="118"/>
      <c r="AH709" s="118"/>
      <c r="AI709" s="283" t="str">
        <f t="shared" si="757"/>
        <v/>
      </c>
      <c r="AJ709" s="118"/>
      <c r="AK709" s="118"/>
      <c r="AM709" s="118">
        <f t="shared" si="758"/>
        <v>0</v>
      </c>
      <c r="AN709" s="118">
        <f t="shared" si="743"/>
        <v>0</v>
      </c>
      <c r="AO709" s="118" t="str">
        <f>IFERROR(
IF(VLOOKUP($C709,'Employee information'!$B:$M,COLUMNS('Employee information'!$B:$M),0)=1,
IF($E$2="Fortnightly",
ROUND(
ROUND((((TRUNC($AN709/2,0)+0.99))*VLOOKUP((TRUNC($AN709/2,0)+0.99),'Tax scales - NAT 1004'!$A$12:$C$18,2,1)-VLOOKUP((TRUNC($AN709/2,0)+0.99),'Tax scales - NAT 1004'!$A$12:$C$18,3,1)),0)
*2,
0),
IF(AND($E$2="Monthly",ROUND($AN709-TRUNC($AN709),2)=0.33),
ROUND(
ROUND(((TRUNC(($AN709+0.01)*3/13,0)+0.99)*VLOOKUP((TRUNC(($AN709+0.01)*3/13,0)+0.99),'Tax scales - NAT 1004'!$A$12:$C$18,2,1)-VLOOKUP((TRUNC(($AN709+0.01)*3/13,0)+0.99),'Tax scales - NAT 1004'!$A$12:$C$18,3,1)),0)
*13/3,
0),
IF($E$2="Monthly",
ROUND(
ROUND(((TRUNC($AN709*3/13,0)+0.99)*VLOOKUP((TRUNC($AN709*3/13,0)+0.99),'Tax scales - NAT 1004'!$A$12:$C$18,2,1)-VLOOKUP((TRUNC($AN709*3/13,0)+0.99),'Tax scales - NAT 1004'!$A$12:$C$18,3,1)),0)
*13/3,
0),
""))),
""),
"")</f>
        <v/>
      </c>
      <c r="AP709" s="118" t="str">
        <f>IFERROR(
IF(VLOOKUP($C709,'Employee information'!$B:$M,COLUMNS('Employee information'!$B:$M),0)=2,
IF($E$2="Fortnightly",
ROUND(
ROUND((((TRUNC($AN709/2,0)+0.99))*VLOOKUP((TRUNC($AN709/2,0)+0.99),'Tax scales - NAT 1004'!$A$25:$C$33,2,1)-VLOOKUP((TRUNC($AN709/2,0)+0.99),'Tax scales - NAT 1004'!$A$25:$C$33,3,1)),0)
*2,
0),
IF(AND($E$2="Monthly",ROUND($AN709-TRUNC($AN709),2)=0.33),
ROUND(
ROUND(((TRUNC(($AN709+0.01)*3/13,0)+0.99)*VLOOKUP((TRUNC(($AN709+0.01)*3/13,0)+0.99),'Tax scales - NAT 1004'!$A$25:$C$33,2,1)-VLOOKUP((TRUNC(($AN709+0.01)*3/13,0)+0.99),'Tax scales - NAT 1004'!$A$25:$C$33,3,1)),0)
*13/3,
0),
IF($E$2="Monthly",
ROUND(
ROUND(((TRUNC($AN709*3/13,0)+0.99)*VLOOKUP((TRUNC($AN709*3/13,0)+0.99),'Tax scales - NAT 1004'!$A$25:$C$33,2,1)-VLOOKUP((TRUNC($AN709*3/13,0)+0.99),'Tax scales - NAT 1004'!$A$25:$C$33,3,1)),0)
*13/3,
0),
""))),
""),
"")</f>
        <v/>
      </c>
      <c r="AQ709" s="118" t="str">
        <f>IFERROR(
IF(VLOOKUP($C709,'Employee information'!$B:$M,COLUMNS('Employee information'!$B:$M),0)=3,
IF($E$2="Fortnightly",
ROUND(
ROUND((((TRUNC($AN709/2,0)+0.99))*VLOOKUP((TRUNC($AN709/2,0)+0.99),'Tax scales - NAT 1004'!$A$39:$C$41,2,1)-VLOOKUP((TRUNC($AN709/2,0)+0.99),'Tax scales - NAT 1004'!$A$39:$C$41,3,1)),0)
*2,
0),
IF(AND($E$2="Monthly",ROUND($AN709-TRUNC($AN709),2)=0.33),
ROUND(
ROUND(((TRUNC(($AN709+0.01)*3/13,0)+0.99)*VLOOKUP((TRUNC(($AN709+0.01)*3/13,0)+0.99),'Tax scales - NAT 1004'!$A$39:$C$41,2,1)-VLOOKUP((TRUNC(($AN709+0.01)*3/13,0)+0.99),'Tax scales - NAT 1004'!$A$39:$C$41,3,1)),0)
*13/3,
0),
IF($E$2="Monthly",
ROUND(
ROUND(((TRUNC($AN709*3/13,0)+0.99)*VLOOKUP((TRUNC($AN709*3/13,0)+0.99),'Tax scales - NAT 1004'!$A$39:$C$41,2,1)-VLOOKUP((TRUNC($AN709*3/13,0)+0.99),'Tax scales - NAT 1004'!$A$39:$C$41,3,1)),0)
*13/3,
0),
""))),
""),
"")</f>
        <v/>
      </c>
      <c r="AR709" s="118" t="str">
        <f>IFERROR(
IF(AND(VLOOKUP($C709,'Employee information'!$B:$M,COLUMNS('Employee information'!$B:$M),0)=4,
VLOOKUP($C709,'Employee information'!$B:$J,COLUMNS('Employee information'!$B:$J),0)="Resident"),
TRUNC(TRUNC($AN709)*'Tax scales - NAT 1004'!$B$47),
IF(AND(VLOOKUP($C709,'Employee information'!$B:$M,COLUMNS('Employee information'!$B:$M),0)=4,
VLOOKUP($C709,'Employee information'!$B:$J,COLUMNS('Employee information'!$B:$J),0)="Foreign resident"),
TRUNC(TRUNC($AN709)*'Tax scales - NAT 1004'!$B$48),
"")),
"")</f>
        <v/>
      </c>
      <c r="AS709" s="118" t="str">
        <f>IFERROR(
IF(VLOOKUP($C709,'Employee information'!$B:$M,COLUMNS('Employee information'!$B:$M),0)=5,
IF($E$2="Fortnightly",
ROUND(
ROUND((((TRUNC($AN709/2,0)+0.99))*VLOOKUP((TRUNC($AN709/2,0)+0.99),'Tax scales - NAT 1004'!$A$53:$C$59,2,1)-VLOOKUP((TRUNC($AN709/2,0)+0.99),'Tax scales - NAT 1004'!$A$53:$C$59,3,1)),0)
*2,
0),
IF(AND($E$2="Monthly",ROUND($AN709-TRUNC($AN709),2)=0.33),
ROUND(
ROUND(((TRUNC(($AN709+0.01)*3/13,0)+0.99)*VLOOKUP((TRUNC(($AN709+0.01)*3/13,0)+0.99),'Tax scales - NAT 1004'!$A$53:$C$59,2,1)-VLOOKUP((TRUNC(($AN709+0.01)*3/13,0)+0.99),'Tax scales - NAT 1004'!$A$53:$C$59,3,1)),0)
*13/3,
0),
IF($E$2="Monthly",
ROUND(
ROUND(((TRUNC($AN709*3/13,0)+0.99)*VLOOKUP((TRUNC($AN709*3/13,0)+0.99),'Tax scales - NAT 1004'!$A$53:$C$59,2,1)-VLOOKUP((TRUNC($AN709*3/13,0)+0.99),'Tax scales - NAT 1004'!$A$53:$C$59,3,1)),0)
*13/3,
0),
""))),
""),
"")</f>
        <v/>
      </c>
      <c r="AT709" s="118" t="str">
        <f>IFERROR(
IF(VLOOKUP($C709,'Employee information'!$B:$M,COLUMNS('Employee information'!$B:$M),0)=6,
IF($E$2="Fortnightly",
ROUND(
ROUND((((TRUNC($AN709/2,0)+0.99))*VLOOKUP((TRUNC($AN709/2,0)+0.99),'Tax scales - NAT 1004'!$A$65:$C$73,2,1)-VLOOKUP((TRUNC($AN709/2,0)+0.99),'Tax scales - NAT 1004'!$A$65:$C$73,3,1)),0)
*2,
0),
IF(AND($E$2="Monthly",ROUND($AN709-TRUNC($AN709),2)=0.33),
ROUND(
ROUND(((TRUNC(($AN709+0.01)*3/13,0)+0.99)*VLOOKUP((TRUNC(($AN709+0.01)*3/13,0)+0.99),'Tax scales - NAT 1004'!$A$65:$C$73,2,1)-VLOOKUP((TRUNC(($AN709+0.01)*3/13,0)+0.99),'Tax scales - NAT 1004'!$A$65:$C$73,3,1)),0)
*13/3,
0),
IF($E$2="Monthly",
ROUND(
ROUND(((TRUNC($AN709*3/13,0)+0.99)*VLOOKUP((TRUNC($AN709*3/13,0)+0.99),'Tax scales - NAT 1004'!$A$65:$C$73,2,1)-VLOOKUP((TRUNC($AN709*3/13,0)+0.99),'Tax scales - NAT 1004'!$A$65:$C$73,3,1)),0)
*13/3,
0),
""))),
""),
"")</f>
        <v/>
      </c>
      <c r="AU709" s="118" t="str">
        <f>IFERROR(
IF(VLOOKUP($C709,'Employee information'!$B:$M,COLUMNS('Employee information'!$B:$M),0)=11,
IF($E$2="Fortnightly",
ROUND(
ROUND((((TRUNC($AN709/2,0)+0.99))*VLOOKUP((TRUNC($AN709/2,0)+0.99),'Tax scales - NAT 3539'!$A$14:$C$38,2,1)-VLOOKUP((TRUNC($AN709/2,0)+0.99),'Tax scales - NAT 3539'!$A$14:$C$38,3,1)),0)
*2,
0),
IF(AND($E$2="Monthly",ROUND($AN709-TRUNC($AN709),2)=0.33),
ROUND(
ROUND(((TRUNC(($AN709+0.01)*3/13,0)+0.99)*VLOOKUP((TRUNC(($AN709+0.01)*3/13,0)+0.99),'Tax scales - NAT 3539'!$A$14:$C$38,2,1)-VLOOKUP((TRUNC(($AN709+0.01)*3/13,0)+0.99),'Tax scales - NAT 3539'!$A$14:$C$38,3,1)),0)
*13/3,
0),
IF($E$2="Monthly",
ROUND(
ROUND(((TRUNC($AN709*3/13,0)+0.99)*VLOOKUP((TRUNC($AN709*3/13,0)+0.99),'Tax scales - NAT 3539'!$A$14:$C$38,2,1)-VLOOKUP((TRUNC($AN709*3/13,0)+0.99),'Tax scales - NAT 3539'!$A$14:$C$38,3,1)),0)
*13/3,
0),
""))),
""),
"")</f>
        <v/>
      </c>
      <c r="AV709" s="118" t="str">
        <f>IFERROR(
IF(VLOOKUP($C709,'Employee information'!$B:$M,COLUMNS('Employee information'!$B:$M),0)=22,
IF($E$2="Fortnightly",
ROUND(
ROUND((((TRUNC($AN709/2,0)+0.99))*VLOOKUP((TRUNC($AN709/2,0)+0.99),'Tax scales - NAT 3539'!$A$43:$C$69,2,1)-VLOOKUP((TRUNC($AN709/2,0)+0.99),'Tax scales - NAT 3539'!$A$43:$C$69,3,1)),0)
*2,
0),
IF(AND($E$2="Monthly",ROUND($AN709-TRUNC($AN709),2)=0.33),
ROUND(
ROUND(((TRUNC(($AN709+0.01)*3/13,0)+0.99)*VLOOKUP((TRUNC(($AN709+0.01)*3/13,0)+0.99),'Tax scales - NAT 3539'!$A$43:$C$69,2,1)-VLOOKUP((TRUNC(($AN709+0.01)*3/13,0)+0.99),'Tax scales - NAT 3539'!$A$43:$C$69,3,1)),0)
*13/3,
0),
IF($E$2="Monthly",
ROUND(
ROUND(((TRUNC($AN709*3/13,0)+0.99)*VLOOKUP((TRUNC($AN709*3/13,0)+0.99),'Tax scales - NAT 3539'!$A$43:$C$69,2,1)-VLOOKUP((TRUNC($AN709*3/13,0)+0.99),'Tax scales - NAT 3539'!$A$43:$C$69,3,1)),0)
*13/3,
0),
""))),
""),
"")</f>
        <v/>
      </c>
      <c r="AW709" s="118">
        <f>IFERROR(
IF(VLOOKUP($C709,'Employee information'!$B:$M,COLUMNS('Employee information'!$B:$M),0)=33,
IF($E$2="Fortnightly",
ROUND(
ROUND((((TRUNC($AN709/2,0)+0.99))*VLOOKUP((TRUNC($AN709/2,0)+0.99),'Tax scales - NAT 3539'!$A$74:$C$94,2,1)-VLOOKUP((TRUNC($AN709/2,0)+0.99),'Tax scales - NAT 3539'!$A$74:$C$94,3,1)),0)
*2,
0),
IF(AND($E$2="Monthly",ROUND($AN709-TRUNC($AN709),2)=0.33),
ROUND(
ROUND(((TRUNC(($AN709+0.01)*3/13,0)+0.99)*VLOOKUP((TRUNC(($AN709+0.01)*3/13,0)+0.99),'Tax scales - NAT 3539'!$A$74:$C$94,2,1)-VLOOKUP((TRUNC(($AN709+0.01)*3/13,0)+0.99),'Tax scales - NAT 3539'!$A$74:$C$94,3,1)),0)
*13/3,
0),
IF($E$2="Monthly",
ROUND(
ROUND(((TRUNC($AN709*3/13,0)+0.99)*VLOOKUP((TRUNC($AN709*3/13,0)+0.99),'Tax scales - NAT 3539'!$A$74:$C$94,2,1)-VLOOKUP((TRUNC($AN709*3/13,0)+0.99),'Tax scales - NAT 3539'!$A$74:$C$94,3,1)),0)
*13/3,
0),
""))),
""),
"")</f>
        <v>0</v>
      </c>
      <c r="AX709" s="118" t="str">
        <f>IFERROR(
IF(VLOOKUP($C709,'Employee information'!$B:$M,COLUMNS('Employee information'!$B:$M),0)=55,
IF($E$2="Fortnightly",
ROUND(
ROUND((((TRUNC($AN709/2,0)+0.99))*VLOOKUP((TRUNC($AN709/2,0)+0.99),'Tax scales - NAT 3539'!$A$99:$C$123,2,1)-VLOOKUP((TRUNC($AN709/2,0)+0.99),'Tax scales - NAT 3539'!$A$99:$C$123,3,1)),0)
*2,
0),
IF(AND($E$2="Monthly",ROUND($AN709-TRUNC($AN709),2)=0.33),
ROUND(
ROUND(((TRUNC(($AN709+0.01)*3/13,0)+0.99)*VLOOKUP((TRUNC(($AN709+0.01)*3/13,0)+0.99),'Tax scales - NAT 3539'!$A$99:$C$123,2,1)-VLOOKUP((TRUNC(($AN709+0.01)*3/13,0)+0.99),'Tax scales - NAT 3539'!$A$99:$C$123,3,1)),0)
*13/3,
0),
IF($E$2="Monthly",
ROUND(
ROUND(((TRUNC($AN709*3/13,0)+0.99)*VLOOKUP((TRUNC($AN709*3/13,0)+0.99),'Tax scales - NAT 3539'!$A$99:$C$123,2,1)-VLOOKUP((TRUNC($AN709*3/13,0)+0.99),'Tax scales - NAT 3539'!$A$99:$C$123,3,1)),0)
*13/3,
0),
""))),
""),
"")</f>
        <v/>
      </c>
      <c r="AY709" s="118" t="str">
        <f>IFERROR(
IF(VLOOKUP($C709,'Employee information'!$B:$M,COLUMNS('Employee information'!$B:$M),0)=66,
IF($E$2="Fortnightly",
ROUND(
ROUND((((TRUNC($AN709/2,0)+0.99))*VLOOKUP((TRUNC($AN709/2,0)+0.99),'Tax scales - NAT 3539'!$A$127:$C$154,2,1)-VLOOKUP((TRUNC($AN709/2,0)+0.99),'Tax scales - NAT 3539'!$A$127:$C$154,3,1)),0)
*2,
0),
IF(AND($E$2="Monthly",ROUND($AN709-TRUNC($AN709),2)=0.33),
ROUND(
ROUND(((TRUNC(($AN709+0.01)*3/13,0)+0.99)*VLOOKUP((TRUNC(($AN709+0.01)*3/13,0)+0.99),'Tax scales - NAT 3539'!$A$127:$C$154,2,1)-VLOOKUP((TRUNC(($AN709+0.01)*3/13,0)+0.99),'Tax scales - NAT 3539'!$A$127:$C$154,3,1)),0)
*13/3,
0),
IF($E$2="Monthly",
ROUND(
ROUND(((TRUNC($AN709*3/13,0)+0.99)*VLOOKUP((TRUNC($AN709*3/13,0)+0.99),'Tax scales - NAT 3539'!$A$127:$C$154,2,1)-VLOOKUP((TRUNC($AN709*3/13,0)+0.99),'Tax scales - NAT 3539'!$A$127:$C$154,3,1)),0)
*13/3,
0),
""))),
""),
"")</f>
        <v/>
      </c>
      <c r="AZ709" s="118">
        <f>IFERROR(
HLOOKUP(VLOOKUP($C709,'Employee information'!$B:$M,COLUMNS('Employee information'!$B:$M),0),'PAYG worksheet'!$AO$706:$AY$725,COUNTA($C$707:$C709)+1,0),
0)</f>
        <v>0</v>
      </c>
      <c r="BA709" s="118"/>
      <c r="BB709" s="118">
        <f t="shared" si="759"/>
        <v>0</v>
      </c>
      <c r="BC709" s="119">
        <f>IFERROR(
IF(OR($AE709=1,$AE709=""),SUM($P709,$AA709,$AC709,$AK709)*VLOOKUP($C709,'Employee information'!$B:$Q,COLUMNS('Employee information'!$B:$H),0),
IF($AE709=0,SUM($P709,$AA709,$AK709)*VLOOKUP($C709,'Employee information'!$B:$Q,COLUMNS('Employee information'!$B:$H),0),
0)),
0)</f>
        <v>0</v>
      </c>
      <c r="BE709" s="114">
        <f t="shared" si="744"/>
        <v>900</v>
      </c>
      <c r="BF709" s="114">
        <f t="shared" si="745"/>
        <v>900</v>
      </c>
      <c r="BG709" s="114">
        <f t="shared" si="746"/>
        <v>0</v>
      </c>
      <c r="BH709" s="114">
        <f t="shared" si="747"/>
        <v>0</v>
      </c>
      <c r="BI709" s="114">
        <f t="shared" si="748"/>
        <v>292</v>
      </c>
      <c r="BJ709" s="114">
        <f t="shared" si="749"/>
        <v>0</v>
      </c>
      <c r="BK709" s="114">
        <f t="shared" si="750"/>
        <v>0</v>
      </c>
      <c r="BL709" s="114">
        <f t="shared" si="760"/>
        <v>0</v>
      </c>
      <c r="BM709" s="114">
        <f t="shared" si="751"/>
        <v>85.5</v>
      </c>
    </row>
    <row r="710" spans="1:65" x14ac:dyDescent="0.25">
      <c r="A710" s="228">
        <f t="shared" si="739"/>
        <v>25</v>
      </c>
      <c r="C710" s="278" t="s">
        <v>15</v>
      </c>
      <c r="E710" s="103">
        <f>IF($C710="",0,
IF(AND($E$2="Monthly",$A710&gt;12),0,
IF($E$2="Monthly",VLOOKUP($C710,'Employee information'!$B:$AM,COLUMNS('Employee information'!$B:S),0),
IF($E$2="Fortnightly",VLOOKUP($C710,'Employee information'!$B:$AM,COLUMNS('Employee information'!$B:R),0),
0))))</f>
        <v>75</v>
      </c>
      <c r="F710" s="106"/>
      <c r="G710" s="106"/>
      <c r="H710" s="106"/>
      <c r="I710" s="106"/>
      <c r="J710" s="103">
        <f t="shared" si="752"/>
        <v>75</v>
      </c>
      <c r="L710" s="113">
        <f>IF(AND($E$2="Monthly",$A710&gt;12),"",
IFERROR($J710*VLOOKUP($C710,'Employee information'!$B:$AI,COLUMNS('Employee information'!$B:$P),0),0))</f>
        <v>7692.3076923076924</v>
      </c>
      <c r="M710" s="114">
        <f t="shared" si="753"/>
        <v>192307.69230769225</v>
      </c>
      <c r="O710" s="103">
        <f t="shared" si="754"/>
        <v>75</v>
      </c>
      <c r="P710" s="113">
        <f>IFERROR(
IF(AND($E$2="Monthly",$A710&gt;12),0,
$O710*VLOOKUP($C710,'Employee information'!$B:$AI,COLUMNS('Employee information'!$B:$P),0)),
0)</f>
        <v>7692.3076923076924</v>
      </c>
      <c r="R710" s="114">
        <f t="shared" si="740"/>
        <v>192307.69230769225</v>
      </c>
      <c r="T710" s="103"/>
      <c r="U710" s="103"/>
      <c r="V710" s="282">
        <f>IF($C710="","",
IF(AND($E$2="Monthly",$A710&gt;12),"",
$T710*VLOOKUP($C710,'Employee information'!$B:$P,COLUMNS('Employee information'!$B:$P),0)))</f>
        <v>0</v>
      </c>
      <c r="W710" s="282">
        <f>IF($C710="","",
IF(AND($E$2="Monthly",$A710&gt;12),"",
$U710*VLOOKUP($C710,'Employee information'!$B:$P,COLUMNS('Employee information'!$B:$P),0)))</f>
        <v>0</v>
      </c>
      <c r="X710" s="114">
        <f t="shared" si="741"/>
        <v>1538.4615384615386</v>
      </c>
      <c r="Y710" s="114">
        <f t="shared" si="742"/>
        <v>512.82051282051282</v>
      </c>
      <c r="AA710" s="118">
        <f>IFERROR(
IF(OR('Basic payroll data'!$D$12="",'Basic payroll data'!$D$12="No"),0,
$T710*VLOOKUP($C710,'Employee information'!$B:$P,COLUMNS('Employee information'!$B:$P),0)*AL_loading_perc),
0)</f>
        <v>0</v>
      </c>
      <c r="AC710" s="118"/>
      <c r="AD710" s="118"/>
      <c r="AE710" s="283" t="str">
        <f t="shared" si="755"/>
        <v/>
      </c>
      <c r="AF710" s="283" t="str">
        <f t="shared" si="756"/>
        <v/>
      </c>
      <c r="AG710" s="118"/>
      <c r="AH710" s="118"/>
      <c r="AI710" s="283" t="str">
        <f t="shared" si="757"/>
        <v/>
      </c>
      <c r="AJ710" s="118"/>
      <c r="AK710" s="118"/>
      <c r="AM710" s="118">
        <f t="shared" si="758"/>
        <v>7692.3076923076924</v>
      </c>
      <c r="AN710" s="118">
        <f t="shared" si="743"/>
        <v>7692.3076923076924</v>
      </c>
      <c r="AO710" s="118" t="str">
        <f>IFERROR(
IF(VLOOKUP($C710,'Employee information'!$B:$M,COLUMNS('Employee information'!$B:$M),0)=1,
IF($E$2="Fortnightly",
ROUND(
ROUND((((TRUNC($AN710/2,0)+0.99))*VLOOKUP((TRUNC($AN710/2,0)+0.99),'Tax scales - NAT 1004'!$A$12:$C$18,2,1)-VLOOKUP((TRUNC($AN710/2,0)+0.99),'Tax scales - NAT 1004'!$A$12:$C$18,3,1)),0)
*2,
0),
IF(AND($E$2="Monthly",ROUND($AN710-TRUNC($AN710),2)=0.33),
ROUND(
ROUND(((TRUNC(($AN710+0.01)*3/13,0)+0.99)*VLOOKUP((TRUNC(($AN710+0.01)*3/13,0)+0.99),'Tax scales - NAT 1004'!$A$12:$C$18,2,1)-VLOOKUP((TRUNC(($AN710+0.01)*3/13,0)+0.99),'Tax scales - NAT 1004'!$A$12:$C$18,3,1)),0)
*13/3,
0),
IF($E$2="Monthly",
ROUND(
ROUND(((TRUNC($AN710*3/13,0)+0.99)*VLOOKUP((TRUNC($AN710*3/13,0)+0.99),'Tax scales - NAT 1004'!$A$12:$C$18,2,1)-VLOOKUP((TRUNC($AN710*3/13,0)+0.99),'Tax scales - NAT 1004'!$A$12:$C$18,3,1)),0)
*13/3,
0),
""))),
""),
"")</f>
        <v/>
      </c>
      <c r="AP710" s="118" t="str">
        <f>IFERROR(
IF(VLOOKUP($C710,'Employee information'!$B:$M,COLUMNS('Employee information'!$B:$M),0)=2,
IF($E$2="Fortnightly",
ROUND(
ROUND((((TRUNC($AN710/2,0)+0.99))*VLOOKUP((TRUNC($AN710/2,0)+0.99),'Tax scales - NAT 1004'!$A$25:$C$33,2,1)-VLOOKUP((TRUNC($AN710/2,0)+0.99),'Tax scales - NAT 1004'!$A$25:$C$33,3,1)),0)
*2,
0),
IF(AND($E$2="Monthly",ROUND($AN710-TRUNC($AN710),2)=0.33),
ROUND(
ROUND(((TRUNC(($AN710+0.01)*3/13,0)+0.99)*VLOOKUP((TRUNC(($AN710+0.01)*3/13,0)+0.99),'Tax scales - NAT 1004'!$A$25:$C$33,2,1)-VLOOKUP((TRUNC(($AN710+0.01)*3/13,0)+0.99),'Tax scales - NAT 1004'!$A$25:$C$33,3,1)),0)
*13/3,
0),
IF($E$2="Monthly",
ROUND(
ROUND(((TRUNC($AN710*3/13,0)+0.99)*VLOOKUP((TRUNC($AN710*3/13,0)+0.99),'Tax scales - NAT 1004'!$A$25:$C$33,2,1)-VLOOKUP((TRUNC($AN710*3/13,0)+0.99),'Tax scales - NAT 1004'!$A$25:$C$33,3,1)),0)
*13/3,
0),
""))),
""),
"")</f>
        <v/>
      </c>
      <c r="AQ710" s="118" t="str">
        <f>IFERROR(
IF(VLOOKUP($C710,'Employee information'!$B:$M,COLUMNS('Employee information'!$B:$M),0)=3,
IF($E$2="Fortnightly",
ROUND(
ROUND((((TRUNC($AN710/2,0)+0.99))*VLOOKUP((TRUNC($AN710/2,0)+0.99),'Tax scales - NAT 1004'!$A$39:$C$41,2,1)-VLOOKUP((TRUNC($AN710/2,0)+0.99),'Tax scales - NAT 1004'!$A$39:$C$41,3,1)),0)
*2,
0),
IF(AND($E$2="Monthly",ROUND($AN710-TRUNC($AN710),2)=0.33),
ROUND(
ROUND(((TRUNC(($AN710+0.01)*3/13,0)+0.99)*VLOOKUP((TRUNC(($AN710+0.01)*3/13,0)+0.99),'Tax scales - NAT 1004'!$A$39:$C$41,2,1)-VLOOKUP((TRUNC(($AN710+0.01)*3/13,0)+0.99),'Tax scales - NAT 1004'!$A$39:$C$41,3,1)),0)
*13/3,
0),
IF($E$2="Monthly",
ROUND(
ROUND(((TRUNC($AN710*3/13,0)+0.99)*VLOOKUP((TRUNC($AN710*3/13,0)+0.99),'Tax scales - NAT 1004'!$A$39:$C$41,2,1)-VLOOKUP((TRUNC($AN710*3/13,0)+0.99),'Tax scales - NAT 1004'!$A$39:$C$41,3,1)),0)
*13/3,
0),
""))),
""),
"")</f>
        <v/>
      </c>
      <c r="AR710" s="118" t="str">
        <f>IFERROR(
IF(AND(VLOOKUP($C710,'Employee information'!$B:$M,COLUMNS('Employee information'!$B:$M),0)=4,
VLOOKUP($C710,'Employee information'!$B:$J,COLUMNS('Employee information'!$B:$J),0)="Resident"),
TRUNC(TRUNC($AN710)*'Tax scales - NAT 1004'!$B$47),
IF(AND(VLOOKUP($C710,'Employee information'!$B:$M,COLUMNS('Employee information'!$B:$M),0)=4,
VLOOKUP($C710,'Employee information'!$B:$J,COLUMNS('Employee information'!$B:$J),0)="Foreign resident"),
TRUNC(TRUNC($AN710)*'Tax scales - NAT 1004'!$B$48),
"")),
"")</f>
        <v/>
      </c>
      <c r="AS710" s="118" t="str">
        <f>IFERROR(
IF(VLOOKUP($C710,'Employee information'!$B:$M,COLUMNS('Employee information'!$B:$M),0)=5,
IF($E$2="Fortnightly",
ROUND(
ROUND((((TRUNC($AN710/2,0)+0.99))*VLOOKUP((TRUNC($AN710/2,0)+0.99),'Tax scales - NAT 1004'!$A$53:$C$59,2,1)-VLOOKUP((TRUNC($AN710/2,0)+0.99),'Tax scales - NAT 1004'!$A$53:$C$59,3,1)),0)
*2,
0),
IF(AND($E$2="Monthly",ROUND($AN710-TRUNC($AN710),2)=0.33),
ROUND(
ROUND(((TRUNC(($AN710+0.01)*3/13,0)+0.99)*VLOOKUP((TRUNC(($AN710+0.01)*3/13,0)+0.99),'Tax scales - NAT 1004'!$A$53:$C$59,2,1)-VLOOKUP((TRUNC(($AN710+0.01)*3/13,0)+0.99),'Tax scales - NAT 1004'!$A$53:$C$59,3,1)),0)
*13/3,
0),
IF($E$2="Monthly",
ROUND(
ROUND(((TRUNC($AN710*3/13,0)+0.99)*VLOOKUP((TRUNC($AN710*3/13,0)+0.99),'Tax scales - NAT 1004'!$A$53:$C$59,2,1)-VLOOKUP((TRUNC($AN710*3/13,0)+0.99),'Tax scales - NAT 1004'!$A$53:$C$59,3,1)),0)
*13/3,
0),
""))),
""),
"")</f>
        <v/>
      </c>
      <c r="AT710" s="118" t="str">
        <f>IFERROR(
IF(VLOOKUP($C710,'Employee information'!$B:$M,COLUMNS('Employee information'!$B:$M),0)=6,
IF($E$2="Fortnightly",
ROUND(
ROUND((((TRUNC($AN710/2,0)+0.99))*VLOOKUP((TRUNC($AN710/2,0)+0.99),'Tax scales - NAT 1004'!$A$65:$C$73,2,1)-VLOOKUP((TRUNC($AN710/2,0)+0.99),'Tax scales - NAT 1004'!$A$65:$C$73,3,1)),0)
*2,
0),
IF(AND($E$2="Monthly",ROUND($AN710-TRUNC($AN710),2)=0.33),
ROUND(
ROUND(((TRUNC(($AN710+0.01)*3/13,0)+0.99)*VLOOKUP((TRUNC(($AN710+0.01)*3/13,0)+0.99),'Tax scales - NAT 1004'!$A$65:$C$73,2,1)-VLOOKUP((TRUNC(($AN710+0.01)*3/13,0)+0.99),'Tax scales - NAT 1004'!$A$65:$C$73,3,1)),0)
*13/3,
0),
IF($E$2="Monthly",
ROUND(
ROUND(((TRUNC($AN710*3/13,0)+0.99)*VLOOKUP((TRUNC($AN710*3/13,0)+0.99),'Tax scales - NAT 1004'!$A$65:$C$73,2,1)-VLOOKUP((TRUNC($AN710*3/13,0)+0.99),'Tax scales - NAT 1004'!$A$65:$C$73,3,1)),0)
*13/3,
0),
""))),
""),
"")</f>
        <v/>
      </c>
      <c r="AU710" s="118" t="str">
        <f>IFERROR(
IF(VLOOKUP($C710,'Employee information'!$B:$M,COLUMNS('Employee information'!$B:$M),0)=11,
IF($E$2="Fortnightly",
ROUND(
ROUND((((TRUNC($AN710/2,0)+0.99))*VLOOKUP((TRUNC($AN710/2,0)+0.99),'Tax scales - NAT 3539'!$A$14:$C$38,2,1)-VLOOKUP((TRUNC($AN710/2,0)+0.99),'Tax scales - NAT 3539'!$A$14:$C$38,3,1)),0)
*2,
0),
IF(AND($E$2="Monthly",ROUND($AN710-TRUNC($AN710),2)=0.33),
ROUND(
ROUND(((TRUNC(($AN710+0.01)*3/13,0)+0.99)*VLOOKUP((TRUNC(($AN710+0.01)*3/13,0)+0.99),'Tax scales - NAT 3539'!$A$14:$C$38,2,1)-VLOOKUP((TRUNC(($AN710+0.01)*3/13,0)+0.99),'Tax scales - NAT 3539'!$A$14:$C$38,3,1)),0)
*13/3,
0),
IF($E$2="Monthly",
ROUND(
ROUND(((TRUNC($AN710*3/13,0)+0.99)*VLOOKUP((TRUNC($AN710*3/13,0)+0.99),'Tax scales - NAT 3539'!$A$14:$C$38,2,1)-VLOOKUP((TRUNC($AN710*3/13,0)+0.99),'Tax scales - NAT 3539'!$A$14:$C$38,3,1)),0)
*13/3,
0),
""))),
""),
"")</f>
        <v/>
      </c>
      <c r="AV710" s="118" t="str">
        <f>IFERROR(
IF(VLOOKUP($C710,'Employee information'!$B:$M,COLUMNS('Employee information'!$B:$M),0)=22,
IF($E$2="Fortnightly",
ROUND(
ROUND((((TRUNC($AN710/2,0)+0.99))*VLOOKUP((TRUNC($AN710/2,0)+0.99),'Tax scales - NAT 3539'!$A$43:$C$69,2,1)-VLOOKUP((TRUNC($AN710/2,0)+0.99),'Tax scales - NAT 3539'!$A$43:$C$69,3,1)),0)
*2,
0),
IF(AND($E$2="Monthly",ROUND($AN710-TRUNC($AN710),2)=0.33),
ROUND(
ROUND(((TRUNC(($AN710+0.01)*3/13,0)+0.99)*VLOOKUP((TRUNC(($AN710+0.01)*3/13,0)+0.99),'Tax scales - NAT 3539'!$A$43:$C$69,2,1)-VLOOKUP((TRUNC(($AN710+0.01)*3/13,0)+0.99),'Tax scales - NAT 3539'!$A$43:$C$69,3,1)),0)
*13/3,
0),
IF($E$2="Monthly",
ROUND(
ROUND(((TRUNC($AN710*3/13,0)+0.99)*VLOOKUP((TRUNC($AN710*3/13,0)+0.99),'Tax scales - NAT 3539'!$A$43:$C$69,2,1)-VLOOKUP((TRUNC($AN710*3/13,0)+0.99),'Tax scales - NAT 3539'!$A$43:$C$69,3,1)),0)
*13/3,
0),
""))),
""),
"")</f>
        <v/>
      </c>
      <c r="AW710" s="118" t="str">
        <f>IFERROR(
IF(VLOOKUP($C710,'Employee information'!$B:$M,COLUMNS('Employee information'!$B:$M),0)=33,
IF($E$2="Fortnightly",
ROUND(
ROUND((((TRUNC($AN710/2,0)+0.99))*VLOOKUP((TRUNC($AN710/2,0)+0.99),'Tax scales - NAT 3539'!$A$74:$C$94,2,1)-VLOOKUP((TRUNC($AN710/2,0)+0.99),'Tax scales - NAT 3539'!$A$74:$C$94,3,1)),0)
*2,
0),
IF(AND($E$2="Monthly",ROUND($AN710-TRUNC($AN710),2)=0.33),
ROUND(
ROUND(((TRUNC(($AN710+0.01)*3/13,0)+0.99)*VLOOKUP((TRUNC(($AN710+0.01)*3/13,0)+0.99),'Tax scales - NAT 3539'!$A$74:$C$94,2,1)-VLOOKUP((TRUNC(($AN710+0.01)*3/13,0)+0.99),'Tax scales - NAT 3539'!$A$74:$C$94,3,1)),0)
*13/3,
0),
IF($E$2="Monthly",
ROUND(
ROUND(((TRUNC($AN710*3/13,0)+0.99)*VLOOKUP((TRUNC($AN710*3/13,0)+0.99),'Tax scales - NAT 3539'!$A$74:$C$94,2,1)-VLOOKUP((TRUNC($AN710*3/13,0)+0.99),'Tax scales - NAT 3539'!$A$74:$C$94,3,1)),0)
*13/3,
0),
""))),
""),
"")</f>
        <v/>
      </c>
      <c r="AX710" s="118">
        <f>IFERROR(
IF(VLOOKUP($C710,'Employee information'!$B:$M,COLUMNS('Employee information'!$B:$M),0)=55,
IF($E$2="Fortnightly",
ROUND(
ROUND((((TRUNC($AN710/2,0)+0.99))*VLOOKUP((TRUNC($AN710/2,0)+0.99),'Tax scales - NAT 3539'!$A$99:$C$123,2,1)-VLOOKUP((TRUNC($AN710/2,0)+0.99),'Tax scales - NAT 3539'!$A$99:$C$123,3,1)),0)
*2,
0),
IF(AND($E$2="Monthly",ROUND($AN710-TRUNC($AN710),2)=0.33),
ROUND(
ROUND(((TRUNC(($AN710+0.01)*3/13,0)+0.99)*VLOOKUP((TRUNC(($AN710+0.01)*3/13,0)+0.99),'Tax scales - NAT 3539'!$A$99:$C$123,2,1)-VLOOKUP((TRUNC(($AN710+0.01)*3/13,0)+0.99),'Tax scales - NAT 3539'!$A$99:$C$123,3,1)),0)
*13/3,
0),
IF($E$2="Monthly",
ROUND(
ROUND(((TRUNC($AN710*3/13,0)+0.99)*VLOOKUP((TRUNC($AN710*3/13,0)+0.99),'Tax scales - NAT 3539'!$A$99:$C$123,2,1)-VLOOKUP((TRUNC($AN710*3/13,0)+0.99),'Tax scales - NAT 3539'!$A$99:$C$123,3,1)),0)
*13/3,
0),
""))),
""),
"")</f>
        <v>3104</v>
      </c>
      <c r="AY710" s="118" t="str">
        <f>IFERROR(
IF(VLOOKUP($C710,'Employee information'!$B:$M,COLUMNS('Employee information'!$B:$M),0)=66,
IF($E$2="Fortnightly",
ROUND(
ROUND((((TRUNC($AN710/2,0)+0.99))*VLOOKUP((TRUNC($AN710/2,0)+0.99),'Tax scales - NAT 3539'!$A$127:$C$154,2,1)-VLOOKUP((TRUNC($AN710/2,0)+0.99),'Tax scales - NAT 3539'!$A$127:$C$154,3,1)),0)
*2,
0),
IF(AND($E$2="Monthly",ROUND($AN710-TRUNC($AN710),2)=0.33),
ROUND(
ROUND(((TRUNC(($AN710+0.01)*3/13,0)+0.99)*VLOOKUP((TRUNC(($AN710+0.01)*3/13,0)+0.99),'Tax scales - NAT 3539'!$A$127:$C$154,2,1)-VLOOKUP((TRUNC(($AN710+0.01)*3/13,0)+0.99),'Tax scales - NAT 3539'!$A$127:$C$154,3,1)),0)
*13/3,
0),
IF($E$2="Monthly",
ROUND(
ROUND(((TRUNC($AN710*3/13,0)+0.99)*VLOOKUP((TRUNC($AN710*3/13,0)+0.99),'Tax scales - NAT 3539'!$A$127:$C$154,2,1)-VLOOKUP((TRUNC($AN710*3/13,0)+0.99),'Tax scales - NAT 3539'!$A$127:$C$154,3,1)),0)
*13/3,
0),
""))),
""),
"")</f>
        <v/>
      </c>
      <c r="AZ710" s="118">
        <f>IFERROR(
HLOOKUP(VLOOKUP($C710,'Employee information'!$B:$M,COLUMNS('Employee information'!$B:$M),0),'PAYG worksheet'!$AO$706:$AY$725,COUNTA($C$707:$C710)+1,0),
0)</f>
        <v>3104</v>
      </c>
      <c r="BA710" s="118"/>
      <c r="BB710" s="118">
        <f t="shared" si="759"/>
        <v>4588.3076923076924</v>
      </c>
      <c r="BC710" s="119">
        <f>IFERROR(
IF(OR($AE710=1,$AE710=""),SUM($P710,$AA710,$AC710,$AK710)*VLOOKUP($C710,'Employee information'!$B:$Q,COLUMNS('Employee information'!$B:$H),0),
IF($AE710=0,SUM($P710,$AA710,$AK710)*VLOOKUP($C710,'Employee information'!$B:$Q,COLUMNS('Employee information'!$B:$H),0),
0)),
0)</f>
        <v>730.76923076923083</v>
      </c>
      <c r="BE710" s="114">
        <f t="shared" si="744"/>
        <v>192447.69230769225</v>
      </c>
      <c r="BF710" s="114">
        <f t="shared" si="745"/>
        <v>192307.69230769225</v>
      </c>
      <c r="BG710" s="114">
        <f t="shared" si="746"/>
        <v>0</v>
      </c>
      <c r="BH710" s="114">
        <f t="shared" si="747"/>
        <v>140</v>
      </c>
      <c r="BI710" s="114">
        <f t="shared" si="748"/>
        <v>77600</v>
      </c>
      <c r="BJ710" s="114">
        <f t="shared" si="749"/>
        <v>0</v>
      </c>
      <c r="BK710" s="114">
        <f t="shared" si="750"/>
        <v>0</v>
      </c>
      <c r="BL710" s="114">
        <f t="shared" si="760"/>
        <v>0</v>
      </c>
      <c r="BM710" s="114">
        <f t="shared" si="751"/>
        <v>18269.230769230766</v>
      </c>
    </row>
    <row r="711" spans="1:65" x14ac:dyDescent="0.25">
      <c r="A711" s="228">
        <f t="shared" si="739"/>
        <v>25</v>
      </c>
      <c r="C711" s="278" t="s">
        <v>16</v>
      </c>
      <c r="E711" s="103">
        <f>IF($C711="",0,
IF(AND($E$2="Monthly",$A711&gt;12),0,
IF($E$2="Monthly",VLOOKUP($C711,'Employee information'!$B:$AM,COLUMNS('Employee information'!$B:S),0),
IF($E$2="Fortnightly",VLOOKUP($C711,'Employee information'!$B:$AM,COLUMNS('Employee information'!$B:R),0),
0))))</f>
        <v>75</v>
      </c>
      <c r="F711" s="106"/>
      <c r="G711" s="106"/>
      <c r="H711" s="106"/>
      <c r="I711" s="106"/>
      <c r="J711" s="103">
        <f t="shared" si="752"/>
        <v>75</v>
      </c>
      <c r="L711" s="113">
        <f>IF(AND($E$2="Monthly",$A711&gt;12),"",
IFERROR($J711*VLOOKUP($C711,'Employee information'!$B:$AI,COLUMNS('Employee information'!$B:$P),0),0))</f>
        <v>4125</v>
      </c>
      <c r="M711" s="114">
        <f t="shared" si="753"/>
        <v>103125</v>
      </c>
      <c r="O711" s="103">
        <f t="shared" si="754"/>
        <v>75</v>
      </c>
      <c r="P711" s="113">
        <f>IFERROR(
IF(AND($E$2="Monthly",$A711&gt;12),0,
$O711*VLOOKUP($C711,'Employee information'!$B:$AI,COLUMNS('Employee information'!$B:$P),0)),
0)</f>
        <v>4125</v>
      </c>
      <c r="R711" s="114">
        <f t="shared" si="740"/>
        <v>103125</v>
      </c>
      <c r="T711" s="103"/>
      <c r="U711" s="103"/>
      <c r="V711" s="282">
        <f>IF($C711="","",
IF(AND($E$2="Monthly",$A711&gt;12),"",
$T711*VLOOKUP($C711,'Employee information'!$B:$P,COLUMNS('Employee information'!$B:$P),0)))</f>
        <v>0</v>
      </c>
      <c r="W711" s="282">
        <f>IF($C711="","",
IF(AND($E$2="Monthly",$A711&gt;12),"",
$U711*VLOOKUP($C711,'Employee information'!$B:$P,COLUMNS('Employee information'!$B:$P),0)))</f>
        <v>0</v>
      </c>
      <c r="X711" s="114">
        <f t="shared" si="741"/>
        <v>0</v>
      </c>
      <c r="Y711" s="114">
        <f t="shared" si="742"/>
        <v>0</v>
      </c>
      <c r="AA711" s="118">
        <f>IFERROR(
IF(OR('Basic payroll data'!$D$12="",'Basic payroll data'!$D$12="No"),0,
$T711*VLOOKUP($C711,'Employee information'!$B:$P,COLUMNS('Employee information'!$B:$P),0)*AL_loading_perc),
0)</f>
        <v>0</v>
      </c>
      <c r="AC711" s="118"/>
      <c r="AD711" s="118"/>
      <c r="AE711" s="283" t="str">
        <f t="shared" si="755"/>
        <v/>
      </c>
      <c r="AF711" s="283" t="str">
        <f t="shared" si="756"/>
        <v/>
      </c>
      <c r="AG711" s="118"/>
      <c r="AH711" s="118"/>
      <c r="AI711" s="283" t="str">
        <f t="shared" si="757"/>
        <v/>
      </c>
      <c r="AJ711" s="118"/>
      <c r="AK711" s="118"/>
      <c r="AM711" s="118">
        <f t="shared" si="758"/>
        <v>4125</v>
      </c>
      <c r="AN711" s="118">
        <f t="shared" si="743"/>
        <v>4125</v>
      </c>
      <c r="AO711" s="118" t="str">
        <f>IFERROR(
IF(VLOOKUP($C711,'Employee information'!$B:$M,COLUMNS('Employee information'!$B:$M),0)=1,
IF($E$2="Fortnightly",
ROUND(
ROUND((((TRUNC($AN711/2,0)+0.99))*VLOOKUP((TRUNC($AN711/2,0)+0.99),'Tax scales - NAT 1004'!$A$12:$C$18,2,1)-VLOOKUP((TRUNC($AN711/2,0)+0.99),'Tax scales - NAT 1004'!$A$12:$C$18,3,1)),0)
*2,
0),
IF(AND($E$2="Monthly",ROUND($AN711-TRUNC($AN711),2)=0.33),
ROUND(
ROUND(((TRUNC(($AN711+0.01)*3/13,0)+0.99)*VLOOKUP((TRUNC(($AN711+0.01)*3/13,0)+0.99),'Tax scales - NAT 1004'!$A$12:$C$18,2,1)-VLOOKUP((TRUNC(($AN711+0.01)*3/13,0)+0.99),'Tax scales - NAT 1004'!$A$12:$C$18,3,1)),0)
*13/3,
0),
IF($E$2="Monthly",
ROUND(
ROUND(((TRUNC($AN711*3/13,0)+0.99)*VLOOKUP((TRUNC($AN711*3/13,0)+0.99),'Tax scales - NAT 1004'!$A$12:$C$18,2,1)-VLOOKUP((TRUNC($AN711*3/13,0)+0.99),'Tax scales - NAT 1004'!$A$12:$C$18,3,1)),0)
*13/3,
0),
""))),
""),
"")</f>
        <v/>
      </c>
      <c r="AP711" s="118" t="str">
        <f>IFERROR(
IF(VLOOKUP($C711,'Employee information'!$B:$M,COLUMNS('Employee information'!$B:$M),0)=2,
IF($E$2="Fortnightly",
ROUND(
ROUND((((TRUNC($AN711/2,0)+0.99))*VLOOKUP((TRUNC($AN711/2,0)+0.99),'Tax scales - NAT 1004'!$A$25:$C$33,2,1)-VLOOKUP((TRUNC($AN711/2,0)+0.99),'Tax scales - NAT 1004'!$A$25:$C$33,3,1)),0)
*2,
0),
IF(AND($E$2="Monthly",ROUND($AN711-TRUNC($AN711),2)=0.33),
ROUND(
ROUND(((TRUNC(($AN711+0.01)*3/13,0)+0.99)*VLOOKUP((TRUNC(($AN711+0.01)*3/13,0)+0.99),'Tax scales - NAT 1004'!$A$25:$C$33,2,1)-VLOOKUP((TRUNC(($AN711+0.01)*3/13,0)+0.99),'Tax scales - NAT 1004'!$A$25:$C$33,3,1)),0)
*13/3,
0),
IF($E$2="Monthly",
ROUND(
ROUND(((TRUNC($AN711*3/13,0)+0.99)*VLOOKUP((TRUNC($AN711*3/13,0)+0.99),'Tax scales - NAT 1004'!$A$25:$C$33,2,1)-VLOOKUP((TRUNC($AN711*3/13,0)+0.99),'Tax scales - NAT 1004'!$A$25:$C$33,3,1)),0)
*13/3,
0),
""))),
""),
"")</f>
        <v/>
      </c>
      <c r="AQ711" s="118" t="str">
        <f>IFERROR(
IF(VLOOKUP($C711,'Employee information'!$B:$M,COLUMNS('Employee information'!$B:$M),0)=3,
IF($E$2="Fortnightly",
ROUND(
ROUND((((TRUNC($AN711/2,0)+0.99))*VLOOKUP((TRUNC($AN711/2,0)+0.99),'Tax scales - NAT 1004'!$A$39:$C$41,2,1)-VLOOKUP((TRUNC($AN711/2,0)+0.99),'Tax scales - NAT 1004'!$A$39:$C$41,3,1)),0)
*2,
0),
IF(AND($E$2="Monthly",ROUND($AN711-TRUNC($AN711),2)=0.33),
ROUND(
ROUND(((TRUNC(($AN711+0.01)*3/13,0)+0.99)*VLOOKUP((TRUNC(($AN711+0.01)*3/13,0)+0.99),'Tax scales - NAT 1004'!$A$39:$C$41,2,1)-VLOOKUP((TRUNC(($AN711+0.01)*3/13,0)+0.99),'Tax scales - NAT 1004'!$A$39:$C$41,3,1)),0)
*13/3,
0),
IF($E$2="Monthly",
ROUND(
ROUND(((TRUNC($AN711*3/13,0)+0.99)*VLOOKUP((TRUNC($AN711*3/13,0)+0.99),'Tax scales - NAT 1004'!$A$39:$C$41,2,1)-VLOOKUP((TRUNC($AN711*3/13,0)+0.99),'Tax scales - NAT 1004'!$A$39:$C$41,3,1)),0)
*13/3,
0),
""))),
""),
"")</f>
        <v/>
      </c>
      <c r="AR711" s="118" t="str">
        <f>IFERROR(
IF(AND(VLOOKUP($C711,'Employee information'!$B:$M,COLUMNS('Employee information'!$B:$M),0)=4,
VLOOKUP($C711,'Employee information'!$B:$J,COLUMNS('Employee information'!$B:$J),0)="Resident"),
TRUNC(TRUNC($AN711)*'Tax scales - NAT 1004'!$B$47),
IF(AND(VLOOKUP($C711,'Employee information'!$B:$M,COLUMNS('Employee information'!$B:$M),0)=4,
VLOOKUP($C711,'Employee information'!$B:$J,COLUMNS('Employee information'!$B:$J),0)="Foreign resident"),
TRUNC(TRUNC($AN711)*'Tax scales - NAT 1004'!$B$48),
"")),
"")</f>
        <v/>
      </c>
      <c r="AS711" s="118" t="str">
        <f>IFERROR(
IF(VLOOKUP($C711,'Employee information'!$B:$M,COLUMNS('Employee information'!$B:$M),0)=5,
IF($E$2="Fortnightly",
ROUND(
ROUND((((TRUNC($AN711/2,0)+0.99))*VLOOKUP((TRUNC($AN711/2,0)+0.99),'Tax scales - NAT 1004'!$A$53:$C$59,2,1)-VLOOKUP((TRUNC($AN711/2,0)+0.99),'Tax scales - NAT 1004'!$A$53:$C$59,3,1)),0)
*2,
0),
IF(AND($E$2="Monthly",ROUND($AN711-TRUNC($AN711),2)=0.33),
ROUND(
ROUND(((TRUNC(($AN711+0.01)*3/13,0)+0.99)*VLOOKUP((TRUNC(($AN711+0.01)*3/13,0)+0.99),'Tax scales - NAT 1004'!$A$53:$C$59,2,1)-VLOOKUP((TRUNC(($AN711+0.01)*3/13,0)+0.99),'Tax scales - NAT 1004'!$A$53:$C$59,3,1)),0)
*13/3,
0),
IF($E$2="Monthly",
ROUND(
ROUND(((TRUNC($AN711*3/13,0)+0.99)*VLOOKUP((TRUNC($AN711*3/13,0)+0.99),'Tax scales - NAT 1004'!$A$53:$C$59,2,1)-VLOOKUP((TRUNC($AN711*3/13,0)+0.99),'Tax scales - NAT 1004'!$A$53:$C$59,3,1)),0)
*13/3,
0),
""))),
""),
"")</f>
        <v/>
      </c>
      <c r="AT711" s="118" t="str">
        <f>IFERROR(
IF(VLOOKUP($C711,'Employee information'!$B:$M,COLUMNS('Employee information'!$B:$M),0)=6,
IF($E$2="Fortnightly",
ROUND(
ROUND((((TRUNC($AN711/2,0)+0.99))*VLOOKUP((TRUNC($AN711/2,0)+0.99),'Tax scales - NAT 1004'!$A$65:$C$73,2,1)-VLOOKUP((TRUNC($AN711/2,0)+0.99),'Tax scales - NAT 1004'!$A$65:$C$73,3,1)),0)
*2,
0),
IF(AND($E$2="Monthly",ROUND($AN711-TRUNC($AN711),2)=0.33),
ROUND(
ROUND(((TRUNC(($AN711+0.01)*3/13,0)+0.99)*VLOOKUP((TRUNC(($AN711+0.01)*3/13,0)+0.99),'Tax scales - NAT 1004'!$A$65:$C$73,2,1)-VLOOKUP((TRUNC(($AN711+0.01)*3/13,0)+0.99),'Tax scales - NAT 1004'!$A$65:$C$73,3,1)),0)
*13/3,
0),
IF($E$2="Monthly",
ROUND(
ROUND(((TRUNC($AN711*3/13,0)+0.99)*VLOOKUP((TRUNC($AN711*3/13,0)+0.99),'Tax scales - NAT 1004'!$A$65:$C$73,2,1)-VLOOKUP((TRUNC($AN711*3/13,0)+0.99),'Tax scales - NAT 1004'!$A$65:$C$73,3,1)),0)
*13/3,
0),
""))),
""),
"")</f>
        <v/>
      </c>
      <c r="AU711" s="118">
        <f>IFERROR(
IF(VLOOKUP($C711,'Employee information'!$B:$M,COLUMNS('Employee information'!$B:$M),0)=11,
IF($E$2="Fortnightly",
ROUND(
ROUND((((TRUNC($AN711/2,0)+0.99))*VLOOKUP((TRUNC($AN711/2,0)+0.99),'Tax scales - NAT 3539'!$A$14:$C$38,2,1)-VLOOKUP((TRUNC($AN711/2,0)+0.99),'Tax scales - NAT 3539'!$A$14:$C$38,3,1)),0)
*2,
0),
IF(AND($E$2="Monthly",ROUND($AN711-TRUNC($AN711),2)=0.33),
ROUND(
ROUND(((TRUNC(($AN711+0.01)*3/13,0)+0.99)*VLOOKUP((TRUNC(($AN711+0.01)*3/13,0)+0.99),'Tax scales - NAT 3539'!$A$14:$C$38,2,1)-VLOOKUP((TRUNC(($AN711+0.01)*3/13,0)+0.99),'Tax scales - NAT 3539'!$A$14:$C$38,3,1)),0)
*13/3,
0),
IF($E$2="Monthly",
ROUND(
ROUND(((TRUNC($AN711*3/13,0)+0.99)*VLOOKUP((TRUNC($AN711*3/13,0)+0.99),'Tax scales - NAT 3539'!$A$14:$C$38,2,1)-VLOOKUP((TRUNC($AN711*3/13,0)+0.99),'Tax scales - NAT 3539'!$A$14:$C$38,3,1)),0)
*13/3,
0),
""))),
""),
"")</f>
        <v>1680</v>
      </c>
      <c r="AV711" s="118" t="str">
        <f>IFERROR(
IF(VLOOKUP($C711,'Employee information'!$B:$M,COLUMNS('Employee information'!$B:$M),0)=22,
IF($E$2="Fortnightly",
ROUND(
ROUND((((TRUNC($AN711/2,0)+0.99))*VLOOKUP((TRUNC($AN711/2,0)+0.99),'Tax scales - NAT 3539'!$A$43:$C$69,2,1)-VLOOKUP((TRUNC($AN711/2,0)+0.99),'Tax scales - NAT 3539'!$A$43:$C$69,3,1)),0)
*2,
0),
IF(AND($E$2="Monthly",ROUND($AN711-TRUNC($AN711),2)=0.33),
ROUND(
ROUND(((TRUNC(($AN711+0.01)*3/13,0)+0.99)*VLOOKUP((TRUNC(($AN711+0.01)*3/13,0)+0.99),'Tax scales - NAT 3539'!$A$43:$C$69,2,1)-VLOOKUP((TRUNC(($AN711+0.01)*3/13,0)+0.99),'Tax scales - NAT 3539'!$A$43:$C$69,3,1)),0)
*13/3,
0),
IF($E$2="Monthly",
ROUND(
ROUND(((TRUNC($AN711*3/13,0)+0.99)*VLOOKUP((TRUNC($AN711*3/13,0)+0.99),'Tax scales - NAT 3539'!$A$43:$C$69,2,1)-VLOOKUP((TRUNC($AN711*3/13,0)+0.99),'Tax scales - NAT 3539'!$A$43:$C$69,3,1)),0)
*13/3,
0),
""))),
""),
"")</f>
        <v/>
      </c>
      <c r="AW711" s="118" t="str">
        <f>IFERROR(
IF(VLOOKUP($C711,'Employee information'!$B:$M,COLUMNS('Employee information'!$B:$M),0)=33,
IF($E$2="Fortnightly",
ROUND(
ROUND((((TRUNC($AN711/2,0)+0.99))*VLOOKUP((TRUNC($AN711/2,0)+0.99),'Tax scales - NAT 3539'!$A$74:$C$94,2,1)-VLOOKUP((TRUNC($AN711/2,0)+0.99),'Tax scales - NAT 3539'!$A$74:$C$94,3,1)),0)
*2,
0),
IF(AND($E$2="Monthly",ROUND($AN711-TRUNC($AN711),2)=0.33),
ROUND(
ROUND(((TRUNC(($AN711+0.01)*3/13,0)+0.99)*VLOOKUP((TRUNC(($AN711+0.01)*3/13,0)+0.99),'Tax scales - NAT 3539'!$A$74:$C$94,2,1)-VLOOKUP((TRUNC(($AN711+0.01)*3/13,0)+0.99),'Tax scales - NAT 3539'!$A$74:$C$94,3,1)),0)
*13/3,
0),
IF($E$2="Monthly",
ROUND(
ROUND(((TRUNC($AN711*3/13,0)+0.99)*VLOOKUP((TRUNC($AN711*3/13,0)+0.99),'Tax scales - NAT 3539'!$A$74:$C$94,2,1)-VLOOKUP((TRUNC($AN711*3/13,0)+0.99),'Tax scales - NAT 3539'!$A$74:$C$94,3,1)),0)
*13/3,
0),
""))),
""),
"")</f>
        <v/>
      </c>
      <c r="AX711" s="118" t="str">
        <f>IFERROR(
IF(VLOOKUP($C711,'Employee information'!$B:$M,COLUMNS('Employee information'!$B:$M),0)=55,
IF($E$2="Fortnightly",
ROUND(
ROUND((((TRUNC($AN711/2,0)+0.99))*VLOOKUP((TRUNC($AN711/2,0)+0.99),'Tax scales - NAT 3539'!$A$99:$C$123,2,1)-VLOOKUP((TRUNC($AN711/2,0)+0.99),'Tax scales - NAT 3539'!$A$99:$C$123,3,1)),0)
*2,
0),
IF(AND($E$2="Monthly",ROUND($AN711-TRUNC($AN711),2)=0.33),
ROUND(
ROUND(((TRUNC(($AN711+0.01)*3/13,0)+0.99)*VLOOKUP((TRUNC(($AN711+0.01)*3/13,0)+0.99),'Tax scales - NAT 3539'!$A$99:$C$123,2,1)-VLOOKUP((TRUNC(($AN711+0.01)*3/13,0)+0.99),'Tax scales - NAT 3539'!$A$99:$C$123,3,1)),0)
*13/3,
0),
IF($E$2="Monthly",
ROUND(
ROUND(((TRUNC($AN711*3/13,0)+0.99)*VLOOKUP((TRUNC($AN711*3/13,0)+0.99),'Tax scales - NAT 3539'!$A$99:$C$123,2,1)-VLOOKUP((TRUNC($AN711*3/13,0)+0.99),'Tax scales - NAT 3539'!$A$99:$C$123,3,1)),0)
*13/3,
0),
""))),
""),
"")</f>
        <v/>
      </c>
      <c r="AY711" s="118" t="str">
        <f>IFERROR(
IF(VLOOKUP($C711,'Employee information'!$B:$M,COLUMNS('Employee information'!$B:$M),0)=66,
IF($E$2="Fortnightly",
ROUND(
ROUND((((TRUNC($AN711/2,0)+0.99))*VLOOKUP((TRUNC($AN711/2,0)+0.99),'Tax scales - NAT 3539'!$A$127:$C$154,2,1)-VLOOKUP((TRUNC($AN711/2,0)+0.99),'Tax scales - NAT 3539'!$A$127:$C$154,3,1)),0)
*2,
0),
IF(AND($E$2="Monthly",ROUND($AN711-TRUNC($AN711),2)=0.33),
ROUND(
ROUND(((TRUNC(($AN711+0.01)*3/13,0)+0.99)*VLOOKUP((TRUNC(($AN711+0.01)*3/13,0)+0.99),'Tax scales - NAT 3539'!$A$127:$C$154,2,1)-VLOOKUP((TRUNC(($AN711+0.01)*3/13,0)+0.99),'Tax scales - NAT 3539'!$A$127:$C$154,3,1)),0)
*13/3,
0),
IF($E$2="Monthly",
ROUND(
ROUND(((TRUNC($AN711*3/13,0)+0.99)*VLOOKUP((TRUNC($AN711*3/13,0)+0.99),'Tax scales - NAT 3539'!$A$127:$C$154,2,1)-VLOOKUP((TRUNC($AN711*3/13,0)+0.99),'Tax scales - NAT 3539'!$A$127:$C$154,3,1)),0)
*13/3,
0),
""))),
""),
"")</f>
        <v/>
      </c>
      <c r="AZ711" s="118">
        <f>IFERROR(
HLOOKUP(VLOOKUP($C711,'Employee information'!$B:$M,COLUMNS('Employee information'!$B:$M),0),'PAYG worksheet'!$AO$706:$AY$725,COUNTA($C$707:$C711)+1,0),
0)</f>
        <v>1680</v>
      </c>
      <c r="BA711" s="118"/>
      <c r="BB711" s="118">
        <f t="shared" si="759"/>
        <v>2445</v>
      </c>
      <c r="BC711" s="119">
        <f>IFERROR(
IF(OR($AE711=1,$AE711=""),SUM($P711,$AA711,$AC711,$AK711)*VLOOKUP($C711,'Employee information'!$B:$Q,COLUMNS('Employee information'!$B:$H),0),
IF($AE711=0,SUM($P711,$AA711,$AK711)*VLOOKUP($C711,'Employee information'!$B:$Q,COLUMNS('Employee information'!$B:$H),0),
0)),
0)</f>
        <v>391.875</v>
      </c>
      <c r="BE711" s="114">
        <f t="shared" si="744"/>
        <v>103225</v>
      </c>
      <c r="BF711" s="114">
        <f t="shared" si="745"/>
        <v>103225</v>
      </c>
      <c r="BG711" s="114">
        <f t="shared" si="746"/>
        <v>0</v>
      </c>
      <c r="BH711" s="114">
        <f t="shared" si="747"/>
        <v>0</v>
      </c>
      <c r="BI711" s="114">
        <f t="shared" si="748"/>
        <v>42048</v>
      </c>
      <c r="BJ711" s="114">
        <f t="shared" si="749"/>
        <v>0</v>
      </c>
      <c r="BK711" s="114">
        <f t="shared" si="750"/>
        <v>0</v>
      </c>
      <c r="BL711" s="114">
        <f t="shared" si="760"/>
        <v>100</v>
      </c>
      <c r="BM711" s="114">
        <f t="shared" si="751"/>
        <v>9806.375</v>
      </c>
    </row>
    <row r="712" spans="1:65" x14ac:dyDescent="0.25">
      <c r="A712" s="228">
        <f t="shared" si="739"/>
        <v>25</v>
      </c>
      <c r="C712" s="278" t="s">
        <v>17</v>
      </c>
      <c r="E712" s="103">
        <f>IF($C712="",0,
IF(AND($E$2="Monthly",$A712&gt;12),0,
IF($E$2="Monthly",VLOOKUP($C712,'Employee information'!$B:$AM,COLUMNS('Employee information'!$B:S),0),
IF($E$2="Fortnightly",VLOOKUP($C712,'Employee information'!$B:$AM,COLUMNS('Employee information'!$B:R),0),
0))))</f>
        <v>75</v>
      </c>
      <c r="F712" s="106"/>
      <c r="G712" s="106"/>
      <c r="H712" s="106"/>
      <c r="I712" s="106"/>
      <c r="J712" s="103">
        <f t="shared" si="752"/>
        <v>75</v>
      </c>
      <c r="L712" s="113">
        <f>IF(AND($E$2="Monthly",$A712&gt;12),"",
IFERROR($J712*VLOOKUP($C712,'Employee information'!$B:$AI,COLUMNS('Employee information'!$B:$P),0),0))</f>
        <v>2500</v>
      </c>
      <c r="M712" s="114">
        <f t="shared" si="753"/>
        <v>62500</v>
      </c>
      <c r="O712" s="103">
        <f t="shared" si="754"/>
        <v>75</v>
      </c>
      <c r="P712" s="113">
        <f>IFERROR(
IF(AND($E$2="Monthly",$A712&gt;12),0,
$O712*VLOOKUP($C712,'Employee information'!$B:$AI,COLUMNS('Employee information'!$B:$P),0)),
0)</f>
        <v>2500</v>
      </c>
      <c r="R712" s="114">
        <f t="shared" si="740"/>
        <v>62500</v>
      </c>
      <c r="T712" s="103"/>
      <c r="U712" s="103"/>
      <c r="V712" s="282">
        <f>IF($C712="","",
IF(AND($E$2="Monthly",$A712&gt;12),"",
$T712*VLOOKUP($C712,'Employee information'!$B:$P,COLUMNS('Employee information'!$B:$P),0)))</f>
        <v>0</v>
      </c>
      <c r="W712" s="282">
        <f>IF($C712="","",
IF(AND($E$2="Monthly",$A712&gt;12),"",
$U712*VLOOKUP($C712,'Employee information'!$B:$P,COLUMNS('Employee information'!$B:$P),0)))</f>
        <v>0</v>
      </c>
      <c r="X712" s="114">
        <f t="shared" si="741"/>
        <v>0</v>
      </c>
      <c r="Y712" s="114">
        <f t="shared" si="742"/>
        <v>0</v>
      </c>
      <c r="AA712" s="118">
        <f>IFERROR(
IF(OR('Basic payroll data'!$D$12="",'Basic payroll data'!$D$12="No"),0,
$T712*VLOOKUP($C712,'Employee information'!$B:$P,COLUMNS('Employee information'!$B:$P),0)*AL_loading_perc),
0)</f>
        <v>0</v>
      </c>
      <c r="AC712" s="118"/>
      <c r="AD712" s="118"/>
      <c r="AE712" s="283" t="str">
        <f t="shared" si="755"/>
        <v/>
      </c>
      <c r="AF712" s="283" t="str">
        <f t="shared" si="756"/>
        <v/>
      </c>
      <c r="AG712" s="118"/>
      <c r="AH712" s="118"/>
      <c r="AI712" s="283" t="str">
        <f t="shared" si="757"/>
        <v/>
      </c>
      <c r="AJ712" s="118"/>
      <c r="AK712" s="118"/>
      <c r="AM712" s="118">
        <f t="shared" si="758"/>
        <v>2500</v>
      </c>
      <c r="AN712" s="118">
        <f t="shared" si="743"/>
        <v>2500</v>
      </c>
      <c r="AO712" s="118" t="str">
        <f>IFERROR(
IF(VLOOKUP($C712,'Employee information'!$B:$M,COLUMNS('Employee information'!$B:$M),0)=1,
IF($E$2="Fortnightly",
ROUND(
ROUND((((TRUNC($AN712/2,0)+0.99))*VLOOKUP((TRUNC($AN712/2,0)+0.99),'Tax scales - NAT 1004'!$A$12:$C$18,2,1)-VLOOKUP((TRUNC($AN712/2,0)+0.99),'Tax scales - NAT 1004'!$A$12:$C$18,3,1)),0)
*2,
0),
IF(AND($E$2="Monthly",ROUND($AN712-TRUNC($AN712),2)=0.33),
ROUND(
ROUND(((TRUNC(($AN712+0.01)*3/13,0)+0.99)*VLOOKUP((TRUNC(($AN712+0.01)*3/13,0)+0.99),'Tax scales - NAT 1004'!$A$12:$C$18,2,1)-VLOOKUP((TRUNC(($AN712+0.01)*3/13,0)+0.99),'Tax scales - NAT 1004'!$A$12:$C$18,3,1)),0)
*13/3,
0),
IF($E$2="Monthly",
ROUND(
ROUND(((TRUNC($AN712*3/13,0)+0.99)*VLOOKUP((TRUNC($AN712*3/13,0)+0.99),'Tax scales - NAT 1004'!$A$12:$C$18,2,1)-VLOOKUP((TRUNC($AN712*3/13,0)+0.99),'Tax scales - NAT 1004'!$A$12:$C$18,3,1)),0)
*13/3,
0),
""))),
""),
"")</f>
        <v/>
      </c>
      <c r="AP712" s="118" t="str">
        <f>IFERROR(
IF(VLOOKUP($C712,'Employee information'!$B:$M,COLUMNS('Employee information'!$B:$M),0)=2,
IF($E$2="Fortnightly",
ROUND(
ROUND((((TRUNC($AN712/2,0)+0.99))*VLOOKUP((TRUNC($AN712/2,0)+0.99),'Tax scales - NAT 1004'!$A$25:$C$33,2,1)-VLOOKUP((TRUNC($AN712/2,0)+0.99),'Tax scales - NAT 1004'!$A$25:$C$33,3,1)),0)
*2,
0),
IF(AND($E$2="Monthly",ROUND($AN712-TRUNC($AN712),2)=0.33),
ROUND(
ROUND(((TRUNC(($AN712+0.01)*3/13,0)+0.99)*VLOOKUP((TRUNC(($AN712+0.01)*3/13,0)+0.99),'Tax scales - NAT 1004'!$A$25:$C$33,2,1)-VLOOKUP((TRUNC(($AN712+0.01)*3/13,0)+0.99),'Tax scales - NAT 1004'!$A$25:$C$33,3,1)),0)
*13/3,
0),
IF($E$2="Monthly",
ROUND(
ROUND(((TRUNC($AN712*3/13,0)+0.99)*VLOOKUP((TRUNC($AN712*3/13,0)+0.99),'Tax scales - NAT 1004'!$A$25:$C$33,2,1)-VLOOKUP((TRUNC($AN712*3/13,0)+0.99),'Tax scales - NAT 1004'!$A$25:$C$33,3,1)),0)
*13/3,
0),
""))),
""),
"")</f>
        <v/>
      </c>
      <c r="AQ712" s="118" t="str">
        <f>IFERROR(
IF(VLOOKUP($C712,'Employee information'!$B:$M,COLUMNS('Employee information'!$B:$M),0)=3,
IF($E$2="Fortnightly",
ROUND(
ROUND((((TRUNC($AN712/2,0)+0.99))*VLOOKUP((TRUNC($AN712/2,0)+0.99),'Tax scales - NAT 1004'!$A$39:$C$41,2,1)-VLOOKUP((TRUNC($AN712/2,0)+0.99),'Tax scales - NAT 1004'!$A$39:$C$41,3,1)),0)
*2,
0),
IF(AND($E$2="Monthly",ROUND($AN712-TRUNC($AN712),2)=0.33),
ROUND(
ROUND(((TRUNC(($AN712+0.01)*3/13,0)+0.99)*VLOOKUP((TRUNC(($AN712+0.01)*3/13,0)+0.99),'Tax scales - NAT 1004'!$A$39:$C$41,2,1)-VLOOKUP((TRUNC(($AN712+0.01)*3/13,0)+0.99),'Tax scales - NAT 1004'!$A$39:$C$41,3,1)),0)
*13/3,
0),
IF($E$2="Monthly",
ROUND(
ROUND(((TRUNC($AN712*3/13,0)+0.99)*VLOOKUP((TRUNC($AN712*3/13,0)+0.99),'Tax scales - NAT 1004'!$A$39:$C$41,2,1)-VLOOKUP((TRUNC($AN712*3/13,0)+0.99),'Tax scales - NAT 1004'!$A$39:$C$41,3,1)),0)
*13/3,
0),
""))),
""),
"")</f>
        <v/>
      </c>
      <c r="AR712" s="118">
        <f>IFERROR(
IF(AND(VLOOKUP($C712,'Employee information'!$B:$M,COLUMNS('Employee information'!$B:$M),0)=4,
VLOOKUP($C712,'Employee information'!$B:$J,COLUMNS('Employee information'!$B:$J),0)="Resident"),
TRUNC(TRUNC($AN712)*'Tax scales - NAT 1004'!$B$47),
IF(AND(VLOOKUP($C712,'Employee information'!$B:$M,COLUMNS('Employee information'!$B:$M),0)=4,
VLOOKUP($C712,'Employee information'!$B:$J,COLUMNS('Employee information'!$B:$J),0)="Foreign resident"),
TRUNC(TRUNC($AN712)*'Tax scales - NAT 1004'!$B$48),
"")),
"")</f>
        <v>1175</v>
      </c>
      <c r="AS712" s="118" t="str">
        <f>IFERROR(
IF(VLOOKUP($C712,'Employee information'!$B:$M,COLUMNS('Employee information'!$B:$M),0)=5,
IF($E$2="Fortnightly",
ROUND(
ROUND((((TRUNC($AN712/2,0)+0.99))*VLOOKUP((TRUNC($AN712/2,0)+0.99),'Tax scales - NAT 1004'!$A$53:$C$59,2,1)-VLOOKUP((TRUNC($AN712/2,0)+0.99),'Tax scales - NAT 1004'!$A$53:$C$59,3,1)),0)
*2,
0),
IF(AND($E$2="Monthly",ROUND($AN712-TRUNC($AN712),2)=0.33),
ROUND(
ROUND(((TRUNC(($AN712+0.01)*3/13,0)+0.99)*VLOOKUP((TRUNC(($AN712+0.01)*3/13,0)+0.99),'Tax scales - NAT 1004'!$A$53:$C$59,2,1)-VLOOKUP((TRUNC(($AN712+0.01)*3/13,0)+0.99),'Tax scales - NAT 1004'!$A$53:$C$59,3,1)),0)
*13/3,
0),
IF($E$2="Monthly",
ROUND(
ROUND(((TRUNC($AN712*3/13,0)+0.99)*VLOOKUP((TRUNC($AN712*3/13,0)+0.99),'Tax scales - NAT 1004'!$A$53:$C$59,2,1)-VLOOKUP((TRUNC($AN712*3/13,0)+0.99),'Tax scales - NAT 1004'!$A$53:$C$59,3,1)),0)
*13/3,
0),
""))),
""),
"")</f>
        <v/>
      </c>
      <c r="AT712" s="118" t="str">
        <f>IFERROR(
IF(VLOOKUP($C712,'Employee information'!$B:$M,COLUMNS('Employee information'!$B:$M),0)=6,
IF($E$2="Fortnightly",
ROUND(
ROUND((((TRUNC($AN712/2,0)+0.99))*VLOOKUP((TRUNC($AN712/2,0)+0.99),'Tax scales - NAT 1004'!$A$65:$C$73,2,1)-VLOOKUP((TRUNC($AN712/2,0)+0.99),'Tax scales - NAT 1004'!$A$65:$C$73,3,1)),0)
*2,
0),
IF(AND($E$2="Monthly",ROUND($AN712-TRUNC($AN712),2)=0.33),
ROUND(
ROUND(((TRUNC(($AN712+0.01)*3/13,0)+0.99)*VLOOKUP((TRUNC(($AN712+0.01)*3/13,0)+0.99),'Tax scales - NAT 1004'!$A$65:$C$73,2,1)-VLOOKUP((TRUNC(($AN712+0.01)*3/13,0)+0.99),'Tax scales - NAT 1004'!$A$65:$C$73,3,1)),0)
*13/3,
0),
IF($E$2="Monthly",
ROUND(
ROUND(((TRUNC($AN712*3/13,0)+0.99)*VLOOKUP((TRUNC($AN712*3/13,0)+0.99),'Tax scales - NAT 1004'!$A$65:$C$73,2,1)-VLOOKUP((TRUNC($AN712*3/13,0)+0.99),'Tax scales - NAT 1004'!$A$65:$C$73,3,1)),0)
*13/3,
0),
""))),
""),
"")</f>
        <v/>
      </c>
      <c r="AU712" s="118" t="str">
        <f>IFERROR(
IF(VLOOKUP($C712,'Employee information'!$B:$M,COLUMNS('Employee information'!$B:$M),0)=11,
IF($E$2="Fortnightly",
ROUND(
ROUND((((TRUNC($AN712/2,0)+0.99))*VLOOKUP((TRUNC($AN712/2,0)+0.99),'Tax scales - NAT 3539'!$A$14:$C$38,2,1)-VLOOKUP((TRUNC($AN712/2,0)+0.99),'Tax scales - NAT 3539'!$A$14:$C$38,3,1)),0)
*2,
0),
IF(AND($E$2="Monthly",ROUND($AN712-TRUNC($AN712),2)=0.33),
ROUND(
ROUND(((TRUNC(($AN712+0.01)*3/13,0)+0.99)*VLOOKUP((TRUNC(($AN712+0.01)*3/13,0)+0.99),'Tax scales - NAT 3539'!$A$14:$C$38,2,1)-VLOOKUP((TRUNC(($AN712+0.01)*3/13,0)+0.99),'Tax scales - NAT 3539'!$A$14:$C$38,3,1)),0)
*13/3,
0),
IF($E$2="Monthly",
ROUND(
ROUND(((TRUNC($AN712*3/13,0)+0.99)*VLOOKUP((TRUNC($AN712*3/13,0)+0.99),'Tax scales - NAT 3539'!$A$14:$C$38,2,1)-VLOOKUP((TRUNC($AN712*3/13,0)+0.99),'Tax scales - NAT 3539'!$A$14:$C$38,3,1)),0)
*13/3,
0),
""))),
""),
"")</f>
        <v/>
      </c>
      <c r="AV712" s="118" t="str">
        <f>IFERROR(
IF(VLOOKUP($C712,'Employee information'!$B:$M,COLUMNS('Employee information'!$B:$M),0)=22,
IF($E$2="Fortnightly",
ROUND(
ROUND((((TRUNC($AN712/2,0)+0.99))*VLOOKUP((TRUNC($AN712/2,0)+0.99),'Tax scales - NAT 3539'!$A$43:$C$69,2,1)-VLOOKUP((TRUNC($AN712/2,0)+0.99),'Tax scales - NAT 3539'!$A$43:$C$69,3,1)),0)
*2,
0),
IF(AND($E$2="Monthly",ROUND($AN712-TRUNC($AN712),2)=0.33),
ROUND(
ROUND(((TRUNC(($AN712+0.01)*3/13,0)+0.99)*VLOOKUP((TRUNC(($AN712+0.01)*3/13,0)+0.99),'Tax scales - NAT 3539'!$A$43:$C$69,2,1)-VLOOKUP((TRUNC(($AN712+0.01)*3/13,0)+0.99),'Tax scales - NAT 3539'!$A$43:$C$69,3,1)),0)
*13/3,
0),
IF($E$2="Monthly",
ROUND(
ROUND(((TRUNC($AN712*3/13,0)+0.99)*VLOOKUP((TRUNC($AN712*3/13,0)+0.99),'Tax scales - NAT 3539'!$A$43:$C$69,2,1)-VLOOKUP((TRUNC($AN712*3/13,0)+0.99),'Tax scales - NAT 3539'!$A$43:$C$69,3,1)),0)
*13/3,
0),
""))),
""),
"")</f>
        <v/>
      </c>
      <c r="AW712" s="118" t="str">
        <f>IFERROR(
IF(VLOOKUP($C712,'Employee information'!$B:$M,COLUMNS('Employee information'!$B:$M),0)=33,
IF($E$2="Fortnightly",
ROUND(
ROUND((((TRUNC($AN712/2,0)+0.99))*VLOOKUP((TRUNC($AN712/2,0)+0.99),'Tax scales - NAT 3539'!$A$74:$C$94,2,1)-VLOOKUP((TRUNC($AN712/2,0)+0.99),'Tax scales - NAT 3539'!$A$74:$C$94,3,1)),0)
*2,
0),
IF(AND($E$2="Monthly",ROUND($AN712-TRUNC($AN712),2)=0.33),
ROUND(
ROUND(((TRUNC(($AN712+0.01)*3/13,0)+0.99)*VLOOKUP((TRUNC(($AN712+0.01)*3/13,0)+0.99),'Tax scales - NAT 3539'!$A$74:$C$94,2,1)-VLOOKUP((TRUNC(($AN712+0.01)*3/13,0)+0.99),'Tax scales - NAT 3539'!$A$74:$C$94,3,1)),0)
*13/3,
0),
IF($E$2="Monthly",
ROUND(
ROUND(((TRUNC($AN712*3/13,0)+0.99)*VLOOKUP((TRUNC($AN712*3/13,0)+0.99),'Tax scales - NAT 3539'!$A$74:$C$94,2,1)-VLOOKUP((TRUNC($AN712*3/13,0)+0.99),'Tax scales - NAT 3539'!$A$74:$C$94,3,1)),0)
*13/3,
0),
""))),
""),
"")</f>
        <v/>
      </c>
      <c r="AX712" s="118" t="str">
        <f>IFERROR(
IF(VLOOKUP($C712,'Employee information'!$B:$M,COLUMNS('Employee information'!$B:$M),0)=55,
IF($E$2="Fortnightly",
ROUND(
ROUND((((TRUNC($AN712/2,0)+0.99))*VLOOKUP((TRUNC($AN712/2,0)+0.99),'Tax scales - NAT 3539'!$A$99:$C$123,2,1)-VLOOKUP((TRUNC($AN712/2,0)+0.99),'Tax scales - NAT 3539'!$A$99:$C$123,3,1)),0)
*2,
0),
IF(AND($E$2="Monthly",ROUND($AN712-TRUNC($AN712),2)=0.33),
ROUND(
ROUND(((TRUNC(($AN712+0.01)*3/13,0)+0.99)*VLOOKUP((TRUNC(($AN712+0.01)*3/13,0)+0.99),'Tax scales - NAT 3539'!$A$99:$C$123,2,1)-VLOOKUP((TRUNC(($AN712+0.01)*3/13,0)+0.99),'Tax scales - NAT 3539'!$A$99:$C$123,3,1)),0)
*13/3,
0),
IF($E$2="Monthly",
ROUND(
ROUND(((TRUNC($AN712*3/13,0)+0.99)*VLOOKUP((TRUNC($AN712*3/13,0)+0.99),'Tax scales - NAT 3539'!$A$99:$C$123,2,1)-VLOOKUP((TRUNC($AN712*3/13,0)+0.99),'Tax scales - NAT 3539'!$A$99:$C$123,3,1)),0)
*13/3,
0),
""))),
""),
"")</f>
        <v/>
      </c>
      <c r="AY712" s="118" t="str">
        <f>IFERROR(
IF(VLOOKUP($C712,'Employee information'!$B:$M,COLUMNS('Employee information'!$B:$M),0)=66,
IF($E$2="Fortnightly",
ROUND(
ROUND((((TRUNC($AN712/2,0)+0.99))*VLOOKUP((TRUNC($AN712/2,0)+0.99),'Tax scales - NAT 3539'!$A$127:$C$154,2,1)-VLOOKUP((TRUNC($AN712/2,0)+0.99),'Tax scales - NAT 3539'!$A$127:$C$154,3,1)),0)
*2,
0),
IF(AND($E$2="Monthly",ROUND($AN712-TRUNC($AN712),2)=0.33),
ROUND(
ROUND(((TRUNC(($AN712+0.01)*3/13,0)+0.99)*VLOOKUP((TRUNC(($AN712+0.01)*3/13,0)+0.99),'Tax scales - NAT 3539'!$A$127:$C$154,2,1)-VLOOKUP((TRUNC(($AN712+0.01)*3/13,0)+0.99),'Tax scales - NAT 3539'!$A$127:$C$154,3,1)),0)
*13/3,
0),
IF($E$2="Monthly",
ROUND(
ROUND(((TRUNC($AN712*3/13,0)+0.99)*VLOOKUP((TRUNC($AN712*3/13,0)+0.99),'Tax scales - NAT 3539'!$A$127:$C$154,2,1)-VLOOKUP((TRUNC($AN712*3/13,0)+0.99),'Tax scales - NAT 3539'!$A$127:$C$154,3,1)),0)
*13/3,
0),
""))),
""),
"")</f>
        <v/>
      </c>
      <c r="AZ712" s="118">
        <f>IFERROR(
HLOOKUP(VLOOKUP($C712,'Employee information'!$B:$M,COLUMNS('Employee information'!$B:$M),0),'PAYG worksheet'!$AO$706:$AY$725,COUNTA($C$707:$C712)+1,0),
0)</f>
        <v>1175</v>
      </c>
      <c r="BA712" s="118"/>
      <c r="BB712" s="118">
        <f t="shared" si="759"/>
        <v>1325</v>
      </c>
      <c r="BC712" s="119">
        <f>IFERROR(
IF(OR($AE712=1,$AE712=""),SUM($P712,$AA712,$AC712,$AK712)*VLOOKUP($C712,'Employee information'!$B:$Q,COLUMNS('Employee information'!$B:$H),0),
IF($AE712=0,SUM($P712,$AA712,$AK712)*VLOOKUP($C712,'Employee information'!$B:$Q,COLUMNS('Employee information'!$B:$H),0),
0)),
0)</f>
        <v>237.5</v>
      </c>
      <c r="BE712" s="114">
        <f t="shared" si="744"/>
        <v>62500</v>
      </c>
      <c r="BF712" s="114">
        <f t="shared" si="745"/>
        <v>62500</v>
      </c>
      <c r="BG712" s="114">
        <f t="shared" si="746"/>
        <v>0</v>
      </c>
      <c r="BH712" s="114">
        <f t="shared" si="747"/>
        <v>0</v>
      </c>
      <c r="BI712" s="114">
        <f t="shared" si="748"/>
        <v>29375</v>
      </c>
      <c r="BJ712" s="114">
        <f t="shared" si="749"/>
        <v>0</v>
      </c>
      <c r="BK712" s="114">
        <f t="shared" si="750"/>
        <v>0</v>
      </c>
      <c r="BL712" s="114">
        <f t="shared" si="760"/>
        <v>0</v>
      </c>
      <c r="BM712" s="114">
        <f t="shared" si="751"/>
        <v>5937.5</v>
      </c>
    </row>
    <row r="713" spans="1:65" x14ac:dyDescent="0.25">
      <c r="A713" s="228">
        <f t="shared" si="739"/>
        <v>25</v>
      </c>
      <c r="C713" s="278" t="s">
        <v>95</v>
      </c>
      <c r="E713" s="103">
        <f>IF($C713="",0,
IF(AND($E$2="Monthly",$A713&gt;12),0,
IF($E$2="Monthly",VLOOKUP($C713,'Employee information'!$B:$AM,COLUMNS('Employee information'!$B:S),0),
IF($E$2="Fortnightly",VLOOKUP($C713,'Employee information'!$B:$AM,COLUMNS('Employee information'!$B:R),0),
0))))</f>
        <v>45</v>
      </c>
      <c r="F713" s="106"/>
      <c r="G713" s="106"/>
      <c r="H713" s="106"/>
      <c r="I713" s="106"/>
      <c r="J713" s="103">
        <f t="shared" si="752"/>
        <v>45</v>
      </c>
      <c r="L713" s="113">
        <f>IF(AND($E$2="Monthly",$A713&gt;12),"",
IFERROR($J713*VLOOKUP($C713,'Employee information'!$B:$AI,COLUMNS('Employee information'!$B:$P),0),0))</f>
        <v>1107.6923076923078</v>
      </c>
      <c r="M713" s="114">
        <f t="shared" si="753"/>
        <v>27692.307692307706</v>
      </c>
      <c r="O713" s="103">
        <f t="shared" si="754"/>
        <v>45</v>
      </c>
      <c r="P713" s="113">
        <f>IFERROR(
IF(AND($E$2="Monthly",$A713&gt;12),0,
$O713*VLOOKUP($C713,'Employee information'!$B:$AI,COLUMNS('Employee information'!$B:$P),0)),
0)</f>
        <v>1107.6923076923078</v>
      </c>
      <c r="R713" s="114">
        <f t="shared" si="740"/>
        <v>27692.307692307706</v>
      </c>
      <c r="T713" s="103"/>
      <c r="U713" s="103"/>
      <c r="V713" s="282">
        <f>IF($C713="","",
IF(AND($E$2="Monthly",$A713&gt;12),"",
$T713*VLOOKUP($C713,'Employee information'!$B:$P,COLUMNS('Employee information'!$B:$P),0)))</f>
        <v>0</v>
      </c>
      <c r="W713" s="282">
        <f>IF($C713="","",
IF(AND($E$2="Monthly",$A713&gt;12),"",
$U713*VLOOKUP($C713,'Employee information'!$B:$P,COLUMNS('Employee information'!$B:$P),0)))</f>
        <v>0</v>
      </c>
      <c r="X713" s="114">
        <f t="shared" si="741"/>
        <v>0</v>
      </c>
      <c r="Y713" s="114">
        <f t="shared" si="742"/>
        <v>0</v>
      </c>
      <c r="AA713" s="118">
        <f>IFERROR(
IF(OR('Basic payroll data'!$D$12="",'Basic payroll data'!$D$12="No"),0,
$T713*VLOOKUP($C713,'Employee information'!$B:$P,COLUMNS('Employee information'!$B:$P),0)*AL_loading_perc),
0)</f>
        <v>0</v>
      </c>
      <c r="AC713" s="118"/>
      <c r="AD713" s="118"/>
      <c r="AE713" s="283" t="str">
        <f t="shared" si="755"/>
        <v/>
      </c>
      <c r="AF713" s="283" t="str">
        <f t="shared" si="756"/>
        <v/>
      </c>
      <c r="AG713" s="118"/>
      <c r="AH713" s="118"/>
      <c r="AI713" s="283" t="str">
        <f t="shared" si="757"/>
        <v/>
      </c>
      <c r="AJ713" s="118"/>
      <c r="AK713" s="118"/>
      <c r="AM713" s="118">
        <f t="shared" si="758"/>
        <v>1107.6923076923078</v>
      </c>
      <c r="AN713" s="118">
        <f t="shared" si="743"/>
        <v>1107.6923076923078</v>
      </c>
      <c r="AO713" s="118" t="str">
        <f>IFERROR(
IF(VLOOKUP($C713,'Employee information'!$B:$M,COLUMNS('Employee information'!$B:$M),0)=1,
IF($E$2="Fortnightly",
ROUND(
ROUND((((TRUNC($AN713/2,0)+0.99))*VLOOKUP((TRUNC($AN713/2,0)+0.99),'Tax scales - NAT 1004'!$A$12:$C$18,2,1)-VLOOKUP((TRUNC($AN713/2,0)+0.99),'Tax scales - NAT 1004'!$A$12:$C$18,3,1)),0)
*2,
0),
IF(AND($E$2="Monthly",ROUND($AN713-TRUNC($AN713),2)=0.33),
ROUND(
ROUND(((TRUNC(($AN713+0.01)*3/13,0)+0.99)*VLOOKUP((TRUNC(($AN713+0.01)*3/13,0)+0.99),'Tax scales - NAT 1004'!$A$12:$C$18,2,1)-VLOOKUP((TRUNC(($AN713+0.01)*3/13,0)+0.99),'Tax scales - NAT 1004'!$A$12:$C$18,3,1)),0)
*13/3,
0),
IF($E$2="Monthly",
ROUND(
ROUND(((TRUNC($AN713*3/13,0)+0.99)*VLOOKUP((TRUNC($AN713*3/13,0)+0.99),'Tax scales - NAT 1004'!$A$12:$C$18,2,1)-VLOOKUP((TRUNC($AN713*3/13,0)+0.99),'Tax scales - NAT 1004'!$A$12:$C$18,3,1)),0)
*13/3,
0),
""))),
""),
"")</f>
        <v/>
      </c>
      <c r="AP713" s="118" t="str">
        <f>IFERROR(
IF(VLOOKUP($C713,'Employee information'!$B:$M,COLUMNS('Employee information'!$B:$M),0)=2,
IF($E$2="Fortnightly",
ROUND(
ROUND((((TRUNC($AN713/2,0)+0.99))*VLOOKUP((TRUNC($AN713/2,0)+0.99),'Tax scales - NAT 1004'!$A$25:$C$33,2,1)-VLOOKUP((TRUNC($AN713/2,0)+0.99),'Tax scales - NAT 1004'!$A$25:$C$33,3,1)),0)
*2,
0),
IF(AND($E$2="Monthly",ROUND($AN713-TRUNC($AN713),2)=0.33),
ROUND(
ROUND(((TRUNC(($AN713+0.01)*3/13,0)+0.99)*VLOOKUP((TRUNC(($AN713+0.01)*3/13,0)+0.99),'Tax scales - NAT 1004'!$A$25:$C$33,2,1)-VLOOKUP((TRUNC(($AN713+0.01)*3/13,0)+0.99),'Tax scales - NAT 1004'!$A$25:$C$33,3,1)),0)
*13/3,
0),
IF($E$2="Monthly",
ROUND(
ROUND(((TRUNC($AN713*3/13,0)+0.99)*VLOOKUP((TRUNC($AN713*3/13,0)+0.99),'Tax scales - NAT 1004'!$A$25:$C$33,2,1)-VLOOKUP((TRUNC($AN713*3/13,0)+0.99),'Tax scales - NAT 1004'!$A$25:$C$33,3,1)),0)
*13/3,
0),
""))),
""),
"")</f>
        <v/>
      </c>
      <c r="AQ713" s="118" t="str">
        <f>IFERROR(
IF(VLOOKUP($C713,'Employee information'!$B:$M,COLUMNS('Employee information'!$B:$M),0)=3,
IF($E$2="Fortnightly",
ROUND(
ROUND((((TRUNC($AN713/2,0)+0.99))*VLOOKUP((TRUNC($AN713/2,0)+0.99),'Tax scales - NAT 1004'!$A$39:$C$41,2,1)-VLOOKUP((TRUNC($AN713/2,0)+0.99),'Tax scales - NAT 1004'!$A$39:$C$41,3,1)),0)
*2,
0),
IF(AND($E$2="Monthly",ROUND($AN713-TRUNC($AN713),2)=0.33),
ROUND(
ROUND(((TRUNC(($AN713+0.01)*3/13,0)+0.99)*VLOOKUP((TRUNC(($AN713+0.01)*3/13,0)+0.99),'Tax scales - NAT 1004'!$A$39:$C$41,2,1)-VLOOKUP((TRUNC(($AN713+0.01)*3/13,0)+0.99),'Tax scales - NAT 1004'!$A$39:$C$41,3,1)),0)
*13/3,
0),
IF($E$2="Monthly",
ROUND(
ROUND(((TRUNC($AN713*3/13,0)+0.99)*VLOOKUP((TRUNC($AN713*3/13,0)+0.99),'Tax scales - NAT 1004'!$A$39:$C$41,2,1)-VLOOKUP((TRUNC($AN713*3/13,0)+0.99),'Tax scales - NAT 1004'!$A$39:$C$41,3,1)),0)
*13/3,
0),
""))),
""),
"")</f>
        <v/>
      </c>
      <c r="AR713" s="118" t="str">
        <f>IFERROR(
IF(AND(VLOOKUP($C713,'Employee information'!$B:$M,COLUMNS('Employee information'!$B:$M),0)=4,
VLOOKUP($C713,'Employee information'!$B:$J,COLUMNS('Employee information'!$B:$J),0)="Resident"),
TRUNC(TRUNC($AN713)*'Tax scales - NAT 1004'!$B$47),
IF(AND(VLOOKUP($C713,'Employee information'!$B:$M,COLUMNS('Employee information'!$B:$M),0)=4,
VLOOKUP($C713,'Employee information'!$B:$J,COLUMNS('Employee information'!$B:$J),0)="Foreign resident"),
TRUNC(TRUNC($AN713)*'Tax scales - NAT 1004'!$B$48),
"")),
"")</f>
        <v/>
      </c>
      <c r="AS713" s="118" t="str">
        <f>IFERROR(
IF(VLOOKUP($C713,'Employee information'!$B:$M,COLUMNS('Employee information'!$B:$M),0)=5,
IF($E$2="Fortnightly",
ROUND(
ROUND((((TRUNC($AN713/2,0)+0.99))*VLOOKUP((TRUNC($AN713/2,0)+0.99),'Tax scales - NAT 1004'!$A$53:$C$59,2,1)-VLOOKUP((TRUNC($AN713/2,0)+0.99),'Tax scales - NAT 1004'!$A$53:$C$59,3,1)),0)
*2,
0),
IF(AND($E$2="Monthly",ROUND($AN713-TRUNC($AN713),2)=0.33),
ROUND(
ROUND(((TRUNC(($AN713+0.01)*3/13,0)+0.99)*VLOOKUP((TRUNC(($AN713+0.01)*3/13,0)+0.99),'Tax scales - NAT 1004'!$A$53:$C$59,2,1)-VLOOKUP((TRUNC(($AN713+0.01)*3/13,0)+0.99),'Tax scales - NAT 1004'!$A$53:$C$59,3,1)),0)
*13/3,
0),
IF($E$2="Monthly",
ROUND(
ROUND(((TRUNC($AN713*3/13,0)+0.99)*VLOOKUP((TRUNC($AN713*3/13,0)+0.99),'Tax scales - NAT 1004'!$A$53:$C$59,2,1)-VLOOKUP((TRUNC($AN713*3/13,0)+0.99),'Tax scales - NAT 1004'!$A$53:$C$59,3,1)),0)
*13/3,
0),
""))),
""),
"")</f>
        <v/>
      </c>
      <c r="AT713" s="118" t="str">
        <f>IFERROR(
IF(VLOOKUP($C713,'Employee information'!$B:$M,COLUMNS('Employee information'!$B:$M),0)=6,
IF($E$2="Fortnightly",
ROUND(
ROUND((((TRUNC($AN713/2,0)+0.99))*VLOOKUP((TRUNC($AN713/2,0)+0.99),'Tax scales - NAT 1004'!$A$65:$C$73,2,1)-VLOOKUP((TRUNC($AN713/2,0)+0.99),'Tax scales - NAT 1004'!$A$65:$C$73,3,1)),0)
*2,
0),
IF(AND($E$2="Monthly",ROUND($AN713-TRUNC($AN713),2)=0.33),
ROUND(
ROUND(((TRUNC(($AN713+0.01)*3/13,0)+0.99)*VLOOKUP((TRUNC(($AN713+0.01)*3/13,0)+0.99),'Tax scales - NAT 1004'!$A$65:$C$73,2,1)-VLOOKUP((TRUNC(($AN713+0.01)*3/13,0)+0.99),'Tax scales - NAT 1004'!$A$65:$C$73,3,1)),0)
*13/3,
0),
IF($E$2="Monthly",
ROUND(
ROUND(((TRUNC($AN713*3/13,0)+0.99)*VLOOKUP((TRUNC($AN713*3/13,0)+0.99),'Tax scales - NAT 1004'!$A$65:$C$73,2,1)-VLOOKUP((TRUNC($AN713*3/13,0)+0.99),'Tax scales - NAT 1004'!$A$65:$C$73,3,1)),0)
*13/3,
0),
""))),
""),
"")</f>
        <v/>
      </c>
      <c r="AU713" s="118" t="str">
        <f>IFERROR(
IF(VLOOKUP($C713,'Employee information'!$B:$M,COLUMNS('Employee information'!$B:$M),0)=11,
IF($E$2="Fortnightly",
ROUND(
ROUND((((TRUNC($AN713/2,0)+0.99))*VLOOKUP((TRUNC($AN713/2,0)+0.99),'Tax scales - NAT 3539'!$A$14:$C$38,2,1)-VLOOKUP((TRUNC($AN713/2,0)+0.99),'Tax scales - NAT 3539'!$A$14:$C$38,3,1)),0)
*2,
0),
IF(AND($E$2="Monthly",ROUND($AN713-TRUNC($AN713),2)=0.33),
ROUND(
ROUND(((TRUNC(($AN713+0.01)*3/13,0)+0.99)*VLOOKUP((TRUNC(($AN713+0.01)*3/13,0)+0.99),'Tax scales - NAT 3539'!$A$14:$C$38,2,1)-VLOOKUP((TRUNC(($AN713+0.01)*3/13,0)+0.99),'Tax scales - NAT 3539'!$A$14:$C$38,3,1)),0)
*13/3,
0),
IF($E$2="Monthly",
ROUND(
ROUND(((TRUNC($AN713*3/13,0)+0.99)*VLOOKUP((TRUNC($AN713*3/13,0)+0.99),'Tax scales - NAT 3539'!$A$14:$C$38,2,1)-VLOOKUP((TRUNC($AN713*3/13,0)+0.99),'Tax scales - NAT 3539'!$A$14:$C$38,3,1)),0)
*13/3,
0),
""))),
""),
"")</f>
        <v/>
      </c>
      <c r="AV713" s="118" t="str">
        <f>IFERROR(
IF(VLOOKUP($C713,'Employee information'!$B:$M,COLUMNS('Employee information'!$B:$M),0)=22,
IF($E$2="Fortnightly",
ROUND(
ROUND((((TRUNC($AN713/2,0)+0.99))*VLOOKUP((TRUNC($AN713/2,0)+0.99),'Tax scales - NAT 3539'!$A$43:$C$69,2,1)-VLOOKUP((TRUNC($AN713/2,0)+0.99),'Tax scales - NAT 3539'!$A$43:$C$69,3,1)),0)
*2,
0),
IF(AND($E$2="Monthly",ROUND($AN713-TRUNC($AN713),2)=0.33),
ROUND(
ROUND(((TRUNC(($AN713+0.01)*3/13,0)+0.99)*VLOOKUP((TRUNC(($AN713+0.01)*3/13,0)+0.99),'Tax scales - NAT 3539'!$A$43:$C$69,2,1)-VLOOKUP((TRUNC(($AN713+0.01)*3/13,0)+0.99),'Tax scales - NAT 3539'!$A$43:$C$69,3,1)),0)
*13/3,
0),
IF($E$2="Monthly",
ROUND(
ROUND(((TRUNC($AN713*3/13,0)+0.99)*VLOOKUP((TRUNC($AN713*3/13,0)+0.99),'Tax scales - NAT 3539'!$A$43:$C$69,2,1)-VLOOKUP((TRUNC($AN713*3/13,0)+0.99),'Tax scales - NAT 3539'!$A$43:$C$69,3,1)),0)
*13/3,
0),
""))),
""),
"")</f>
        <v/>
      </c>
      <c r="AW713" s="118" t="str">
        <f>IFERROR(
IF(VLOOKUP($C713,'Employee information'!$B:$M,COLUMNS('Employee information'!$B:$M),0)=33,
IF($E$2="Fortnightly",
ROUND(
ROUND((((TRUNC($AN713/2,0)+0.99))*VLOOKUP((TRUNC($AN713/2,0)+0.99),'Tax scales - NAT 3539'!$A$74:$C$94,2,1)-VLOOKUP((TRUNC($AN713/2,0)+0.99),'Tax scales - NAT 3539'!$A$74:$C$94,3,1)),0)
*2,
0),
IF(AND($E$2="Monthly",ROUND($AN713-TRUNC($AN713),2)=0.33),
ROUND(
ROUND(((TRUNC(($AN713+0.01)*3/13,0)+0.99)*VLOOKUP((TRUNC(($AN713+0.01)*3/13,0)+0.99),'Tax scales - NAT 3539'!$A$74:$C$94,2,1)-VLOOKUP((TRUNC(($AN713+0.01)*3/13,0)+0.99),'Tax scales - NAT 3539'!$A$74:$C$94,3,1)),0)
*13/3,
0),
IF($E$2="Monthly",
ROUND(
ROUND(((TRUNC($AN713*3/13,0)+0.99)*VLOOKUP((TRUNC($AN713*3/13,0)+0.99),'Tax scales - NAT 3539'!$A$74:$C$94,2,1)-VLOOKUP((TRUNC($AN713*3/13,0)+0.99),'Tax scales - NAT 3539'!$A$74:$C$94,3,1)),0)
*13/3,
0),
""))),
""),
"")</f>
        <v/>
      </c>
      <c r="AX713" s="118" t="str">
        <f>IFERROR(
IF(VLOOKUP($C713,'Employee information'!$B:$M,COLUMNS('Employee information'!$B:$M),0)=55,
IF($E$2="Fortnightly",
ROUND(
ROUND((((TRUNC($AN713/2,0)+0.99))*VLOOKUP((TRUNC($AN713/2,0)+0.99),'Tax scales - NAT 3539'!$A$99:$C$123,2,1)-VLOOKUP((TRUNC($AN713/2,0)+0.99),'Tax scales - NAT 3539'!$A$99:$C$123,3,1)),0)
*2,
0),
IF(AND($E$2="Monthly",ROUND($AN713-TRUNC($AN713),2)=0.33),
ROUND(
ROUND(((TRUNC(($AN713+0.01)*3/13,0)+0.99)*VLOOKUP((TRUNC(($AN713+0.01)*3/13,0)+0.99),'Tax scales - NAT 3539'!$A$99:$C$123,2,1)-VLOOKUP((TRUNC(($AN713+0.01)*3/13,0)+0.99),'Tax scales - NAT 3539'!$A$99:$C$123,3,1)),0)
*13/3,
0),
IF($E$2="Monthly",
ROUND(
ROUND(((TRUNC($AN713*3/13,0)+0.99)*VLOOKUP((TRUNC($AN713*3/13,0)+0.99),'Tax scales - NAT 3539'!$A$99:$C$123,2,1)-VLOOKUP((TRUNC($AN713*3/13,0)+0.99),'Tax scales - NAT 3539'!$A$99:$C$123,3,1)),0)
*13/3,
0),
""))),
""),
"")</f>
        <v/>
      </c>
      <c r="AY713" s="118">
        <f>IFERROR(
IF(VLOOKUP($C713,'Employee information'!$B:$M,COLUMNS('Employee information'!$B:$M),0)=66,
IF($E$2="Fortnightly",
ROUND(
ROUND((((TRUNC($AN713/2,0)+0.99))*VLOOKUP((TRUNC($AN713/2,0)+0.99),'Tax scales - NAT 3539'!$A$127:$C$154,2,1)-VLOOKUP((TRUNC($AN713/2,0)+0.99),'Tax scales - NAT 3539'!$A$127:$C$154,3,1)),0)
*2,
0),
IF(AND($E$2="Monthly",ROUND($AN713-TRUNC($AN713),2)=0.33),
ROUND(
ROUND(((TRUNC(($AN713+0.01)*3/13,0)+0.99)*VLOOKUP((TRUNC(($AN713+0.01)*3/13,0)+0.99),'Tax scales - NAT 3539'!$A$127:$C$154,2,1)-VLOOKUP((TRUNC(($AN713+0.01)*3/13,0)+0.99),'Tax scales - NAT 3539'!$A$127:$C$154,3,1)),0)
*13/3,
0),
IF($E$2="Monthly",
ROUND(
ROUND(((TRUNC($AN713*3/13,0)+0.99)*VLOOKUP((TRUNC($AN713*3/13,0)+0.99),'Tax scales - NAT 3539'!$A$127:$C$154,2,1)-VLOOKUP((TRUNC($AN713*3/13,0)+0.99),'Tax scales - NAT 3539'!$A$127:$C$154,3,1)),0)
*13/3,
0),
""))),
""),
"")</f>
        <v>74</v>
      </c>
      <c r="AZ713" s="118">
        <f>IFERROR(
HLOOKUP(VLOOKUP($C713,'Employee information'!$B:$M,COLUMNS('Employee information'!$B:$M),0),'PAYG worksheet'!$AO$706:$AY$725,COUNTA($C$707:$C713)+1,0),
0)</f>
        <v>74</v>
      </c>
      <c r="BA713" s="118"/>
      <c r="BB713" s="118">
        <f t="shared" si="759"/>
        <v>1033.6923076923078</v>
      </c>
      <c r="BC713" s="119">
        <f>IFERROR(
IF(OR($AE713=1,$AE713=""),SUM($P713,$AA713,$AC713,$AK713)*VLOOKUP($C713,'Employee information'!$B:$Q,COLUMNS('Employee information'!$B:$H),0),
IF($AE713=0,SUM($P713,$AA713,$AK713)*VLOOKUP($C713,'Employee information'!$B:$Q,COLUMNS('Employee information'!$B:$H),0),
0)),
0)</f>
        <v>105.23076923076924</v>
      </c>
      <c r="BE713" s="114">
        <f t="shared" si="744"/>
        <v>27692.307692307706</v>
      </c>
      <c r="BF713" s="114">
        <f t="shared" si="745"/>
        <v>27692.307692307706</v>
      </c>
      <c r="BG713" s="114">
        <f t="shared" si="746"/>
        <v>0</v>
      </c>
      <c r="BH713" s="114">
        <f t="shared" si="747"/>
        <v>0</v>
      </c>
      <c r="BI713" s="114">
        <f t="shared" si="748"/>
        <v>1850</v>
      </c>
      <c r="BJ713" s="114">
        <f t="shared" si="749"/>
        <v>0</v>
      </c>
      <c r="BK713" s="114">
        <f t="shared" si="750"/>
        <v>0</v>
      </c>
      <c r="BL713" s="114">
        <f t="shared" si="760"/>
        <v>0</v>
      </c>
      <c r="BM713" s="114">
        <f t="shared" si="751"/>
        <v>2630.7692307692305</v>
      </c>
    </row>
    <row r="714" spans="1:65" x14ac:dyDescent="0.25">
      <c r="A714" s="228">
        <f t="shared" si="739"/>
        <v>25</v>
      </c>
      <c r="C714" s="278"/>
      <c r="E714" s="103">
        <f>IF($C714="",0,
IF(AND($E$2="Monthly",$A714&gt;12),0,
IF($E$2="Monthly",VLOOKUP($C714,'Employee information'!$B:$AM,COLUMNS('Employee information'!$B:S),0),
IF($E$2="Fortnightly",VLOOKUP($C714,'Employee information'!$B:$AM,COLUMNS('Employee information'!$B:R),0),
0))))</f>
        <v>0</v>
      </c>
      <c r="F714" s="106"/>
      <c r="G714" s="106"/>
      <c r="H714" s="106"/>
      <c r="I714" s="106"/>
      <c r="J714" s="103">
        <f>IF($E$2="Monthly",
IF(AND($E$2="Monthly",$H714&lt;&gt;""),$H714,
IF(AND($E$2="Monthly",$E714=0),SUM($F714:$G714),
$E714)),
IF($E$2="Fortnightly",
IF(AND($E$2="Fortnightly",$H714&lt;&gt;""),$H714,
IF(AND($E$2="Fortnightly",$F714&lt;&gt;"",$E714&lt;&gt;0),$F714,
IF(AND($E$2="Fortnightly",$E714=0),SUM($F714:$G714),
$E714)))))</f>
        <v>0</v>
      </c>
      <c r="L714" s="113">
        <f>IF(AND($E$2="Monthly",$A714&gt;12),"",
IFERROR($J714*VLOOKUP($C714,'Employee information'!$B:$AI,COLUMNS('Employee information'!$B:$P),0),0))</f>
        <v>0</v>
      </c>
      <c r="M714" s="114">
        <f t="shared" si="753"/>
        <v>0</v>
      </c>
      <c r="O714" s="103">
        <f t="shared" si="754"/>
        <v>0</v>
      </c>
      <c r="P714" s="113">
        <f>IFERROR(
IF(AND($E$2="Monthly",$A714&gt;12),0,
$O714*VLOOKUP($C714,'Employee information'!$B:$AI,COLUMNS('Employee information'!$B:$P),0)),
0)</f>
        <v>0</v>
      </c>
      <c r="R714" s="114">
        <f t="shared" si="740"/>
        <v>0</v>
      </c>
      <c r="T714" s="103"/>
      <c r="U714" s="103"/>
      <c r="V714" s="282" t="str">
        <f>IF($C714="","",
IF(AND($E$2="Monthly",$A714&gt;12),"",
$T714*VLOOKUP($C714,'Employee information'!$B:$P,COLUMNS('Employee information'!$B:$P),0)))</f>
        <v/>
      </c>
      <c r="W714" s="282" t="str">
        <f>IF($C714="","",
IF(AND($E$2="Monthly",$A714&gt;12),"",
$U714*VLOOKUP($C714,'Employee information'!$B:$P,COLUMNS('Employee information'!$B:$P),0)))</f>
        <v/>
      </c>
      <c r="X714" s="114">
        <f t="shared" si="741"/>
        <v>0</v>
      </c>
      <c r="Y714" s="114">
        <f t="shared" si="742"/>
        <v>0</v>
      </c>
      <c r="AA714" s="118">
        <f>IFERROR(
IF(OR('Basic payroll data'!$D$12="",'Basic payroll data'!$D$12="No"),0,
$T714*VLOOKUP($C714,'Employee information'!$B:$P,COLUMNS('Employee information'!$B:$P),0)*AL_loading_perc),
0)</f>
        <v>0</v>
      </c>
      <c r="AC714" s="118"/>
      <c r="AD714" s="118"/>
      <c r="AE714" s="283" t="str">
        <f t="shared" si="755"/>
        <v/>
      </c>
      <c r="AF714" s="283" t="str">
        <f t="shared" si="756"/>
        <v/>
      </c>
      <c r="AG714" s="118"/>
      <c r="AH714" s="118"/>
      <c r="AI714" s="283" t="str">
        <f t="shared" si="757"/>
        <v/>
      </c>
      <c r="AJ714" s="118"/>
      <c r="AK714" s="118"/>
      <c r="AM714" s="118">
        <f t="shared" si="758"/>
        <v>0</v>
      </c>
      <c r="AN714" s="118">
        <f t="shared" si="743"/>
        <v>0</v>
      </c>
      <c r="AO714" s="118" t="str">
        <f>IFERROR(
IF(VLOOKUP($C714,'Employee information'!$B:$M,COLUMNS('Employee information'!$B:$M),0)=1,
IF($E$2="Fortnightly",
ROUND(
ROUND((((TRUNC($AN714/2,0)+0.99))*VLOOKUP((TRUNC($AN714/2,0)+0.99),'Tax scales - NAT 1004'!$A$12:$C$18,2,1)-VLOOKUP((TRUNC($AN714/2,0)+0.99),'Tax scales - NAT 1004'!$A$12:$C$18,3,1)),0)
*2,
0),
IF(AND($E$2="Monthly",ROUND($AN714-TRUNC($AN714),2)=0.33),
ROUND(
ROUND(((TRUNC(($AN714+0.01)*3/13,0)+0.99)*VLOOKUP((TRUNC(($AN714+0.01)*3/13,0)+0.99),'Tax scales - NAT 1004'!$A$12:$C$18,2,1)-VLOOKUP((TRUNC(($AN714+0.01)*3/13,0)+0.99),'Tax scales - NAT 1004'!$A$12:$C$18,3,1)),0)
*13/3,
0),
IF($E$2="Monthly",
ROUND(
ROUND(((TRUNC($AN714*3/13,0)+0.99)*VLOOKUP((TRUNC($AN714*3/13,0)+0.99),'Tax scales - NAT 1004'!$A$12:$C$18,2,1)-VLOOKUP((TRUNC($AN714*3/13,0)+0.99),'Tax scales - NAT 1004'!$A$12:$C$18,3,1)),0)
*13/3,
0),
""))),
""),
"")</f>
        <v/>
      </c>
      <c r="AP714" s="118" t="str">
        <f>IFERROR(
IF(VLOOKUP($C714,'Employee information'!$B:$M,COLUMNS('Employee information'!$B:$M),0)=2,
IF($E$2="Fortnightly",
ROUND(
ROUND((((TRUNC($AN714/2,0)+0.99))*VLOOKUP((TRUNC($AN714/2,0)+0.99),'Tax scales - NAT 1004'!$A$25:$C$33,2,1)-VLOOKUP((TRUNC($AN714/2,0)+0.99),'Tax scales - NAT 1004'!$A$25:$C$33,3,1)),0)
*2,
0),
IF(AND($E$2="Monthly",ROUND($AN714-TRUNC($AN714),2)=0.33),
ROUND(
ROUND(((TRUNC(($AN714+0.01)*3/13,0)+0.99)*VLOOKUP((TRUNC(($AN714+0.01)*3/13,0)+0.99),'Tax scales - NAT 1004'!$A$25:$C$33,2,1)-VLOOKUP((TRUNC(($AN714+0.01)*3/13,0)+0.99),'Tax scales - NAT 1004'!$A$25:$C$33,3,1)),0)
*13/3,
0),
IF($E$2="Monthly",
ROUND(
ROUND(((TRUNC($AN714*3/13,0)+0.99)*VLOOKUP((TRUNC($AN714*3/13,0)+0.99),'Tax scales - NAT 1004'!$A$25:$C$33,2,1)-VLOOKUP((TRUNC($AN714*3/13,0)+0.99),'Tax scales - NAT 1004'!$A$25:$C$33,3,1)),0)
*13/3,
0),
""))),
""),
"")</f>
        <v/>
      </c>
      <c r="AQ714" s="118" t="str">
        <f>IFERROR(
IF(VLOOKUP($C714,'Employee information'!$B:$M,COLUMNS('Employee information'!$B:$M),0)=3,
IF($E$2="Fortnightly",
ROUND(
ROUND((((TRUNC($AN714/2,0)+0.99))*VLOOKUP((TRUNC($AN714/2,0)+0.99),'Tax scales - NAT 1004'!$A$39:$C$41,2,1)-VLOOKUP((TRUNC($AN714/2,0)+0.99),'Tax scales - NAT 1004'!$A$39:$C$41,3,1)),0)
*2,
0),
IF(AND($E$2="Monthly",ROUND($AN714-TRUNC($AN714),2)=0.33),
ROUND(
ROUND(((TRUNC(($AN714+0.01)*3/13,0)+0.99)*VLOOKUP((TRUNC(($AN714+0.01)*3/13,0)+0.99),'Tax scales - NAT 1004'!$A$39:$C$41,2,1)-VLOOKUP((TRUNC(($AN714+0.01)*3/13,0)+0.99),'Tax scales - NAT 1004'!$A$39:$C$41,3,1)),0)
*13/3,
0),
IF($E$2="Monthly",
ROUND(
ROUND(((TRUNC($AN714*3/13,0)+0.99)*VLOOKUP((TRUNC($AN714*3/13,0)+0.99),'Tax scales - NAT 1004'!$A$39:$C$41,2,1)-VLOOKUP((TRUNC($AN714*3/13,0)+0.99),'Tax scales - NAT 1004'!$A$39:$C$41,3,1)),0)
*13/3,
0),
""))),
""),
"")</f>
        <v/>
      </c>
      <c r="AR714" s="118" t="str">
        <f>IFERROR(
IF(AND(VLOOKUP($C714,'Employee information'!$B:$M,COLUMNS('Employee information'!$B:$M),0)=4,
VLOOKUP($C714,'Employee information'!$B:$J,COLUMNS('Employee information'!$B:$J),0)="Resident"),
TRUNC(TRUNC($AN714)*'Tax scales - NAT 1004'!$B$47),
IF(AND(VLOOKUP($C714,'Employee information'!$B:$M,COLUMNS('Employee information'!$B:$M),0)=4,
VLOOKUP($C714,'Employee information'!$B:$J,COLUMNS('Employee information'!$B:$J),0)="Foreign resident"),
TRUNC(TRUNC($AN714)*'Tax scales - NAT 1004'!$B$48),
"")),
"")</f>
        <v/>
      </c>
      <c r="AS714" s="118" t="str">
        <f>IFERROR(
IF(VLOOKUP($C714,'Employee information'!$B:$M,COLUMNS('Employee information'!$B:$M),0)=5,
IF($E$2="Fortnightly",
ROUND(
ROUND((((TRUNC($AN714/2,0)+0.99))*VLOOKUP((TRUNC($AN714/2,0)+0.99),'Tax scales - NAT 1004'!$A$53:$C$59,2,1)-VLOOKUP((TRUNC($AN714/2,0)+0.99),'Tax scales - NAT 1004'!$A$53:$C$59,3,1)),0)
*2,
0),
IF(AND($E$2="Monthly",ROUND($AN714-TRUNC($AN714),2)=0.33),
ROUND(
ROUND(((TRUNC(($AN714+0.01)*3/13,0)+0.99)*VLOOKUP((TRUNC(($AN714+0.01)*3/13,0)+0.99),'Tax scales - NAT 1004'!$A$53:$C$59,2,1)-VLOOKUP((TRUNC(($AN714+0.01)*3/13,0)+0.99),'Tax scales - NAT 1004'!$A$53:$C$59,3,1)),0)
*13/3,
0),
IF($E$2="Monthly",
ROUND(
ROUND(((TRUNC($AN714*3/13,0)+0.99)*VLOOKUP((TRUNC($AN714*3/13,0)+0.99),'Tax scales - NAT 1004'!$A$53:$C$59,2,1)-VLOOKUP((TRUNC($AN714*3/13,0)+0.99),'Tax scales - NAT 1004'!$A$53:$C$59,3,1)),0)
*13/3,
0),
""))),
""),
"")</f>
        <v/>
      </c>
      <c r="AT714" s="118" t="str">
        <f>IFERROR(
IF(VLOOKUP($C714,'Employee information'!$B:$M,COLUMNS('Employee information'!$B:$M),0)=6,
IF($E$2="Fortnightly",
ROUND(
ROUND((((TRUNC($AN714/2,0)+0.99))*VLOOKUP((TRUNC($AN714/2,0)+0.99),'Tax scales - NAT 1004'!$A$65:$C$73,2,1)-VLOOKUP((TRUNC($AN714/2,0)+0.99),'Tax scales - NAT 1004'!$A$65:$C$73,3,1)),0)
*2,
0),
IF(AND($E$2="Monthly",ROUND($AN714-TRUNC($AN714),2)=0.33),
ROUND(
ROUND(((TRUNC(($AN714+0.01)*3/13,0)+0.99)*VLOOKUP((TRUNC(($AN714+0.01)*3/13,0)+0.99),'Tax scales - NAT 1004'!$A$65:$C$73,2,1)-VLOOKUP((TRUNC(($AN714+0.01)*3/13,0)+0.99),'Tax scales - NAT 1004'!$A$65:$C$73,3,1)),0)
*13/3,
0),
IF($E$2="Monthly",
ROUND(
ROUND(((TRUNC($AN714*3/13,0)+0.99)*VLOOKUP((TRUNC($AN714*3/13,0)+0.99),'Tax scales - NAT 1004'!$A$65:$C$73,2,1)-VLOOKUP((TRUNC($AN714*3/13,0)+0.99),'Tax scales - NAT 1004'!$A$65:$C$73,3,1)),0)
*13/3,
0),
""))),
""),
"")</f>
        <v/>
      </c>
      <c r="AU714" s="118" t="str">
        <f>IFERROR(
IF(VLOOKUP($C714,'Employee information'!$B:$M,COLUMNS('Employee information'!$B:$M),0)=11,
IF($E$2="Fortnightly",
ROUND(
ROUND((((TRUNC($AN714/2,0)+0.99))*VLOOKUP((TRUNC($AN714/2,0)+0.99),'Tax scales - NAT 3539'!$A$14:$C$38,2,1)-VLOOKUP((TRUNC($AN714/2,0)+0.99),'Tax scales - NAT 3539'!$A$14:$C$38,3,1)),0)
*2,
0),
IF(AND($E$2="Monthly",ROUND($AN714-TRUNC($AN714),2)=0.33),
ROUND(
ROUND(((TRUNC(($AN714+0.01)*3/13,0)+0.99)*VLOOKUP((TRUNC(($AN714+0.01)*3/13,0)+0.99),'Tax scales - NAT 3539'!$A$14:$C$38,2,1)-VLOOKUP((TRUNC(($AN714+0.01)*3/13,0)+0.99),'Tax scales - NAT 3539'!$A$14:$C$38,3,1)),0)
*13/3,
0),
IF($E$2="Monthly",
ROUND(
ROUND(((TRUNC($AN714*3/13,0)+0.99)*VLOOKUP((TRUNC($AN714*3/13,0)+0.99),'Tax scales - NAT 3539'!$A$14:$C$38,2,1)-VLOOKUP((TRUNC($AN714*3/13,0)+0.99),'Tax scales - NAT 3539'!$A$14:$C$38,3,1)),0)
*13/3,
0),
""))),
""),
"")</f>
        <v/>
      </c>
      <c r="AV714" s="118" t="str">
        <f>IFERROR(
IF(VLOOKUP($C714,'Employee information'!$B:$M,COLUMNS('Employee information'!$B:$M),0)=22,
IF($E$2="Fortnightly",
ROUND(
ROUND((((TRUNC($AN714/2,0)+0.99))*VLOOKUP((TRUNC($AN714/2,0)+0.99),'Tax scales - NAT 3539'!$A$43:$C$69,2,1)-VLOOKUP((TRUNC($AN714/2,0)+0.99),'Tax scales - NAT 3539'!$A$43:$C$69,3,1)),0)
*2,
0),
IF(AND($E$2="Monthly",ROUND($AN714-TRUNC($AN714),2)=0.33),
ROUND(
ROUND(((TRUNC(($AN714+0.01)*3/13,0)+0.99)*VLOOKUP((TRUNC(($AN714+0.01)*3/13,0)+0.99),'Tax scales - NAT 3539'!$A$43:$C$69,2,1)-VLOOKUP((TRUNC(($AN714+0.01)*3/13,0)+0.99),'Tax scales - NAT 3539'!$A$43:$C$69,3,1)),0)
*13/3,
0),
IF($E$2="Monthly",
ROUND(
ROUND(((TRUNC($AN714*3/13,0)+0.99)*VLOOKUP((TRUNC($AN714*3/13,0)+0.99),'Tax scales - NAT 3539'!$A$43:$C$69,2,1)-VLOOKUP((TRUNC($AN714*3/13,0)+0.99),'Tax scales - NAT 3539'!$A$43:$C$69,3,1)),0)
*13/3,
0),
""))),
""),
"")</f>
        <v/>
      </c>
      <c r="AW714" s="118" t="str">
        <f>IFERROR(
IF(VLOOKUP($C714,'Employee information'!$B:$M,COLUMNS('Employee information'!$B:$M),0)=33,
IF($E$2="Fortnightly",
ROUND(
ROUND((((TRUNC($AN714/2,0)+0.99))*VLOOKUP((TRUNC($AN714/2,0)+0.99),'Tax scales - NAT 3539'!$A$74:$C$94,2,1)-VLOOKUP((TRUNC($AN714/2,0)+0.99),'Tax scales - NAT 3539'!$A$74:$C$94,3,1)),0)
*2,
0),
IF(AND($E$2="Monthly",ROUND($AN714-TRUNC($AN714),2)=0.33),
ROUND(
ROUND(((TRUNC(($AN714+0.01)*3/13,0)+0.99)*VLOOKUP((TRUNC(($AN714+0.01)*3/13,0)+0.99),'Tax scales - NAT 3539'!$A$74:$C$94,2,1)-VLOOKUP((TRUNC(($AN714+0.01)*3/13,0)+0.99),'Tax scales - NAT 3539'!$A$74:$C$94,3,1)),0)
*13/3,
0),
IF($E$2="Monthly",
ROUND(
ROUND(((TRUNC($AN714*3/13,0)+0.99)*VLOOKUP((TRUNC($AN714*3/13,0)+0.99),'Tax scales - NAT 3539'!$A$74:$C$94,2,1)-VLOOKUP((TRUNC($AN714*3/13,0)+0.99),'Tax scales - NAT 3539'!$A$74:$C$94,3,1)),0)
*13/3,
0),
""))),
""),
"")</f>
        <v/>
      </c>
      <c r="AX714" s="118" t="str">
        <f>IFERROR(
IF(VLOOKUP($C714,'Employee information'!$B:$M,COLUMNS('Employee information'!$B:$M),0)=55,
IF($E$2="Fortnightly",
ROUND(
ROUND((((TRUNC($AN714/2,0)+0.99))*VLOOKUP((TRUNC($AN714/2,0)+0.99),'Tax scales - NAT 3539'!$A$99:$C$123,2,1)-VLOOKUP((TRUNC($AN714/2,0)+0.99),'Tax scales - NAT 3539'!$A$99:$C$123,3,1)),0)
*2,
0),
IF(AND($E$2="Monthly",ROUND($AN714-TRUNC($AN714),2)=0.33),
ROUND(
ROUND(((TRUNC(($AN714+0.01)*3/13,0)+0.99)*VLOOKUP((TRUNC(($AN714+0.01)*3/13,0)+0.99),'Tax scales - NAT 3539'!$A$99:$C$123,2,1)-VLOOKUP((TRUNC(($AN714+0.01)*3/13,0)+0.99),'Tax scales - NAT 3539'!$A$99:$C$123,3,1)),0)
*13/3,
0),
IF($E$2="Monthly",
ROUND(
ROUND(((TRUNC($AN714*3/13,0)+0.99)*VLOOKUP((TRUNC($AN714*3/13,0)+0.99),'Tax scales - NAT 3539'!$A$99:$C$123,2,1)-VLOOKUP((TRUNC($AN714*3/13,0)+0.99),'Tax scales - NAT 3539'!$A$99:$C$123,3,1)),0)
*13/3,
0),
""))),
""),
"")</f>
        <v/>
      </c>
      <c r="AY714" s="118" t="str">
        <f>IFERROR(
IF(VLOOKUP($C714,'Employee information'!$B:$M,COLUMNS('Employee information'!$B:$M),0)=66,
IF($E$2="Fortnightly",
ROUND(
ROUND((((TRUNC($AN714/2,0)+0.99))*VLOOKUP((TRUNC($AN714/2,0)+0.99),'Tax scales - NAT 3539'!$A$127:$C$154,2,1)-VLOOKUP((TRUNC($AN714/2,0)+0.99),'Tax scales - NAT 3539'!$A$127:$C$154,3,1)),0)
*2,
0),
IF(AND($E$2="Monthly",ROUND($AN714-TRUNC($AN714),2)=0.33),
ROUND(
ROUND(((TRUNC(($AN714+0.01)*3/13,0)+0.99)*VLOOKUP((TRUNC(($AN714+0.01)*3/13,0)+0.99),'Tax scales - NAT 3539'!$A$127:$C$154,2,1)-VLOOKUP((TRUNC(($AN714+0.01)*3/13,0)+0.99),'Tax scales - NAT 3539'!$A$127:$C$154,3,1)),0)
*13/3,
0),
IF($E$2="Monthly",
ROUND(
ROUND(((TRUNC($AN714*3/13,0)+0.99)*VLOOKUP((TRUNC($AN714*3/13,0)+0.99),'Tax scales - NAT 3539'!$A$127:$C$154,2,1)-VLOOKUP((TRUNC($AN714*3/13,0)+0.99),'Tax scales - NAT 3539'!$A$127:$C$154,3,1)),0)
*13/3,
0),
""))),
""),
"")</f>
        <v/>
      </c>
      <c r="AZ714" s="118">
        <f>IFERROR(
HLOOKUP(VLOOKUP($C714,'Employee information'!$B:$M,COLUMNS('Employee information'!$B:$M),0),'PAYG worksheet'!$AO$706:$AY$725,COUNTA($C$707:$C714)+1,0),
0)</f>
        <v>0</v>
      </c>
      <c r="BA714" s="118"/>
      <c r="BB714" s="118">
        <f t="shared" si="759"/>
        <v>0</v>
      </c>
      <c r="BC714" s="119">
        <f>IFERROR(
IF(OR($AE714=1,$AE714=""),SUM($P714,$AA714,$AC714,$AK714)*VLOOKUP($C714,'Employee information'!$B:$Q,COLUMNS('Employee information'!$B:$H),0),
IF($AE714=0,SUM($P714,$AA714,$AK714)*VLOOKUP($C714,'Employee information'!$B:$Q,COLUMNS('Employee information'!$B:$H),0),
0)),
0)</f>
        <v>0</v>
      </c>
      <c r="BE714" s="114">
        <f t="shared" si="744"/>
        <v>0</v>
      </c>
      <c r="BF714" s="114">
        <f t="shared" si="745"/>
        <v>0</v>
      </c>
      <c r="BG714" s="114">
        <f t="shared" si="746"/>
        <v>0</v>
      </c>
      <c r="BH714" s="114">
        <f t="shared" si="747"/>
        <v>0</v>
      </c>
      <c r="BI714" s="114">
        <f t="shared" si="748"/>
        <v>0</v>
      </c>
      <c r="BJ714" s="114">
        <f t="shared" si="749"/>
        <v>0</v>
      </c>
      <c r="BK714" s="114">
        <f t="shared" si="750"/>
        <v>0</v>
      </c>
      <c r="BL714" s="114">
        <f t="shared" si="760"/>
        <v>0</v>
      </c>
      <c r="BM714" s="114">
        <f t="shared" si="751"/>
        <v>0</v>
      </c>
    </row>
    <row r="715" spans="1:65" x14ac:dyDescent="0.25">
      <c r="A715" s="228">
        <f t="shared" si="739"/>
        <v>25</v>
      </c>
      <c r="C715" s="278"/>
      <c r="E715" s="103">
        <f>IF($C715="",0,
IF(AND($E$2="Monthly",$A715&gt;12),0,
IF($E$2="Monthly",VLOOKUP($C715,'Employee information'!$B:$AM,COLUMNS('Employee information'!$B:S),0),
IF($E$2="Fortnightly",VLOOKUP($C715,'Employee information'!$B:$AM,COLUMNS('Employee information'!$B:R),0),
0))))</f>
        <v>0</v>
      </c>
      <c r="F715" s="106"/>
      <c r="G715" s="106"/>
      <c r="H715" s="106"/>
      <c r="I715" s="106"/>
      <c r="J715" s="103">
        <f t="shared" si="752"/>
        <v>0</v>
      </c>
      <c r="L715" s="113">
        <f>IF(AND($E$2="Monthly",$A715&gt;12),"",
IFERROR($J715*VLOOKUP($C715,'Employee information'!$B:$AI,COLUMNS('Employee information'!$B:$P),0),0))</f>
        <v>0</v>
      </c>
      <c r="M715" s="114">
        <f t="shared" si="753"/>
        <v>0</v>
      </c>
      <c r="O715" s="103">
        <f t="shared" si="754"/>
        <v>0</v>
      </c>
      <c r="P715" s="113">
        <f>IFERROR(
IF(AND($E$2="Monthly",$A715&gt;12),0,
$O715*VLOOKUP($C715,'Employee information'!$B:$AI,COLUMNS('Employee information'!$B:$P),0)),
0)</f>
        <v>0</v>
      </c>
      <c r="R715" s="114">
        <f t="shared" si="740"/>
        <v>0</v>
      </c>
      <c r="T715" s="103"/>
      <c r="U715" s="103"/>
      <c r="V715" s="282" t="str">
        <f>IF($C715="","",
IF(AND($E$2="Monthly",$A715&gt;12),"",
$T715*VLOOKUP($C715,'Employee information'!$B:$P,COLUMNS('Employee information'!$B:$P),0)))</f>
        <v/>
      </c>
      <c r="W715" s="282" t="str">
        <f>IF($C715="","",
IF(AND($E$2="Monthly",$A715&gt;12),"",
$U715*VLOOKUP($C715,'Employee information'!$B:$P,COLUMNS('Employee information'!$B:$P),0)))</f>
        <v/>
      </c>
      <c r="X715" s="114">
        <f t="shared" si="741"/>
        <v>0</v>
      </c>
      <c r="Y715" s="114">
        <f t="shared" si="742"/>
        <v>0</v>
      </c>
      <c r="AA715" s="118">
        <f>IFERROR(
IF(OR('Basic payroll data'!$D$12="",'Basic payroll data'!$D$12="No"),0,
$T715*VLOOKUP($C715,'Employee information'!$B:$P,COLUMNS('Employee information'!$B:$P),0)*AL_loading_perc),
0)</f>
        <v>0</v>
      </c>
      <c r="AC715" s="118"/>
      <c r="AD715" s="118"/>
      <c r="AE715" s="283" t="str">
        <f t="shared" si="755"/>
        <v/>
      </c>
      <c r="AF715" s="283" t="str">
        <f t="shared" si="756"/>
        <v/>
      </c>
      <c r="AG715" s="118"/>
      <c r="AH715" s="118"/>
      <c r="AI715" s="283" t="str">
        <f t="shared" si="757"/>
        <v/>
      </c>
      <c r="AJ715" s="118"/>
      <c r="AK715" s="118"/>
      <c r="AM715" s="118">
        <f t="shared" si="758"/>
        <v>0</v>
      </c>
      <c r="AN715" s="118">
        <f t="shared" si="743"/>
        <v>0</v>
      </c>
      <c r="AO715" s="118" t="str">
        <f>IFERROR(
IF(VLOOKUP($C715,'Employee information'!$B:$M,COLUMNS('Employee information'!$B:$M),0)=1,
IF($E$2="Fortnightly",
ROUND(
ROUND((((TRUNC($AN715/2,0)+0.99))*VLOOKUP((TRUNC($AN715/2,0)+0.99),'Tax scales - NAT 1004'!$A$12:$C$18,2,1)-VLOOKUP((TRUNC($AN715/2,0)+0.99),'Tax scales - NAT 1004'!$A$12:$C$18,3,1)),0)
*2,
0),
IF(AND($E$2="Monthly",ROUND($AN715-TRUNC($AN715),2)=0.33),
ROUND(
ROUND(((TRUNC(($AN715+0.01)*3/13,0)+0.99)*VLOOKUP((TRUNC(($AN715+0.01)*3/13,0)+0.99),'Tax scales - NAT 1004'!$A$12:$C$18,2,1)-VLOOKUP((TRUNC(($AN715+0.01)*3/13,0)+0.99),'Tax scales - NAT 1004'!$A$12:$C$18,3,1)),0)
*13/3,
0),
IF($E$2="Monthly",
ROUND(
ROUND(((TRUNC($AN715*3/13,0)+0.99)*VLOOKUP((TRUNC($AN715*3/13,0)+0.99),'Tax scales - NAT 1004'!$A$12:$C$18,2,1)-VLOOKUP((TRUNC($AN715*3/13,0)+0.99),'Tax scales - NAT 1004'!$A$12:$C$18,3,1)),0)
*13/3,
0),
""))),
""),
"")</f>
        <v/>
      </c>
      <c r="AP715" s="118" t="str">
        <f>IFERROR(
IF(VLOOKUP($C715,'Employee information'!$B:$M,COLUMNS('Employee information'!$B:$M),0)=2,
IF($E$2="Fortnightly",
ROUND(
ROUND((((TRUNC($AN715/2,0)+0.99))*VLOOKUP((TRUNC($AN715/2,0)+0.99),'Tax scales - NAT 1004'!$A$25:$C$33,2,1)-VLOOKUP((TRUNC($AN715/2,0)+0.99),'Tax scales - NAT 1004'!$A$25:$C$33,3,1)),0)
*2,
0),
IF(AND($E$2="Monthly",ROUND($AN715-TRUNC($AN715),2)=0.33),
ROUND(
ROUND(((TRUNC(($AN715+0.01)*3/13,0)+0.99)*VLOOKUP((TRUNC(($AN715+0.01)*3/13,0)+0.99),'Tax scales - NAT 1004'!$A$25:$C$33,2,1)-VLOOKUP((TRUNC(($AN715+0.01)*3/13,0)+0.99),'Tax scales - NAT 1004'!$A$25:$C$33,3,1)),0)
*13/3,
0),
IF($E$2="Monthly",
ROUND(
ROUND(((TRUNC($AN715*3/13,0)+0.99)*VLOOKUP((TRUNC($AN715*3/13,0)+0.99),'Tax scales - NAT 1004'!$A$25:$C$33,2,1)-VLOOKUP((TRUNC($AN715*3/13,0)+0.99),'Tax scales - NAT 1004'!$A$25:$C$33,3,1)),0)
*13/3,
0),
""))),
""),
"")</f>
        <v/>
      </c>
      <c r="AQ715" s="118" t="str">
        <f>IFERROR(
IF(VLOOKUP($C715,'Employee information'!$B:$M,COLUMNS('Employee information'!$B:$M),0)=3,
IF($E$2="Fortnightly",
ROUND(
ROUND((((TRUNC($AN715/2,0)+0.99))*VLOOKUP((TRUNC($AN715/2,0)+0.99),'Tax scales - NAT 1004'!$A$39:$C$41,2,1)-VLOOKUP((TRUNC($AN715/2,0)+0.99),'Tax scales - NAT 1004'!$A$39:$C$41,3,1)),0)
*2,
0),
IF(AND($E$2="Monthly",ROUND($AN715-TRUNC($AN715),2)=0.33),
ROUND(
ROUND(((TRUNC(($AN715+0.01)*3/13,0)+0.99)*VLOOKUP((TRUNC(($AN715+0.01)*3/13,0)+0.99),'Tax scales - NAT 1004'!$A$39:$C$41,2,1)-VLOOKUP((TRUNC(($AN715+0.01)*3/13,0)+0.99),'Tax scales - NAT 1004'!$A$39:$C$41,3,1)),0)
*13/3,
0),
IF($E$2="Monthly",
ROUND(
ROUND(((TRUNC($AN715*3/13,0)+0.99)*VLOOKUP((TRUNC($AN715*3/13,0)+0.99),'Tax scales - NAT 1004'!$A$39:$C$41,2,1)-VLOOKUP((TRUNC($AN715*3/13,0)+0.99),'Tax scales - NAT 1004'!$A$39:$C$41,3,1)),0)
*13/3,
0),
""))),
""),
"")</f>
        <v/>
      </c>
      <c r="AR715" s="118" t="str">
        <f>IFERROR(
IF(AND(VLOOKUP($C715,'Employee information'!$B:$M,COLUMNS('Employee information'!$B:$M),0)=4,
VLOOKUP($C715,'Employee information'!$B:$J,COLUMNS('Employee information'!$B:$J),0)="Resident"),
TRUNC(TRUNC($AN715)*'Tax scales - NAT 1004'!$B$47),
IF(AND(VLOOKUP($C715,'Employee information'!$B:$M,COLUMNS('Employee information'!$B:$M),0)=4,
VLOOKUP($C715,'Employee information'!$B:$J,COLUMNS('Employee information'!$B:$J),0)="Foreign resident"),
TRUNC(TRUNC($AN715)*'Tax scales - NAT 1004'!$B$48),
"")),
"")</f>
        <v/>
      </c>
      <c r="AS715" s="118" t="str">
        <f>IFERROR(
IF(VLOOKUP($C715,'Employee information'!$B:$M,COLUMNS('Employee information'!$B:$M),0)=5,
IF($E$2="Fortnightly",
ROUND(
ROUND((((TRUNC($AN715/2,0)+0.99))*VLOOKUP((TRUNC($AN715/2,0)+0.99),'Tax scales - NAT 1004'!$A$53:$C$59,2,1)-VLOOKUP((TRUNC($AN715/2,0)+0.99),'Tax scales - NAT 1004'!$A$53:$C$59,3,1)),0)
*2,
0),
IF(AND($E$2="Monthly",ROUND($AN715-TRUNC($AN715),2)=0.33),
ROUND(
ROUND(((TRUNC(($AN715+0.01)*3/13,0)+0.99)*VLOOKUP((TRUNC(($AN715+0.01)*3/13,0)+0.99),'Tax scales - NAT 1004'!$A$53:$C$59,2,1)-VLOOKUP((TRUNC(($AN715+0.01)*3/13,0)+0.99),'Tax scales - NAT 1004'!$A$53:$C$59,3,1)),0)
*13/3,
0),
IF($E$2="Monthly",
ROUND(
ROUND(((TRUNC($AN715*3/13,0)+0.99)*VLOOKUP((TRUNC($AN715*3/13,0)+0.99),'Tax scales - NAT 1004'!$A$53:$C$59,2,1)-VLOOKUP((TRUNC($AN715*3/13,0)+0.99),'Tax scales - NAT 1004'!$A$53:$C$59,3,1)),0)
*13/3,
0),
""))),
""),
"")</f>
        <v/>
      </c>
      <c r="AT715" s="118" t="str">
        <f>IFERROR(
IF(VLOOKUP($C715,'Employee information'!$B:$M,COLUMNS('Employee information'!$B:$M),0)=6,
IF($E$2="Fortnightly",
ROUND(
ROUND((((TRUNC($AN715/2,0)+0.99))*VLOOKUP((TRUNC($AN715/2,0)+0.99),'Tax scales - NAT 1004'!$A$65:$C$73,2,1)-VLOOKUP((TRUNC($AN715/2,0)+0.99),'Tax scales - NAT 1004'!$A$65:$C$73,3,1)),0)
*2,
0),
IF(AND($E$2="Monthly",ROUND($AN715-TRUNC($AN715),2)=0.33),
ROUND(
ROUND(((TRUNC(($AN715+0.01)*3/13,0)+0.99)*VLOOKUP((TRUNC(($AN715+0.01)*3/13,0)+0.99),'Tax scales - NAT 1004'!$A$65:$C$73,2,1)-VLOOKUP((TRUNC(($AN715+0.01)*3/13,0)+0.99),'Tax scales - NAT 1004'!$A$65:$C$73,3,1)),0)
*13/3,
0),
IF($E$2="Monthly",
ROUND(
ROUND(((TRUNC($AN715*3/13,0)+0.99)*VLOOKUP((TRUNC($AN715*3/13,0)+0.99),'Tax scales - NAT 1004'!$A$65:$C$73,2,1)-VLOOKUP((TRUNC($AN715*3/13,0)+0.99),'Tax scales - NAT 1004'!$A$65:$C$73,3,1)),0)
*13/3,
0),
""))),
""),
"")</f>
        <v/>
      </c>
      <c r="AU715" s="118" t="str">
        <f>IFERROR(
IF(VLOOKUP($C715,'Employee information'!$B:$M,COLUMNS('Employee information'!$B:$M),0)=11,
IF($E$2="Fortnightly",
ROUND(
ROUND((((TRUNC($AN715/2,0)+0.99))*VLOOKUP((TRUNC($AN715/2,0)+0.99),'Tax scales - NAT 3539'!$A$14:$C$38,2,1)-VLOOKUP((TRUNC($AN715/2,0)+0.99),'Tax scales - NAT 3539'!$A$14:$C$38,3,1)),0)
*2,
0),
IF(AND($E$2="Monthly",ROUND($AN715-TRUNC($AN715),2)=0.33),
ROUND(
ROUND(((TRUNC(($AN715+0.01)*3/13,0)+0.99)*VLOOKUP((TRUNC(($AN715+0.01)*3/13,0)+0.99),'Tax scales - NAT 3539'!$A$14:$C$38,2,1)-VLOOKUP((TRUNC(($AN715+0.01)*3/13,0)+0.99),'Tax scales - NAT 3539'!$A$14:$C$38,3,1)),0)
*13/3,
0),
IF($E$2="Monthly",
ROUND(
ROUND(((TRUNC($AN715*3/13,0)+0.99)*VLOOKUP((TRUNC($AN715*3/13,0)+0.99),'Tax scales - NAT 3539'!$A$14:$C$38,2,1)-VLOOKUP((TRUNC($AN715*3/13,0)+0.99),'Tax scales - NAT 3539'!$A$14:$C$38,3,1)),0)
*13/3,
0),
""))),
""),
"")</f>
        <v/>
      </c>
      <c r="AV715" s="118" t="str">
        <f>IFERROR(
IF(VLOOKUP($C715,'Employee information'!$B:$M,COLUMNS('Employee information'!$B:$M),0)=22,
IF($E$2="Fortnightly",
ROUND(
ROUND((((TRUNC($AN715/2,0)+0.99))*VLOOKUP((TRUNC($AN715/2,0)+0.99),'Tax scales - NAT 3539'!$A$43:$C$69,2,1)-VLOOKUP((TRUNC($AN715/2,0)+0.99),'Tax scales - NAT 3539'!$A$43:$C$69,3,1)),0)
*2,
0),
IF(AND($E$2="Monthly",ROUND($AN715-TRUNC($AN715),2)=0.33),
ROUND(
ROUND(((TRUNC(($AN715+0.01)*3/13,0)+0.99)*VLOOKUP((TRUNC(($AN715+0.01)*3/13,0)+0.99),'Tax scales - NAT 3539'!$A$43:$C$69,2,1)-VLOOKUP((TRUNC(($AN715+0.01)*3/13,0)+0.99),'Tax scales - NAT 3539'!$A$43:$C$69,3,1)),0)
*13/3,
0),
IF($E$2="Monthly",
ROUND(
ROUND(((TRUNC($AN715*3/13,0)+0.99)*VLOOKUP((TRUNC($AN715*3/13,0)+0.99),'Tax scales - NAT 3539'!$A$43:$C$69,2,1)-VLOOKUP((TRUNC($AN715*3/13,0)+0.99),'Tax scales - NAT 3539'!$A$43:$C$69,3,1)),0)
*13/3,
0),
""))),
""),
"")</f>
        <v/>
      </c>
      <c r="AW715" s="118" t="str">
        <f>IFERROR(
IF(VLOOKUP($C715,'Employee information'!$B:$M,COLUMNS('Employee information'!$B:$M),0)=33,
IF($E$2="Fortnightly",
ROUND(
ROUND((((TRUNC($AN715/2,0)+0.99))*VLOOKUP((TRUNC($AN715/2,0)+0.99),'Tax scales - NAT 3539'!$A$74:$C$94,2,1)-VLOOKUP((TRUNC($AN715/2,0)+0.99),'Tax scales - NAT 3539'!$A$74:$C$94,3,1)),0)
*2,
0),
IF(AND($E$2="Monthly",ROUND($AN715-TRUNC($AN715),2)=0.33),
ROUND(
ROUND(((TRUNC(($AN715+0.01)*3/13,0)+0.99)*VLOOKUP((TRUNC(($AN715+0.01)*3/13,0)+0.99),'Tax scales - NAT 3539'!$A$74:$C$94,2,1)-VLOOKUP((TRUNC(($AN715+0.01)*3/13,0)+0.99),'Tax scales - NAT 3539'!$A$74:$C$94,3,1)),0)
*13/3,
0),
IF($E$2="Monthly",
ROUND(
ROUND(((TRUNC($AN715*3/13,0)+0.99)*VLOOKUP((TRUNC($AN715*3/13,0)+0.99),'Tax scales - NAT 3539'!$A$74:$C$94,2,1)-VLOOKUP((TRUNC($AN715*3/13,0)+0.99),'Tax scales - NAT 3539'!$A$74:$C$94,3,1)),0)
*13/3,
0),
""))),
""),
"")</f>
        <v/>
      </c>
      <c r="AX715" s="118" t="str">
        <f>IFERROR(
IF(VLOOKUP($C715,'Employee information'!$B:$M,COLUMNS('Employee information'!$B:$M),0)=55,
IF($E$2="Fortnightly",
ROUND(
ROUND((((TRUNC($AN715/2,0)+0.99))*VLOOKUP((TRUNC($AN715/2,0)+0.99),'Tax scales - NAT 3539'!$A$99:$C$123,2,1)-VLOOKUP((TRUNC($AN715/2,0)+0.99),'Tax scales - NAT 3539'!$A$99:$C$123,3,1)),0)
*2,
0),
IF(AND($E$2="Monthly",ROUND($AN715-TRUNC($AN715),2)=0.33),
ROUND(
ROUND(((TRUNC(($AN715+0.01)*3/13,0)+0.99)*VLOOKUP((TRUNC(($AN715+0.01)*3/13,0)+0.99),'Tax scales - NAT 3539'!$A$99:$C$123,2,1)-VLOOKUP((TRUNC(($AN715+0.01)*3/13,0)+0.99),'Tax scales - NAT 3539'!$A$99:$C$123,3,1)),0)
*13/3,
0),
IF($E$2="Monthly",
ROUND(
ROUND(((TRUNC($AN715*3/13,0)+0.99)*VLOOKUP((TRUNC($AN715*3/13,0)+0.99),'Tax scales - NAT 3539'!$A$99:$C$123,2,1)-VLOOKUP((TRUNC($AN715*3/13,0)+0.99),'Tax scales - NAT 3539'!$A$99:$C$123,3,1)),0)
*13/3,
0),
""))),
""),
"")</f>
        <v/>
      </c>
      <c r="AY715" s="118" t="str">
        <f>IFERROR(
IF(VLOOKUP($C715,'Employee information'!$B:$M,COLUMNS('Employee information'!$B:$M),0)=66,
IF($E$2="Fortnightly",
ROUND(
ROUND((((TRUNC($AN715/2,0)+0.99))*VLOOKUP((TRUNC($AN715/2,0)+0.99),'Tax scales - NAT 3539'!$A$127:$C$154,2,1)-VLOOKUP((TRUNC($AN715/2,0)+0.99),'Tax scales - NAT 3539'!$A$127:$C$154,3,1)),0)
*2,
0),
IF(AND($E$2="Monthly",ROUND($AN715-TRUNC($AN715),2)=0.33),
ROUND(
ROUND(((TRUNC(($AN715+0.01)*3/13,0)+0.99)*VLOOKUP((TRUNC(($AN715+0.01)*3/13,0)+0.99),'Tax scales - NAT 3539'!$A$127:$C$154,2,1)-VLOOKUP((TRUNC(($AN715+0.01)*3/13,0)+0.99),'Tax scales - NAT 3539'!$A$127:$C$154,3,1)),0)
*13/3,
0),
IF($E$2="Monthly",
ROUND(
ROUND(((TRUNC($AN715*3/13,0)+0.99)*VLOOKUP((TRUNC($AN715*3/13,0)+0.99),'Tax scales - NAT 3539'!$A$127:$C$154,2,1)-VLOOKUP((TRUNC($AN715*3/13,0)+0.99),'Tax scales - NAT 3539'!$A$127:$C$154,3,1)),0)
*13/3,
0),
""))),
""),
"")</f>
        <v/>
      </c>
      <c r="AZ715" s="118">
        <f>IFERROR(
HLOOKUP(VLOOKUP($C715,'Employee information'!$B:$M,COLUMNS('Employee information'!$B:$M),0),'PAYG worksheet'!$AO$706:$AY$725,COUNTA($C$707:$C715)+1,0),
0)</f>
        <v>0</v>
      </c>
      <c r="BA715" s="118"/>
      <c r="BB715" s="118">
        <f t="shared" si="759"/>
        <v>0</v>
      </c>
      <c r="BC715" s="119">
        <f>IFERROR(
IF(OR($AE715=1,$AE715=""),SUM($P715,$AA715,$AC715,$AK715)*VLOOKUP($C715,'Employee information'!$B:$Q,COLUMNS('Employee information'!$B:$H),0),
IF($AE715=0,SUM($P715,$AA715,$AK715)*VLOOKUP($C715,'Employee information'!$B:$Q,COLUMNS('Employee information'!$B:$H),0),
0)),
0)</f>
        <v>0</v>
      </c>
      <c r="BE715" s="114">
        <f t="shared" si="744"/>
        <v>0</v>
      </c>
      <c r="BF715" s="114">
        <f t="shared" si="745"/>
        <v>0</v>
      </c>
      <c r="BG715" s="114">
        <f t="shared" si="746"/>
        <v>0</v>
      </c>
      <c r="BH715" s="114">
        <f t="shared" si="747"/>
        <v>0</v>
      </c>
      <c r="BI715" s="114">
        <f t="shared" si="748"/>
        <v>0</v>
      </c>
      <c r="BJ715" s="114">
        <f t="shared" si="749"/>
        <v>0</v>
      </c>
      <c r="BK715" s="114">
        <f t="shared" si="750"/>
        <v>0</v>
      </c>
      <c r="BL715" s="114">
        <f t="shared" si="760"/>
        <v>0</v>
      </c>
      <c r="BM715" s="114">
        <f t="shared" si="751"/>
        <v>0</v>
      </c>
    </row>
    <row r="716" spans="1:65" x14ac:dyDescent="0.25">
      <c r="A716" s="228">
        <f t="shared" si="739"/>
        <v>25</v>
      </c>
      <c r="C716" s="278"/>
      <c r="E716" s="103">
        <f>IF($C716="",0,
IF(AND($E$2="Monthly",$A716&gt;12),0,
IF($E$2="Monthly",VLOOKUP($C716,'Employee information'!$B:$AM,COLUMNS('Employee information'!$B:S),0),
IF($E$2="Fortnightly",VLOOKUP($C716,'Employee information'!$B:$AM,COLUMNS('Employee information'!$B:R),0),
0))))</f>
        <v>0</v>
      </c>
      <c r="F716" s="106"/>
      <c r="G716" s="106"/>
      <c r="H716" s="106"/>
      <c r="I716" s="106"/>
      <c r="J716" s="103">
        <f t="shared" si="752"/>
        <v>0</v>
      </c>
      <c r="L716" s="113">
        <f>IF(AND($E$2="Monthly",$A716&gt;12),"",
IFERROR($J716*VLOOKUP($C716,'Employee information'!$B:$AI,COLUMNS('Employee information'!$B:$P),0),0))</f>
        <v>0</v>
      </c>
      <c r="M716" s="114">
        <f t="shared" si="753"/>
        <v>0</v>
      </c>
      <c r="O716" s="103">
        <f>IF($E$2="Monthly",
IF(AND($E$2="Monthly",$H716&lt;&gt;""),$H716,
IF(AND($E$2="Monthly",$E716=0),$F716,
$E716)),
IF($E$2="Fortnightly",
IF(AND($E$2="Fortnightly",$H716&lt;&gt;""),$H716,
IF(AND($E$2="Fortnightly",$F716&lt;&gt;"",$E716&lt;&gt;0),$F716,
IF(AND($E$2="Fortnightly",$E716=0),$F716,
$E716)))))</f>
        <v>0</v>
      </c>
      <c r="P716" s="113">
        <f>IFERROR(
IF(AND($E$2="Monthly",$A716&gt;12),0,
$O716*VLOOKUP($C716,'Employee information'!$B:$AI,COLUMNS('Employee information'!$B:$P),0)),
0)</f>
        <v>0</v>
      </c>
      <c r="R716" s="114">
        <f t="shared" si="740"/>
        <v>0</v>
      </c>
      <c r="T716" s="103"/>
      <c r="U716" s="103"/>
      <c r="V716" s="282" t="str">
        <f>IF($C716="","",
IF(AND($E$2="Monthly",$A716&gt;12),"",
$T716*VLOOKUP($C716,'Employee information'!$B:$P,COLUMNS('Employee information'!$B:$P),0)))</f>
        <v/>
      </c>
      <c r="W716" s="282" t="str">
        <f>IF($C716="","",
IF(AND($E$2="Monthly",$A716&gt;12),"",
$U716*VLOOKUP($C716,'Employee information'!$B:$P,COLUMNS('Employee information'!$B:$P),0)))</f>
        <v/>
      </c>
      <c r="X716" s="114">
        <f t="shared" si="741"/>
        <v>0</v>
      </c>
      <c r="Y716" s="114">
        <f t="shared" si="742"/>
        <v>0</v>
      </c>
      <c r="AA716" s="118">
        <f>IFERROR(
IF(OR('Basic payroll data'!$D$12="",'Basic payroll data'!$D$12="No"),0,
$T716*VLOOKUP($C716,'Employee information'!$B:$P,COLUMNS('Employee information'!$B:$P),0)*AL_loading_perc),
0)</f>
        <v>0</v>
      </c>
      <c r="AC716" s="118"/>
      <c r="AD716" s="118"/>
      <c r="AE716" s="283" t="str">
        <f t="shared" si="755"/>
        <v/>
      </c>
      <c r="AF716" s="283" t="str">
        <f t="shared" si="756"/>
        <v/>
      </c>
      <c r="AG716" s="118"/>
      <c r="AH716" s="118"/>
      <c r="AI716" s="283" t="str">
        <f t="shared" si="757"/>
        <v/>
      </c>
      <c r="AJ716" s="118"/>
      <c r="AK716" s="118"/>
      <c r="AM716" s="118">
        <f t="shared" si="758"/>
        <v>0</v>
      </c>
      <c r="AN716" s="118">
        <f t="shared" si="743"/>
        <v>0</v>
      </c>
      <c r="AO716" s="118" t="str">
        <f>IFERROR(
IF(VLOOKUP($C716,'Employee information'!$B:$M,COLUMNS('Employee information'!$B:$M),0)=1,
IF($E$2="Fortnightly",
ROUND(
ROUND((((TRUNC($AN716/2,0)+0.99))*VLOOKUP((TRUNC($AN716/2,0)+0.99),'Tax scales - NAT 1004'!$A$12:$C$18,2,1)-VLOOKUP((TRUNC($AN716/2,0)+0.99),'Tax scales - NAT 1004'!$A$12:$C$18,3,1)),0)
*2,
0),
IF(AND($E$2="Monthly",ROUND($AN716-TRUNC($AN716),2)=0.33),
ROUND(
ROUND(((TRUNC(($AN716+0.01)*3/13,0)+0.99)*VLOOKUP((TRUNC(($AN716+0.01)*3/13,0)+0.99),'Tax scales - NAT 1004'!$A$12:$C$18,2,1)-VLOOKUP((TRUNC(($AN716+0.01)*3/13,0)+0.99),'Tax scales - NAT 1004'!$A$12:$C$18,3,1)),0)
*13/3,
0),
IF($E$2="Monthly",
ROUND(
ROUND(((TRUNC($AN716*3/13,0)+0.99)*VLOOKUP((TRUNC($AN716*3/13,0)+0.99),'Tax scales - NAT 1004'!$A$12:$C$18,2,1)-VLOOKUP((TRUNC($AN716*3/13,0)+0.99),'Tax scales - NAT 1004'!$A$12:$C$18,3,1)),0)
*13/3,
0),
""))),
""),
"")</f>
        <v/>
      </c>
      <c r="AP716" s="118" t="str">
        <f>IFERROR(
IF(VLOOKUP($C716,'Employee information'!$B:$M,COLUMNS('Employee information'!$B:$M),0)=2,
IF($E$2="Fortnightly",
ROUND(
ROUND((((TRUNC($AN716/2,0)+0.99))*VLOOKUP((TRUNC($AN716/2,0)+0.99),'Tax scales - NAT 1004'!$A$25:$C$33,2,1)-VLOOKUP((TRUNC($AN716/2,0)+0.99),'Tax scales - NAT 1004'!$A$25:$C$33,3,1)),0)
*2,
0),
IF(AND($E$2="Monthly",ROUND($AN716-TRUNC($AN716),2)=0.33),
ROUND(
ROUND(((TRUNC(($AN716+0.01)*3/13,0)+0.99)*VLOOKUP((TRUNC(($AN716+0.01)*3/13,0)+0.99),'Tax scales - NAT 1004'!$A$25:$C$33,2,1)-VLOOKUP((TRUNC(($AN716+0.01)*3/13,0)+0.99),'Tax scales - NAT 1004'!$A$25:$C$33,3,1)),0)
*13/3,
0),
IF($E$2="Monthly",
ROUND(
ROUND(((TRUNC($AN716*3/13,0)+0.99)*VLOOKUP((TRUNC($AN716*3/13,0)+0.99),'Tax scales - NAT 1004'!$A$25:$C$33,2,1)-VLOOKUP((TRUNC($AN716*3/13,0)+0.99),'Tax scales - NAT 1004'!$A$25:$C$33,3,1)),0)
*13/3,
0),
""))),
""),
"")</f>
        <v/>
      </c>
      <c r="AQ716" s="118" t="str">
        <f>IFERROR(
IF(VLOOKUP($C716,'Employee information'!$B:$M,COLUMNS('Employee information'!$B:$M),0)=3,
IF($E$2="Fortnightly",
ROUND(
ROUND((((TRUNC($AN716/2,0)+0.99))*VLOOKUP((TRUNC($AN716/2,0)+0.99),'Tax scales - NAT 1004'!$A$39:$C$41,2,1)-VLOOKUP((TRUNC($AN716/2,0)+0.99),'Tax scales - NAT 1004'!$A$39:$C$41,3,1)),0)
*2,
0),
IF(AND($E$2="Monthly",ROUND($AN716-TRUNC($AN716),2)=0.33),
ROUND(
ROUND(((TRUNC(($AN716+0.01)*3/13,0)+0.99)*VLOOKUP((TRUNC(($AN716+0.01)*3/13,0)+0.99),'Tax scales - NAT 1004'!$A$39:$C$41,2,1)-VLOOKUP((TRUNC(($AN716+0.01)*3/13,0)+0.99),'Tax scales - NAT 1004'!$A$39:$C$41,3,1)),0)
*13/3,
0),
IF($E$2="Monthly",
ROUND(
ROUND(((TRUNC($AN716*3/13,0)+0.99)*VLOOKUP((TRUNC($AN716*3/13,0)+0.99),'Tax scales - NAT 1004'!$A$39:$C$41,2,1)-VLOOKUP((TRUNC($AN716*3/13,0)+0.99),'Tax scales - NAT 1004'!$A$39:$C$41,3,1)),0)
*13/3,
0),
""))),
""),
"")</f>
        <v/>
      </c>
      <c r="AR716" s="118" t="str">
        <f>IFERROR(
IF(AND(VLOOKUP($C716,'Employee information'!$B:$M,COLUMNS('Employee information'!$B:$M),0)=4,
VLOOKUP($C716,'Employee information'!$B:$J,COLUMNS('Employee information'!$B:$J),0)="Resident"),
TRUNC(TRUNC($AN716)*'Tax scales - NAT 1004'!$B$47),
IF(AND(VLOOKUP($C716,'Employee information'!$B:$M,COLUMNS('Employee information'!$B:$M),0)=4,
VLOOKUP($C716,'Employee information'!$B:$J,COLUMNS('Employee information'!$B:$J),0)="Foreign resident"),
TRUNC(TRUNC($AN716)*'Tax scales - NAT 1004'!$B$48),
"")),
"")</f>
        <v/>
      </c>
      <c r="AS716" s="118" t="str">
        <f>IFERROR(
IF(VLOOKUP($C716,'Employee information'!$B:$M,COLUMNS('Employee information'!$B:$M),0)=5,
IF($E$2="Fortnightly",
ROUND(
ROUND((((TRUNC($AN716/2,0)+0.99))*VLOOKUP((TRUNC($AN716/2,0)+0.99),'Tax scales - NAT 1004'!$A$53:$C$59,2,1)-VLOOKUP((TRUNC($AN716/2,0)+0.99),'Tax scales - NAT 1004'!$A$53:$C$59,3,1)),0)
*2,
0),
IF(AND($E$2="Monthly",ROUND($AN716-TRUNC($AN716),2)=0.33),
ROUND(
ROUND(((TRUNC(($AN716+0.01)*3/13,0)+0.99)*VLOOKUP((TRUNC(($AN716+0.01)*3/13,0)+0.99),'Tax scales - NAT 1004'!$A$53:$C$59,2,1)-VLOOKUP((TRUNC(($AN716+0.01)*3/13,0)+0.99),'Tax scales - NAT 1004'!$A$53:$C$59,3,1)),0)
*13/3,
0),
IF($E$2="Monthly",
ROUND(
ROUND(((TRUNC($AN716*3/13,0)+0.99)*VLOOKUP((TRUNC($AN716*3/13,0)+0.99),'Tax scales - NAT 1004'!$A$53:$C$59,2,1)-VLOOKUP((TRUNC($AN716*3/13,0)+0.99),'Tax scales - NAT 1004'!$A$53:$C$59,3,1)),0)
*13/3,
0),
""))),
""),
"")</f>
        <v/>
      </c>
      <c r="AT716" s="118" t="str">
        <f>IFERROR(
IF(VLOOKUP($C716,'Employee information'!$B:$M,COLUMNS('Employee information'!$B:$M),0)=6,
IF($E$2="Fortnightly",
ROUND(
ROUND((((TRUNC($AN716/2,0)+0.99))*VLOOKUP((TRUNC($AN716/2,0)+0.99),'Tax scales - NAT 1004'!$A$65:$C$73,2,1)-VLOOKUP((TRUNC($AN716/2,0)+0.99),'Tax scales - NAT 1004'!$A$65:$C$73,3,1)),0)
*2,
0),
IF(AND($E$2="Monthly",ROUND($AN716-TRUNC($AN716),2)=0.33),
ROUND(
ROUND(((TRUNC(($AN716+0.01)*3/13,0)+0.99)*VLOOKUP((TRUNC(($AN716+0.01)*3/13,0)+0.99),'Tax scales - NAT 1004'!$A$65:$C$73,2,1)-VLOOKUP((TRUNC(($AN716+0.01)*3/13,0)+0.99),'Tax scales - NAT 1004'!$A$65:$C$73,3,1)),0)
*13/3,
0),
IF($E$2="Monthly",
ROUND(
ROUND(((TRUNC($AN716*3/13,0)+0.99)*VLOOKUP((TRUNC($AN716*3/13,0)+0.99),'Tax scales - NAT 1004'!$A$65:$C$73,2,1)-VLOOKUP((TRUNC($AN716*3/13,0)+0.99),'Tax scales - NAT 1004'!$A$65:$C$73,3,1)),0)
*13/3,
0),
""))),
""),
"")</f>
        <v/>
      </c>
      <c r="AU716" s="118" t="str">
        <f>IFERROR(
IF(VLOOKUP($C716,'Employee information'!$B:$M,COLUMNS('Employee information'!$B:$M),0)=11,
IF($E$2="Fortnightly",
ROUND(
ROUND((((TRUNC($AN716/2,0)+0.99))*VLOOKUP((TRUNC($AN716/2,0)+0.99),'Tax scales - NAT 3539'!$A$14:$C$38,2,1)-VLOOKUP((TRUNC($AN716/2,0)+0.99),'Tax scales - NAT 3539'!$A$14:$C$38,3,1)),0)
*2,
0),
IF(AND($E$2="Monthly",ROUND($AN716-TRUNC($AN716),2)=0.33),
ROUND(
ROUND(((TRUNC(($AN716+0.01)*3/13,0)+0.99)*VLOOKUP((TRUNC(($AN716+0.01)*3/13,0)+0.99),'Tax scales - NAT 3539'!$A$14:$C$38,2,1)-VLOOKUP((TRUNC(($AN716+0.01)*3/13,0)+0.99),'Tax scales - NAT 3539'!$A$14:$C$38,3,1)),0)
*13/3,
0),
IF($E$2="Monthly",
ROUND(
ROUND(((TRUNC($AN716*3/13,0)+0.99)*VLOOKUP((TRUNC($AN716*3/13,0)+0.99),'Tax scales - NAT 3539'!$A$14:$C$38,2,1)-VLOOKUP((TRUNC($AN716*3/13,0)+0.99),'Tax scales - NAT 3539'!$A$14:$C$38,3,1)),0)
*13/3,
0),
""))),
""),
"")</f>
        <v/>
      </c>
      <c r="AV716" s="118" t="str">
        <f>IFERROR(
IF(VLOOKUP($C716,'Employee information'!$B:$M,COLUMNS('Employee information'!$B:$M),0)=22,
IF($E$2="Fortnightly",
ROUND(
ROUND((((TRUNC($AN716/2,0)+0.99))*VLOOKUP((TRUNC($AN716/2,0)+0.99),'Tax scales - NAT 3539'!$A$43:$C$69,2,1)-VLOOKUP((TRUNC($AN716/2,0)+0.99),'Tax scales - NAT 3539'!$A$43:$C$69,3,1)),0)
*2,
0),
IF(AND($E$2="Monthly",ROUND($AN716-TRUNC($AN716),2)=0.33),
ROUND(
ROUND(((TRUNC(($AN716+0.01)*3/13,0)+0.99)*VLOOKUP((TRUNC(($AN716+0.01)*3/13,0)+0.99),'Tax scales - NAT 3539'!$A$43:$C$69,2,1)-VLOOKUP((TRUNC(($AN716+0.01)*3/13,0)+0.99),'Tax scales - NAT 3539'!$A$43:$C$69,3,1)),0)
*13/3,
0),
IF($E$2="Monthly",
ROUND(
ROUND(((TRUNC($AN716*3/13,0)+0.99)*VLOOKUP((TRUNC($AN716*3/13,0)+0.99),'Tax scales - NAT 3539'!$A$43:$C$69,2,1)-VLOOKUP((TRUNC($AN716*3/13,0)+0.99),'Tax scales - NAT 3539'!$A$43:$C$69,3,1)),0)
*13/3,
0),
""))),
""),
"")</f>
        <v/>
      </c>
      <c r="AW716" s="118" t="str">
        <f>IFERROR(
IF(VLOOKUP($C716,'Employee information'!$B:$M,COLUMNS('Employee information'!$B:$M),0)=33,
IF($E$2="Fortnightly",
ROUND(
ROUND((((TRUNC($AN716/2,0)+0.99))*VLOOKUP((TRUNC($AN716/2,0)+0.99),'Tax scales - NAT 3539'!$A$74:$C$94,2,1)-VLOOKUP((TRUNC($AN716/2,0)+0.99),'Tax scales - NAT 3539'!$A$74:$C$94,3,1)),0)
*2,
0),
IF(AND($E$2="Monthly",ROUND($AN716-TRUNC($AN716),2)=0.33),
ROUND(
ROUND(((TRUNC(($AN716+0.01)*3/13,0)+0.99)*VLOOKUP((TRUNC(($AN716+0.01)*3/13,0)+0.99),'Tax scales - NAT 3539'!$A$74:$C$94,2,1)-VLOOKUP((TRUNC(($AN716+0.01)*3/13,0)+0.99),'Tax scales - NAT 3539'!$A$74:$C$94,3,1)),0)
*13/3,
0),
IF($E$2="Monthly",
ROUND(
ROUND(((TRUNC($AN716*3/13,0)+0.99)*VLOOKUP((TRUNC($AN716*3/13,0)+0.99),'Tax scales - NAT 3539'!$A$74:$C$94,2,1)-VLOOKUP((TRUNC($AN716*3/13,0)+0.99),'Tax scales - NAT 3539'!$A$74:$C$94,3,1)),0)
*13/3,
0),
""))),
""),
"")</f>
        <v/>
      </c>
      <c r="AX716" s="118" t="str">
        <f>IFERROR(
IF(VLOOKUP($C716,'Employee information'!$B:$M,COLUMNS('Employee information'!$B:$M),0)=55,
IF($E$2="Fortnightly",
ROUND(
ROUND((((TRUNC($AN716/2,0)+0.99))*VLOOKUP((TRUNC($AN716/2,0)+0.99),'Tax scales - NAT 3539'!$A$99:$C$123,2,1)-VLOOKUP((TRUNC($AN716/2,0)+0.99),'Tax scales - NAT 3539'!$A$99:$C$123,3,1)),0)
*2,
0),
IF(AND($E$2="Monthly",ROUND($AN716-TRUNC($AN716),2)=0.33),
ROUND(
ROUND(((TRUNC(($AN716+0.01)*3/13,0)+0.99)*VLOOKUP((TRUNC(($AN716+0.01)*3/13,0)+0.99),'Tax scales - NAT 3539'!$A$99:$C$123,2,1)-VLOOKUP((TRUNC(($AN716+0.01)*3/13,0)+0.99),'Tax scales - NAT 3539'!$A$99:$C$123,3,1)),0)
*13/3,
0),
IF($E$2="Monthly",
ROUND(
ROUND(((TRUNC($AN716*3/13,0)+0.99)*VLOOKUP((TRUNC($AN716*3/13,0)+0.99),'Tax scales - NAT 3539'!$A$99:$C$123,2,1)-VLOOKUP((TRUNC($AN716*3/13,0)+0.99),'Tax scales - NAT 3539'!$A$99:$C$123,3,1)),0)
*13/3,
0),
""))),
""),
"")</f>
        <v/>
      </c>
      <c r="AY716" s="118" t="str">
        <f>IFERROR(
IF(VLOOKUP($C716,'Employee information'!$B:$M,COLUMNS('Employee information'!$B:$M),0)=66,
IF($E$2="Fortnightly",
ROUND(
ROUND((((TRUNC($AN716/2,0)+0.99))*VLOOKUP((TRUNC($AN716/2,0)+0.99),'Tax scales - NAT 3539'!$A$127:$C$154,2,1)-VLOOKUP((TRUNC($AN716/2,0)+0.99),'Tax scales - NAT 3539'!$A$127:$C$154,3,1)),0)
*2,
0),
IF(AND($E$2="Monthly",ROUND($AN716-TRUNC($AN716),2)=0.33),
ROUND(
ROUND(((TRUNC(($AN716+0.01)*3/13,0)+0.99)*VLOOKUP((TRUNC(($AN716+0.01)*3/13,0)+0.99),'Tax scales - NAT 3539'!$A$127:$C$154,2,1)-VLOOKUP((TRUNC(($AN716+0.01)*3/13,0)+0.99),'Tax scales - NAT 3539'!$A$127:$C$154,3,1)),0)
*13/3,
0),
IF($E$2="Monthly",
ROUND(
ROUND(((TRUNC($AN716*3/13,0)+0.99)*VLOOKUP((TRUNC($AN716*3/13,0)+0.99),'Tax scales - NAT 3539'!$A$127:$C$154,2,1)-VLOOKUP((TRUNC($AN716*3/13,0)+0.99),'Tax scales - NAT 3539'!$A$127:$C$154,3,1)),0)
*13/3,
0),
""))),
""),
"")</f>
        <v/>
      </c>
      <c r="AZ716" s="118">
        <f>IFERROR(
HLOOKUP(VLOOKUP($C716,'Employee information'!$B:$M,COLUMNS('Employee information'!$B:$M),0),'PAYG worksheet'!$AO$706:$AY$725,COUNTA($C$707:$C716)+1,0),
0)</f>
        <v>0</v>
      </c>
      <c r="BA716" s="118"/>
      <c r="BB716" s="118">
        <f t="shared" si="759"/>
        <v>0</v>
      </c>
      <c r="BC716" s="119">
        <f>IFERROR(
IF(OR($AE716=1,$AE716=""),SUM($P716,$AA716,$AC716,$AK716)*VLOOKUP($C716,'Employee information'!$B:$Q,COLUMNS('Employee information'!$B:$H),0),
IF($AE716=0,SUM($P716,$AA716,$AK716)*VLOOKUP($C716,'Employee information'!$B:$Q,COLUMNS('Employee information'!$B:$H),0),
0)),
0)</f>
        <v>0</v>
      </c>
      <c r="BE716" s="114">
        <f t="shared" si="744"/>
        <v>0</v>
      </c>
      <c r="BF716" s="114">
        <f t="shared" si="745"/>
        <v>0</v>
      </c>
      <c r="BG716" s="114">
        <f t="shared" si="746"/>
        <v>0</v>
      </c>
      <c r="BH716" s="114">
        <f t="shared" si="747"/>
        <v>0</v>
      </c>
      <c r="BI716" s="114">
        <f t="shared" si="748"/>
        <v>0</v>
      </c>
      <c r="BJ716" s="114">
        <f t="shared" si="749"/>
        <v>0</v>
      </c>
      <c r="BK716" s="114">
        <f t="shared" si="750"/>
        <v>0</v>
      </c>
      <c r="BL716" s="114">
        <f t="shared" si="760"/>
        <v>0</v>
      </c>
      <c r="BM716" s="114">
        <f t="shared" si="751"/>
        <v>0</v>
      </c>
    </row>
    <row r="717" spans="1:65" x14ac:dyDescent="0.25">
      <c r="A717" s="228">
        <f t="shared" si="739"/>
        <v>25</v>
      </c>
      <c r="C717" s="278"/>
      <c r="E717" s="103">
        <f>IF($C717="",0,
IF(AND($E$2="Monthly",$A717&gt;12),0,
IF($E$2="Monthly",VLOOKUP($C717,'Employee information'!$B:$AM,COLUMNS('Employee information'!$B:S),0),
IF($E$2="Fortnightly",VLOOKUP($C717,'Employee information'!$B:$AM,COLUMNS('Employee information'!$B:R),0),
0))))</f>
        <v>0</v>
      </c>
      <c r="F717" s="106"/>
      <c r="G717" s="106"/>
      <c r="H717" s="106"/>
      <c r="I717" s="106"/>
      <c r="J717" s="103">
        <f t="shared" si="752"/>
        <v>0</v>
      </c>
      <c r="L717" s="113">
        <f>IF(AND($E$2="Monthly",$A717&gt;12),"",
IFERROR($J717*VLOOKUP($C717,'Employee information'!$B:$AI,COLUMNS('Employee information'!$B:$P),0),0))</f>
        <v>0</v>
      </c>
      <c r="M717" s="114">
        <f t="shared" si="753"/>
        <v>0</v>
      </c>
      <c r="O717" s="103">
        <f t="shared" si="754"/>
        <v>0</v>
      </c>
      <c r="P717" s="113">
        <f>IFERROR(
IF(AND($E$2="Monthly",$A717&gt;12),0,
$O717*VLOOKUP($C717,'Employee information'!$B:$AI,COLUMNS('Employee information'!$B:$P),0)),
0)</f>
        <v>0</v>
      </c>
      <c r="R717" s="114">
        <f t="shared" si="740"/>
        <v>0</v>
      </c>
      <c r="T717" s="103"/>
      <c r="U717" s="103"/>
      <c r="V717" s="282" t="str">
        <f>IF($C717="","",
IF(AND($E$2="Monthly",$A717&gt;12),"",
$T717*VLOOKUP($C717,'Employee information'!$B:$P,COLUMNS('Employee information'!$B:$P),0)))</f>
        <v/>
      </c>
      <c r="W717" s="282" t="str">
        <f>IF($C717="","",
IF(AND($E$2="Monthly",$A717&gt;12),"",
$U717*VLOOKUP($C717,'Employee information'!$B:$P,COLUMNS('Employee information'!$B:$P),0)))</f>
        <v/>
      </c>
      <c r="X717" s="114">
        <f t="shared" si="741"/>
        <v>0</v>
      </c>
      <c r="Y717" s="114">
        <f t="shared" si="742"/>
        <v>0</v>
      </c>
      <c r="AA717" s="118">
        <f>IFERROR(
IF(OR('Basic payroll data'!$D$12="",'Basic payroll data'!$D$12="No"),0,
$T717*VLOOKUP($C717,'Employee information'!$B:$P,COLUMNS('Employee information'!$B:$P),0)*AL_loading_perc),
0)</f>
        <v>0</v>
      </c>
      <c r="AC717" s="118"/>
      <c r="AD717" s="118"/>
      <c r="AE717" s="283" t="str">
        <f t="shared" si="755"/>
        <v/>
      </c>
      <c r="AF717" s="283" t="str">
        <f t="shared" si="756"/>
        <v/>
      </c>
      <c r="AG717" s="118"/>
      <c r="AH717" s="118"/>
      <c r="AI717" s="283" t="str">
        <f t="shared" si="757"/>
        <v/>
      </c>
      <c r="AJ717" s="118"/>
      <c r="AK717" s="118"/>
      <c r="AM717" s="118">
        <f t="shared" si="758"/>
        <v>0</v>
      </c>
      <c r="AN717" s="118">
        <f t="shared" si="743"/>
        <v>0</v>
      </c>
      <c r="AO717" s="118" t="str">
        <f>IFERROR(
IF(VLOOKUP($C717,'Employee information'!$B:$M,COLUMNS('Employee information'!$B:$M),0)=1,
IF($E$2="Fortnightly",
ROUND(
ROUND((((TRUNC($AN717/2,0)+0.99))*VLOOKUP((TRUNC($AN717/2,0)+0.99),'Tax scales - NAT 1004'!$A$12:$C$18,2,1)-VLOOKUP((TRUNC($AN717/2,0)+0.99),'Tax scales - NAT 1004'!$A$12:$C$18,3,1)),0)
*2,
0),
IF(AND($E$2="Monthly",ROUND($AN717-TRUNC($AN717),2)=0.33),
ROUND(
ROUND(((TRUNC(($AN717+0.01)*3/13,0)+0.99)*VLOOKUP((TRUNC(($AN717+0.01)*3/13,0)+0.99),'Tax scales - NAT 1004'!$A$12:$C$18,2,1)-VLOOKUP((TRUNC(($AN717+0.01)*3/13,0)+0.99),'Tax scales - NAT 1004'!$A$12:$C$18,3,1)),0)
*13/3,
0),
IF($E$2="Monthly",
ROUND(
ROUND(((TRUNC($AN717*3/13,0)+0.99)*VLOOKUP((TRUNC($AN717*3/13,0)+0.99),'Tax scales - NAT 1004'!$A$12:$C$18,2,1)-VLOOKUP((TRUNC($AN717*3/13,0)+0.99),'Tax scales - NAT 1004'!$A$12:$C$18,3,1)),0)
*13/3,
0),
""))),
""),
"")</f>
        <v/>
      </c>
      <c r="AP717" s="118" t="str">
        <f>IFERROR(
IF(VLOOKUP($C717,'Employee information'!$B:$M,COLUMNS('Employee information'!$B:$M),0)=2,
IF($E$2="Fortnightly",
ROUND(
ROUND((((TRUNC($AN717/2,0)+0.99))*VLOOKUP((TRUNC($AN717/2,0)+0.99),'Tax scales - NAT 1004'!$A$25:$C$33,2,1)-VLOOKUP((TRUNC($AN717/2,0)+0.99),'Tax scales - NAT 1004'!$A$25:$C$33,3,1)),0)
*2,
0),
IF(AND($E$2="Monthly",ROUND($AN717-TRUNC($AN717),2)=0.33),
ROUND(
ROUND(((TRUNC(($AN717+0.01)*3/13,0)+0.99)*VLOOKUP((TRUNC(($AN717+0.01)*3/13,0)+0.99),'Tax scales - NAT 1004'!$A$25:$C$33,2,1)-VLOOKUP((TRUNC(($AN717+0.01)*3/13,0)+0.99),'Tax scales - NAT 1004'!$A$25:$C$33,3,1)),0)
*13/3,
0),
IF($E$2="Monthly",
ROUND(
ROUND(((TRUNC($AN717*3/13,0)+0.99)*VLOOKUP((TRUNC($AN717*3/13,0)+0.99),'Tax scales - NAT 1004'!$A$25:$C$33,2,1)-VLOOKUP((TRUNC($AN717*3/13,0)+0.99),'Tax scales - NAT 1004'!$A$25:$C$33,3,1)),0)
*13/3,
0),
""))),
""),
"")</f>
        <v/>
      </c>
      <c r="AQ717" s="118" t="str">
        <f>IFERROR(
IF(VLOOKUP($C717,'Employee information'!$B:$M,COLUMNS('Employee information'!$B:$M),0)=3,
IF($E$2="Fortnightly",
ROUND(
ROUND((((TRUNC($AN717/2,0)+0.99))*VLOOKUP((TRUNC($AN717/2,0)+0.99),'Tax scales - NAT 1004'!$A$39:$C$41,2,1)-VLOOKUP((TRUNC($AN717/2,0)+0.99),'Tax scales - NAT 1004'!$A$39:$C$41,3,1)),0)
*2,
0),
IF(AND($E$2="Monthly",ROUND($AN717-TRUNC($AN717),2)=0.33),
ROUND(
ROUND(((TRUNC(($AN717+0.01)*3/13,0)+0.99)*VLOOKUP((TRUNC(($AN717+0.01)*3/13,0)+0.99),'Tax scales - NAT 1004'!$A$39:$C$41,2,1)-VLOOKUP((TRUNC(($AN717+0.01)*3/13,0)+0.99),'Tax scales - NAT 1004'!$A$39:$C$41,3,1)),0)
*13/3,
0),
IF($E$2="Monthly",
ROUND(
ROUND(((TRUNC($AN717*3/13,0)+0.99)*VLOOKUP((TRUNC($AN717*3/13,0)+0.99),'Tax scales - NAT 1004'!$A$39:$C$41,2,1)-VLOOKUP((TRUNC($AN717*3/13,0)+0.99),'Tax scales - NAT 1004'!$A$39:$C$41,3,1)),0)
*13/3,
0),
""))),
""),
"")</f>
        <v/>
      </c>
      <c r="AR717" s="118" t="str">
        <f>IFERROR(
IF(AND(VLOOKUP($C717,'Employee information'!$B:$M,COLUMNS('Employee information'!$B:$M),0)=4,
VLOOKUP($C717,'Employee information'!$B:$J,COLUMNS('Employee information'!$B:$J),0)="Resident"),
TRUNC(TRUNC($AN717)*'Tax scales - NAT 1004'!$B$47),
IF(AND(VLOOKUP($C717,'Employee information'!$B:$M,COLUMNS('Employee information'!$B:$M),0)=4,
VLOOKUP($C717,'Employee information'!$B:$J,COLUMNS('Employee information'!$B:$J),0)="Foreign resident"),
TRUNC(TRUNC($AN717)*'Tax scales - NAT 1004'!$B$48),
"")),
"")</f>
        <v/>
      </c>
      <c r="AS717" s="118" t="str">
        <f>IFERROR(
IF(VLOOKUP($C717,'Employee information'!$B:$M,COLUMNS('Employee information'!$B:$M),0)=5,
IF($E$2="Fortnightly",
ROUND(
ROUND((((TRUNC($AN717/2,0)+0.99))*VLOOKUP((TRUNC($AN717/2,0)+0.99),'Tax scales - NAT 1004'!$A$53:$C$59,2,1)-VLOOKUP((TRUNC($AN717/2,0)+0.99),'Tax scales - NAT 1004'!$A$53:$C$59,3,1)),0)
*2,
0),
IF(AND($E$2="Monthly",ROUND($AN717-TRUNC($AN717),2)=0.33),
ROUND(
ROUND(((TRUNC(($AN717+0.01)*3/13,0)+0.99)*VLOOKUP((TRUNC(($AN717+0.01)*3/13,0)+0.99),'Tax scales - NAT 1004'!$A$53:$C$59,2,1)-VLOOKUP((TRUNC(($AN717+0.01)*3/13,0)+0.99),'Tax scales - NAT 1004'!$A$53:$C$59,3,1)),0)
*13/3,
0),
IF($E$2="Monthly",
ROUND(
ROUND(((TRUNC($AN717*3/13,0)+0.99)*VLOOKUP((TRUNC($AN717*3/13,0)+0.99),'Tax scales - NAT 1004'!$A$53:$C$59,2,1)-VLOOKUP((TRUNC($AN717*3/13,0)+0.99),'Tax scales - NAT 1004'!$A$53:$C$59,3,1)),0)
*13/3,
0),
""))),
""),
"")</f>
        <v/>
      </c>
      <c r="AT717" s="118" t="str">
        <f>IFERROR(
IF(VLOOKUP($C717,'Employee information'!$B:$M,COLUMNS('Employee information'!$B:$M),0)=6,
IF($E$2="Fortnightly",
ROUND(
ROUND((((TRUNC($AN717/2,0)+0.99))*VLOOKUP((TRUNC($AN717/2,0)+0.99),'Tax scales - NAT 1004'!$A$65:$C$73,2,1)-VLOOKUP((TRUNC($AN717/2,0)+0.99),'Tax scales - NAT 1004'!$A$65:$C$73,3,1)),0)
*2,
0),
IF(AND($E$2="Monthly",ROUND($AN717-TRUNC($AN717),2)=0.33),
ROUND(
ROUND(((TRUNC(($AN717+0.01)*3/13,0)+0.99)*VLOOKUP((TRUNC(($AN717+0.01)*3/13,0)+0.99),'Tax scales - NAT 1004'!$A$65:$C$73,2,1)-VLOOKUP((TRUNC(($AN717+0.01)*3/13,0)+0.99),'Tax scales - NAT 1004'!$A$65:$C$73,3,1)),0)
*13/3,
0),
IF($E$2="Monthly",
ROUND(
ROUND(((TRUNC($AN717*3/13,0)+0.99)*VLOOKUP((TRUNC($AN717*3/13,0)+0.99),'Tax scales - NAT 1004'!$A$65:$C$73,2,1)-VLOOKUP((TRUNC($AN717*3/13,0)+0.99),'Tax scales - NAT 1004'!$A$65:$C$73,3,1)),0)
*13/3,
0),
""))),
""),
"")</f>
        <v/>
      </c>
      <c r="AU717" s="118" t="str">
        <f>IFERROR(
IF(VLOOKUP($C717,'Employee information'!$B:$M,COLUMNS('Employee information'!$B:$M),0)=11,
IF($E$2="Fortnightly",
ROUND(
ROUND((((TRUNC($AN717/2,0)+0.99))*VLOOKUP((TRUNC($AN717/2,0)+0.99),'Tax scales - NAT 3539'!$A$14:$C$38,2,1)-VLOOKUP((TRUNC($AN717/2,0)+0.99),'Tax scales - NAT 3539'!$A$14:$C$38,3,1)),0)
*2,
0),
IF(AND($E$2="Monthly",ROUND($AN717-TRUNC($AN717),2)=0.33),
ROUND(
ROUND(((TRUNC(($AN717+0.01)*3/13,0)+0.99)*VLOOKUP((TRUNC(($AN717+0.01)*3/13,0)+0.99),'Tax scales - NAT 3539'!$A$14:$C$38,2,1)-VLOOKUP((TRUNC(($AN717+0.01)*3/13,0)+0.99),'Tax scales - NAT 3539'!$A$14:$C$38,3,1)),0)
*13/3,
0),
IF($E$2="Monthly",
ROUND(
ROUND(((TRUNC($AN717*3/13,0)+0.99)*VLOOKUP((TRUNC($AN717*3/13,0)+0.99),'Tax scales - NAT 3539'!$A$14:$C$38,2,1)-VLOOKUP((TRUNC($AN717*3/13,0)+0.99),'Tax scales - NAT 3539'!$A$14:$C$38,3,1)),0)
*13/3,
0),
""))),
""),
"")</f>
        <v/>
      </c>
      <c r="AV717" s="118" t="str">
        <f>IFERROR(
IF(VLOOKUP($C717,'Employee information'!$B:$M,COLUMNS('Employee information'!$B:$M),0)=22,
IF($E$2="Fortnightly",
ROUND(
ROUND((((TRUNC($AN717/2,0)+0.99))*VLOOKUP((TRUNC($AN717/2,0)+0.99),'Tax scales - NAT 3539'!$A$43:$C$69,2,1)-VLOOKUP((TRUNC($AN717/2,0)+0.99),'Tax scales - NAT 3539'!$A$43:$C$69,3,1)),0)
*2,
0),
IF(AND($E$2="Monthly",ROUND($AN717-TRUNC($AN717),2)=0.33),
ROUND(
ROUND(((TRUNC(($AN717+0.01)*3/13,0)+0.99)*VLOOKUP((TRUNC(($AN717+0.01)*3/13,0)+0.99),'Tax scales - NAT 3539'!$A$43:$C$69,2,1)-VLOOKUP((TRUNC(($AN717+0.01)*3/13,0)+0.99),'Tax scales - NAT 3539'!$A$43:$C$69,3,1)),0)
*13/3,
0),
IF($E$2="Monthly",
ROUND(
ROUND(((TRUNC($AN717*3/13,0)+0.99)*VLOOKUP((TRUNC($AN717*3/13,0)+0.99),'Tax scales - NAT 3539'!$A$43:$C$69,2,1)-VLOOKUP((TRUNC($AN717*3/13,0)+0.99),'Tax scales - NAT 3539'!$A$43:$C$69,3,1)),0)
*13/3,
0),
""))),
""),
"")</f>
        <v/>
      </c>
      <c r="AW717" s="118" t="str">
        <f>IFERROR(
IF(VLOOKUP($C717,'Employee information'!$B:$M,COLUMNS('Employee information'!$B:$M),0)=33,
IF($E$2="Fortnightly",
ROUND(
ROUND((((TRUNC($AN717/2,0)+0.99))*VLOOKUP((TRUNC($AN717/2,0)+0.99),'Tax scales - NAT 3539'!$A$74:$C$94,2,1)-VLOOKUP((TRUNC($AN717/2,0)+0.99),'Tax scales - NAT 3539'!$A$74:$C$94,3,1)),0)
*2,
0),
IF(AND($E$2="Monthly",ROUND($AN717-TRUNC($AN717),2)=0.33),
ROUND(
ROUND(((TRUNC(($AN717+0.01)*3/13,0)+0.99)*VLOOKUP((TRUNC(($AN717+0.01)*3/13,0)+0.99),'Tax scales - NAT 3539'!$A$74:$C$94,2,1)-VLOOKUP((TRUNC(($AN717+0.01)*3/13,0)+0.99),'Tax scales - NAT 3539'!$A$74:$C$94,3,1)),0)
*13/3,
0),
IF($E$2="Monthly",
ROUND(
ROUND(((TRUNC($AN717*3/13,0)+0.99)*VLOOKUP((TRUNC($AN717*3/13,0)+0.99),'Tax scales - NAT 3539'!$A$74:$C$94,2,1)-VLOOKUP((TRUNC($AN717*3/13,0)+0.99),'Tax scales - NAT 3539'!$A$74:$C$94,3,1)),0)
*13/3,
0),
""))),
""),
"")</f>
        <v/>
      </c>
      <c r="AX717" s="118" t="str">
        <f>IFERROR(
IF(VLOOKUP($C717,'Employee information'!$B:$M,COLUMNS('Employee information'!$B:$M),0)=55,
IF($E$2="Fortnightly",
ROUND(
ROUND((((TRUNC($AN717/2,0)+0.99))*VLOOKUP((TRUNC($AN717/2,0)+0.99),'Tax scales - NAT 3539'!$A$99:$C$123,2,1)-VLOOKUP((TRUNC($AN717/2,0)+0.99),'Tax scales - NAT 3539'!$A$99:$C$123,3,1)),0)
*2,
0),
IF(AND($E$2="Monthly",ROUND($AN717-TRUNC($AN717),2)=0.33),
ROUND(
ROUND(((TRUNC(($AN717+0.01)*3/13,0)+0.99)*VLOOKUP((TRUNC(($AN717+0.01)*3/13,0)+0.99),'Tax scales - NAT 3539'!$A$99:$C$123,2,1)-VLOOKUP((TRUNC(($AN717+0.01)*3/13,0)+0.99),'Tax scales - NAT 3539'!$A$99:$C$123,3,1)),0)
*13/3,
0),
IF($E$2="Monthly",
ROUND(
ROUND(((TRUNC($AN717*3/13,0)+0.99)*VLOOKUP((TRUNC($AN717*3/13,0)+0.99),'Tax scales - NAT 3539'!$A$99:$C$123,2,1)-VLOOKUP((TRUNC($AN717*3/13,0)+0.99),'Tax scales - NAT 3539'!$A$99:$C$123,3,1)),0)
*13/3,
0),
""))),
""),
"")</f>
        <v/>
      </c>
      <c r="AY717" s="118" t="str">
        <f>IFERROR(
IF(VLOOKUP($C717,'Employee information'!$B:$M,COLUMNS('Employee information'!$B:$M),0)=66,
IF($E$2="Fortnightly",
ROUND(
ROUND((((TRUNC($AN717/2,0)+0.99))*VLOOKUP((TRUNC($AN717/2,0)+0.99),'Tax scales - NAT 3539'!$A$127:$C$154,2,1)-VLOOKUP((TRUNC($AN717/2,0)+0.99),'Tax scales - NAT 3539'!$A$127:$C$154,3,1)),0)
*2,
0),
IF(AND($E$2="Monthly",ROUND($AN717-TRUNC($AN717),2)=0.33),
ROUND(
ROUND(((TRUNC(($AN717+0.01)*3/13,0)+0.99)*VLOOKUP((TRUNC(($AN717+0.01)*3/13,0)+0.99),'Tax scales - NAT 3539'!$A$127:$C$154,2,1)-VLOOKUP((TRUNC(($AN717+0.01)*3/13,0)+0.99),'Tax scales - NAT 3539'!$A$127:$C$154,3,1)),0)
*13/3,
0),
IF($E$2="Monthly",
ROUND(
ROUND(((TRUNC($AN717*3/13,0)+0.99)*VLOOKUP((TRUNC($AN717*3/13,0)+0.99),'Tax scales - NAT 3539'!$A$127:$C$154,2,1)-VLOOKUP((TRUNC($AN717*3/13,0)+0.99),'Tax scales - NAT 3539'!$A$127:$C$154,3,1)),0)
*13/3,
0),
""))),
""),
"")</f>
        <v/>
      </c>
      <c r="AZ717" s="118">
        <f>IFERROR(
HLOOKUP(VLOOKUP($C717,'Employee information'!$B:$M,COLUMNS('Employee information'!$B:$M),0),'PAYG worksheet'!$AO$706:$AY$725,COUNTA($C$707:$C717)+1,0),
0)</f>
        <v>0</v>
      </c>
      <c r="BA717" s="118"/>
      <c r="BB717" s="118">
        <f t="shared" si="759"/>
        <v>0</v>
      </c>
      <c r="BC717" s="119">
        <f>IFERROR(
IF(OR($AE717=1,$AE717=""),SUM($P717,$AA717,$AC717,$AK717)*VLOOKUP($C717,'Employee information'!$B:$Q,COLUMNS('Employee information'!$B:$H),0),
IF($AE717=0,SUM($P717,$AA717,$AK717)*VLOOKUP($C717,'Employee information'!$B:$Q,COLUMNS('Employee information'!$B:$H),0),
0)),
0)</f>
        <v>0</v>
      </c>
      <c r="BE717" s="114">
        <f t="shared" si="744"/>
        <v>0</v>
      </c>
      <c r="BF717" s="114">
        <f t="shared" si="745"/>
        <v>0</v>
      </c>
      <c r="BG717" s="114">
        <f t="shared" si="746"/>
        <v>0</v>
      </c>
      <c r="BH717" s="114">
        <f t="shared" si="747"/>
        <v>0</v>
      </c>
      <c r="BI717" s="114">
        <f t="shared" si="748"/>
        <v>0</v>
      </c>
      <c r="BJ717" s="114">
        <f t="shared" si="749"/>
        <v>0</v>
      </c>
      <c r="BK717" s="114">
        <f t="shared" si="750"/>
        <v>0</v>
      </c>
      <c r="BL717" s="114">
        <f t="shared" si="760"/>
        <v>0</v>
      </c>
      <c r="BM717" s="114">
        <f t="shared" si="751"/>
        <v>0</v>
      </c>
    </row>
    <row r="718" spans="1:65" x14ac:dyDescent="0.25">
      <c r="A718" s="228">
        <f t="shared" si="739"/>
        <v>25</v>
      </c>
      <c r="C718" s="278"/>
      <c r="E718" s="103">
        <f>IF($C718="",0,
IF(AND($E$2="Monthly",$A718&gt;12),0,
IF($E$2="Monthly",VLOOKUP($C718,'Employee information'!$B:$AM,COLUMNS('Employee information'!$B:S),0),
IF($E$2="Fortnightly",VLOOKUP($C718,'Employee information'!$B:$AM,COLUMNS('Employee information'!$B:R),0),
0))))</f>
        <v>0</v>
      </c>
      <c r="F718" s="106"/>
      <c r="G718" s="106"/>
      <c r="H718" s="106"/>
      <c r="I718" s="106"/>
      <c r="J718" s="103">
        <f t="shared" si="752"/>
        <v>0</v>
      </c>
      <c r="L718" s="113">
        <f>IF(AND($E$2="Monthly",$A718&gt;12),"",
IFERROR($J718*VLOOKUP($C718,'Employee information'!$B:$AI,COLUMNS('Employee information'!$B:$P),0),0))</f>
        <v>0</v>
      </c>
      <c r="M718" s="114">
        <f t="shared" si="753"/>
        <v>0</v>
      </c>
      <c r="O718" s="103">
        <f t="shared" si="754"/>
        <v>0</v>
      </c>
      <c r="P718" s="113">
        <f>IFERROR(
IF(AND($E$2="Monthly",$A718&gt;12),0,
$O718*VLOOKUP($C718,'Employee information'!$B:$AI,COLUMNS('Employee information'!$B:$P),0)),
0)</f>
        <v>0</v>
      </c>
      <c r="R718" s="114">
        <f t="shared" si="740"/>
        <v>0</v>
      </c>
      <c r="T718" s="103"/>
      <c r="U718" s="103"/>
      <c r="V718" s="282" t="str">
        <f>IF($C718="","",
IF(AND($E$2="Monthly",$A718&gt;12),"",
$T718*VLOOKUP($C718,'Employee information'!$B:$P,COLUMNS('Employee information'!$B:$P),0)))</f>
        <v/>
      </c>
      <c r="W718" s="282" t="str">
        <f>IF($C718="","",
IF(AND($E$2="Monthly",$A718&gt;12),"",
$U718*VLOOKUP($C718,'Employee information'!$B:$P,COLUMNS('Employee information'!$B:$P),0)))</f>
        <v/>
      </c>
      <c r="X718" s="114">
        <f t="shared" si="741"/>
        <v>0</v>
      </c>
      <c r="Y718" s="114">
        <f t="shared" si="742"/>
        <v>0</v>
      </c>
      <c r="AA718" s="118">
        <f>IFERROR(
IF(OR('Basic payroll data'!$D$12="",'Basic payroll data'!$D$12="No"),0,
$T718*VLOOKUP($C718,'Employee information'!$B:$P,COLUMNS('Employee information'!$B:$P),0)*AL_loading_perc),
0)</f>
        <v>0</v>
      </c>
      <c r="AC718" s="118"/>
      <c r="AD718" s="118"/>
      <c r="AE718" s="283" t="str">
        <f t="shared" si="755"/>
        <v/>
      </c>
      <c r="AF718" s="283" t="str">
        <f t="shared" si="756"/>
        <v/>
      </c>
      <c r="AG718" s="118"/>
      <c r="AH718" s="118"/>
      <c r="AI718" s="283" t="str">
        <f t="shared" si="757"/>
        <v/>
      </c>
      <c r="AJ718" s="118"/>
      <c r="AK718" s="118"/>
      <c r="AM718" s="118">
        <f t="shared" si="758"/>
        <v>0</v>
      </c>
      <c r="AN718" s="118">
        <f t="shared" si="743"/>
        <v>0</v>
      </c>
      <c r="AO718" s="118" t="str">
        <f>IFERROR(
IF(VLOOKUP($C718,'Employee information'!$B:$M,COLUMNS('Employee information'!$B:$M),0)=1,
IF($E$2="Fortnightly",
ROUND(
ROUND((((TRUNC($AN718/2,0)+0.99))*VLOOKUP((TRUNC($AN718/2,0)+0.99),'Tax scales - NAT 1004'!$A$12:$C$18,2,1)-VLOOKUP((TRUNC($AN718/2,0)+0.99),'Tax scales - NAT 1004'!$A$12:$C$18,3,1)),0)
*2,
0),
IF(AND($E$2="Monthly",ROUND($AN718-TRUNC($AN718),2)=0.33),
ROUND(
ROUND(((TRUNC(($AN718+0.01)*3/13,0)+0.99)*VLOOKUP((TRUNC(($AN718+0.01)*3/13,0)+0.99),'Tax scales - NAT 1004'!$A$12:$C$18,2,1)-VLOOKUP((TRUNC(($AN718+0.01)*3/13,0)+0.99),'Tax scales - NAT 1004'!$A$12:$C$18,3,1)),0)
*13/3,
0),
IF($E$2="Monthly",
ROUND(
ROUND(((TRUNC($AN718*3/13,0)+0.99)*VLOOKUP((TRUNC($AN718*3/13,0)+0.99),'Tax scales - NAT 1004'!$A$12:$C$18,2,1)-VLOOKUP((TRUNC($AN718*3/13,0)+0.99),'Tax scales - NAT 1004'!$A$12:$C$18,3,1)),0)
*13/3,
0),
""))),
""),
"")</f>
        <v/>
      </c>
      <c r="AP718" s="118" t="str">
        <f>IFERROR(
IF(VLOOKUP($C718,'Employee information'!$B:$M,COLUMNS('Employee information'!$B:$M),0)=2,
IF($E$2="Fortnightly",
ROUND(
ROUND((((TRUNC($AN718/2,0)+0.99))*VLOOKUP((TRUNC($AN718/2,0)+0.99),'Tax scales - NAT 1004'!$A$25:$C$33,2,1)-VLOOKUP((TRUNC($AN718/2,0)+0.99),'Tax scales - NAT 1004'!$A$25:$C$33,3,1)),0)
*2,
0),
IF(AND($E$2="Monthly",ROUND($AN718-TRUNC($AN718),2)=0.33),
ROUND(
ROUND(((TRUNC(($AN718+0.01)*3/13,0)+0.99)*VLOOKUP((TRUNC(($AN718+0.01)*3/13,0)+0.99),'Tax scales - NAT 1004'!$A$25:$C$33,2,1)-VLOOKUP((TRUNC(($AN718+0.01)*3/13,0)+0.99),'Tax scales - NAT 1004'!$A$25:$C$33,3,1)),0)
*13/3,
0),
IF($E$2="Monthly",
ROUND(
ROUND(((TRUNC($AN718*3/13,0)+0.99)*VLOOKUP((TRUNC($AN718*3/13,0)+0.99),'Tax scales - NAT 1004'!$A$25:$C$33,2,1)-VLOOKUP((TRUNC($AN718*3/13,0)+0.99),'Tax scales - NAT 1004'!$A$25:$C$33,3,1)),0)
*13/3,
0),
""))),
""),
"")</f>
        <v/>
      </c>
      <c r="AQ718" s="118" t="str">
        <f>IFERROR(
IF(VLOOKUP($C718,'Employee information'!$B:$M,COLUMNS('Employee information'!$B:$M),0)=3,
IF($E$2="Fortnightly",
ROUND(
ROUND((((TRUNC($AN718/2,0)+0.99))*VLOOKUP((TRUNC($AN718/2,0)+0.99),'Tax scales - NAT 1004'!$A$39:$C$41,2,1)-VLOOKUP((TRUNC($AN718/2,0)+0.99),'Tax scales - NAT 1004'!$A$39:$C$41,3,1)),0)
*2,
0),
IF(AND($E$2="Monthly",ROUND($AN718-TRUNC($AN718),2)=0.33),
ROUND(
ROUND(((TRUNC(($AN718+0.01)*3/13,0)+0.99)*VLOOKUP((TRUNC(($AN718+0.01)*3/13,0)+0.99),'Tax scales - NAT 1004'!$A$39:$C$41,2,1)-VLOOKUP((TRUNC(($AN718+0.01)*3/13,0)+0.99),'Tax scales - NAT 1004'!$A$39:$C$41,3,1)),0)
*13/3,
0),
IF($E$2="Monthly",
ROUND(
ROUND(((TRUNC($AN718*3/13,0)+0.99)*VLOOKUP((TRUNC($AN718*3/13,0)+0.99),'Tax scales - NAT 1004'!$A$39:$C$41,2,1)-VLOOKUP((TRUNC($AN718*3/13,0)+0.99),'Tax scales - NAT 1004'!$A$39:$C$41,3,1)),0)
*13/3,
0),
""))),
""),
"")</f>
        <v/>
      </c>
      <c r="AR718" s="118" t="str">
        <f>IFERROR(
IF(AND(VLOOKUP($C718,'Employee information'!$B:$M,COLUMNS('Employee information'!$B:$M),0)=4,
VLOOKUP($C718,'Employee information'!$B:$J,COLUMNS('Employee information'!$B:$J),0)="Resident"),
TRUNC(TRUNC($AN718)*'Tax scales - NAT 1004'!$B$47),
IF(AND(VLOOKUP($C718,'Employee information'!$B:$M,COLUMNS('Employee information'!$B:$M),0)=4,
VLOOKUP($C718,'Employee information'!$B:$J,COLUMNS('Employee information'!$B:$J),0)="Foreign resident"),
TRUNC(TRUNC($AN718)*'Tax scales - NAT 1004'!$B$48),
"")),
"")</f>
        <v/>
      </c>
      <c r="AS718" s="118" t="str">
        <f>IFERROR(
IF(VLOOKUP($C718,'Employee information'!$B:$M,COLUMNS('Employee information'!$B:$M),0)=5,
IF($E$2="Fortnightly",
ROUND(
ROUND((((TRUNC($AN718/2,0)+0.99))*VLOOKUP((TRUNC($AN718/2,0)+0.99),'Tax scales - NAT 1004'!$A$53:$C$59,2,1)-VLOOKUP((TRUNC($AN718/2,0)+0.99),'Tax scales - NAT 1004'!$A$53:$C$59,3,1)),0)
*2,
0),
IF(AND($E$2="Monthly",ROUND($AN718-TRUNC($AN718),2)=0.33),
ROUND(
ROUND(((TRUNC(($AN718+0.01)*3/13,0)+0.99)*VLOOKUP((TRUNC(($AN718+0.01)*3/13,0)+0.99),'Tax scales - NAT 1004'!$A$53:$C$59,2,1)-VLOOKUP((TRUNC(($AN718+0.01)*3/13,0)+0.99),'Tax scales - NAT 1004'!$A$53:$C$59,3,1)),0)
*13/3,
0),
IF($E$2="Monthly",
ROUND(
ROUND(((TRUNC($AN718*3/13,0)+0.99)*VLOOKUP((TRUNC($AN718*3/13,0)+0.99),'Tax scales - NAT 1004'!$A$53:$C$59,2,1)-VLOOKUP((TRUNC($AN718*3/13,0)+0.99),'Tax scales - NAT 1004'!$A$53:$C$59,3,1)),0)
*13/3,
0),
""))),
""),
"")</f>
        <v/>
      </c>
      <c r="AT718" s="118" t="str">
        <f>IFERROR(
IF(VLOOKUP($C718,'Employee information'!$B:$M,COLUMNS('Employee information'!$B:$M),0)=6,
IF($E$2="Fortnightly",
ROUND(
ROUND((((TRUNC($AN718/2,0)+0.99))*VLOOKUP((TRUNC($AN718/2,0)+0.99),'Tax scales - NAT 1004'!$A$65:$C$73,2,1)-VLOOKUP((TRUNC($AN718/2,0)+0.99),'Tax scales - NAT 1004'!$A$65:$C$73,3,1)),0)
*2,
0),
IF(AND($E$2="Monthly",ROUND($AN718-TRUNC($AN718),2)=0.33),
ROUND(
ROUND(((TRUNC(($AN718+0.01)*3/13,0)+0.99)*VLOOKUP((TRUNC(($AN718+0.01)*3/13,0)+0.99),'Tax scales - NAT 1004'!$A$65:$C$73,2,1)-VLOOKUP((TRUNC(($AN718+0.01)*3/13,0)+0.99),'Tax scales - NAT 1004'!$A$65:$C$73,3,1)),0)
*13/3,
0),
IF($E$2="Monthly",
ROUND(
ROUND(((TRUNC($AN718*3/13,0)+0.99)*VLOOKUP((TRUNC($AN718*3/13,0)+0.99),'Tax scales - NAT 1004'!$A$65:$C$73,2,1)-VLOOKUP((TRUNC($AN718*3/13,0)+0.99),'Tax scales - NAT 1004'!$A$65:$C$73,3,1)),0)
*13/3,
0),
""))),
""),
"")</f>
        <v/>
      </c>
      <c r="AU718" s="118" t="str">
        <f>IFERROR(
IF(VLOOKUP($C718,'Employee information'!$B:$M,COLUMNS('Employee information'!$B:$M),0)=11,
IF($E$2="Fortnightly",
ROUND(
ROUND((((TRUNC($AN718/2,0)+0.99))*VLOOKUP((TRUNC($AN718/2,0)+0.99),'Tax scales - NAT 3539'!$A$14:$C$38,2,1)-VLOOKUP((TRUNC($AN718/2,0)+0.99),'Tax scales - NAT 3539'!$A$14:$C$38,3,1)),0)
*2,
0),
IF(AND($E$2="Monthly",ROUND($AN718-TRUNC($AN718),2)=0.33),
ROUND(
ROUND(((TRUNC(($AN718+0.01)*3/13,0)+0.99)*VLOOKUP((TRUNC(($AN718+0.01)*3/13,0)+0.99),'Tax scales - NAT 3539'!$A$14:$C$38,2,1)-VLOOKUP((TRUNC(($AN718+0.01)*3/13,0)+0.99),'Tax scales - NAT 3539'!$A$14:$C$38,3,1)),0)
*13/3,
0),
IF($E$2="Monthly",
ROUND(
ROUND(((TRUNC($AN718*3/13,0)+0.99)*VLOOKUP((TRUNC($AN718*3/13,0)+0.99),'Tax scales - NAT 3539'!$A$14:$C$38,2,1)-VLOOKUP((TRUNC($AN718*3/13,0)+0.99),'Tax scales - NAT 3539'!$A$14:$C$38,3,1)),0)
*13/3,
0),
""))),
""),
"")</f>
        <v/>
      </c>
      <c r="AV718" s="118" t="str">
        <f>IFERROR(
IF(VLOOKUP($C718,'Employee information'!$B:$M,COLUMNS('Employee information'!$B:$M),0)=22,
IF($E$2="Fortnightly",
ROUND(
ROUND((((TRUNC($AN718/2,0)+0.99))*VLOOKUP((TRUNC($AN718/2,0)+0.99),'Tax scales - NAT 3539'!$A$43:$C$69,2,1)-VLOOKUP((TRUNC($AN718/2,0)+0.99),'Tax scales - NAT 3539'!$A$43:$C$69,3,1)),0)
*2,
0),
IF(AND($E$2="Monthly",ROUND($AN718-TRUNC($AN718),2)=0.33),
ROUND(
ROUND(((TRUNC(($AN718+0.01)*3/13,0)+0.99)*VLOOKUP((TRUNC(($AN718+0.01)*3/13,0)+0.99),'Tax scales - NAT 3539'!$A$43:$C$69,2,1)-VLOOKUP((TRUNC(($AN718+0.01)*3/13,0)+0.99),'Tax scales - NAT 3539'!$A$43:$C$69,3,1)),0)
*13/3,
0),
IF($E$2="Monthly",
ROUND(
ROUND(((TRUNC($AN718*3/13,0)+0.99)*VLOOKUP((TRUNC($AN718*3/13,0)+0.99),'Tax scales - NAT 3539'!$A$43:$C$69,2,1)-VLOOKUP((TRUNC($AN718*3/13,0)+0.99),'Tax scales - NAT 3539'!$A$43:$C$69,3,1)),0)
*13/3,
0),
""))),
""),
"")</f>
        <v/>
      </c>
      <c r="AW718" s="118" t="str">
        <f>IFERROR(
IF(VLOOKUP($C718,'Employee information'!$B:$M,COLUMNS('Employee information'!$B:$M),0)=33,
IF($E$2="Fortnightly",
ROUND(
ROUND((((TRUNC($AN718/2,0)+0.99))*VLOOKUP((TRUNC($AN718/2,0)+0.99),'Tax scales - NAT 3539'!$A$74:$C$94,2,1)-VLOOKUP((TRUNC($AN718/2,0)+0.99),'Tax scales - NAT 3539'!$A$74:$C$94,3,1)),0)
*2,
0),
IF(AND($E$2="Monthly",ROUND($AN718-TRUNC($AN718),2)=0.33),
ROUND(
ROUND(((TRUNC(($AN718+0.01)*3/13,0)+0.99)*VLOOKUP((TRUNC(($AN718+0.01)*3/13,0)+0.99),'Tax scales - NAT 3539'!$A$74:$C$94,2,1)-VLOOKUP((TRUNC(($AN718+0.01)*3/13,0)+0.99),'Tax scales - NAT 3539'!$A$74:$C$94,3,1)),0)
*13/3,
0),
IF($E$2="Monthly",
ROUND(
ROUND(((TRUNC($AN718*3/13,0)+0.99)*VLOOKUP((TRUNC($AN718*3/13,0)+0.99),'Tax scales - NAT 3539'!$A$74:$C$94,2,1)-VLOOKUP((TRUNC($AN718*3/13,0)+0.99),'Tax scales - NAT 3539'!$A$74:$C$94,3,1)),0)
*13/3,
0),
""))),
""),
"")</f>
        <v/>
      </c>
      <c r="AX718" s="118" t="str">
        <f>IFERROR(
IF(VLOOKUP($C718,'Employee information'!$B:$M,COLUMNS('Employee information'!$B:$M),0)=55,
IF($E$2="Fortnightly",
ROUND(
ROUND((((TRUNC($AN718/2,0)+0.99))*VLOOKUP((TRUNC($AN718/2,0)+0.99),'Tax scales - NAT 3539'!$A$99:$C$123,2,1)-VLOOKUP((TRUNC($AN718/2,0)+0.99),'Tax scales - NAT 3539'!$A$99:$C$123,3,1)),0)
*2,
0),
IF(AND($E$2="Monthly",ROUND($AN718-TRUNC($AN718),2)=0.33),
ROUND(
ROUND(((TRUNC(($AN718+0.01)*3/13,0)+0.99)*VLOOKUP((TRUNC(($AN718+0.01)*3/13,0)+0.99),'Tax scales - NAT 3539'!$A$99:$C$123,2,1)-VLOOKUP((TRUNC(($AN718+0.01)*3/13,0)+0.99),'Tax scales - NAT 3539'!$A$99:$C$123,3,1)),0)
*13/3,
0),
IF($E$2="Monthly",
ROUND(
ROUND(((TRUNC($AN718*3/13,0)+0.99)*VLOOKUP((TRUNC($AN718*3/13,0)+0.99),'Tax scales - NAT 3539'!$A$99:$C$123,2,1)-VLOOKUP((TRUNC($AN718*3/13,0)+0.99),'Tax scales - NAT 3539'!$A$99:$C$123,3,1)),0)
*13/3,
0),
""))),
""),
"")</f>
        <v/>
      </c>
      <c r="AY718" s="118" t="str">
        <f>IFERROR(
IF(VLOOKUP($C718,'Employee information'!$B:$M,COLUMNS('Employee information'!$B:$M),0)=66,
IF($E$2="Fortnightly",
ROUND(
ROUND((((TRUNC($AN718/2,0)+0.99))*VLOOKUP((TRUNC($AN718/2,0)+0.99),'Tax scales - NAT 3539'!$A$127:$C$154,2,1)-VLOOKUP((TRUNC($AN718/2,0)+0.99),'Tax scales - NAT 3539'!$A$127:$C$154,3,1)),0)
*2,
0),
IF(AND($E$2="Monthly",ROUND($AN718-TRUNC($AN718),2)=0.33),
ROUND(
ROUND(((TRUNC(($AN718+0.01)*3/13,0)+0.99)*VLOOKUP((TRUNC(($AN718+0.01)*3/13,0)+0.99),'Tax scales - NAT 3539'!$A$127:$C$154,2,1)-VLOOKUP((TRUNC(($AN718+0.01)*3/13,0)+0.99),'Tax scales - NAT 3539'!$A$127:$C$154,3,1)),0)
*13/3,
0),
IF($E$2="Monthly",
ROUND(
ROUND(((TRUNC($AN718*3/13,0)+0.99)*VLOOKUP((TRUNC($AN718*3/13,0)+0.99),'Tax scales - NAT 3539'!$A$127:$C$154,2,1)-VLOOKUP((TRUNC($AN718*3/13,0)+0.99),'Tax scales - NAT 3539'!$A$127:$C$154,3,1)),0)
*13/3,
0),
""))),
""),
"")</f>
        <v/>
      </c>
      <c r="AZ718" s="118">
        <f>IFERROR(
HLOOKUP(VLOOKUP($C718,'Employee information'!$B:$M,COLUMNS('Employee information'!$B:$M),0),'PAYG worksheet'!$AO$706:$AY$725,COUNTA($C$707:$C718)+1,0),
0)</f>
        <v>0</v>
      </c>
      <c r="BA718" s="118"/>
      <c r="BB718" s="118">
        <f t="shared" si="759"/>
        <v>0</v>
      </c>
      <c r="BC718" s="119">
        <f>IFERROR(
IF(OR($AE718=1,$AE718=""),SUM($P718,$AA718,$AC718,$AK718)*VLOOKUP($C718,'Employee information'!$B:$Q,COLUMNS('Employee information'!$B:$H),0),
IF($AE718=0,SUM($P718,$AA718,$AK718)*VLOOKUP($C718,'Employee information'!$B:$Q,COLUMNS('Employee information'!$B:$H),0),
0)),
0)</f>
        <v>0</v>
      </c>
      <c r="BE718" s="114">
        <f t="shared" si="744"/>
        <v>0</v>
      </c>
      <c r="BF718" s="114">
        <f t="shared" si="745"/>
        <v>0</v>
      </c>
      <c r="BG718" s="114">
        <f t="shared" si="746"/>
        <v>0</v>
      </c>
      <c r="BH718" s="114">
        <f t="shared" si="747"/>
        <v>0</v>
      </c>
      <c r="BI718" s="114">
        <f t="shared" si="748"/>
        <v>0</v>
      </c>
      <c r="BJ718" s="114">
        <f t="shared" si="749"/>
        <v>0</v>
      </c>
      <c r="BK718" s="114">
        <f t="shared" si="750"/>
        <v>0</v>
      </c>
      <c r="BL718" s="114">
        <f t="shared" si="760"/>
        <v>0</v>
      </c>
      <c r="BM718" s="114">
        <f t="shared" si="751"/>
        <v>0</v>
      </c>
    </row>
    <row r="719" spans="1:65" x14ac:dyDescent="0.25">
      <c r="A719" s="228">
        <f t="shared" si="739"/>
        <v>25</v>
      </c>
      <c r="C719" s="278"/>
      <c r="E719" s="103">
        <f>IF($C719="",0,
IF(AND($E$2="Monthly",$A719&gt;12),0,
IF($E$2="Monthly",VLOOKUP($C719,'Employee information'!$B:$AM,COLUMNS('Employee information'!$B:S),0),
IF($E$2="Fortnightly",VLOOKUP($C719,'Employee information'!$B:$AM,COLUMNS('Employee information'!$B:R),0),
0))))</f>
        <v>0</v>
      </c>
      <c r="F719" s="106"/>
      <c r="G719" s="106"/>
      <c r="H719" s="106"/>
      <c r="I719" s="106"/>
      <c r="J719" s="103">
        <f t="shared" si="752"/>
        <v>0</v>
      </c>
      <c r="L719" s="113">
        <f>IF(AND($E$2="Monthly",$A719&gt;12),"",
IFERROR($J719*VLOOKUP($C719,'Employee information'!$B:$AI,COLUMNS('Employee information'!$B:$P),0),0))</f>
        <v>0</v>
      </c>
      <c r="M719" s="114">
        <f t="shared" si="753"/>
        <v>0</v>
      </c>
      <c r="O719" s="103">
        <f t="shared" si="754"/>
        <v>0</v>
      </c>
      <c r="P719" s="113">
        <f>IFERROR(
IF(AND($E$2="Monthly",$A719&gt;12),0,
$O719*VLOOKUP($C719,'Employee information'!$B:$AI,COLUMNS('Employee information'!$B:$P),0)),
0)</f>
        <v>0</v>
      </c>
      <c r="R719" s="114">
        <f t="shared" si="740"/>
        <v>0</v>
      </c>
      <c r="T719" s="103"/>
      <c r="U719" s="103"/>
      <c r="V719" s="282" t="str">
        <f>IF($C719="","",
IF(AND($E$2="Monthly",$A719&gt;12),"",
$T719*VLOOKUP($C719,'Employee information'!$B:$P,COLUMNS('Employee information'!$B:$P),0)))</f>
        <v/>
      </c>
      <c r="W719" s="282" t="str">
        <f>IF($C719="","",
IF(AND($E$2="Monthly",$A719&gt;12),"",
$U719*VLOOKUP($C719,'Employee information'!$B:$P,COLUMNS('Employee information'!$B:$P),0)))</f>
        <v/>
      </c>
      <c r="X719" s="114">
        <f t="shared" si="741"/>
        <v>0</v>
      </c>
      <c r="Y719" s="114">
        <f t="shared" si="742"/>
        <v>0</v>
      </c>
      <c r="AA719" s="118">
        <f>IFERROR(
IF(OR('Basic payroll data'!$D$12="",'Basic payroll data'!$D$12="No"),0,
$T719*VLOOKUP($C719,'Employee information'!$B:$P,COLUMNS('Employee information'!$B:$P),0)*AL_loading_perc),
0)</f>
        <v>0</v>
      </c>
      <c r="AC719" s="118"/>
      <c r="AD719" s="118"/>
      <c r="AE719" s="283" t="str">
        <f t="shared" si="755"/>
        <v/>
      </c>
      <c r="AF719" s="283" t="str">
        <f t="shared" si="756"/>
        <v/>
      </c>
      <c r="AG719" s="118"/>
      <c r="AH719" s="118"/>
      <c r="AI719" s="283" t="str">
        <f t="shared" si="757"/>
        <v/>
      </c>
      <c r="AJ719" s="118"/>
      <c r="AK719" s="118"/>
      <c r="AM719" s="118">
        <f t="shared" si="758"/>
        <v>0</v>
      </c>
      <c r="AN719" s="118">
        <f t="shared" si="743"/>
        <v>0</v>
      </c>
      <c r="AO719" s="118" t="str">
        <f>IFERROR(
IF(VLOOKUP($C719,'Employee information'!$B:$M,COLUMNS('Employee information'!$B:$M),0)=1,
IF($E$2="Fortnightly",
ROUND(
ROUND((((TRUNC($AN719/2,0)+0.99))*VLOOKUP((TRUNC($AN719/2,0)+0.99),'Tax scales - NAT 1004'!$A$12:$C$18,2,1)-VLOOKUP((TRUNC($AN719/2,0)+0.99),'Tax scales - NAT 1004'!$A$12:$C$18,3,1)),0)
*2,
0),
IF(AND($E$2="Monthly",ROUND($AN719-TRUNC($AN719),2)=0.33),
ROUND(
ROUND(((TRUNC(($AN719+0.01)*3/13,0)+0.99)*VLOOKUP((TRUNC(($AN719+0.01)*3/13,0)+0.99),'Tax scales - NAT 1004'!$A$12:$C$18,2,1)-VLOOKUP((TRUNC(($AN719+0.01)*3/13,0)+0.99),'Tax scales - NAT 1004'!$A$12:$C$18,3,1)),0)
*13/3,
0),
IF($E$2="Monthly",
ROUND(
ROUND(((TRUNC($AN719*3/13,0)+0.99)*VLOOKUP((TRUNC($AN719*3/13,0)+0.99),'Tax scales - NAT 1004'!$A$12:$C$18,2,1)-VLOOKUP((TRUNC($AN719*3/13,0)+0.99),'Tax scales - NAT 1004'!$A$12:$C$18,3,1)),0)
*13/3,
0),
""))),
""),
"")</f>
        <v/>
      </c>
      <c r="AP719" s="118" t="str">
        <f>IFERROR(
IF(VLOOKUP($C719,'Employee information'!$B:$M,COLUMNS('Employee information'!$B:$M),0)=2,
IF($E$2="Fortnightly",
ROUND(
ROUND((((TRUNC($AN719/2,0)+0.99))*VLOOKUP((TRUNC($AN719/2,0)+0.99),'Tax scales - NAT 1004'!$A$25:$C$33,2,1)-VLOOKUP((TRUNC($AN719/2,0)+0.99),'Tax scales - NAT 1004'!$A$25:$C$33,3,1)),0)
*2,
0),
IF(AND($E$2="Monthly",ROUND($AN719-TRUNC($AN719),2)=0.33),
ROUND(
ROUND(((TRUNC(($AN719+0.01)*3/13,0)+0.99)*VLOOKUP((TRUNC(($AN719+0.01)*3/13,0)+0.99),'Tax scales - NAT 1004'!$A$25:$C$33,2,1)-VLOOKUP((TRUNC(($AN719+0.01)*3/13,0)+0.99),'Tax scales - NAT 1004'!$A$25:$C$33,3,1)),0)
*13/3,
0),
IF($E$2="Monthly",
ROUND(
ROUND(((TRUNC($AN719*3/13,0)+0.99)*VLOOKUP((TRUNC($AN719*3/13,0)+0.99),'Tax scales - NAT 1004'!$A$25:$C$33,2,1)-VLOOKUP((TRUNC($AN719*3/13,0)+0.99),'Tax scales - NAT 1004'!$A$25:$C$33,3,1)),0)
*13/3,
0),
""))),
""),
"")</f>
        <v/>
      </c>
      <c r="AQ719" s="118" t="str">
        <f>IFERROR(
IF(VLOOKUP($C719,'Employee information'!$B:$M,COLUMNS('Employee information'!$B:$M),0)=3,
IF($E$2="Fortnightly",
ROUND(
ROUND((((TRUNC($AN719/2,0)+0.99))*VLOOKUP((TRUNC($AN719/2,0)+0.99),'Tax scales - NAT 1004'!$A$39:$C$41,2,1)-VLOOKUP((TRUNC($AN719/2,0)+0.99),'Tax scales - NAT 1004'!$A$39:$C$41,3,1)),0)
*2,
0),
IF(AND($E$2="Monthly",ROUND($AN719-TRUNC($AN719),2)=0.33),
ROUND(
ROUND(((TRUNC(($AN719+0.01)*3/13,0)+0.99)*VLOOKUP((TRUNC(($AN719+0.01)*3/13,0)+0.99),'Tax scales - NAT 1004'!$A$39:$C$41,2,1)-VLOOKUP((TRUNC(($AN719+0.01)*3/13,0)+0.99),'Tax scales - NAT 1004'!$A$39:$C$41,3,1)),0)
*13/3,
0),
IF($E$2="Monthly",
ROUND(
ROUND(((TRUNC($AN719*3/13,0)+0.99)*VLOOKUP((TRUNC($AN719*3/13,0)+0.99),'Tax scales - NAT 1004'!$A$39:$C$41,2,1)-VLOOKUP((TRUNC($AN719*3/13,0)+0.99),'Tax scales - NAT 1004'!$A$39:$C$41,3,1)),0)
*13/3,
0),
""))),
""),
"")</f>
        <v/>
      </c>
      <c r="AR719" s="118" t="str">
        <f>IFERROR(
IF(AND(VLOOKUP($C719,'Employee information'!$B:$M,COLUMNS('Employee information'!$B:$M),0)=4,
VLOOKUP($C719,'Employee information'!$B:$J,COLUMNS('Employee information'!$B:$J),0)="Resident"),
TRUNC(TRUNC($AN719)*'Tax scales - NAT 1004'!$B$47),
IF(AND(VLOOKUP($C719,'Employee information'!$B:$M,COLUMNS('Employee information'!$B:$M),0)=4,
VLOOKUP($C719,'Employee information'!$B:$J,COLUMNS('Employee information'!$B:$J),0)="Foreign resident"),
TRUNC(TRUNC($AN719)*'Tax scales - NAT 1004'!$B$48),
"")),
"")</f>
        <v/>
      </c>
      <c r="AS719" s="118" t="str">
        <f>IFERROR(
IF(VLOOKUP($C719,'Employee information'!$B:$M,COLUMNS('Employee information'!$B:$M),0)=5,
IF($E$2="Fortnightly",
ROUND(
ROUND((((TRUNC($AN719/2,0)+0.99))*VLOOKUP((TRUNC($AN719/2,0)+0.99),'Tax scales - NAT 1004'!$A$53:$C$59,2,1)-VLOOKUP((TRUNC($AN719/2,0)+0.99),'Tax scales - NAT 1004'!$A$53:$C$59,3,1)),0)
*2,
0),
IF(AND($E$2="Monthly",ROUND($AN719-TRUNC($AN719),2)=0.33),
ROUND(
ROUND(((TRUNC(($AN719+0.01)*3/13,0)+0.99)*VLOOKUP((TRUNC(($AN719+0.01)*3/13,0)+0.99),'Tax scales - NAT 1004'!$A$53:$C$59,2,1)-VLOOKUP((TRUNC(($AN719+0.01)*3/13,0)+0.99),'Tax scales - NAT 1004'!$A$53:$C$59,3,1)),0)
*13/3,
0),
IF($E$2="Monthly",
ROUND(
ROUND(((TRUNC($AN719*3/13,0)+0.99)*VLOOKUP((TRUNC($AN719*3/13,0)+0.99),'Tax scales - NAT 1004'!$A$53:$C$59,2,1)-VLOOKUP((TRUNC($AN719*3/13,0)+0.99),'Tax scales - NAT 1004'!$A$53:$C$59,3,1)),0)
*13/3,
0),
""))),
""),
"")</f>
        <v/>
      </c>
      <c r="AT719" s="118" t="str">
        <f>IFERROR(
IF(VLOOKUP($C719,'Employee information'!$B:$M,COLUMNS('Employee information'!$B:$M),0)=6,
IF($E$2="Fortnightly",
ROUND(
ROUND((((TRUNC($AN719/2,0)+0.99))*VLOOKUP((TRUNC($AN719/2,0)+0.99),'Tax scales - NAT 1004'!$A$65:$C$73,2,1)-VLOOKUP((TRUNC($AN719/2,0)+0.99),'Tax scales - NAT 1004'!$A$65:$C$73,3,1)),0)
*2,
0),
IF(AND($E$2="Monthly",ROUND($AN719-TRUNC($AN719),2)=0.33),
ROUND(
ROUND(((TRUNC(($AN719+0.01)*3/13,0)+0.99)*VLOOKUP((TRUNC(($AN719+0.01)*3/13,0)+0.99),'Tax scales - NAT 1004'!$A$65:$C$73,2,1)-VLOOKUP((TRUNC(($AN719+0.01)*3/13,0)+0.99),'Tax scales - NAT 1004'!$A$65:$C$73,3,1)),0)
*13/3,
0),
IF($E$2="Monthly",
ROUND(
ROUND(((TRUNC($AN719*3/13,0)+0.99)*VLOOKUP((TRUNC($AN719*3/13,0)+0.99),'Tax scales - NAT 1004'!$A$65:$C$73,2,1)-VLOOKUP((TRUNC($AN719*3/13,0)+0.99),'Tax scales - NAT 1004'!$A$65:$C$73,3,1)),0)
*13/3,
0),
""))),
""),
"")</f>
        <v/>
      </c>
      <c r="AU719" s="118" t="str">
        <f>IFERROR(
IF(VLOOKUP($C719,'Employee information'!$B:$M,COLUMNS('Employee information'!$B:$M),0)=11,
IF($E$2="Fortnightly",
ROUND(
ROUND((((TRUNC($AN719/2,0)+0.99))*VLOOKUP((TRUNC($AN719/2,0)+0.99),'Tax scales - NAT 3539'!$A$14:$C$38,2,1)-VLOOKUP((TRUNC($AN719/2,0)+0.99),'Tax scales - NAT 3539'!$A$14:$C$38,3,1)),0)
*2,
0),
IF(AND($E$2="Monthly",ROUND($AN719-TRUNC($AN719),2)=0.33),
ROUND(
ROUND(((TRUNC(($AN719+0.01)*3/13,0)+0.99)*VLOOKUP((TRUNC(($AN719+0.01)*3/13,0)+0.99),'Tax scales - NAT 3539'!$A$14:$C$38,2,1)-VLOOKUP((TRUNC(($AN719+0.01)*3/13,0)+0.99),'Tax scales - NAT 3539'!$A$14:$C$38,3,1)),0)
*13/3,
0),
IF($E$2="Monthly",
ROUND(
ROUND(((TRUNC($AN719*3/13,0)+0.99)*VLOOKUP((TRUNC($AN719*3/13,0)+0.99),'Tax scales - NAT 3539'!$A$14:$C$38,2,1)-VLOOKUP((TRUNC($AN719*3/13,0)+0.99),'Tax scales - NAT 3539'!$A$14:$C$38,3,1)),0)
*13/3,
0),
""))),
""),
"")</f>
        <v/>
      </c>
      <c r="AV719" s="118" t="str">
        <f>IFERROR(
IF(VLOOKUP($C719,'Employee information'!$B:$M,COLUMNS('Employee information'!$B:$M),0)=22,
IF($E$2="Fortnightly",
ROUND(
ROUND((((TRUNC($AN719/2,0)+0.99))*VLOOKUP((TRUNC($AN719/2,0)+0.99),'Tax scales - NAT 3539'!$A$43:$C$69,2,1)-VLOOKUP((TRUNC($AN719/2,0)+0.99),'Tax scales - NAT 3539'!$A$43:$C$69,3,1)),0)
*2,
0),
IF(AND($E$2="Monthly",ROUND($AN719-TRUNC($AN719),2)=0.33),
ROUND(
ROUND(((TRUNC(($AN719+0.01)*3/13,0)+0.99)*VLOOKUP((TRUNC(($AN719+0.01)*3/13,0)+0.99),'Tax scales - NAT 3539'!$A$43:$C$69,2,1)-VLOOKUP((TRUNC(($AN719+0.01)*3/13,0)+0.99),'Tax scales - NAT 3539'!$A$43:$C$69,3,1)),0)
*13/3,
0),
IF($E$2="Monthly",
ROUND(
ROUND(((TRUNC($AN719*3/13,0)+0.99)*VLOOKUP((TRUNC($AN719*3/13,0)+0.99),'Tax scales - NAT 3539'!$A$43:$C$69,2,1)-VLOOKUP((TRUNC($AN719*3/13,0)+0.99),'Tax scales - NAT 3539'!$A$43:$C$69,3,1)),0)
*13/3,
0),
""))),
""),
"")</f>
        <v/>
      </c>
      <c r="AW719" s="118" t="str">
        <f>IFERROR(
IF(VLOOKUP($C719,'Employee information'!$B:$M,COLUMNS('Employee information'!$B:$M),0)=33,
IF($E$2="Fortnightly",
ROUND(
ROUND((((TRUNC($AN719/2,0)+0.99))*VLOOKUP((TRUNC($AN719/2,0)+0.99),'Tax scales - NAT 3539'!$A$74:$C$94,2,1)-VLOOKUP((TRUNC($AN719/2,0)+0.99),'Tax scales - NAT 3539'!$A$74:$C$94,3,1)),0)
*2,
0),
IF(AND($E$2="Monthly",ROUND($AN719-TRUNC($AN719),2)=0.33),
ROUND(
ROUND(((TRUNC(($AN719+0.01)*3/13,0)+0.99)*VLOOKUP((TRUNC(($AN719+0.01)*3/13,0)+0.99),'Tax scales - NAT 3539'!$A$74:$C$94,2,1)-VLOOKUP((TRUNC(($AN719+0.01)*3/13,0)+0.99),'Tax scales - NAT 3539'!$A$74:$C$94,3,1)),0)
*13/3,
0),
IF($E$2="Monthly",
ROUND(
ROUND(((TRUNC($AN719*3/13,0)+0.99)*VLOOKUP((TRUNC($AN719*3/13,0)+0.99),'Tax scales - NAT 3539'!$A$74:$C$94,2,1)-VLOOKUP((TRUNC($AN719*3/13,0)+0.99),'Tax scales - NAT 3539'!$A$74:$C$94,3,1)),0)
*13/3,
0),
""))),
""),
"")</f>
        <v/>
      </c>
      <c r="AX719" s="118" t="str">
        <f>IFERROR(
IF(VLOOKUP($C719,'Employee information'!$B:$M,COLUMNS('Employee information'!$B:$M),0)=55,
IF($E$2="Fortnightly",
ROUND(
ROUND((((TRUNC($AN719/2,0)+0.99))*VLOOKUP((TRUNC($AN719/2,0)+0.99),'Tax scales - NAT 3539'!$A$99:$C$123,2,1)-VLOOKUP((TRUNC($AN719/2,0)+0.99),'Tax scales - NAT 3539'!$A$99:$C$123,3,1)),0)
*2,
0),
IF(AND($E$2="Monthly",ROUND($AN719-TRUNC($AN719),2)=0.33),
ROUND(
ROUND(((TRUNC(($AN719+0.01)*3/13,0)+0.99)*VLOOKUP((TRUNC(($AN719+0.01)*3/13,0)+0.99),'Tax scales - NAT 3539'!$A$99:$C$123,2,1)-VLOOKUP((TRUNC(($AN719+0.01)*3/13,0)+0.99),'Tax scales - NAT 3539'!$A$99:$C$123,3,1)),0)
*13/3,
0),
IF($E$2="Monthly",
ROUND(
ROUND(((TRUNC($AN719*3/13,0)+0.99)*VLOOKUP((TRUNC($AN719*3/13,0)+0.99),'Tax scales - NAT 3539'!$A$99:$C$123,2,1)-VLOOKUP((TRUNC($AN719*3/13,0)+0.99),'Tax scales - NAT 3539'!$A$99:$C$123,3,1)),0)
*13/3,
0),
""))),
""),
"")</f>
        <v/>
      </c>
      <c r="AY719" s="118" t="str">
        <f>IFERROR(
IF(VLOOKUP($C719,'Employee information'!$B:$M,COLUMNS('Employee information'!$B:$M),0)=66,
IF($E$2="Fortnightly",
ROUND(
ROUND((((TRUNC($AN719/2,0)+0.99))*VLOOKUP((TRUNC($AN719/2,0)+0.99),'Tax scales - NAT 3539'!$A$127:$C$154,2,1)-VLOOKUP((TRUNC($AN719/2,0)+0.99),'Tax scales - NAT 3539'!$A$127:$C$154,3,1)),0)
*2,
0),
IF(AND($E$2="Monthly",ROUND($AN719-TRUNC($AN719),2)=0.33),
ROUND(
ROUND(((TRUNC(($AN719+0.01)*3/13,0)+0.99)*VLOOKUP((TRUNC(($AN719+0.01)*3/13,0)+0.99),'Tax scales - NAT 3539'!$A$127:$C$154,2,1)-VLOOKUP((TRUNC(($AN719+0.01)*3/13,0)+0.99),'Tax scales - NAT 3539'!$A$127:$C$154,3,1)),0)
*13/3,
0),
IF($E$2="Monthly",
ROUND(
ROUND(((TRUNC($AN719*3/13,0)+0.99)*VLOOKUP((TRUNC($AN719*3/13,0)+0.99),'Tax scales - NAT 3539'!$A$127:$C$154,2,1)-VLOOKUP((TRUNC($AN719*3/13,0)+0.99),'Tax scales - NAT 3539'!$A$127:$C$154,3,1)),0)
*13/3,
0),
""))),
""),
"")</f>
        <v/>
      </c>
      <c r="AZ719" s="118">
        <f>IFERROR(
HLOOKUP(VLOOKUP($C719,'Employee information'!$B:$M,COLUMNS('Employee information'!$B:$M),0),'PAYG worksheet'!$AO$706:$AY$725,COUNTA($C$707:$C719)+1,0),
0)</f>
        <v>0</v>
      </c>
      <c r="BA719" s="118"/>
      <c r="BB719" s="118">
        <f t="shared" si="759"/>
        <v>0</v>
      </c>
      <c r="BC719" s="119">
        <f>IFERROR(
IF(OR($AE719=1,$AE719=""),SUM($P719,$AA719,$AC719,$AK719)*VLOOKUP($C719,'Employee information'!$B:$Q,COLUMNS('Employee information'!$B:$H),0),
IF($AE719=0,SUM($P719,$AA719,$AK719)*VLOOKUP($C719,'Employee information'!$B:$Q,COLUMNS('Employee information'!$B:$H),0),
0)),
0)</f>
        <v>0</v>
      </c>
      <c r="BE719" s="114">
        <f t="shared" si="744"/>
        <v>0</v>
      </c>
      <c r="BF719" s="114">
        <f t="shared" si="745"/>
        <v>0</v>
      </c>
      <c r="BG719" s="114">
        <f t="shared" si="746"/>
        <v>0</v>
      </c>
      <c r="BH719" s="114">
        <f t="shared" si="747"/>
        <v>0</v>
      </c>
      <c r="BI719" s="114">
        <f t="shared" si="748"/>
        <v>0</v>
      </c>
      <c r="BJ719" s="114">
        <f t="shared" si="749"/>
        <v>0</v>
      </c>
      <c r="BK719" s="114">
        <f t="shared" si="750"/>
        <v>0</v>
      </c>
      <c r="BL719" s="114">
        <f t="shared" si="760"/>
        <v>0</v>
      </c>
      <c r="BM719" s="114">
        <f t="shared" si="751"/>
        <v>0</v>
      </c>
    </row>
    <row r="720" spans="1:65" x14ac:dyDescent="0.25">
      <c r="A720" s="228">
        <f t="shared" si="739"/>
        <v>25</v>
      </c>
      <c r="C720" s="278"/>
      <c r="E720" s="103">
        <f>IF($C720="",0,
IF(AND($E$2="Monthly",$A720&gt;12),0,
IF($E$2="Monthly",VLOOKUP($C720,'Employee information'!$B:$AM,COLUMNS('Employee information'!$B:S),0),
IF($E$2="Fortnightly",VLOOKUP($C720,'Employee information'!$B:$AM,COLUMNS('Employee information'!$B:R),0),
0))))</f>
        <v>0</v>
      </c>
      <c r="F720" s="106"/>
      <c r="G720" s="106"/>
      <c r="H720" s="106"/>
      <c r="I720" s="106"/>
      <c r="J720" s="103">
        <f t="shared" si="752"/>
        <v>0</v>
      </c>
      <c r="L720" s="113">
        <f>IF(AND($E$2="Monthly",$A720&gt;12),"",
IFERROR($J720*VLOOKUP($C720,'Employee information'!$B:$AI,COLUMNS('Employee information'!$B:$P),0),0))</f>
        <v>0</v>
      </c>
      <c r="M720" s="114">
        <f t="shared" si="753"/>
        <v>0</v>
      </c>
      <c r="O720" s="103">
        <f t="shared" si="754"/>
        <v>0</v>
      </c>
      <c r="P720" s="113">
        <f>IFERROR(
IF(AND($E$2="Monthly",$A720&gt;12),0,
$O720*VLOOKUP($C720,'Employee information'!$B:$AI,COLUMNS('Employee information'!$B:$P),0)),
0)</f>
        <v>0</v>
      </c>
      <c r="R720" s="114">
        <f t="shared" si="740"/>
        <v>0</v>
      </c>
      <c r="T720" s="103"/>
      <c r="U720" s="103"/>
      <c r="V720" s="282" t="str">
        <f>IF($C720="","",
IF(AND($E$2="Monthly",$A720&gt;12),"",
$T720*VLOOKUP($C720,'Employee information'!$B:$P,COLUMNS('Employee information'!$B:$P),0)))</f>
        <v/>
      </c>
      <c r="W720" s="282" t="str">
        <f>IF($C720="","",
IF(AND($E$2="Monthly",$A720&gt;12),"",
$U720*VLOOKUP($C720,'Employee information'!$B:$P,COLUMNS('Employee information'!$B:$P),0)))</f>
        <v/>
      </c>
      <c r="X720" s="114">
        <f t="shared" si="741"/>
        <v>0</v>
      </c>
      <c r="Y720" s="114">
        <f t="shared" si="742"/>
        <v>0</v>
      </c>
      <c r="AA720" s="118">
        <f>IFERROR(
IF(OR('Basic payroll data'!$D$12="",'Basic payroll data'!$D$12="No"),0,
$T720*VLOOKUP($C720,'Employee information'!$B:$P,COLUMNS('Employee information'!$B:$P),0)*AL_loading_perc),
0)</f>
        <v>0</v>
      </c>
      <c r="AC720" s="118"/>
      <c r="AD720" s="118"/>
      <c r="AE720" s="283" t="str">
        <f t="shared" si="755"/>
        <v/>
      </c>
      <c r="AF720" s="283" t="str">
        <f t="shared" si="756"/>
        <v/>
      </c>
      <c r="AG720" s="118"/>
      <c r="AH720" s="118"/>
      <c r="AI720" s="283" t="str">
        <f t="shared" si="757"/>
        <v/>
      </c>
      <c r="AJ720" s="118"/>
      <c r="AK720" s="118"/>
      <c r="AM720" s="118">
        <f t="shared" si="758"/>
        <v>0</v>
      </c>
      <c r="AN720" s="118">
        <f t="shared" si="743"/>
        <v>0</v>
      </c>
      <c r="AO720" s="118" t="str">
        <f>IFERROR(
IF(VLOOKUP($C720,'Employee information'!$B:$M,COLUMNS('Employee information'!$B:$M),0)=1,
IF($E$2="Fortnightly",
ROUND(
ROUND((((TRUNC($AN720/2,0)+0.99))*VLOOKUP((TRUNC($AN720/2,0)+0.99),'Tax scales - NAT 1004'!$A$12:$C$18,2,1)-VLOOKUP((TRUNC($AN720/2,0)+0.99),'Tax scales - NAT 1004'!$A$12:$C$18,3,1)),0)
*2,
0),
IF(AND($E$2="Monthly",ROUND($AN720-TRUNC($AN720),2)=0.33),
ROUND(
ROUND(((TRUNC(($AN720+0.01)*3/13,0)+0.99)*VLOOKUP((TRUNC(($AN720+0.01)*3/13,0)+0.99),'Tax scales - NAT 1004'!$A$12:$C$18,2,1)-VLOOKUP((TRUNC(($AN720+0.01)*3/13,0)+0.99),'Tax scales - NAT 1004'!$A$12:$C$18,3,1)),0)
*13/3,
0),
IF($E$2="Monthly",
ROUND(
ROUND(((TRUNC($AN720*3/13,0)+0.99)*VLOOKUP((TRUNC($AN720*3/13,0)+0.99),'Tax scales - NAT 1004'!$A$12:$C$18,2,1)-VLOOKUP((TRUNC($AN720*3/13,0)+0.99),'Tax scales - NAT 1004'!$A$12:$C$18,3,1)),0)
*13/3,
0),
""))),
""),
"")</f>
        <v/>
      </c>
      <c r="AP720" s="118" t="str">
        <f>IFERROR(
IF(VLOOKUP($C720,'Employee information'!$B:$M,COLUMNS('Employee information'!$B:$M),0)=2,
IF($E$2="Fortnightly",
ROUND(
ROUND((((TRUNC($AN720/2,0)+0.99))*VLOOKUP((TRUNC($AN720/2,0)+0.99),'Tax scales - NAT 1004'!$A$25:$C$33,2,1)-VLOOKUP((TRUNC($AN720/2,0)+0.99),'Tax scales - NAT 1004'!$A$25:$C$33,3,1)),0)
*2,
0),
IF(AND($E$2="Monthly",ROUND($AN720-TRUNC($AN720),2)=0.33),
ROUND(
ROUND(((TRUNC(($AN720+0.01)*3/13,0)+0.99)*VLOOKUP((TRUNC(($AN720+0.01)*3/13,0)+0.99),'Tax scales - NAT 1004'!$A$25:$C$33,2,1)-VLOOKUP((TRUNC(($AN720+0.01)*3/13,0)+0.99),'Tax scales - NAT 1004'!$A$25:$C$33,3,1)),0)
*13/3,
0),
IF($E$2="Monthly",
ROUND(
ROUND(((TRUNC($AN720*3/13,0)+0.99)*VLOOKUP((TRUNC($AN720*3/13,0)+0.99),'Tax scales - NAT 1004'!$A$25:$C$33,2,1)-VLOOKUP((TRUNC($AN720*3/13,0)+0.99),'Tax scales - NAT 1004'!$A$25:$C$33,3,1)),0)
*13/3,
0),
""))),
""),
"")</f>
        <v/>
      </c>
      <c r="AQ720" s="118" t="str">
        <f>IFERROR(
IF(VLOOKUP($C720,'Employee information'!$B:$M,COLUMNS('Employee information'!$B:$M),0)=3,
IF($E$2="Fortnightly",
ROUND(
ROUND((((TRUNC($AN720/2,0)+0.99))*VLOOKUP((TRUNC($AN720/2,0)+0.99),'Tax scales - NAT 1004'!$A$39:$C$41,2,1)-VLOOKUP((TRUNC($AN720/2,0)+0.99),'Tax scales - NAT 1004'!$A$39:$C$41,3,1)),0)
*2,
0),
IF(AND($E$2="Monthly",ROUND($AN720-TRUNC($AN720),2)=0.33),
ROUND(
ROUND(((TRUNC(($AN720+0.01)*3/13,0)+0.99)*VLOOKUP((TRUNC(($AN720+0.01)*3/13,0)+0.99),'Tax scales - NAT 1004'!$A$39:$C$41,2,1)-VLOOKUP((TRUNC(($AN720+0.01)*3/13,0)+0.99),'Tax scales - NAT 1004'!$A$39:$C$41,3,1)),0)
*13/3,
0),
IF($E$2="Monthly",
ROUND(
ROUND(((TRUNC($AN720*3/13,0)+0.99)*VLOOKUP((TRUNC($AN720*3/13,0)+0.99),'Tax scales - NAT 1004'!$A$39:$C$41,2,1)-VLOOKUP((TRUNC($AN720*3/13,0)+0.99),'Tax scales - NAT 1004'!$A$39:$C$41,3,1)),0)
*13/3,
0),
""))),
""),
"")</f>
        <v/>
      </c>
      <c r="AR720" s="118" t="str">
        <f>IFERROR(
IF(AND(VLOOKUP($C720,'Employee information'!$B:$M,COLUMNS('Employee information'!$B:$M),0)=4,
VLOOKUP($C720,'Employee information'!$B:$J,COLUMNS('Employee information'!$B:$J),0)="Resident"),
TRUNC(TRUNC($AN720)*'Tax scales - NAT 1004'!$B$47),
IF(AND(VLOOKUP($C720,'Employee information'!$B:$M,COLUMNS('Employee information'!$B:$M),0)=4,
VLOOKUP($C720,'Employee information'!$B:$J,COLUMNS('Employee information'!$B:$J),0)="Foreign resident"),
TRUNC(TRUNC($AN720)*'Tax scales - NAT 1004'!$B$48),
"")),
"")</f>
        <v/>
      </c>
      <c r="AS720" s="118" t="str">
        <f>IFERROR(
IF(VLOOKUP($C720,'Employee information'!$B:$M,COLUMNS('Employee information'!$B:$M),0)=5,
IF($E$2="Fortnightly",
ROUND(
ROUND((((TRUNC($AN720/2,0)+0.99))*VLOOKUP((TRUNC($AN720/2,0)+0.99),'Tax scales - NAT 1004'!$A$53:$C$59,2,1)-VLOOKUP((TRUNC($AN720/2,0)+0.99),'Tax scales - NAT 1004'!$A$53:$C$59,3,1)),0)
*2,
0),
IF(AND($E$2="Monthly",ROUND($AN720-TRUNC($AN720),2)=0.33),
ROUND(
ROUND(((TRUNC(($AN720+0.01)*3/13,0)+0.99)*VLOOKUP((TRUNC(($AN720+0.01)*3/13,0)+0.99),'Tax scales - NAT 1004'!$A$53:$C$59,2,1)-VLOOKUP((TRUNC(($AN720+0.01)*3/13,0)+0.99),'Tax scales - NAT 1004'!$A$53:$C$59,3,1)),0)
*13/3,
0),
IF($E$2="Monthly",
ROUND(
ROUND(((TRUNC($AN720*3/13,0)+0.99)*VLOOKUP((TRUNC($AN720*3/13,0)+0.99),'Tax scales - NAT 1004'!$A$53:$C$59,2,1)-VLOOKUP((TRUNC($AN720*3/13,0)+0.99),'Tax scales - NAT 1004'!$A$53:$C$59,3,1)),0)
*13/3,
0),
""))),
""),
"")</f>
        <v/>
      </c>
      <c r="AT720" s="118" t="str">
        <f>IFERROR(
IF(VLOOKUP($C720,'Employee information'!$B:$M,COLUMNS('Employee information'!$B:$M),0)=6,
IF($E$2="Fortnightly",
ROUND(
ROUND((((TRUNC($AN720/2,0)+0.99))*VLOOKUP((TRUNC($AN720/2,0)+0.99),'Tax scales - NAT 1004'!$A$65:$C$73,2,1)-VLOOKUP((TRUNC($AN720/2,0)+0.99),'Tax scales - NAT 1004'!$A$65:$C$73,3,1)),0)
*2,
0),
IF(AND($E$2="Monthly",ROUND($AN720-TRUNC($AN720),2)=0.33),
ROUND(
ROUND(((TRUNC(($AN720+0.01)*3/13,0)+0.99)*VLOOKUP((TRUNC(($AN720+0.01)*3/13,0)+0.99),'Tax scales - NAT 1004'!$A$65:$C$73,2,1)-VLOOKUP((TRUNC(($AN720+0.01)*3/13,0)+0.99),'Tax scales - NAT 1004'!$A$65:$C$73,3,1)),0)
*13/3,
0),
IF($E$2="Monthly",
ROUND(
ROUND(((TRUNC($AN720*3/13,0)+0.99)*VLOOKUP((TRUNC($AN720*3/13,0)+0.99),'Tax scales - NAT 1004'!$A$65:$C$73,2,1)-VLOOKUP((TRUNC($AN720*3/13,0)+0.99),'Tax scales - NAT 1004'!$A$65:$C$73,3,1)),0)
*13/3,
0),
""))),
""),
"")</f>
        <v/>
      </c>
      <c r="AU720" s="118" t="str">
        <f>IFERROR(
IF(VLOOKUP($C720,'Employee information'!$B:$M,COLUMNS('Employee information'!$B:$M),0)=11,
IF($E$2="Fortnightly",
ROUND(
ROUND((((TRUNC($AN720/2,0)+0.99))*VLOOKUP((TRUNC($AN720/2,0)+0.99),'Tax scales - NAT 3539'!$A$14:$C$38,2,1)-VLOOKUP((TRUNC($AN720/2,0)+0.99),'Tax scales - NAT 3539'!$A$14:$C$38,3,1)),0)
*2,
0),
IF(AND($E$2="Monthly",ROUND($AN720-TRUNC($AN720),2)=0.33),
ROUND(
ROUND(((TRUNC(($AN720+0.01)*3/13,0)+0.99)*VLOOKUP((TRUNC(($AN720+0.01)*3/13,0)+0.99),'Tax scales - NAT 3539'!$A$14:$C$38,2,1)-VLOOKUP((TRUNC(($AN720+0.01)*3/13,0)+0.99),'Tax scales - NAT 3539'!$A$14:$C$38,3,1)),0)
*13/3,
0),
IF($E$2="Monthly",
ROUND(
ROUND(((TRUNC($AN720*3/13,0)+0.99)*VLOOKUP((TRUNC($AN720*3/13,0)+0.99),'Tax scales - NAT 3539'!$A$14:$C$38,2,1)-VLOOKUP((TRUNC($AN720*3/13,0)+0.99),'Tax scales - NAT 3539'!$A$14:$C$38,3,1)),0)
*13/3,
0),
""))),
""),
"")</f>
        <v/>
      </c>
      <c r="AV720" s="118" t="str">
        <f>IFERROR(
IF(VLOOKUP($C720,'Employee information'!$B:$M,COLUMNS('Employee information'!$B:$M),0)=22,
IF($E$2="Fortnightly",
ROUND(
ROUND((((TRUNC($AN720/2,0)+0.99))*VLOOKUP((TRUNC($AN720/2,0)+0.99),'Tax scales - NAT 3539'!$A$43:$C$69,2,1)-VLOOKUP((TRUNC($AN720/2,0)+0.99),'Tax scales - NAT 3539'!$A$43:$C$69,3,1)),0)
*2,
0),
IF(AND($E$2="Monthly",ROUND($AN720-TRUNC($AN720),2)=0.33),
ROUND(
ROUND(((TRUNC(($AN720+0.01)*3/13,0)+0.99)*VLOOKUP((TRUNC(($AN720+0.01)*3/13,0)+0.99),'Tax scales - NAT 3539'!$A$43:$C$69,2,1)-VLOOKUP((TRUNC(($AN720+0.01)*3/13,0)+0.99),'Tax scales - NAT 3539'!$A$43:$C$69,3,1)),0)
*13/3,
0),
IF($E$2="Monthly",
ROUND(
ROUND(((TRUNC($AN720*3/13,0)+0.99)*VLOOKUP((TRUNC($AN720*3/13,0)+0.99),'Tax scales - NAT 3539'!$A$43:$C$69,2,1)-VLOOKUP((TRUNC($AN720*3/13,0)+0.99),'Tax scales - NAT 3539'!$A$43:$C$69,3,1)),0)
*13/3,
0),
""))),
""),
"")</f>
        <v/>
      </c>
      <c r="AW720" s="118" t="str">
        <f>IFERROR(
IF(VLOOKUP($C720,'Employee information'!$B:$M,COLUMNS('Employee information'!$B:$M),0)=33,
IF($E$2="Fortnightly",
ROUND(
ROUND((((TRUNC($AN720/2,0)+0.99))*VLOOKUP((TRUNC($AN720/2,0)+0.99),'Tax scales - NAT 3539'!$A$74:$C$94,2,1)-VLOOKUP((TRUNC($AN720/2,0)+0.99),'Tax scales - NAT 3539'!$A$74:$C$94,3,1)),0)
*2,
0),
IF(AND($E$2="Monthly",ROUND($AN720-TRUNC($AN720),2)=0.33),
ROUND(
ROUND(((TRUNC(($AN720+0.01)*3/13,0)+0.99)*VLOOKUP((TRUNC(($AN720+0.01)*3/13,0)+0.99),'Tax scales - NAT 3539'!$A$74:$C$94,2,1)-VLOOKUP((TRUNC(($AN720+0.01)*3/13,0)+0.99),'Tax scales - NAT 3539'!$A$74:$C$94,3,1)),0)
*13/3,
0),
IF($E$2="Monthly",
ROUND(
ROUND(((TRUNC($AN720*3/13,0)+0.99)*VLOOKUP((TRUNC($AN720*3/13,0)+0.99),'Tax scales - NAT 3539'!$A$74:$C$94,2,1)-VLOOKUP((TRUNC($AN720*3/13,0)+0.99),'Tax scales - NAT 3539'!$A$74:$C$94,3,1)),0)
*13/3,
0),
""))),
""),
"")</f>
        <v/>
      </c>
      <c r="AX720" s="118" t="str">
        <f>IFERROR(
IF(VLOOKUP($C720,'Employee information'!$B:$M,COLUMNS('Employee information'!$B:$M),0)=55,
IF($E$2="Fortnightly",
ROUND(
ROUND((((TRUNC($AN720/2,0)+0.99))*VLOOKUP((TRUNC($AN720/2,0)+0.99),'Tax scales - NAT 3539'!$A$99:$C$123,2,1)-VLOOKUP((TRUNC($AN720/2,0)+0.99),'Tax scales - NAT 3539'!$A$99:$C$123,3,1)),0)
*2,
0),
IF(AND($E$2="Monthly",ROUND($AN720-TRUNC($AN720),2)=0.33),
ROUND(
ROUND(((TRUNC(($AN720+0.01)*3/13,0)+0.99)*VLOOKUP((TRUNC(($AN720+0.01)*3/13,0)+0.99),'Tax scales - NAT 3539'!$A$99:$C$123,2,1)-VLOOKUP((TRUNC(($AN720+0.01)*3/13,0)+0.99),'Tax scales - NAT 3539'!$A$99:$C$123,3,1)),0)
*13/3,
0),
IF($E$2="Monthly",
ROUND(
ROUND(((TRUNC($AN720*3/13,0)+0.99)*VLOOKUP((TRUNC($AN720*3/13,0)+0.99),'Tax scales - NAT 3539'!$A$99:$C$123,2,1)-VLOOKUP((TRUNC($AN720*3/13,0)+0.99),'Tax scales - NAT 3539'!$A$99:$C$123,3,1)),0)
*13/3,
0),
""))),
""),
"")</f>
        <v/>
      </c>
      <c r="AY720" s="118" t="str">
        <f>IFERROR(
IF(VLOOKUP($C720,'Employee information'!$B:$M,COLUMNS('Employee information'!$B:$M),0)=66,
IF($E$2="Fortnightly",
ROUND(
ROUND((((TRUNC($AN720/2,0)+0.99))*VLOOKUP((TRUNC($AN720/2,0)+0.99),'Tax scales - NAT 3539'!$A$127:$C$154,2,1)-VLOOKUP((TRUNC($AN720/2,0)+0.99),'Tax scales - NAT 3539'!$A$127:$C$154,3,1)),0)
*2,
0),
IF(AND($E$2="Monthly",ROUND($AN720-TRUNC($AN720),2)=0.33),
ROUND(
ROUND(((TRUNC(($AN720+0.01)*3/13,0)+0.99)*VLOOKUP((TRUNC(($AN720+0.01)*3/13,0)+0.99),'Tax scales - NAT 3539'!$A$127:$C$154,2,1)-VLOOKUP((TRUNC(($AN720+0.01)*3/13,0)+0.99),'Tax scales - NAT 3539'!$A$127:$C$154,3,1)),0)
*13/3,
0),
IF($E$2="Monthly",
ROUND(
ROUND(((TRUNC($AN720*3/13,0)+0.99)*VLOOKUP((TRUNC($AN720*3/13,0)+0.99),'Tax scales - NAT 3539'!$A$127:$C$154,2,1)-VLOOKUP((TRUNC($AN720*3/13,0)+0.99),'Tax scales - NAT 3539'!$A$127:$C$154,3,1)),0)
*13/3,
0),
""))),
""),
"")</f>
        <v/>
      </c>
      <c r="AZ720" s="118">
        <f>IFERROR(
HLOOKUP(VLOOKUP($C720,'Employee information'!$B:$M,COLUMNS('Employee information'!$B:$M),0),'PAYG worksheet'!$AO$706:$AY$725,COUNTA($C$707:$C720)+1,0),
0)</f>
        <v>0</v>
      </c>
      <c r="BA720" s="118"/>
      <c r="BB720" s="118">
        <f t="shared" si="759"/>
        <v>0</v>
      </c>
      <c r="BC720" s="119">
        <f>IFERROR(
IF(OR($AE720=1,$AE720=""),SUM($P720,$AA720,$AC720,$AK720)*VLOOKUP($C720,'Employee information'!$B:$Q,COLUMNS('Employee information'!$B:$H),0),
IF($AE720=0,SUM($P720,$AA720,$AK720)*VLOOKUP($C720,'Employee information'!$B:$Q,COLUMNS('Employee information'!$B:$H),0),
0)),
0)</f>
        <v>0</v>
      </c>
      <c r="BE720" s="114">
        <f t="shared" si="744"/>
        <v>0</v>
      </c>
      <c r="BF720" s="114">
        <f t="shared" si="745"/>
        <v>0</v>
      </c>
      <c r="BG720" s="114">
        <f t="shared" si="746"/>
        <v>0</v>
      </c>
      <c r="BH720" s="114">
        <f t="shared" si="747"/>
        <v>0</v>
      </c>
      <c r="BI720" s="114">
        <f t="shared" si="748"/>
        <v>0</v>
      </c>
      <c r="BJ720" s="114">
        <f t="shared" si="749"/>
        <v>0</v>
      </c>
      <c r="BK720" s="114">
        <f t="shared" si="750"/>
        <v>0</v>
      </c>
      <c r="BL720" s="114">
        <f t="shared" si="760"/>
        <v>0</v>
      </c>
      <c r="BM720" s="114">
        <f t="shared" si="751"/>
        <v>0</v>
      </c>
    </row>
    <row r="721" spans="1:65" x14ac:dyDescent="0.25">
      <c r="A721" s="228">
        <f t="shared" si="739"/>
        <v>25</v>
      </c>
      <c r="C721" s="278"/>
      <c r="E721" s="103">
        <f>IF($C721="",0,
IF(AND($E$2="Monthly",$A721&gt;12),0,
IF($E$2="Monthly",VLOOKUP($C721,'Employee information'!$B:$AM,COLUMNS('Employee information'!$B:S),0),
IF($E$2="Fortnightly",VLOOKUP($C721,'Employee information'!$B:$AM,COLUMNS('Employee information'!$B:R),0),
0))))</f>
        <v>0</v>
      </c>
      <c r="F721" s="106"/>
      <c r="G721" s="106"/>
      <c r="H721" s="106"/>
      <c r="I721" s="106"/>
      <c r="J721" s="103">
        <f t="shared" si="752"/>
        <v>0</v>
      </c>
      <c r="L721" s="113">
        <f>IF(AND($E$2="Monthly",$A721&gt;12),"",
IFERROR($J721*VLOOKUP($C721,'Employee information'!$B:$AI,COLUMNS('Employee information'!$B:$P),0),0))</f>
        <v>0</v>
      </c>
      <c r="M721" s="114">
        <f t="shared" si="753"/>
        <v>0</v>
      </c>
      <c r="O721" s="103">
        <f t="shared" si="754"/>
        <v>0</v>
      </c>
      <c r="P721" s="113">
        <f>IFERROR(
IF(AND($E$2="Monthly",$A721&gt;12),0,
$O721*VLOOKUP($C721,'Employee information'!$B:$AI,COLUMNS('Employee information'!$B:$P),0)),
0)</f>
        <v>0</v>
      </c>
      <c r="R721" s="114">
        <f t="shared" si="740"/>
        <v>0</v>
      </c>
      <c r="T721" s="103"/>
      <c r="U721" s="103"/>
      <c r="V721" s="282" t="str">
        <f>IF($C721="","",
IF(AND($E$2="Monthly",$A721&gt;12),"",
$T721*VLOOKUP($C721,'Employee information'!$B:$P,COLUMNS('Employee information'!$B:$P),0)))</f>
        <v/>
      </c>
      <c r="W721" s="282" t="str">
        <f>IF($C721="","",
IF(AND($E$2="Monthly",$A721&gt;12),"",
$U721*VLOOKUP($C721,'Employee information'!$B:$P,COLUMNS('Employee information'!$B:$P),0)))</f>
        <v/>
      </c>
      <c r="X721" s="114">
        <f t="shared" si="741"/>
        <v>0</v>
      </c>
      <c r="Y721" s="114">
        <f t="shared" si="742"/>
        <v>0</v>
      </c>
      <c r="AA721" s="118">
        <f>IFERROR(
IF(OR('Basic payroll data'!$D$12="",'Basic payroll data'!$D$12="No"),0,
$T721*VLOOKUP($C721,'Employee information'!$B:$P,COLUMNS('Employee information'!$B:$P),0)*AL_loading_perc),
0)</f>
        <v>0</v>
      </c>
      <c r="AC721" s="118"/>
      <c r="AD721" s="118"/>
      <c r="AE721" s="283" t="str">
        <f t="shared" si="755"/>
        <v/>
      </c>
      <c r="AF721" s="283" t="str">
        <f t="shared" si="756"/>
        <v/>
      </c>
      <c r="AG721" s="118"/>
      <c r="AH721" s="118"/>
      <c r="AI721" s="283" t="str">
        <f t="shared" si="757"/>
        <v/>
      </c>
      <c r="AJ721" s="118"/>
      <c r="AK721" s="118"/>
      <c r="AM721" s="118">
        <f t="shared" si="758"/>
        <v>0</v>
      </c>
      <c r="AN721" s="118">
        <f t="shared" si="743"/>
        <v>0</v>
      </c>
      <c r="AO721" s="118" t="str">
        <f>IFERROR(
IF(VLOOKUP($C721,'Employee information'!$B:$M,COLUMNS('Employee information'!$B:$M),0)=1,
IF($E$2="Fortnightly",
ROUND(
ROUND((((TRUNC($AN721/2,0)+0.99))*VLOOKUP((TRUNC($AN721/2,0)+0.99),'Tax scales - NAT 1004'!$A$12:$C$18,2,1)-VLOOKUP((TRUNC($AN721/2,0)+0.99),'Tax scales - NAT 1004'!$A$12:$C$18,3,1)),0)
*2,
0),
IF(AND($E$2="Monthly",ROUND($AN721-TRUNC($AN721),2)=0.33),
ROUND(
ROUND(((TRUNC(($AN721+0.01)*3/13,0)+0.99)*VLOOKUP((TRUNC(($AN721+0.01)*3/13,0)+0.99),'Tax scales - NAT 1004'!$A$12:$C$18,2,1)-VLOOKUP((TRUNC(($AN721+0.01)*3/13,0)+0.99),'Tax scales - NAT 1004'!$A$12:$C$18,3,1)),0)
*13/3,
0),
IF($E$2="Monthly",
ROUND(
ROUND(((TRUNC($AN721*3/13,0)+0.99)*VLOOKUP((TRUNC($AN721*3/13,0)+0.99),'Tax scales - NAT 1004'!$A$12:$C$18,2,1)-VLOOKUP((TRUNC($AN721*3/13,0)+0.99),'Tax scales - NAT 1004'!$A$12:$C$18,3,1)),0)
*13/3,
0),
""))),
""),
"")</f>
        <v/>
      </c>
      <c r="AP721" s="118" t="str">
        <f>IFERROR(
IF(VLOOKUP($C721,'Employee information'!$B:$M,COLUMNS('Employee information'!$B:$M),0)=2,
IF($E$2="Fortnightly",
ROUND(
ROUND((((TRUNC($AN721/2,0)+0.99))*VLOOKUP((TRUNC($AN721/2,0)+0.99),'Tax scales - NAT 1004'!$A$25:$C$33,2,1)-VLOOKUP((TRUNC($AN721/2,0)+0.99),'Tax scales - NAT 1004'!$A$25:$C$33,3,1)),0)
*2,
0),
IF(AND($E$2="Monthly",ROUND($AN721-TRUNC($AN721),2)=0.33),
ROUND(
ROUND(((TRUNC(($AN721+0.01)*3/13,0)+0.99)*VLOOKUP((TRUNC(($AN721+0.01)*3/13,0)+0.99),'Tax scales - NAT 1004'!$A$25:$C$33,2,1)-VLOOKUP((TRUNC(($AN721+0.01)*3/13,0)+0.99),'Tax scales - NAT 1004'!$A$25:$C$33,3,1)),0)
*13/3,
0),
IF($E$2="Monthly",
ROUND(
ROUND(((TRUNC($AN721*3/13,0)+0.99)*VLOOKUP((TRUNC($AN721*3/13,0)+0.99),'Tax scales - NAT 1004'!$A$25:$C$33,2,1)-VLOOKUP((TRUNC($AN721*3/13,0)+0.99),'Tax scales - NAT 1004'!$A$25:$C$33,3,1)),0)
*13/3,
0),
""))),
""),
"")</f>
        <v/>
      </c>
      <c r="AQ721" s="118" t="str">
        <f>IFERROR(
IF(VLOOKUP($C721,'Employee information'!$B:$M,COLUMNS('Employee information'!$B:$M),0)=3,
IF($E$2="Fortnightly",
ROUND(
ROUND((((TRUNC($AN721/2,0)+0.99))*VLOOKUP((TRUNC($AN721/2,0)+0.99),'Tax scales - NAT 1004'!$A$39:$C$41,2,1)-VLOOKUP((TRUNC($AN721/2,0)+0.99),'Tax scales - NAT 1004'!$A$39:$C$41,3,1)),0)
*2,
0),
IF(AND($E$2="Monthly",ROUND($AN721-TRUNC($AN721),2)=0.33),
ROUND(
ROUND(((TRUNC(($AN721+0.01)*3/13,0)+0.99)*VLOOKUP((TRUNC(($AN721+0.01)*3/13,0)+0.99),'Tax scales - NAT 1004'!$A$39:$C$41,2,1)-VLOOKUP((TRUNC(($AN721+0.01)*3/13,0)+0.99),'Tax scales - NAT 1004'!$A$39:$C$41,3,1)),0)
*13/3,
0),
IF($E$2="Monthly",
ROUND(
ROUND(((TRUNC($AN721*3/13,0)+0.99)*VLOOKUP((TRUNC($AN721*3/13,0)+0.99),'Tax scales - NAT 1004'!$A$39:$C$41,2,1)-VLOOKUP((TRUNC($AN721*3/13,0)+0.99),'Tax scales - NAT 1004'!$A$39:$C$41,3,1)),0)
*13/3,
0),
""))),
""),
"")</f>
        <v/>
      </c>
      <c r="AR721" s="118" t="str">
        <f>IFERROR(
IF(AND(VLOOKUP($C721,'Employee information'!$B:$M,COLUMNS('Employee information'!$B:$M),0)=4,
VLOOKUP($C721,'Employee information'!$B:$J,COLUMNS('Employee information'!$B:$J),0)="Resident"),
TRUNC(TRUNC($AN721)*'Tax scales - NAT 1004'!$B$47),
IF(AND(VLOOKUP($C721,'Employee information'!$B:$M,COLUMNS('Employee information'!$B:$M),0)=4,
VLOOKUP($C721,'Employee information'!$B:$J,COLUMNS('Employee information'!$B:$J),0)="Foreign resident"),
TRUNC(TRUNC($AN721)*'Tax scales - NAT 1004'!$B$48),
"")),
"")</f>
        <v/>
      </c>
      <c r="AS721" s="118" t="str">
        <f>IFERROR(
IF(VLOOKUP($C721,'Employee information'!$B:$M,COLUMNS('Employee information'!$B:$M),0)=5,
IF($E$2="Fortnightly",
ROUND(
ROUND((((TRUNC($AN721/2,0)+0.99))*VLOOKUP((TRUNC($AN721/2,0)+0.99),'Tax scales - NAT 1004'!$A$53:$C$59,2,1)-VLOOKUP((TRUNC($AN721/2,0)+0.99),'Tax scales - NAT 1004'!$A$53:$C$59,3,1)),0)
*2,
0),
IF(AND($E$2="Monthly",ROUND($AN721-TRUNC($AN721),2)=0.33),
ROUND(
ROUND(((TRUNC(($AN721+0.01)*3/13,0)+0.99)*VLOOKUP((TRUNC(($AN721+0.01)*3/13,0)+0.99),'Tax scales - NAT 1004'!$A$53:$C$59,2,1)-VLOOKUP((TRUNC(($AN721+0.01)*3/13,0)+0.99),'Tax scales - NAT 1004'!$A$53:$C$59,3,1)),0)
*13/3,
0),
IF($E$2="Monthly",
ROUND(
ROUND(((TRUNC($AN721*3/13,0)+0.99)*VLOOKUP((TRUNC($AN721*3/13,0)+0.99),'Tax scales - NAT 1004'!$A$53:$C$59,2,1)-VLOOKUP((TRUNC($AN721*3/13,0)+0.99),'Tax scales - NAT 1004'!$A$53:$C$59,3,1)),0)
*13/3,
0),
""))),
""),
"")</f>
        <v/>
      </c>
      <c r="AT721" s="118" t="str">
        <f>IFERROR(
IF(VLOOKUP($C721,'Employee information'!$B:$M,COLUMNS('Employee information'!$B:$M),0)=6,
IF($E$2="Fortnightly",
ROUND(
ROUND((((TRUNC($AN721/2,0)+0.99))*VLOOKUP((TRUNC($AN721/2,0)+0.99),'Tax scales - NAT 1004'!$A$65:$C$73,2,1)-VLOOKUP((TRUNC($AN721/2,0)+0.99),'Tax scales - NAT 1004'!$A$65:$C$73,3,1)),0)
*2,
0),
IF(AND($E$2="Monthly",ROUND($AN721-TRUNC($AN721),2)=0.33),
ROUND(
ROUND(((TRUNC(($AN721+0.01)*3/13,0)+0.99)*VLOOKUP((TRUNC(($AN721+0.01)*3/13,0)+0.99),'Tax scales - NAT 1004'!$A$65:$C$73,2,1)-VLOOKUP((TRUNC(($AN721+0.01)*3/13,0)+0.99),'Tax scales - NAT 1004'!$A$65:$C$73,3,1)),0)
*13/3,
0),
IF($E$2="Monthly",
ROUND(
ROUND(((TRUNC($AN721*3/13,0)+0.99)*VLOOKUP((TRUNC($AN721*3/13,0)+0.99),'Tax scales - NAT 1004'!$A$65:$C$73,2,1)-VLOOKUP((TRUNC($AN721*3/13,0)+0.99),'Tax scales - NAT 1004'!$A$65:$C$73,3,1)),0)
*13/3,
0),
""))),
""),
"")</f>
        <v/>
      </c>
      <c r="AU721" s="118" t="str">
        <f>IFERROR(
IF(VLOOKUP($C721,'Employee information'!$B:$M,COLUMNS('Employee information'!$B:$M),0)=11,
IF($E$2="Fortnightly",
ROUND(
ROUND((((TRUNC($AN721/2,0)+0.99))*VLOOKUP((TRUNC($AN721/2,0)+0.99),'Tax scales - NAT 3539'!$A$14:$C$38,2,1)-VLOOKUP((TRUNC($AN721/2,0)+0.99),'Tax scales - NAT 3539'!$A$14:$C$38,3,1)),0)
*2,
0),
IF(AND($E$2="Monthly",ROUND($AN721-TRUNC($AN721),2)=0.33),
ROUND(
ROUND(((TRUNC(($AN721+0.01)*3/13,0)+0.99)*VLOOKUP((TRUNC(($AN721+0.01)*3/13,0)+0.99),'Tax scales - NAT 3539'!$A$14:$C$38,2,1)-VLOOKUP((TRUNC(($AN721+0.01)*3/13,0)+0.99),'Tax scales - NAT 3539'!$A$14:$C$38,3,1)),0)
*13/3,
0),
IF($E$2="Monthly",
ROUND(
ROUND(((TRUNC($AN721*3/13,0)+0.99)*VLOOKUP((TRUNC($AN721*3/13,0)+0.99),'Tax scales - NAT 3539'!$A$14:$C$38,2,1)-VLOOKUP((TRUNC($AN721*3/13,0)+0.99),'Tax scales - NAT 3539'!$A$14:$C$38,3,1)),0)
*13/3,
0),
""))),
""),
"")</f>
        <v/>
      </c>
      <c r="AV721" s="118" t="str">
        <f>IFERROR(
IF(VLOOKUP($C721,'Employee information'!$B:$M,COLUMNS('Employee information'!$B:$M),0)=22,
IF($E$2="Fortnightly",
ROUND(
ROUND((((TRUNC($AN721/2,0)+0.99))*VLOOKUP((TRUNC($AN721/2,0)+0.99),'Tax scales - NAT 3539'!$A$43:$C$69,2,1)-VLOOKUP((TRUNC($AN721/2,0)+0.99),'Tax scales - NAT 3539'!$A$43:$C$69,3,1)),0)
*2,
0),
IF(AND($E$2="Monthly",ROUND($AN721-TRUNC($AN721),2)=0.33),
ROUND(
ROUND(((TRUNC(($AN721+0.01)*3/13,0)+0.99)*VLOOKUP((TRUNC(($AN721+0.01)*3/13,0)+0.99),'Tax scales - NAT 3539'!$A$43:$C$69,2,1)-VLOOKUP((TRUNC(($AN721+0.01)*3/13,0)+0.99),'Tax scales - NAT 3539'!$A$43:$C$69,3,1)),0)
*13/3,
0),
IF($E$2="Monthly",
ROUND(
ROUND(((TRUNC($AN721*3/13,0)+0.99)*VLOOKUP((TRUNC($AN721*3/13,0)+0.99),'Tax scales - NAT 3539'!$A$43:$C$69,2,1)-VLOOKUP((TRUNC($AN721*3/13,0)+0.99),'Tax scales - NAT 3539'!$A$43:$C$69,3,1)),0)
*13/3,
0),
""))),
""),
"")</f>
        <v/>
      </c>
      <c r="AW721" s="118" t="str">
        <f>IFERROR(
IF(VLOOKUP($C721,'Employee information'!$B:$M,COLUMNS('Employee information'!$B:$M),0)=33,
IF($E$2="Fortnightly",
ROUND(
ROUND((((TRUNC($AN721/2,0)+0.99))*VLOOKUP((TRUNC($AN721/2,0)+0.99),'Tax scales - NAT 3539'!$A$74:$C$94,2,1)-VLOOKUP((TRUNC($AN721/2,0)+0.99),'Tax scales - NAT 3539'!$A$74:$C$94,3,1)),0)
*2,
0),
IF(AND($E$2="Monthly",ROUND($AN721-TRUNC($AN721),2)=0.33),
ROUND(
ROUND(((TRUNC(($AN721+0.01)*3/13,0)+0.99)*VLOOKUP((TRUNC(($AN721+0.01)*3/13,0)+0.99),'Tax scales - NAT 3539'!$A$74:$C$94,2,1)-VLOOKUP((TRUNC(($AN721+0.01)*3/13,0)+0.99),'Tax scales - NAT 3539'!$A$74:$C$94,3,1)),0)
*13/3,
0),
IF($E$2="Monthly",
ROUND(
ROUND(((TRUNC($AN721*3/13,0)+0.99)*VLOOKUP((TRUNC($AN721*3/13,0)+0.99),'Tax scales - NAT 3539'!$A$74:$C$94,2,1)-VLOOKUP((TRUNC($AN721*3/13,0)+0.99),'Tax scales - NAT 3539'!$A$74:$C$94,3,1)),0)
*13/3,
0),
""))),
""),
"")</f>
        <v/>
      </c>
      <c r="AX721" s="118" t="str">
        <f>IFERROR(
IF(VLOOKUP($C721,'Employee information'!$B:$M,COLUMNS('Employee information'!$B:$M),0)=55,
IF($E$2="Fortnightly",
ROUND(
ROUND((((TRUNC($AN721/2,0)+0.99))*VLOOKUP((TRUNC($AN721/2,0)+0.99),'Tax scales - NAT 3539'!$A$99:$C$123,2,1)-VLOOKUP((TRUNC($AN721/2,0)+0.99),'Tax scales - NAT 3539'!$A$99:$C$123,3,1)),0)
*2,
0),
IF(AND($E$2="Monthly",ROUND($AN721-TRUNC($AN721),2)=0.33),
ROUND(
ROUND(((TRUNC(($AN721+0.01)*3/13,0)+0.99)*VLOOKUP((TRUNC(($AN721+0.01)*3/13,0)+0.99),'Tax scales - NAT 3539'!$A$99:$C$123,2,1)-VLOOKUP((TRUNC(($AN721+0.01)*3/13,0)+0.99),'Tax scales - NAT 3539'!$A$99:$C$123,3,1)),0)
*13/3,
0),
IF($E$2="Monthly",
ROUND(
ROUND(((TRUNC($AN721*3/13,0)+0.99)*VLOOKUP((TRUNC($AN721*3/13,0)+0.99),'Tax scales - NAT 3539'!$A$99:$C$123,2,1)-VLOOKUP((TRUNC($AN721*3/13,0)+0.99),'Tax scales - NAT 3539'!$A$99:$C$123,3,1)),0)
*13/3,
0),
""))),
""),
"")</f>
        <v/>
      </c>
      <c r="AY721" s="118" t="str">
        <f>IFERROR(
IF(VLOOKUP($C721,'Employee information'!$B:$M,COLUMNS('Employee information'!$B:$M),0)=66,
IF($E$2="Fortnightly",
ROUND(
ROUND((((TRUNC($AN721/2,0)+0.99))*VLOOKUP((TRUNC($AN721/2,0)+0.99),'Tax scales - NAT 3539'!$A$127:$C$154,2,1)-VLOOKUP((TRUNC($AN721/2,0)+0.99),'Tax scales - NAT 3539'!$A$127:$C$154,3,1)),0)
*2,
0),
IF(AND($E$2="Monthly",ROUND($AN721-TRUNC($AN721),2)=0.33),
ROUND(
ROUND(((TRUNC(($AN721+0.01)*3/13,0)+0.99)*VLOOKUP((TRUNC(($AN721+0.01)*3/13,0)+0.99),'Tax scales - NAT 3539'!$A$127:$C$154,2,1)-VLOOKUP((TRUNC(($AN721+0.01)*3/13,0)+0.99),'Tax scales - NAT 3539'!$A$127:$C$154,3,1)),0)
*13/3,
0),
IF($E$2="Monthly",
ROUND(
ROUND(((TRUNC($AN721*3/13,0)+0.99)*VLOOKUP((TRUNC($AN721*3/13,0)+0.99),'Tax scales - NAT 3539'!$A$127:$C$154,2,1)-VLOOKUP((TRUNC($AN721*3/13,0)+0.99),'Tax scales - NAT 3539'!$A$127:$C$154,3,1)),0)
*13/3,
0),
""))),
""),
"")</f>
        <v/>
      </c>
      <c r="AZ721" s="118">
        <f>IFERROR(
HLOOKUP(VLOOKUP($C721,'Employee information'!$B:$M,COLUMNS('Employee information'!$B:$M),0),'PAYG worksheet'!$AO$706:$AY$725,COUNTA($C$707:$C721)+1,0),
0)</f>
        <v>0</v>
      </c>
      <c r="BA721" s="118"/>
      <c r="BB721" s="118">
        <f t="shared" si="759"/>
        <v>0</v>
      </c>
      <c r="BC721" s="119">
        <f>IFERROR(
IF(OR($AE721=1,$AE721=""),SUM($P721,$AA721,$AC721,$AK721)*VLOOKUP($C721,'Employee information'!$B:$Q,COLUMNS('Employee information'!$B:$H),0),
IF($AE721=0,SUM($P721,$AA721,$AK721)*VLOOKUP($C721,'Employee information'!$B:$Q,COLUMNS('Employee information'!$B:$H),0),
0)),
0)</f>
        <v>0</v>
      </c>
      <c r="BE721" s="114">
        <f t="shared" si="744"/>
        <v>0</v>
      </c>
      <c r="BF721" s="114">
        <f t="shared" si="745"/>
        <v>0</v>
      </c>
      <c r="BG721" s="114">
        <f t="shared" si="746"/>
        <v>0</v>
      </c>
      <c r="BH721" s="114">
        <f t="shared" si="747"/>
        <v>0</v>
      </c>
      <c r="BI721" s="114">
        <f t="shared" si="748"/>
        <v>0</v>
      </c>
      <c r="BJ721" s="114">
        <f t="shared" si="749"/>
        <v>0</v>
      </c>
      <c r="BK721" s="114">
        <f t="shared" si="750"/>
        <v>0</v>
      </c>
      <c r="BL721" s="114">
        <f t="shared" si="760"/>
        <v>0</v>
      </c>
      <c r="BM721" s="114">
        <f t="shared" si="751"/>
        <v>0</v>
      </c>
    </row>
    <row r="722" spans="1:65" x14ac:dyDescent="0.25">
      <c r="A722" s="228">
        <f t="shared" si="739"/>
        <v>25</v>
      </c>
      <c r="C722" s="278"/>
      <c r="E722" s="103">
        <f>IF($C722="",0,
IF(AND($E$2="Monthly",$A722&gt;12),0,
IF($E$2="Monthly",VLOOKUP($C722,'Employee information'!$B:$AM,COLUMNS('Employee information'!$B:S),0),
IF($E$2="Fortnightly",VLOOKUP($C722,'Employee information'!$B:$AM,COLUMNS('Employee information'!$B:R),0),
0))))</f>
        <v>0</v>
      </c>
      <c r="F722" s="106"/>
      <c r="G722" s="106"/>
      <c r="H722" s="106"/>
      <c r="I722" s="106"/>
      <c r="J722" s="103">
        <f t="shared" si="752"/>
        <v>0</v>
      </c>
      <c r="L722" s="113">
        <f>IF(AND($E$2="Monthly",$A722&gt;12),"",
IFERROR($J722*VLOOKUP($C722,'Employee information'!$B:$AI,COLUMNS('Employee information'!$B:$P),0),0))</f>
        <v>0</v>
      </c>
      <c r="M722" s="114">
        <f t="shared" si="753"/>
        <v>0</v>
      </c>
      <c r="O722" s="103">
        <f t="shared" si="754"/>
        <v>0</v>
      </c>
      <c r="P722" s="113">
        <f>IFERROR(
IF(AND($E$2="Monthly",$A722&gt;12),0,
$O722*VLOOKUP($C722,'Employee information'!$B:$AI,COLUMNS('Employee information'!$B:$P),0)),
0)</f>
        <v>0</v>
      </c>
      <c r="R722" s="114">
        <f t="shared" si="740"/>
        <v>0</v>
      </c>
      <c r="T722" s="103"/>
      <c r="U722" s="103"/>
      <c r="V722" s="282" t="str">
        <f>IF($C722="","",
IF(AND($E$2="Monthly",$A722&gt;12),"",
$T722*VLOOKUP($C722,'Employee information'!$B:$P,COLUMNS('Employee information'!$B:$P),0)))</f>
        <v/>
      </c>
      <c r="W722" s="282" t="str">
        <f>IF($C722="","",
IF(AND($E$2="Monthly",$A722&gt;12),"",
$U722*VLOOKUP($C722,'Employee information'!$B:$P,COLUMNS('Employee information'!$B:$P),0)))</f>
        <v/>
      </c>
      <c r="X722" s="114">
        <f t="shared" si="741"/>
        <v>0</v>
      </c>
      <c r="Y722" s="114">
        <f t="shared" si="742"/>
        <v>0</v>
      </c>
      <c r="AA722" s="118">
        <f>IFERROR(
IF(OR('Basic payroll data'!$D$12="",'Basic payroll data'!$D$12="No"),0,
$T722*VLOOKUP($C722,'Employee information'!$B:$P,COLUMNS('Employee information'!$B:$P),0)*AL_loading_perc),
0)</f>
        <v>0</v>
      </c>
      <c r="AC722" s="118"/>
      <c r="AD722" s="118"/>
      <c r="AE722" s="283" t="str">
        <f t="shared" si="755"/>
        <v/>
      </c>
      <c r="AF722" s="283" t="str">
        <f t="shared" si="756"/>
        <v/>
      </c>
      <c r="AG722" s="118"/>
      <c r="AH722" s="118"/>
      <c r="AI722" s="283" t="str">
        <f t="shared" si="757"/>
        <v/>
      </c>
      <c r="AJ722" s="118"/>
      <c r="AK722" s="118"/>
      <c r="AM722" s="118">
        <f t="shared" si="758"/>
        <v>0</v>
      </c>
      <c r="AN722" s="118">
        <f t="shared" si="743"/>
        <v>0</v>
      </c>
      <c r="AO722" s="118" t="str">
        <f>IFERROR(
IF(VLOOKUP($C722,'Employee information'!$B:$M,COLUMNS('Employee information'!$B:$M),0)=1,
IF($E$2="Fortnightly",
ROUND(
ROUND((((TRUNC($AN722/2,0)+0.99))*VLOOKUP((TRUNC($AN722/2,0)+0.99),'Tax scales - NAT 1004'!$A$12:$C$18,2,1)-VLOOKUP((TRUNC($AN722/2,0)+0.99),'Tax scales - NAT 1004'!$A$12:$C$18,3,1)),0)
*2,
0),
IF(AND($E$2="Monthly",ROUND($AN722-TRUNC($AN722),2)=0.33),
ROUND(
ROUND(((TRUNC(($AN722+0.01)*3/13,0)+0.99)*VLOOKUP((TRUNC(($AN722+0.01)*3/13,0)+0.99),'Tax scales - NAT 1004'!$A$12:$C$18,2,1)-VLOOKUP((TRUNC(($AN722+0.01)*3/13,0)+0.99),'Tax scales - NAT 1004'!$A$12:$C$18,3,1)),0)
*13/3,
0),
IF($E$2="Monthly",
ROUND(
ROUND(((TRUNC($AN722*3/13,0)+0.99)*VLOOKUP((TRUNC($AN722*3/13,0)+0.99),'Tax scales - NAT 1004'!$A$12:$C$18,2,1)-VLOOKUP((TRUNC($AN722*3/13,0)+0.99),'Tax scales - NAT 1004'!$A$12:$C$18,3,1)),0)
*13/3,
0),
""))),
""),
"")</f>
        <v/>
      </c>
      <c r="AP722" s="118" t="str">
        <f>IFERROR(
IF(VLOOKUP($C722,'Employee information'!$B:$M,COLUMNS('Employee information'!$B:$M),0)=2,
IF($E$2="Fortnightly",
ROUND(
ROUND((((TRUNC($AN722/2,0)+0.99))*VLOOKUP((TRUNC($AN722/2,0)+0.99),'Tax scales - NAT 1004'!$A$25:$C$33,2,1)-VLOOKUP((TRUNC($AN722/2,0)+0.99),'Tax scales - NAT 1004'!$A$25:$C$33,3,1)),0)
*2,
0),
IF(AND($E$2="Monthly",ROUND($AN722-TRUNC($AN722),2)=0.33),
ROUND(
ROUND(((TRUNC(($AN722+0.01)*3/13,0)+0.99)*VLOOKUP((TRUNC(($AN722+0.01)*3/13,0)+0.99),'Tax scales - NAT 1004'!$A$25:$C$33,2,1)-VLOOKUP((TRUNC(($AN722+0.01)*3/13,0)+0.99),'Tax scales - NAT 1004'!$A$25:$C$33,3,1)),0)
*13/3,
0),
IF($E$2="Monthly",
ROUND(
ROUND(((TRUNC($AN722*3/13,0)+0.99)*VLOOKUP((TRUNC($AN722*3/13,0)+0.99),'Tax scales - NAT 1004'!$A$25:$C$33,2,1)-VLOOKUP((TRUNC($AN722*3/13,0)+0.99),'Tax scales - NAT 1004'!$A$25:$C$33,3,1)),0)
*13/3,
0),
""))),
""),
"")</f>
        <v/>
      </c>
      <c r="AQ722" s="118" t="str">
        <f>IFERROR(
IF(VLOOKUP($C722,'Employee information'!$B:$M,COLUMNS('Employee information'!$B:$M),0)=3,
IF($E$2="Fortnightly",
ROUND(
ROUND((((TRUNC($AN722/2,0)+0.99))*VLOOKUP((TRUNC($AN722/2,0)+0.99),'Tax scales - NAT 1004'!$A$39:$C$41,2,1)-VLOOKUP((TRUNC($AN722/2,0)+0.99),'Tax scales - NAT 1004'!$A$39:$C$41,3,1)),0)
*2,
0),
IF(AND($E$2="Monthly",ROUND($AN722-TRUNC($AN722),2)=0.33),
ROUND(
ROUND(((TRUNC(($AN722+0.01)*3/13,0)+0.99)*VLOOKUP((TRUNC(($AN722+0.01)*3/13,0)+0.99),'Tax scales - NAT 1004'!$A$39:$C$41,2,1)-VLOOKUP((TRUNC(($AN722+0.01)*3/13,0)+0.99),'Tax scales - NAT 1004'!$A$39:$C$41,3,1)),0)
*13/3,
0),
IF($E$2="Monthly",
ROUND(
ROUND(((TRUNC($AN722*3/13,0)+0.99)*VLOOKUP((TRUNC($AN722*3/13,0)+0.99),'Tax scales - NAT 1004'!$A$39:$C$41,2,1)-VLOOKUP((TRUNC($AN722*3/13,0)+0.99),'Tax scales - NAT 1004'!$A$39:$C$41,3,1)),0)
*13/3,
0),
""))),
""),
"")</f>
        <v/>
      </c>
      <c r="AR722" s="118" t="str">
        <f>IFERROR(
IF(AND(VLOOKUP($C722,'Employee information'!$B:$M,COLUMNS('Employee information'!$B:$M),0)=4,
VLOOKUP($C722,'Employee information'!$B:$J,COLUMNS('Employee information'!$B:$J),0)="Resident"),
TRUNC(TRUNC($AN722)*'Tax scales - NAT 1004'!$B$47),
IF(AND(VLOOKUP($C722,'Employee information'!$B:$M,COLUMNS('Employee information'!$B:$M),0)=4,
VLOOKUP($C722,'Employee information'!$B:$J,COLUMNS('Employee information'!$B:$J),0)="Foreign resident"),
TRUNC(TRUNC($AN722)*'Tax scales - NAT 1004'!$B$48),
"")),
"")</f>
        <v/>
      </c>
      <c r="AS722" s="118" t="str">
        <f>IFERROR(
IF(VLOOKUP($C722,'Employee information'!$B:$M,COLUMNS('Employee information'!$B:$M),0)=5,
IF($E$2="Fortnightly",
ROUND(
ROUND((((TRUNC($AN722/2,0)+0.99))*VLOOKUP((TRUNC($AN722/2,0)+0.99),'Tax scales - NAT 1004'!$A$53:$C$59,2,1)-VLOOKUP((TRUNC($AN722/2,0)+0.99),'Tax scales - NAT 1004'!$A$53:$C$59,3,1)),0)
*2,
0),
IF(AND($E$2="Monthly",ROUND($AN722-TRUNC($AN722),2)=0.33),
ROUND(
ROUND(((TRUNC(($AN722+0.01)*3/13,0)+0.99)*VLOOKUP((TRUNC(($AN722+0.01)*3/13,0)+0.99),'Tax scales - NAT 1004'!$A$53:$C$59,2,1)-VLOOKUP((TRUNC(($AN722+0.01)*3/13,0)+0.99),'Tax scales - NAT 1004'!$A$53:$C$59,3,1)),0)
*13/3,
0),
IF($E$2="Monthly",
ROUND(
ROUND(((TRUNC($AN722*3/13,0)+0.99)*VLOOKUP((TRUNC($AN722*3/13,0)+0.99),'Tax scales - NAT 1004'!$A$53:$C$59,2,1)-VLOOKUP((TRUNC($AN722*3/13,0)+0.99),'Tax scales - NAT 1004'!$A$53:$C$59,3,1)),0)
*13/3,
0),
""))),
""),
"")</f>
        <v/>
      </c>
      <c r="AT722" s="118" t="str">
        <f>IFERROR(
IF(VLOOKUP($C722,'Employee information'!$B:$M,COLUMNS('Employee information'!$B:$M),0)=6,
IF($E$2="Fortnightly",
ROUND(
ROUND((((TRUNC($AN722/2,0)+0.99))*VLOOKUP((TRUNC($AN722/2,0)+0.99),'Tax scales - NAT 1004'!$A$65:$C$73,2,1)-VLOOKUP((TRUNC($AN722/2,0)+0.99),'Tax scales - NAT 1004'!$A$65:$C$73,3,1)),0)
*2,
0),
IF(AND($E$2="Monthly",ROUND($AN722-TRUNC($AN722),2)=0.33),
ROUND(
ROUND(((TRUNC(($AN722+0.01)*3/13,0)+0.99)*VLOOKUP((TRUNC(($AN722+0.01)*3/13,0)+0.99),'Tax scales - NAT 1004'!$A$65:$C$73,2,1)-VLOOKUP((TRUNC(($AN722+0.01)*3/13,0)+0.99),'Tax scales - NAT 1004'!$A$65:$C$73,3,1)),0)
*13/3,
0),
IF($E$2="Monthly",
ROUND(
ROUND(((TRUNC($AN722*3/13,0)+0.99)*VLOOKUP((TRUNC($AN722*3/13,0)+0.99),'Tax scales - NAT 1004'!$A$65:$C$73,2,1)-VLOOKUP((TRUNC($AN722*3/13,0)+0.99),'Tax scales - NAT 1004'!$A$65:$C$73,3,1)),0)
*13/3,
0),
""))),
""),
"")</f>
        <v/>
      </c>
      <c r="AU722" s="118" t="str">
        <f>IFERROR(
IF(VLOOKUP($C722,'Employee information'!$B:$M,COLUMNS('Employee information'!$B:$M),0)=11,
IF($E$2="Fortnightly",
ROUND(
ROUND((((TRUNC($AN722/2,0)+0.99))*VLOOKUP((TRUNC($AN722/2,0)+0.99),'Tax scales - NAT 3539'!$A$14:$C$38,2,1)-VLOOKUP((TRUNC($AN722/2,0)+0.99),'Tax scales - NAT 3539'!$A$14:$C$38,3,1)),0)
*2,
0),
IF(AND($E$2="Monthly",ROUND($AN722-TRUNC($AN722),2)=0.33),
ROUND(
ROUND(((TRUNC(($AN722+0.01)*3/13,0)+0.99)*VLOOKUP((TRUNC(($AN722+0.01)*3/13,0)+0.99),'Tax scales - NAT 3539'!$A$14:$C$38,2,1)-VLOOKUP((TRUNC(($AN722+0.01)*3/13,0)+0.99),'Tax scales - NAT 3539'!$A$14:$C$38,3,1)),0)
*13/3,
0),
IF($E$2="Monthly",
ROUND(
ROUND(((TRUNC($AN722*3/13,0)+0.99)*VLOOKUP((TRUNC($AN722*3/13,0)+0.99),'Tax scales - NAT 3539'!$A$14:$C$38,2,1)-VLOOKUP((TRUNC($AN722*3/13,0)+0.99),'Tax scales - NAT 3539'!$A$14:$C$38,3,1)),0)
*13/3,
0),
""))),
""),
"")</f>
        <v/>
      </c>
      <c r="AV722" s="118" t="str">
        <f>IFERROR(
IF(VLOOKUP($C722,'Employee information'!$B:$M,COLUMNS('Employee information'!$B:$M),0)=22,
IF($E$2="Fortnightly",
ROUND(
ROUND((((TRUNC($AN722/2,0)+0.99))*VLOOKUP((TRUNC($AN722/2,0)+0.99),'Tax scales - NAT 3539'!$A$43:$C$69,2,1)-VLOOKUP((TRUNC($AN722/2,0)+0.99),'Tax scales - NAT 3539'!$A$43:$C$69,3,1)),0)
*2,
0),
IF(AND($E$2="Monthly",ROUND($AN722-TRUNC($AN722),2)=0.33),
ROUND(
ROUND(((TRUNC(($AN722+0.01)*3/13,0)+0.99)*VLOOKUP((TRUNC(($AN722+0.01)*3/13,0)+0.99),'Tax scales - NAT 3539'!$A$43:$C$69,2,1)-VLOOKUP((TRUNC(($AN722+0.01)*3/13,0)+0.99),'Tax scales - NAT 3539'!$A$43:$C$69,3,1)),0)
*13/3,
0),
IF($E$2="Monthly",
ROUND(
ROUND(((TRUNC($AN722*3/13,0)+0.99)*VLOOKUP((TRUNC($AN722*3/13,0)+0.99),'Tax scales - NAT 3539'!$A$43:$C$69,2,1)-VLOOKUP((TRUNC($AN722*3/13,0)+0.99),'Tax scales - NAT 3539'!$A$43:$C$69,3,1)),0)
*13/3,
0),
""))),
""),
"")</f>
        <v/>
      </c>
      <c r="AW722" s="118" t="str">
        <f>IFERROR(
IF(VLOOKUP($C722,'Employee information'!$B:$M,COLUMNS('Employee information'!$B:$M),0)=33,
IF($E$2="Fortnightly",
ROUND(
ROUND((((TRUNC($AN722/2,0)+0.99))*VLOOKUP((TRUNC($AN722/2,0)+0.99),'Tax scales - NAT 3539'!$A$74:$C$94,2,1)-VLOOKUP((TRUNC($AN722/2,0)+0.99),'Tax scales - NAT 3539'!$A$74:$C$94,3,1)),0)
*2,
0),
IF(AND($E$2="Monthly",ROUND($AN722-TRUNC($AN722),2)=0.33),
ROUND(
ROUND(((TRUNC(($AN722+0.01)*3/13,0)+0.99)*VLOOKUP((TRUNC(($AN722+0.01)*3/13,0)+0.99),'Tax scales - NAT 3539'!$A$74:$C$94,2,1)-VLOOKUP((TRUNC(($AN722+0.01)*3/13,0)+0.99),'Tax scales - NAT 3539'!$A$74:$C$94,3,1)),0)
*13/3,
0),
IF($E$2="Monthly",
ROUND(
ROUND(((TRUNC($AN722*3/13,0)+0.99)*VLOOKUP((TRUNC($AN722*3/13,0)+0.99),'Tax scales - NAT 3539'!$A$74:$C$94,2,1)-VLOOKUP((TRUNC($AN722*3/13,0)+0.99),'Tax scales - NAT 3539'!$A$74:$C$94,3,1)),0)
*13/3,
0),
""))),
""),
"")</f>
        <v/>
      </c>
      <c r="AX722" s="118" t="str">
        <f>IFERROR(
IF(VLOOKUP($C722,'Employee information'!$B:$M,COLUMNS('Employee information'!$B:$M),0)=55,
IF($E$2="Fortnightly",
ROUND(
ROUND((((TRUNC($AN722/2,0)+0.99))*VLOOKUP((TRUNC($AN722/2,0)+0.99),'Tax scales - NAT 3539'!$A$99:$C$123,2,1)-VLOOKUP((TRUNC($AN722/2,0)+0.99),'Tax scales - NAT 3539'!$A$99:$C$123,3,1)),0)
*2,
0),
IF(AND($E$2="Monthly",ROUND($AN722-TRUNC($AN722),2)=0.33),
ROUND(
ROUND(((TRUNC(($AN722+0.01)*3/13,0)+0.99)*VLOOKUP((TRUNC(($AN722+0.01)*3/13,0)+0.99),'Tax scales - NAT 3539'!$A$99:$C$123,2,1)-VLOOKUP((TRUNC(($AN722+0.01)*3/13,0)+0.99),'Tax scales - NAT 3539'!$A$99:$C$123,3,1)),0)
*13/3,
0),
IF($E$2="Monthly",
ROUND(
ROUND(((TRUNC($AN722*3/13,0)+0.99)*VLOOKUP((TRUNC($AN722*3/13,0)+0.99),'Tax scales - NAT 3539'!$A$99:$C$123,2,1)-VLOOKUP((TRUNC($AN722*3/13,0)+0.99),'Tax scales - NAT 3539'!$A$99:$C$123,3,1)),0)
*13/3,
0),
""))),
""),
"")</f>
        <v/>
      </c>
      <c r="AY722" s="118" t="str">
        <f>IFERROR(
IF(VLOOKUP($C722,'Employee information'!$B:$M,COLUMNS('Employee information'!$B:$M),0)=66,
IF($E$2="Fortnightly",
ROUND(
ROUND((((TRUNC($AN722/2,0)+0.99))*VLOOKUP((TRUNC($AN722/2,0)+0.99),'Tax scales - NAT 3539'!$A$127:$C$154,2,1)-VLOOKUP((TRUNC($AN722/2,0)+0.99),'Tax scales - NAT 3539'!$A$127:$C$154,3,1)),0)
*2,
0),
IF(AND($E$2="Monthly",ROUND($AN722-TRUNC($AN722),2)=0.33),
ROUND(
ROUND(((TRUNC(($AN722+0.01)*3/13,0)+0.99)*VLOOKUP((TRUNC(($AN722+0.01)*3/13,0)+0.99),'Tax scales - NAT 3539'!$A$127:$C$154,2,1)-VLOOKUP((TRUNC(($AN722+0.01)*3/13,0)+0.99),'Tax scales - NAT 3539'!$A$127:$C$154,3,1)),0)
*13/3,
0),
IF($E$2="Monthly",
ROUND(
ROUND(((TRUNC($AN722*3/13,0)+0.99)*VLOOKUP((TRUNC($AN722*3/13,0)+0.99),'Tax scales - NAT 3539'!$A$127:$C$154,2,1)-VLOOKUP((TRUNC($AN722*3/13,0)+0.99),'Tax scales - NAT 3539'!$A$127:$C$154,3,1)),0)
*13/3,
0),
""))),
""),
"")</f>
        <v/>
      </c>
      <c r="AZ722" s="118">
        <f>IFERROR(
HLOOKUP(VLOOKUP($C722,'Employee information'!$B:$M,COLUMNS('Employee information'!$B:$M),0),'PAYG worksheet'!$AO$706:$AY$725,COUNTA($C$707:$C722)+1,0),
0)</f>
        <v>0</v>
      </c>
      <c r="BA722" s="118"/>
      <c r="BB722" s="118">
        <f t="shared" si="759"/>
        <v>0</v>
      </c>
      <c r="BC722" s="119">
        <f>IFERROR(
IF(OR($AE722=1,$AE722=""),SUM($P722,$AA722,$AC722,$AK722)*VLOOKUP($C722,'Employee information'!$B:$Q,COLUMNS('Employee information'!$B:$H),0),
IF($AE722=0,SUM($P722,$AA722,$AK722)*VLOOKUP($C722,'Employee information'!$B:$Q,COLUMNS('Employee information'!$B:$H),0),
0)),
0)</f>
        <v>0</v>
      </c>
      <c r="BE722" s="114">
        <f t="shared" si="744"/>
        <v>0</v>
      </c>
      <c r="BF722" s="114">
        <f t="shared" si="745"/>
        <v>0</v>
      </c>
      <c r="BG722" s="114">
        <f t="shared" si="746"/>
        <v>0</v>
      </c>
      <c r="BH722" s="114">
        <f t="shared" si="747"/>
        <v>0</v>
      </c>
      <c r="BI722" s="114">
        <f t="shared" si="748"/>
        <v>0</v>
      </c>
      <c r="BJ722" s="114">
        <f t="shared" si="749"/>
        <v>0</v>
      </c>
      <c r="BK722" s="114">
        <f t="shared" si="750"/>
        <v>0</v>
      </c>
      <c r="BL722" s="114">
        <f t="shared" si="760"/>
        <v>0</v>
      </c>
      <c r="BM722" s="114">
        <f t="shared" si="751"/>
        <v>0</v>
      </c>
    </row>
    <row r="723" spans="1:65" x14ac:dyDescent="0.25">
      <c r="A723" s="228">
        <f t="shared" si="739"/>
        <v>25</v>
      </c>
      <c r="C723" s="278"/>
      <c r="E723" s="103">
        <f>IF($C723="",0,
IF(AND($E$2="Monthly",$A723&gt;12),0,
IF($E$2="Monthly",VLOOKUP($C723,'Employee information'!$B:$AM,COLUMNS('Employee information'!$B:S),0),
IF($E$2="Fortnightly",VLOOKUP($C723,'Employee information'!$B:$AM,COLUMNS('Employee information'!$B:R),0),
0))))</f>
        <v>0</v>
      </c>
      <c r="F723" s="106"/>
      <c r="G723" s="106"/>
      <c r="H723" s="106"/>
      <c r="I723" s="106"/>
      <c r="J723" s="103">
        <f t="shared" si="752"/>
        <v>0</v>
      </c>
      <c r="L723" s="113">
        <f>IF(AND($E$2="Monthly",$A723&gt;12),"",
IFERROR($J723*VLOOKUP($C723,'Employee information'!$B:$AI,COLUMNS('Employee information'!$B:$P),0),0))</f>
        <v>0</v>
      </c>
      <c r="M723" s="114">
        <f t="shared" si="753"/>
        <v>0</v>
      </c>
      <c r="O723" s="103">
        <f t="shared" si="754"/>
        <v>0</v>
      </c>
      <c r="P723" s="113">
        <f>IFERROR(
IF(AND($E$2="Monthly",$A723&gt;12),0,
$O723*VLOOKUP($C723,'Employee information'!$B:$AI,COLUMNS('Employee information'!$B:$P),0)),
0)</f>
        <v>0</v>
      </c>
      <c r="R723" s="114">
        <f t="shared" si="740"/>
        <v>0</v>
      </c>
      <c r="T723" s="103"/>
      <c r="U723" s="103"/>
      <c r="V723" s="282" t="str">
        <f>IF($C723="","",
IF(AND($E$2="Monthly",$A723&gt;12),"",
$T723*VLOOKUP($C723,'Employee information'!$B:$P,COLUMNS('Employee information'!$B:$P),0)))</f>
        <v/>
      </c>
      <c r="W723" s="282" t="str">
        <f>IF($C723="","",
IF(AND($E$2="Monthly",$A723&gt;12),"",
$U723*VLOOKUP($C723,'Employee information'!$B:$P,COLUMNS('Employee information'!$B:$P),0)))</f>
        <v/>
      </c>
      <c r="X723" s="114">
        <f t="shared" si="741"/>
        <v>0</v>
      </c>
      <c r="Y723" s="114">
        <f t="shared" si="742"/>
        <v>0</v>
      </c>
      <c r="AA723" s="118">
        <f>IFERROR(
IF(OR('Basic payroll data'!$D$12="",'Basic payroll data'!$D$12="No"),0,
$T723*VLOOKUP($C723,'Employee information'!$B:$P,COLUMNS('Employee information'!$B:$P),0)*AL_loading_perc),
0)</f>
        <v>0</v>
      </c>
      <c r="AC723" s="118"/>
      <c r="AD723" s="118"/>
      <c r="AE723" s="283" t="str">
        <f t="shared" si="755"/>
        <v/>
      </c>
      <c r="AF723" s="283" t="str">
        <f t="shared" si="756"/>
        <v/>
      </c>
      <c r="AG723" s="118"/>
      <c r="AH723" s="118"/>
      <c r="AI723" s="283" t="str">
        <f t="shared" si="757"/>
        <v/>
      </c>
      <c r="AJ723" s="118"/>
      <c r="AK723" s="118"/>
      <c r="AM723" s="118">
        <f t="shared" si="758"/>
        <v>0</v>
      </c>
      <c r="AN723" s="118">
        <f t="shared" si="743"/>
        <v>0</v>
      </c>
      <c r="AO723" s="118" t="str">
        <f>IFERROR(
IF(VLOOKUP($C723,'Employee information'!$B:$M,COLUMNS('Employee information'!$B:$M),0)=1,
IF($E$2="Fortnightly",
ROUND(
ROUND((((TRUNC($AN723/2,0)+0.99))*VLOOKUP((TRUNC($AN723/2,0)+0.99),'Tax scales - NAT 1004'!$A$12:$C$18,2,1)-VLOOKUP((TRUNC($AN723/2,0)+0.99),'Tax scales - NAT 1004'!$A$12:$C$18,3,1)),0)
*2,
0),
IF(AND($E$2="Monthly",ROUND($AN723-TRUNC($AN723),2)=0.33),
ROUND(
ROUND(((TRUNC(($AN723+0.01)*3/13,0)+0.99)*VLOOKUP((TRUNC(($AN723+0.01)*3/13,0)+0.99),'Tax scales - NAT 1004'!$A$12:$C$18,2,1)-VLOOKUP((TRUNC(($AN723+0.01)*3/13,0)+0.99),'Tax scales - NAT 1004'!$A$12:$C$18,3,1)),0)
*13/3,
0),
IF($E$2="Monthly",
ROUND(
ROUND(((TRUNC($AN723*3/13,0)+0.99)*VLOOKUP((TRUNC($AN723*3/13,0)+0.99),'Tax scales - NAT 1004'!$A$12:$C$18,2,1)-VLOOKUP((TRUNC($AN723*3/13,0)+0.99),'Tax scales - NAT 1004'!$A$12:$C$18,3,1)),0)
*13/3,
0),
""))),
""),
"")</f>
        <v/>
      </c>
      <c r="AP723" s="118" t="str">
        <f>IFERROR(
IF(VLOOKUP($C723,'Employee information'!$B:$M,COLUMNS('Employee information'!$B:$M),0)=2,
IF($E$2="Fortnightly",
ROUND(
ROUND((((TRUNC($AN723/2,0)+0.99))*VLOOKUP((TRUNC($AN723/2,0)+0.99),'Tax scales - NAT 1004'!$A$25:$C$33,2,1)-VLOOKUP((TRUNC($AN723/2,0)+0.99),'Tax scales - NAT 1004'!$A$25:$C$33,3,1)),0)
*2,
0),
IF(AND($E$2="Monthly",ROUND($AN723-TRUNC($AN723),2)=0.33),
ROUND(
ROUND(((TRUNC(($AN723+0.01)*3/13,0)+0.99)*VLOOKUP((TRUNC(($AN723+0.01)*3/13,0)+0.99),'Tax scales - NAT 1004'!$A$25:$C$33,2,1)-VLOOKUP((TRUNC(($AN723+0.01)*3/13,0)+0.99),'Tax scales - NAT 1004'!$A$25:$C$33,3,1)),0)
*13/3,
0),
IF($E$2="Monthly",
ROUND(
ROUND(((TRUNC($AN723*3/13,0)+0.99)*VLOOKUP((TRUNC($AN723*3/13,0)+0.99),'Tax scales - NAT 1004'!$A$25:$C$33,2,1)-VLOOKUP((TRUNC($AN723*3/13,0)+0.99),'Tax scales - NAT 1004'!$A$25:$C$33,3,1)),0)
*13/3,
0),
""))),
""),
"")</f>
        <v/>
      </c>
      <c r="AQ723" s="118" t="str">
        <f>IFERROR(
IF(VLOOKUP($C723,'Employee information'!$B:$M,COLUMNS('Employee information'!$B:$M),0)=3,
IF($E$2="Fortnightly",
ROUND(
ROUND((((TRUNC($AN723/2,0)+0.99))*VLOOKUP((TRUNC($AN723/2,0)+0.99),'Tax scales - NAT 1004'!$A$39:$C$41,2,1)-VLOOKUP((TRUNC($AN723/2,0)+0.99),'Tax scales - NAT 1004'!$A$39:$C$41,3,1)),0)
*2,
0),
IF(AND($E$2="Monthly",ROUND($AN723-TRUNC($AN723),2)=0.33),
ROUND(
ROUND(((TRUNC(($AN723+0.01)*3/13,0)+0.99)*VLOOKUP((TRUNC(($AN723+0.01)*3/13,0)+0.99),'Tax scales - NAT 1004'!$A$39:$C$41,2,1)-VLOOKUP((TRUNC(($AN723+0.01)*3/13,0)+0.99),'Tax scales - NAT 1004'!$A$39:$C$41,3,1)),0)
*13/3,
0),
IF($E$2="Monthly",
ROUND(
ROUND(((TRUNC($AN723*3/13,0)+0.99)*VLOOKUP((TRUNC($AN723*3/13,0)+0.99),'Tax scales - NAT 1004'!$A$39:$C$41,2,1)-VLOOKUP((TRUNC($AN723*3/13,0)+0.99),'Tax scales - NAT 1004'!$A$39:$C$41,3,1)),0)
*13/3,
0),
""))),
""),
"")</f>
        <v/>
      </c>
      <c r="AR723" s="118" t="str">
        <f>IFERROR(
IF(AND(VLOOKUP($C723,'Employee information'!$B:$M,COLUMNS('Employee information'!$B:$M),0)=4,
VLOOKUP($C723,'Employee information'!$B:$J,COLUMNS('Employee information'!$B:$J),0)="Resident"),
TRUNC(TRUNC($AN723)*'Tax scales - NAT 1004'!$B$47),
IF(AND(VLOOKUP($C723,'Employee information'!$B:$M,COLUMNS('Employee information'!$B:$M),0)=4,
VLOOKUP($C723,'Employee information'!$B:$J,COLUMNS('Employee information'!$B:$J),0)="Foreign resident"),
TRUNC(TRUNC($AN723)*'Tax scales - NAT 1004'!$B$48),
"")),
"")</f>
        <v/>
      </c>
      <c r="AS723" s="118" t="str">
        <f>IFERROR(
IF(VLOOKUP($C723,'Employee information'!$B:$M,COLUMNS('Employee information'!$B:$M),0)=5,
IF($E$2="Fortnightly",
ROUND(
ROUND((((TRUNC($AN723/2,0)+0.99))*VLOOKUP((TRUNC($AN723/2,0)+0.99),'Tax scales - NAT 1004'!$A$53:$C$59,2,1)-VLOOKUP((TRUNC($AN723/2,0)+0.99),'Tax scales - NAT 1004'!$A$53:$C$59,3,1)),0)
*2,
0),
IF(AND($E$2="Monthly",ROUND($AN723-TRUNC($AN723),2)=0.33),
ROUND(
ROUND(((TRUNC(($AN723+0.01)*3/13,0)+0.99)*VLOOKUP((TRUNC(($AN723+0.01)*3/13,0)+0.99),'Tax scales - NAT 1004'!$A$53:$C$59,2,1)-VLOOKUP((TRUNC(($AN723+0.01)*3/13,0)+0.99),'Tax scales - NAT 1004'!$A$53:$C$59,3,1)),0)
*13/3,
0),
IF($E$2="Monthly",
ROUND(
ROUND(((TRUNC($AN723*3/13,0)+0.99)*VLOOKUP((TRUNC($AN723*3/13,0)+0.99),'Tax scales - NAT 1004'!$A$53:$C$59,2,1)-VLOOKUP((TRUNC($AN723*3/13,0)+0.99),'Tax scales - NAT 1004'!$A$53:$C$59,3,1)),0)
*13/3,
0),
""))),
""),
"")</f>
        <v/>
      </c>
      <c r="AT723" s="118" t="str">
        <f>IFERROR(
IF(VLOOKUP($C723,'Employee information'!$B:$M,COLUMNS('Employee information'!$B:$M),0)=6,
IF($E$2="Fortnightly",
ROUND(
ROUND((((TRUNC($AN723/2,0)+0.99))*VLOOKUP((TRUNC($AN723/2,0)+0.99),'Tax scales - NAT 1004'!$A$65:$C$73,2,1)-VLOOKUP((TRUNC($AN723/2,0)+0.99),'Tax scales - NAT 1004'!$A$65:$C$73,3,1)),0)
*2,
0),
IF(AND($E$2="Monthly",ROUND($AN723-TRUNC($AN723),2)=0.33),
ROUND(
ROUND(((TRUNC(($AN723+0.01)*3/13,0)+0.99)*VLOOKUP((TRUNC(($AN723+0.01)*3/13,0)+0.99),'Tax scales - NAT 1004'!$A$65:$C$73,2,1)-VLOOKUP((TRUNC(($AN723+0.01)*3/13,0)+0.99),'Tax scales - NAT 1004'!$A$65:$C$73,3,1)),0)
*13/3,
0),
IF($E$2="Monthly",
ROUND(
ROUND(((TRUNC($AN723*3/13,0)+0.99)*VLOOKUP((TRUNC($AN723*3/13,0)+0.99),'Tax scales - NAT 1004'!$A$65:$C$73,2,1)-VLOOKUP((TRUNC($AN723*3/13,0)+0.99),'Tax scales - NAT 1004'!$A$65:$C$73,3,1)),0)
*13/3,
0),
""))),
""),
"")</f>
        <v/>
      </c>
      <c r="AU723" s="118" t="str">
        <f>IFERROR(
IF(VLOOKUP($C723,'Employee information'!$B:$M,COLUMNS('Employee information'!$B:$M),0)=11,
IF($E$2="Fortnightly",
ROUND(
ROUND((((TRUNC($AN723/2,0)+0.99))*VLOOKUP((TRUNC($AN723/2,0)+0.99),'Tax scales - NAT 3539'!$A$14:$C$38,2,1)-VLOOKUP((TRUNC($AN723/2,0)+0.99),'Tax scales - NAT 3539'!$A$14:$C$38,3,1)),0)
*2,
0),
IF(AND($E$2="Monthly",ROUND($AN723-TRUNC($AN723),2)=0.33),
ROUND(
ROUND(((TRUNC(($AN723+0.01)*3/13,0)+0.99)*VLOOKUP((TRUNC(($AN723+0.01)*3/13,0)+0.99),'Tax scales - NAT 3539'!$A$14:$C$38,2,1)-VLOOKUP((TRUNC(($AN723+0.01)*3/13,0)+0.99),'Tax scales - NAT 3539'!$A$14:$C$38,3,1)),0)
*13/3,
0),
IF($E$2="Monthly",
ROUND(
ROUND(((TRUNC($AN723*3/13,0)+0.99)*VLOOKUP((TRUNC($AN723*3/13,0)+0.99),'Tax scales - NAT 3539'!$A$14:$C$38,2,1)-VLOOKUP((TRUNC($AN723*3/13,0)+0.99),'Tax scales - NAT 3539'!$A$14:$C$38,3,1)),0)
*13/3,
0),
""))),
""),
"")</f>
        <v/>
      </c>
      <c r="AV723" s="118" t="str">
        <f>IFERROR(
IF(VLOOKUP($C723,'Employee information'!$B:$M,COLUMNS('Employee information'!$B:$M),0)=22,
IF($E$2="Fortnightly",
ROUND(
ROUND((((TRUNC($AN723/2,0)+0.99))*VLOOKUP((TRUNC($AN723/2,0)+0.99),'Tax scales - NAT 3539'!$A$43:$C$69,2,1)-VLOOKUP((TRUNC($AN723/2,0)+0.99),'Tax scales - NAT 3539'!$A$43:$C$69,3,1)),0)
*2,
0),
IF(AND($E$2="Monthly",ROUND($AN723-TRUNC($AN723),2)=0.33),
ROUND(
ROUND(((TRUNC(($AN723+0.01)*3/13,0)+0.99)*VLOOKUP((TRUNC(($AN723+0.01)*3/13,0)+0.99),'Tax scales - NAT 3539'!$A$43:$C$69,2,1)-VLOOKUP((TRUNC(($AN723+0.01)*3/13,0)+0.99),'Tax scales - NAT 3539'!$A$43:$C$69,3,1)),0)
*13/3,
0),
IF($E$2="Monthly",
ROUND(
ROUND(((TRUNC($AN723*3/13,0)+0.99)*VLOOKUP((TRUNC($AN723*3/13,0)+0.99),'Tax scales - NAT 3539'!$A$43:$C$69,2,1)-VLOOKUP((TRUNC($AN723*3/13,0)+0.99),'Tax scales - NAT 3539'!$A$43:$C$69,3,1)),0)
*13/3,
0),
""))),
""),
"")</f>
        <v/>
      </c>
      <c r="AW723" s="118" t="str">
        <f>IFERROR(
IF(VLOOKUP($C723,'Employee information'!$B:$M,COLUMNS('Employee information'!$B:$M),0)=33,
IF($E$2="Fortnightly",
ROUND(
ROUND((((TRUNC($AN723/2,0)+0.99))*VLOOKUP((TRUNC($AN723/2,0)+0.99),'Tax scales - NAT 3539'!$A$74:$C$94,2,1)-VLOOKUP((TRUNC($AN723/2,0)+0.99),'Tax scales - NAT 3539'!$A$74:$C$94,3,1)),0)
*2,
0),
IF(AND($E$2="Monthly",ROUND($AN723-TRUNC($AN723),2)=0.33),
ROUND(
ROUND(((TRUNC(($AN723+0.01)*3/13,0)+0.99)*VLOOKUP((TRUNC(($AN723+0.01)*3/13,0)+0.99),'Tax scales - NAT 3539'!$A$74:$C$94,2,1)-VLOOKUP((TRUNC(($AN723+0.01)*3/13,0)+0.99),'Tax scales - NAT 3539'!$A$74:$C$94,3,1)),0)
*13/3,
0),
IF($E$2="Monthly",
ROUND(
ROUND(((TRUNC($AN723*3/13,0)+0.99)*VLOOKUP((TRUNC($AN723*3/13,0)+0.99),'Tax scales - NAT 3539'!$A$74:$C$94,2,1)-VLOOKUP((TRUNC($AN723*3/13,0)+0.99),'Tax scales - NAT 3539'!$A$74:$C$94,3,1)),0)
*13/3,
0),
""))),
""),
"")</f>
        <v/>
      </c>
      <c r="AX723" s="118" t="str">
        <f>IFERROR(
IF(VLOOKUP($C723,'Employee information'!$B:$M,COLUMNS('Employee information'!$B:$M),0)=55,
IF($E$2="Fortnightly",
ROUND(
ROUND((((TRUNC($AN723/2,0)+0.99))*VLOOKUP((TRUNC($AN723/2,0)+0.99),'Tax scales - NAT 3539'!$A$99:$C$123,2,1)-VLOOKUP((TRUNC($AN723/2,0)+0.99),'Tax scales - NAT 3539'!$A$99:$C$123,3,1)),0)
*2,
0),
IF(AND($E$2="Monthly",ROUND($AN723-TRUNC($AN723),2)=0.33),
ROUND(
ROUND(((TRUNC(($AN723+0.01)*3/13,0)+0.99)*VLOOKUP((TRUNC(($AN723+0.01)*3/13,0)+0.99),'Tax scales - NAT 3539'!$A$99:$C$123,2,1)-VLOOKUP((TRUNC(($AN723+0.01)*3/13,0)+0.99),'Tax scales - NAT 3539'!$A$99:$C$123,3,1)),0)
*13/3,
0),
IF($E$2="Monthly",
ROUND(
ROUND(((TRUNC($AN723*3/13,0)+0.99)*VLOOKUP((TRUNC($AN723*3/13,0)+0.99),'Tax scales - NAT 3539'!$A$99:$C$123,2,1)-VLOOKUP((TRUNC($AN723*3/13,0)+0.99),'Tax scales - NAT 3539'!$A$99:$C$123,3,1)),0)
*13/3,
0),
""))),
""),
"")</f>
        <v/>
      </c>
      <c r="AY723" s="118" t="str">
        <f>IFERROR(
IF(VLOOKUP($C723,'Employee information'!$B:$M,COLUMNS('Employee information'!$B:$M),0)=66,
IF($E$2="Fortnightly",
ROUND(
ROUND((((TRUNC($AN723/2,0)+0.99))*VLOOKUP((TRUNC($AN723/2,0)+0.99),'Tax scales - NAT 3539'!$A$127:$C$154,2,1)-VLOOKUP((TRUNC($AN723/2,0)+0.99),'Tax scales - NAT 3539'!$A$127:$C$154,3,1)),0)
*2,
0),
IF(AND($E$2="Monthly",ROUND($AN723-TRUNC($AN723),2)=0.33),
ROUND(
ROUND(((TRUNC(($AN723+0.01)*3/13,0)+0.99)*VLOOKUP((TRUNC(($AN723+0.01)*3/13,0)+0.99),'Tax scales - NAT 3539'!$A$127:$C$154,2,1)-VLOOKUP((TRUNC(($AN723+0.01)*3/13,0)+0.99),'Tax scales - NAT 3539'!$A$127:$C$154,3,1)),0)
*13/3,
0),
IF($E$2="Monthly",
ROUND(
ROUND(((TRUNC($AN723*3/13,0)+0.99)*VLOOKUP((TRUNC($AN723*3/13,0)+0.99),'Tax scales - NAT 3539'!$A$127:$C$154,2,1)-VLOOKUP((TRUNC($AN723*3/13,0)+0.99),'Tax scales - NAT 3539'!$A$127:$C$154,3,1)),0)
*13/3,
0),
""))),
""),
"")</f>
        <v/>
      </c>
      <c r="AZ723" s="118">
        <f>IFERROR(
HLOOKUP(VLOOKUP($C723,'Employee information'!$B:$M,COLUMNS('Employee information'!$B:$M),0),'PAYG worksheet'!$AO$706:$AY$725,COUNTA($C$707:$C723)+1,0),
0)</f>
        <v>0</v>
      </c>
      <c r="BA723" s="118"/>
      <c r="BB723" s="118">
        <f t="shared" si="759"/>
        <v>0</v>
      </c>
      <c r="BC723" s="119">
        <f>IFERROR(
IF(OR($AE723=1,$AE723=""),SUM($P723,$AA723,$AC723,$AK723)*VLOOKUP($C723,'Employee information'!$B:$Q,COLUMNS('Employee information'!$B:$H),0),
IF($AE723=0,SUM($P723,$AA723,$AK723)*VLOOKUP($C723,'Employee information'!$B:$Q,COLUMNS('Employee information'!$B:$H),0),
0)),
0)</f>
        <v>0</v>
      </c>
      <c r="BE723" s="114">
        <f t="shared" si="744"/>
        <v>0</v>
      </c>
      <c r="BF723" s="114">
        <f t="shared" si="745"/>
        <v>0</v>
      </c>
      <c r="BG723" s="114">
        <f t="shared" si="746"/>
        <v>0</v>
      </c>
      <c r="BH723" s="114">
        <f t="shared" si="747"/>
        <v>0</v>
      </c>
      <c r="BI723" s="114">
        <f t="shared" si="748"/>
        <v>0</v>
      </c>
      <c r="BJ723" s="114">
        <f t="shared" si="749"/>
        <v>0</v>
      </c>
      <c r="BK723" s="114">
        <f t="shared" si="750"/>
        <v>0</v>
      </c>
      <c r="BL723" s="114">
        <f t="shared" si="760"/>
        <v>0</v>
      </c>
      <c r="BM723" s="114">
        <f t="shared" si="751"/>
        <v>0</v>
      </c>
    </row>
    <row r="724" spans="1:65" x14ac:dyDescent="0.25">
      <c r="A724" s="228">
        <f t="shared" si="739"/>
        <v>25</v>
      </c>
      <c r="C724" s="278"/>
      <c r="E724" s="103">
        <f>IF($C724="",0,
IF(AND($E$2="Monthly",$A724&gt;12),0,
IF($E$2="Monthly",VLOOKUP($C724,'Employee information'!$B:$AM,COLUMNS('Employee information'!$B:S),0),
IF($E$2="Fortnightly",VLOOKUP($C724,'Employee information'!$B:$AM,COLUMNS('Employee information'!$B:R),0),
0))))</f>
        <v>0</v>
      </c>
      <c r="F724" s="106"/>
      <c r="G724" s="106"/>
      <c r="H724" s="106"/>
      <c r="I724" s="106"/>
      <c r="J724" s="103">
        <f t="shared" si="752"/>
        <v>0</v>
      </c>
      <c r="L724" s="113">
        <f>IF(AND($E$2="Monthly",$A724&gt;12),"",
IFERROR($J724*VLOOKUP($C724,'Employee information'!$B:$AI,COLUMNS('Employee information'!$B:$P),0),0))</f>
        <v>0</v>
      </c>
      <c r="M724" s="114">
        <f t="shared" si="753"/>
        <v>0</v>
      </c>
      <c r="O724" s="103">
        <f t="shared" si="754"/>
        <v>0</v>
      </c>
      <c r="P724" s="113">
        <f>IFERROR(
IF(AND($E$2="Monthly",$A724&gt;12),0,
$O724*VLOOKUP($C724,'Employee information'!$B:$AI,COLUMNS('Employee information'!$B:$P),0)),
0)</f>
        <v>0</v>
      </c>
      <c r="R724" s="114">
        <f t="shared" si="740"/>
        <v>0</v>
      </c>
      <c r="T724" s="103"/>
      <c r="U724" s="103"/>
      <c r="V724" s="282" t="str">
        <f>IF($C724="","",
IF(AND($E$2="Monthly",$A724&gt;12),"",
$T724*VLOOKUP($C724,'Employee information'!$B:$P,COLUMNS('Employee information'!$B:$P),0)))</f>
        <v/>
      </c>
      <c r="W724" s="282" t="str">
        <f>IF($C724="","",
IF(AND($E$2="Monthly",$A724&gt;12),"",
$U724*VLOOKUP($C724,'Employee information'!$B:$P,COLUMNS('Employee information'!$B:$P),0)))</f>
        <v/>
      </c>
      <c r="X724" s="114">
        <f t="shared" si="741"/>
        <v>0</v>
      </c>
      <c r="Y724" s="114">
        <f t="shared" si="742"/>
        <v>0</v>
      </c>
      <c r="AA724" s="118">
        <f>IFERROR(
IF(OR('Basic payroll data'!$D$12="",'Basic payroll data'!$D$12="No"),0,
$T724*VLOOKUP($C724,'Employee information'!$B:$P,COLUMNS('Employee information'!$B:$P),0)*AL_loading_perc),
0)</f>
        <v>0</v>
      </c>
      <c r="AC724" s="118"/>
      <c r="AD724" s="118"/>
      <c r="AE724" s="283" t="str">
        <f t="shared" si="755"/>
        <v/>
      </c>
      <c r="AF724" s="283" t="str">
        <f t="shared" si="756"/>
        <v/>
      </c>
      <c r="AG724" s="118"/>
      <c r="AH724" s="118"/>
      <c r="AI724" s="283" t="str">
        <f t="shared" si="757"/>
        <v/>
      </c>
      <c r="AJ724" s="118"/>
      <c r="AK724" s="118"/>
      <c r="AM724" s="118">
        <f t="shared" si="758"/>
        <v>0</v>
      </c>
      <c r="AN724" s="118">
        <f t="shared" si="743"/>
        <v>0</v>
      </c>
      <c r="AO724" s="118" t="str">
        <f>IFERROR(
IF(VLOOKUP($C724,'Employee information'!$B:$M,COLUMNS('Employee information'!$B:$M),0)=1,
IF($E$2="Fortnightly",
ROUND(
ROUND((((TRUNC($AN724/2,0)+0.99))*VLOOKUP((TRUNC($AN724/2,0)+0.99),'Tax scales - NAT 1004'!$A$12:$C$18,2,1)-VLOOKUP((TRUNC($AN724/2,0)+0.99),'Tax scales - NAT 1004'!$A$12:$C$18,3,1)),0)
*2,
0),
IF(AND($E$2="Monthly",ROUND($AN724-TRUNC($AN724),2)=0.33),
ROUND(
ROUND(((TRUNC(($AN724+0.01)*3/13,0)+0.99)*VLOOKUP((TRUNC(($AN724+0.01)*3/13,0)+0.99),'Tax scales - NAT 1004'!$A$12:$C$18,2,1)-VLOOKUP((TRUNC(($AN724+0.01)*3/13,0)+0.99),'Tax scales - NAT 1004'!$A$12:$C$18,3,1)),0)
*13/3,
0),
IF($E$2="Monthly",
ROUND(
ROUND(((TRUNC($AN724*3/13,0)+0.99)*VLOOKUP((TRUNC($AN724*3/13,0)+0.99),'Tax scales - NAT 1004'!$A$12:$C$18,2,1)-VLOOKUP((TRUNC($AN724*3/13,0)+0.99),'Tax scales - NAT 1004'!$A$12:$C$18,3,1)),0)
*13/3,
0),
""))),
""),
"")</f>
        <v/>
      </c>
      <c r="AP724" s="118" t="str">
        <f>IFERROR(
IF(VLOOKUP($C724,'Employee information'!$B:$M,COLUMNS('Employee information'!$B:$M),0)=2,
IF($E$2="Fortnightly",
ROUND(
ROUND((((TRUNC($AN724/2,0)+0.99))*VLOOKUP((TRUNC($AN724/2,0)+0.99),'Tax scales - NAT 1004'!$A$25:$C$33,2,1)-VLOOKUP((TRUNC($AN724/2,0)+0.99),'Tax scales - NAT 1004'!$A$25:$C$33,3,1)),0)
*2,
0),
IF(AND($E$2="Monthly",ROUND($AN724-TRUNC($AN724),2)=0.33),
ROUND(
ROUND(((TRUNC(($AN724+0.01)*3/13,0)+0.99)*VLOOKUP((TRUNC(($AN724+0.01)*3/13,0)+0.99),'Tax scales - NAT 1004'!$A$25:$C$33,2,1)-VLOOKUP((TRUNC(($AN724+0.01)*3/13,0)+0.99),'Tax scales - NAT 1004'!$A$25:$C$33,3,1)),0)
*13/3,
0),
IF($E$2="Monthly",
ROUND(
ROUND(((TRUNC($AN724*3/13,0)+0.99)*VLOOKUP((TRUNC($AN724*3/13,0)+0.99),'Tax scales - NAT 1004'!$A$25:$C$33,2,1)-VLOOKUP((TRUNC($AN724*3/13,0)+0.99),'Tax scales - NAT 1004'!$A$25:$C$33,3,1)),0)
*13/3,
0),
""))),
""),
"")</f>
        <v/>
      </c>
      <c r="AQ724" s="118" t="str">
        <f>IFERROR(
IF(VLOOKUP($C724,'Employee information'!$B:$M,COLUMNS('Employee information'!$B:$M),0)=3,
IF($E$2="Fortnightly",
ROUND(
ROUND((((TRUNC($AN724/2,0)+0.99))*VLOOKUP((TRUNC($AN724/2,0)+0.99),'Tax scales - NAT 1004'!$A$39:$C$41,2,1)-VLOOKUP((TRUNC($AN724/2,0)+0.99),'Tax scales - NAT 1004'!$A$39:$C$41,3,1)),0)
*2,
0),
IF(AND($E$2="Monthly",ROUND($AN724-TRUNC($AN724),2)=0.33),
ROUND(
ROUND(((TRUNC(($AN724+0.01)*3/13,0)+0.99)*VLOOKUP((TRUNC(($AN724+0.01)*3/13,0)+0.99),'Tax scales - NAT 1004'!$A$39:$C$41,2,1)-VLOOKUP((TRUNC(($AN724+0.01)*3/13,0)+0.99),'Tax scales - NAT 1004'!$A$39:$C$41,3,1)),0)
*13/3,
0),
IF($E$2="Monthly",
ROUND(
ROUND(((TRUNC($AN724*3/13,0)+0.99)*VLOOKUP((TRUNC($AN724*3/13,0)+0.99),'Tax scales - NAT 1004'!$A$39:$C$41,2,1)-VLOOKUP((TRUNC($AN724*3/13,0)+0.99),'Tax scales - NAT 1004'!$A$39:$C$41,3,1)),0)
*13/3,
0),
""))),
""),
"")</f>
        <v/>
      </c>
      <c r="AR724" s="118" t="str">
        <f>IFERROR(
IF(AND(VLOOKUP($C724,'Employee information'!$B:$M,COLUMNS('Employee information'!$B:$M),0)=4,
VLOOKUP($C724,'Employee information'!$B:$J,COLUMNS('Employee information'!$B:$J),0)="Resident"),
TRUNC(TRUNC($AN724)*'Tax scales - NAT 1004'!$B$47),
IF(AND(VLOOKUP($C724,'Employee information'!$B:$M,COLUMNS('Employee information'!$B:$M),0)=4,
VLOOKUP($C724,'Employee information'!$B:$J,COLUMNS('Employee information'!$B:$J),0)="Foreign resident"),
TRUNC(TRUNC($AN724)*'Tax scales - NAT 1004'!$B$48),
"")),
"")</f>
        <v/>
      </c>
      <c r="AS724" s="118" t="str">
        <f>IFERROR(
IF(VLOOKUP($C724,'Employee information'!$B:$M,COLUMNS('Employee information'!$B:$M),0)=5,
IF($E$2="Fortnightly",
ROUND(
ROUND((((TRUNC($AN724/2,0)+0.99))*VLOOKUP((TRUNC($AN724/2,0)+0.99),'Tax scales - NAT 1004'!$A$53:$C$59,2,1)-VLOOKUP((TRUNC($AN724/2,0)+0.99),'Tax scales - NAT 1004'!$A$53:$C$59,3,1)),0)
*2,
0),
IF(AND($E$2="Monthly",ROUND($AN724-TRUNC($AN724),2)=0.33),
ROUND(
ROUND(((TRUNC(($AN724+0.01)*3/13,0)+0.99)*VLOOKUP((TRUNC(($AN724+0.01)*3/13,0)+0.99),'Tax scales - NAT 1004'!$A$53:$C$59,2,1)-VLOOKUP((TRUNC(($AN724+0.01)*3/13,0)+0.99),'Tax scales - NAT 1004'!$A$53:$C$59,3,1)),0)
*13/3,
0),
IF($E$2="Monthly",
ROUND(
ROUND(((TRUNC($AN724*3/13,0)+0.99)*VLOOKUP((TRUNC($AN724*3/13,0)+0.99),'Tax scales - NAT 1004'!$A$53:$C$59,2,1)-VLOOKUP((TRUNC($AN724*3/13,0)+0.99),'Tax scales - NAT 1004'!$A$53:$C$59,3,1)),0)
*13/3,
0),
""))),
""),
"")</f>
        <v/>
      </c>
      <c r="AT724" s="118" t="str">
        <f>IFERROR(
IF(VLOOKUP($C724,'Employee information'!$B:$M,COLUMNS('Employee information'!$B:$M),0)=6,
IF($E$2="Fortnightly",
ROUND(
ROUND((((TRUNC($AN724/2,0)+0.99))*VLOOKUP((TRUNC($AN724/2,0)+0.99),'Tax scales - NAT 1004'!$A$65:$C$73,2,1)-VLOOKUP((TRUNC($AN724/2,0)+0.99),'Tax scales - NAT 1004'!$A$65:$C$73,3,1)),0)
*2,
0),
IF(AND($E$2="Monthly",ROUND($AN724-TRUNC($AN724),2)=0.33),
ROUND(
ROUND(((TRUNC(($AN724+0.01)*3/13,0)+0.99)*VLOOKUP((TRUNC(($AN724+0.01)*3/13,0)+0.99),'Tax scales - NAT 1004'!$A$65:$C$73,2,1)-VLOOKUP((TRUNC(($AN724+0.01)*3/13,0)+0.99),'Tax scales - NAT 1004'!$A$65:$C$73,3,1)),0)
*13/3,
0),
IF($E$2="Monthly",
ROUND(
ROUND(((TRUNC($AN724*3/13,0)+0.99)*VLOOKUP((TRUNC($AN724*3/13,0)+0.99),'Tax scales - NAT 1004'!$A$65:$C$73,2,1)-VLOOKUP((TRUNC($AN724*3/13,0)+0.99),'Tax scales - NAT 1004'!$A$65:$C$73,3,1)),0)
*13/3,
0),
""))),
""),
"")</f>
        <v/>
      </c>
      <c r="AU724" s="118" t="str">
        <f>IFERROR(
IF(VLOOKUP($C724,'Employee information'!$B:$M,COLUMNS('Employee information'!$B:$M),0)=11,
IF($E$2="Fortnightly",
ROUND(
ROUND((((TRUNC($AN724/2,0)+0.99))*VLOOKUP((TRUNC($AN724/2,0)+0.99),'Tax scales - NAT 3539'!$A$14:$C$38,2,1)-VLOOKUP((TRUNC($AN724/2,0)+0.99),'Tax scales - NAT 3539'!$A$14:$C$38,3,1)),0)
*2,
0),
IF(AND($E$2="Monthly",ROUND($AN724-TRUNC($AN724),2)=0.33),
ROUND(
ROUND(((TRUNC(($AN724+0.01)*3/13,0)+0.99)*VLOOKUP((TRUNC(($AN724+0.01)*3/13,0)+0.99),'Tax scales - NAT 3539'!$A$14:$C$38,2,1)-VLOOKUP((TRUNC(($AN724+0.01)*3/13,0)+0.99),'Tax scales - NAT 3539'!$A$14:$C$38,3,1)),0)
*13/3,
0),
IF($E$2="Monthly",
ROUND(
ROUND(((TRUNC($AN724*3/13,0)+0.99)*VLOOKUP((TRUNC($AN724*3/13,0)+0.99),'Tax scales - NAT 3539'!$A$14:$C$38,2,1)-VLOOKUP((TRUNC($AN724*3/13,0)+0.99),'Tax scales - NAT 3539'!$A$14:$C$38,3,1)),0)
*13/3,
0),
""))),
""),
"")</f>
        <v/>
      </c>
      <c r="AV724" s="118" t="str">
        <f>IFERROR(
IF(VLOOKUP($C724,'Employee information'!$B:$M,COLUMNS('Employee information'!$B:$M),0)=22,
IF($E$2="Fortnightly",
ROUND(
ROUND((((TRUNC($AN724/2,0)+0.99))*VLOOKUP((TRUNC($AN724/2,0)+0.99),'Tax scales - NAT 3539'!$A$43:$C$69,2,1)-VLOOKUP((TRUNC($AN724/2,0)+0.99),'Tax scales - NAT 3539'!$A$43:$C$69,3,1)),0)
*2,
0),
IF(AND($E$2="Monthly",ROUND($AN724-TRUNC($AN724),2)=0.33),
ROUND(
ROUND(((TRUNC(($AN724+0.01)*3/13,0)+0.99)*VLOOKUP((TRUNC(($AN724+0.01)*3/13,0)+0.99),'Tax scales - NAT 3539'!$A$43:$C$69,2,1)-VLOOKUP((TRUNC(($AN724+0.01)*3/13,0)+0.99),'Tax scales - NAT 3539'!$A$43:$C$69,3,1)),0)
*13/3,
0),
IF($E$2="Monthly",
ROUND(
ROUND(((TRUNC($AN724*3/13,0)+0.99)*VLOOKUP((TRUNC($AN724*3/13,0)+0.99),'Tax scales - NAT 3539'!$A$43:$C$69,2,1)-VLOOKUP((TRUNC($AN724*3/13,0)+0.99),'Tax scales - NAT 3539'!$A$43:$C$69,3,1)),0)
*13/3,
0),
""))),
""),
"")</f>
        <v/>
      </c>
      <c r="AW724" s="118" t="str">
        <f>IFERROR(
IF(VLOOKUP($C724,'Employee information'!$B:$M,COLUMNS('Employee information'!$B:$M),0)=33,
IF($E$2="Fortnightly",
ROUND(
ROUND((((TRUNC($AN724/2,0)+0.99))*VLOOKUP((TRUNC($AN724/2,0)+0.99),'Tax scales - NAT 3539'!$A$74:$C$94,2,1)-VLOOKUP((TRUNC($AN724/2,0)+0.99),'Tax scales - NAT 3539'!$A$74:$C$94,3,1)),0)
*2,
0),
IF(AND($E$2="Monthly",ROUND($AN724-TRUNC($AN724),2)=0.33),
ROUND(
ROUND(((TRUNC(($AN724+0.01)*3/13,0)+0.99)*VLOOKUP((TRUNC(($AN724+0.01)*3/13,0)+0.99),'Tax scales - NAT 3539'!$A$74:$C$94,2,1)-VLOOKUP((TRUNC(($AN724+0.01)*3/13,0)+0.99),'Tax scales - NAT 3539'!$A$74:$C$94,3,1)),0)
*13/3,
0),
IF($E$2="Monthly",
ROUND(
ROUND(((TRUNC($AN724*3/13,0)+0.99)*VLOOKUP((TRUNC($AN724*3/13,0)+0.99),'Tax scales - NAT 3539'!$A$74:$C$94,2,1)-VLOOKUP((TRUNC($AN724*3/13,0)+0.99),'Tax scales - NAT 3539'!$A$74:$C$94,3,1)),0)
*13/3,
0),
""))),
""),
"")</f>
        <v/>
      </c>
      <c r="AX724" s="118" t="str">
        <f>IFERROR(
IF(VLOOKUP($C724,'Employee information'!$B:$M,COLUMNS('Employee information'!$B:$M),0)=55,
IF($E$2="Fortnightly",
ROUND(
ROUND((((TRUNC($AN724/2,0)+0.99))*VLOOKUP((TRUNC($AN724/2,0)+0.99),'Tax scales - NAT 3539'!$A$99:$C$123,2,1)-VLOOKUP((TRUNC($AN724/2,0)+0.99),'Tax scales - NAT 3539'!$A$99:$C$123,3,1)),0)
*2,
0),
IF(AND($E$2="Monthly",ROUND($AN724-TRUNC($AN724),2)=0.33),
ROUND(
ROUND(((TRUNC(($AN724+0.01)*3/13,0)+0.99)*VLOOKUP((TRUNC(($AN724+0.01)*3/13,0)+0.99),'Tax scales - NAT 3539'!$A$99:$C$123,2,1)-VLOOKUP((TRUNC(($AN724+0.01)*3/13,0)+0.99),'Tax scales - NAT 3539'!$A$99:$C$123,3,1)),0)
*13/3,
0),
IF($E$2="Monthly",
ROUND(
ROUND(((TRUNC($AN724*3/13,0)+0.99)*VLOOKUP((TRUNC($AN724*3/13,0)+0.99),'Tax scales - NAT 3539'!$A$99:$C$123,2,1)-VLOOKUP((TRUNC($AN724*3/13,0)+0.99),'Tax scales - NAT 3539'!$A$99:$C$123,3,1)),0)
*13/3,
0),
""))),
""),
"")</f>
        <v/>
      </c>
      <c r="AY724" s="118" t="str">
        <f>IFERROR(
IF(VLOOKUP($C724,'Employee information'!$B:$M,COLUMNS('Employee information'!$B:$M),0)=66,
IF($E$2="Fortnightly",
ROUND(
ROUND((((TRUNC($AN724/2,0)+0.99))*VLOOKUP((TRUNC($AN724/2,0)+0.99),'Tax scales - NAT 3539'!$A$127:$C$154,2,1)-VLOOKUP((TRUNC($AN724/2,0)+0.99),'Tax scales - NAT 3539'!$A$127:$C$154,3,1)),0)
*2,
0),
IF(AND($E$2="Monthly",ROUND($AN724-TRUNC($AN724),2)=0.33),
ROUND(
ROUND(((TRUNC(($AN724+0.01)*3/13,0)+0.99)*VLOOKUP((TRUNC(($AN724+0.01)*3/13,0)+0.99),'Tax scales - NAT 3539'!$A$127:$C$154,2,1)-VLOOKUP((TRUNC(($AN724+0.01)*3/13,0)+0.99),'Tax scales - NAT 3539'!$A$127:$C$154,3,1)),0)
*13/3,
0),
IF($E$2="Monthly",
ROUND(
ROUND(((TRUNC($AN724*3/13,0)+0.99)*VLOOKUP((TRUNC($AN724*3/13,0)+0.99),'Tax scales - NAT 3539'!$A$127:$C$154,2,1)-VLOOKUP((TRUNC($AN724*3/13,0)+0.99),'Tax scales - NAT 3539'!$A$127:$C$154,3,1)),0)
*13/3,
0),
""))),
""),
"")</f>
        <v/>
      </c>
      <c r="AZ724" s="118">
        <f>IFERROR(
HLOOKUP(VLOOKUP($C724,'Employee information'!$B:$M,COLUMNS('Employee information'!$B:$M),0),'PAYG worksheet'!$AO$706:$AY$725,COUNTA($C$707:$C724)+1,0),
0)</f>
        <v>0</v>
      </c>
      <c r="BA724" s="118"/>
      <c r="BB724" s="118">
        <f t="shared" si="759"/>
        <v>0</v>
      </c>
      <c r="BC724" s="119">
        <f>IFERROR(
IF(OR($AE724=1,$AE724=""),SUM($P724,$AA724,$AC724,$AK724)*VLOOKUP($C724,'Employee information'!$B:$Q,COLUMNS('Employee information'!$B:$H),0),
IF($AE724=0,SUM($P724,$AA724,$AK724)*VLOOKUP($C724,'Employee information'!$B:$Q,COLUMNS('Employee information'!$B:$H),0),
0)),
0)</f>
        <v>0</v>
      </c>
      <c r="BE724" s="114">
        <f t="shared" si="744"/>
        <v>0</v>
      </c>
      <c r="BF724" s="114">
        <f t="shared" si="745"/>
        <v>0</v>
      </c>
      <c r="BG724" s="114">
        <f t="shared" si="746"/>
        <v>0</v>
      </c>
      <c r="BH724" s="114">
        <f t="shared" si="747"/>
        <v>0</v>
      </c>
      <c r="BI724" s="114">
        <f t="shared" si="748"/>
        <v>0</v>
      </c>
      <c r="BJ724" s="114">
        <f t="shared" si="749"/>
        <v>0</v>
      </c>
      <c r="BK724" s="114">
        <f t="shared" si="750"/>
        <v>0</v>
      </c>
      <c r="BL724" s="114">
        <f t="shared" si="760"/>
        <v>0</v>
      </c>
      <c r="BM724" s="114">
        <f t="shared" si="751"/>
        <v>0</v>
      </c>
    </row>
    <row r="725" spans="1:65" x14ac:dyDescent="0.25">
      <c r="A725" s="228">
        <f t="shared" si="739"/>
        <v>25</v>
      </c>
      <c r="C725" s="278"/>
      <c r="E725" s="103">
        <f>IF($C725="",0,
IF(AND($E$2="Monthly",$A725&gt;12),0,
IF($E$2="Monthly",VLOOKUP($C725,'Employee information'!$B:$AM,COLUMNS('Employee information'!$B:S),0),
IF($E$2="Fortnightly",VLOOKUP($C725,'Employee information'!$B:$AM,COLUMNS('Employee information'!$B:R),0),
0))))</f>
        <v>0</v>
      </c>
      <c r="F725" s="106"/>
      <c r="G725" s="106"/>
      <c r="H725" s="106"/>
      <c r="I725" s="106"/>
      <c r="J725" s="103">
        <f t="shared" si="752"/>
        <v>0</v>
      </c>
      <c r="L725" s="113">
        <f>IF(AND($E$2="Monthly",$A725&gt;12),"",
IFERROR($J725*VLOOKUP($C725,'Employee information'!$B:$AI,COLUMNS('Employee information'!$B:$P),0),0))</f>
        <v>0</v>
      </c>
      <c r="M725" s="114">
        <f t="shared" si="753"/>
        <v>0</v>
      </c>
      <c r="O725" s="103">
        <f t="shared" si="754"/>
        <v>0</v>
      </c>
      <c r="P725" s="113">
        <f>IFERROR(
IF(AND($E$2="Monthly",$A725&gt;12),0,
$O725*VLOOKUP($C725,'Employee information'!$B:$AI,COLUMNS('Employee information'!$B:$P),0)),
0)</f>
        <v>0</v>
      </c>
      <c r="R725" s="114">
        <f t="shared" si="740"/>
        <v>0</v>
      </c>
      <c r="T725" s="103"/>
      <c r="U725" s="103"/>
      <c r="V725" s="282" t="str">
        <f>IF($C725="","",
IF(AND($E$2="Monthly",$A725&gt;12),"",
$T725*VLOOKUP($C725,'Employee information'!$B:$P,COLUMNS('Employee information'!$B:$P),0)))</f>
        <v/>
      </c>
      <c r="W725" s="282" t="str">
        <f>IF($C725="","",
IF(AND($E$2="Monthly",$A725&gt;12),"",
$U725*VLOOKUP($C725,'Employee information'!$B:$P,COLUMNS('Employee information'!$B:$P),0)))</f>
        <v/>
      </c>
      <c r="X725" s="114">
        <f t="shared" si="741"/>
        <v>0</v>
      </c>
      <c r="Y725" s="114">
        <f t="shared" si="742"/>
        <v>0</v>
      </c>
      <c r="AA725" s="118">
        <f>IFERROR(
IF(OR('Basic payroll data'!$D$12="",'Basic payroll data'!$D$12="No"),0,
$T725*VLOOKUP($C725,'Employee information'!$B:$P,COLUMNS('Employee information'!$B:$P),0)*AL_loading_perc),
0)</f>
        <v>0</v>
      </c>
      <c r="AC725" s="118"/>
      <c r="AD725" s="118"/>
      <c r="AE725" s="283" t="str">
        <f t="shared" si="755"/>
        <v/>
      </c>
      <c r="AF725" s="283" t="str">
        <f t="shared" si="756"/>
        <v/>
      </c>
      <c r="AG725" s="118"/>
      <c r="AH725" s="118"/>
      <c r="AI725" s="283" t="str">
        <f t="shared" si="757"/>
        <v/>
      </c>
      <c r="AJ725" s="118"/>
      <c r="AK725" s="118"/>
      <c r="AM725" s="118">
        <f t="shared" si="758"/>
        <v>0</v>
      </c>
      <c r="AN725" s="118">
        <f t="shared" si="743"/>
        <v>0</v>
      </c>
      <c r="AO725" s="118" t="str">
        <f>IFERROR(
IF(VLOOKUP($C725,'Employee information'!$B:$M,COLUMNS('Employee information'!$B:$M),0)=1,
IF($E$2="Fortnightly",
ROUND(
ROUND((((TRUNC($AN725/2,0)+0.99))*VLOOKUP((TRUNC($AN725/2,0)+0.99),'Tax scales - NAT 1004'!$A$12:$C$18,2,1)-VLOOKUP((TRUNC($AN725/2,0)+0.99),'Tax scales - NAT 1004'!$A$12:$C$18,3,1)),0)
*2,
0),
IF(AND($E$2="Monthly",ROUND($AN725-TRUNC($AN725),2)=0.33),
ROUND(
ROUND(((TRUNC(($AN725+0.01)*3/13,0)+0.99)*VLOOKUP((TRUNC(($AN725+0.01)*3/13,0)+0.99),'Tax scales - NAT 1004'!$A$12:$C$18,2,1)-VLOOKUP((TRUNC(($AN725+0.01)*3/13,0)+0.99),'Tax scales - NAT 1004'!$A$12:$C$18,3,1)),0)
*13/3,
0),
IF($E$2="Monthly",
ROUND(
ROUND(((TRUNC($AN725*3/13,0)+0.99)*VLOOKUP((TRUNC($AN725*3/13,0)+0.99),'Tax scales - NAT 1004'!$A$12:$C$18,2,1)-VLOOKUP((TRUNC($AN725*3/13,0)+0.99),'Tax scales - NAT 1004'!$A$12:$C$18,3,1)),0)
*13/3,
0),
""))),
""),
"")</f>
        <v/>
      </c>
      <c r="AP725" s="118" t="str">
        <f>IFERROR(
IF(VLOOKUP($C725,'Employee information'!$B:$M,COLUMNS('Employee information'!$B:$M),0)=2,
IF($E$2="Fortnightly",
ROUND(
ROUND((((TRUNC($AN725/2,0)+0.99))*VLOOKUP((TRUNC($AN725/2,0)+0.99),'Tax scales - NAT 1004'!$A$25:$C$33,2,1)-VLOOKUP((TRUNC($AN725/2,0)+0.99),'Tax scales - NAT 1004'!$A$25:$C$33,3,1)),0)
*2,
0),
IF(AND($E$2="Monthly",ROUND($AN725-TRUNC($AN725),2)=0.33),
ROUND(
ROUND(((TRUNC(($AN725+0.01)*3/13,0)+0.99)*VLOOKUP((TRUNC(($AN725+0.01)*3/13,0)+0.99),'Tax scales - NAT 1004'!$A$25:$C$33,2,1)-VLOOKUP((TRUNC(($AN725+0.01)*3/13,0)+0.99),'Tax scales - NAT 1004'!$A$25:$C$33,3,1)),0)
*13/3,
0),
IF($E$2="Monthly",
ROUND(
ROUND(((TRUNC($AN725*3/13,0)+0.99)*VLOOKUP((TRUNC($AN725*3/13,0)+0.99),'Tax scales - NAT 1004'!$A$25:$C$33,2,1)-VLOOKUP((TRUNC($AN725*3/13,0)+0.99),'Tax scales - NAT 1004'!$A$25:$C$33,3,1)),0)
*13/3,
0),
""))),
""),
"")</f>
        <v/>
      </c>
      <c r="AQ725" s="118" t="str">
        <f>IFERROR(
IF(VLOOKUP($C725,'Employee information'!$B:$M,COLUMNS('Employee information'!$B:$M),0)=3,
IF($E$2="Fortnightly",
ROUND(
ROUND((((TRUNC($AN725/2,0)+0.99))*VLOOKUP((TRUNC($AN725/2,0)+0.99),'Tax scales - NAT 1004'!$A$39:$C$41,2,1)-VLOOKUP((TRUNC($AN725/2,0)+0.99),'Tax scales - NAT 1004'!$A$39:$C$41,3,1)),0)
*2,
0),
IF(AND($E$2="Monthly",ROUND($AN725-TRUNC($AN725),2)=0.33),
ROUND(
ROUND(((TRUNC(($AN725+0.01)*3/13,0)+0.99)*VLOOKUP((TRUNC(($AN725+0.01)*3/13,0)+0.99),'Tax scales - NAT 1004'!$A$39:$C$41,2,1)-VLOOKUP((TRUNC(($AN725+0.01)*3/13,0)+0.99),'Tax scales - NAT 1004'!$A$39:$C$41,3,1)),0)
*13/3,
0),
IF($E$2="Monthly",
ROUND(
ROUND(((TRUNC($AN725*3/13,0)+0.99)*VLOOKUP((TRUNC($AN725*3/13,0)+0.99),'Tax scales - NAT 1004'!$A$39:$C$41,2,1)-VLOOKUP((TRUNC($AN725*3/13,0)+0.99),'Tax scales - NAT 1004'!$A$39:$C$41,3,1)),0)
*13/3,
0),
""))),
""),
"")</f>
        <v/>
      </c>
      <c r="AR725" s="118" t="str">
        <f>IFERROR(
IF(AND(VLOOKUP($C725,'Employee information'!$B:$M,COLUMNS('Employee information'!$B:$M),0)=4,
VLOOKUP($C725,'Employee information'!$B:$J,COLUMNS('Employee information'!$B:$J),0)="Resident"),
TRUNC(TRUNC($AN725)*'Tax scales - NAT 1004'!$B$47),
IF(AND(VLOOKUP($C725,'Employee information'!$B:$M,COLUMNS('Employee information'!$B:$M),0)=4,
VLOOKUP($C725,'Employee information'!$B:$J,COLUMNS('Employee information'!$B:$J),0)="Foreign resident"),
TRUNC(TRUNC($AN725)*'Tax scales - NAT 1004'!$B$48),
"")),
"")</f>
        <v/>
      </c>
      <c r="AS725" s="118" t="str">
        <f>IFERROR(
IF(VLOOKUP($C725,'Employee information'!$B:$M,COLUMNS('Employee information'!$B:$M),0)=5,
IF($E$2="Fortnightly",
ROUND(
ROUND((((TRUNC($AN725/2,0)+0.99))*VLOOKUP((TRUNC($AN725/2,0)+0.99),'Tax scales - NAT 1004'!$A$53:$C$59,2,1)-VLOOKUP((TRUNC($AN725/2,0)+0.99),'Tax scales - NAT 1004'!$A$53:$C$59,3,1)),0)
*2,
0),
IF(AND($E$2="Monthly",ROUND($AN725-TRUNC($AN725),2)=0.33),
ROUND(
ROUND(((TRUNC(($AN725+0.01)*3/13,0)+0.99)*VLOOKUP((TRUNC(($AN725+0.01)*3/13,0)+0.99),'Tax scales - NAT 1004'!$A$53:$C$59,2,1)-VLOOKUP((TRUNC(($AN725+0.01)*3/13,0)+0.99),'Tax scales - NAT 1004'!$A$53:$C$59,3,1)),0)
*13/3,
0),
IF($E$2="Monthly",
ROUND(
ROUND(((TRUNC($AN725*3/13,0)+0.99)*VLOOKUP((TRUNC($AN725*3/13,0)+0.99),'Tax scales - NAT 1004'!$A$53:$C$59,2,1)-VLOOKUP((TRUNC($AN725*3/13,0)+0.99),'Tax scales - NAT 1004'!$A$53:$C$59,3,1)),0)
*13/3,
0),
""))),
""),
"")</f>
        <v/>
      </c>
      <c r="AT725" s="118" t="str">
        <f>IFERROR(
IF(VLOOKUP($C725,'Employee information'!$B:$M,COLUMNS('Employee information'!$B:$M),0)=6,
IF($E$2="Fortnightly",
ROUND(
ROUND((((TRUNC($AN725/2,0)+0.99))*VLOOKUP((TRUNC($AN725/2,0)+0.99),'Tax scales - NAT 1004'!$A$65:$C$73,2,1)-VLOOKUP((TRUNC($AN725/2,0)+0.99),'Tax scales - NAT 1004'!$A$65:$C$73,3,1)),0)
*2,
0),
IF(AND($E$2="Monthly",ROUND($AN725-TRUNC($AN725),2)=0.33),
ROUND(
ROUND(((TRUNC(($AN725+0.01)*3/13,0)+0.99)*VLOOKUP((TRUNC(($AN725+0.01)*3/13,0)+0.99),'Tax scales - NAT 1004'!$A$65:$C$73,2,1)-VLOOKUP((TRUNC(($AN725+0.01)*3/13,0)+0.99),'Tax scales - NAT 1004'!$A$65:$C$73,3,1)),0)
*13/3,
0),
IF($E$2="Monthly",
ROUND(
ROUND(((TRUNC($AN725*3/13,0)+0.99)*VLOOKUP((TRUNC($AN725*3/13,0)+0.99),'Tax scales - NAT 1004'!$A$65:$C$73,2,1)-VLOOKUP((TRUNC($AN725*3/13,0)+0.99),'Tax scales - NAT 1004'!$A$65:$C$73,3,1)),0)
*13/3,
0),
""))),
""),
"")</f>
        <v/>
      </c>
      <c r="AU725" s="118" t="str">
        <f>IFERROR(
IF(VLOOKUP($C725,'Employee information'!$B:$M,COLUMNS('Employee information'!$B:$M),0)=11,
IF($E$2="Fortnightly",
ROUND(
ROUND((((TRUNC($AN725/2,0)+0.99))*VLOOKUP((TRUNC($AN725/2,0)+0.99),'Tax scales - NAT 3539'!$A$14:$C$38,2,1)-VLOOKUP((TRUNC($AN725/2,0)+0.99),'Tax scales - NAT 3539'!$A$14:$C$38,3,1)),0)
*2,
0),
IF(AND($E$2="Monthly",ROUND($AN725-TRUNC($AN725),2)=0.33),
ROUND(
ROUND(((TRUNC(($AN725+0.01)*3/13,0)+0.99)*VLOOKUP((TRUNC(($AN725+0.01)*3/13,0)+0.99),'Tax scales - NAT 3539'!$A$14:$C$38,2,1)-VLOOKUP((TRUNC(($AN725+0.01)*3/13,0)+0.99),'Tax scales - NAT 3539'!$A$14:$C$38,3,1)),0)
*13/3,
0),
IF($E$2="Monthly",
ROUND(
ROUND(((TRUNC($AN725*3/13,0)+0.99)*VLOOKUP((TRUNC($AN725*3/13,0)+0.99),'Tax scales - NAT 3539'!$A$14:$C$38,2,1)-VLOOKUP((TRUNC($AN725*3/13,0)+0.99),'Tax scales - NAT 3539'!$A$14:$C$38,3,1)),0)
*13/3,
0),
""))),
""),
"")</f>
        <v/>
      </c>
      <c r="AV725" s="118" t="str">
        <f>IFERROR(
IF(VLOOKUP($C725,'Employee information'!$B:$M,COLUMNS('Employee information'!$B:$M),0)=22,
IF($E$2="Fortnightly",
ROUND(
ROUND((((TRUNC($AN725/2,0)+0.99))*VLOOKUP((TRUNC($AN725/2,0)+0.99),'Tax scales - NAT 3539'!$A$43:$C$69,2,1)-VLOOKUP((TRUNC($AN725/2,0)+0.99),'Tax scales - NAT 3539'!$A$43:$C$69,3,1)),0)
*2,
0),
IF(AND($E$2="Monthly",ROUND($AN725-TRUNC($AN725),2)=0.33),
ROUND(
ROUND(((TRUNC(($AN725+0.01)*3/13,0)+0.99)*VLOOKUP((TRUNC(($AN725+0.01)*3/13,0)+0.99),'Tax scales - NAT 3539'!$A$43:$C$69,2,1)-VLOOKUP((TRUNC(($AN725+0.01)*3/13,0)+0.99),'Tax scales - NAT 3539'!$A$43:$C$69,3,1)),0)
*13/3,
0),
IF($E$2="Monthly",
ROUND(
ROUND(((TRUNC($AN725*3/13,0)+0.99)*VLOOKUP((TRUNC($AN725*3/13,0)+0.99),'Tax scales - NAT 3539'!$A$43:$C$69,2,1)-VLOOKUP((TRUNC($AN725*3/13,0)+0.99),'Tax scales - NAT 3539'!$A$43:$C$69,3,1)),0)
*13/3,
0),
""))),
""),
"")</f>
        <v/>
      </c>
      <c r="AW725" s="118" t="str">
        <f>IFERROR(
IF(VLOOKUP($C725,'Employee information'!$B:$M,COLUMNS('Employee information'!$B:$M),0)=33,
IF($E$2="Fortnightly",
ROUND(
ROUND((((TRUNC($AN725/2,0)+0.99))*VLOOKUP((TRUNC($AN725/2,0)+0.99),'Tax scales - NAT 3539'!$A$74:$C$94,2,1)-VLOOKUP((TRUNC($AN725/2,0)+0.99),'Tax scales - NAT 3539'!$A$74:$C$94,3,1)),0)
*2,
0),
IF(AND($E$2="Monthly",ROUND($AN725-TRUNC($AN725),2)=0.33),
ROUND(
ROUND(((TRUNC(($AN725+0.01)*3/13,0)+0.99)*VLOOKUP((TRUNC(($AN725+0.01)*3/13,0)+0.99),'Tax scales - NAT 3539'!$A$74:$C$94,2,1)-VLOOKUP((TRUNC(($AN725+0.01)*3/13,0)+0.99),'Tax scales - NAT 3539'!$A$74:$C$94,3,1)),0)
*13/3,
0),
IF($E$2="Monthly",
ROUND(
ROUND(((TRUNC($AN725*3/13,0)+0.99)*VLOOKUP((TRUNC($AN725*3/13,0)+0.99),'Tax scales - NAT 3539'!$A$74:$C$94,2,1)-VLOOKUP((TRUNC($AN725*3/13,0)+0.99),'Tax scales - NAT 3539'!$A$74:$C$94,3,1)),0)
*13/3,
0),
""))),
""),
"")</f>
        <v/>
      </c>
      <c r="AX725" s="118" t="str">
        <f>IFERROR(
IF(VLOOKUP($C725,'Employee information'!$B:$M,COLUMNS('Employee information'!$B:$M),0)=55,
IF($E$2="Fortnightly",
ROUND(
ROUND((((TRUNC($AN725/2,0)+0.99))*VLOOKUP((TRUNC($AN725/2,0)+0.99),'Tax scales - NAT 3539'!$A$99:$C$123,2,1)-VLOOKUP((TRUNC($AN725/2,0)+0.99),'Tax scales - NAT 3539'!$A$99:$C$123,3,1)),0)
*2,
0),
IF(AND($E$2="Monthly",ROUND($AN725-TRUNC($AN725),2)=0.33),
ROUND(
ROUND(((TRUNC(($AN725+0.01)*3/13,0)+0.99)*VLOOKUP((TRUNC(($AN725+0.01)*3/13,0)+0.99),'Tax scales - NAT 3539'!$A$99:$C$123,2,1)-VLOOKUP((TRUNC(($AN725+0.01)*3/13,0)+0.99),'Tax scales - NAT 3539'!$A$99:$C$123,3,1)),0)
*13/3,
0),
IF($E$2="Monthly",
ROUND(
ROUND(((TRUNC($AN725*3/13,0)+0.99)*VLOOKUP((TRUNC($AN725*3/13,0)+0.99),'Tax scales - NAT 3539'!$A$99:$C$123,2,1)-VLOOKUP((TRUNC($AN725*3/13,0)+0.99),'Tax scales - NAT 3539'!$A$99:$C$123,3,1)),0)
*13/3,
0),
""))),
""),
"")</f>
        <v/>
      </c>
      <c r="AY725" s="118" t="str">
        <f>IFERROR(
IF(VLOOKUP($C725,'Employee information'!$B:$M,COLUMNS('Employee information'!$B:$M),0)=66,
IF($E$2="Fortnightly",
ROUND(
ROUND((((TRUNC($AN725/2,0)+0.99))*VLOOKUP((TRUNC($AN725/2,0)+0.99),'Tax scales - NAT 3539'!$A$127:$C$154,2,1)-VLOOKUP((TRUNC($AN725/2,0)+0.99),'Tax scales - NAT 3539'!$A$127:$C$154,3,1)),0)
*2,
0),
IF(AND($E$2="Monthly",ROUND($AN725-TRUNC($AN725),2)=0.33),
ROUND(
ROUND(((TRUNC(($AN725+0.01)*3/13,0)+0.99)*VLOOKUP((TRUNC(($AN725+0.01)*3/13,0)+0.99),'Tax scales - NAT 3539'!$A$127:$C$154,2,1)-VLOOKUP((TRUNC(($AN725+0.01)*3/13,0)+0.99),'Tax scales - NAT 3539'!$A$127:$C$154,3,1)),0)
*13/3,
0),
IF($E$2="Monthly",
ROUND(
ROUND(((TRUNC($AN725*3/13,0)+0.99)*VLOOKUP((TRUNC($AN725*3/13,0)+0.99),'Tax scales - NAT 3539'!$A$127:$C$154,2,1)-VLOOKUP((TRUNC($AN725*3/13,0)+0.99),'Tax scales - NAT 3539'!$A$127:$C$154,3,1)),0)
*13/3,
0),
""))),
""),
"")</f>
        <v/>
      </c>
      <c r="AZ725" s="118">
        <f>IFERROR(
HLOOKUP(VLOOKUP($C725,'Employee information'!$B:$M,COLUMNS('Employee information'!$B:$M),0),'PAYG worksheet'!$AO$706:$AY$725,COUNTA($C$707:$C725)+1,0),
0)</f>
        <v>0</v>
      </c>
      <c r="BA725" s="118"/>
      <c r="BB725" s="118">
        <f t="shared" si="759"/>
        <v>0</v>
      </c>
      <c r="BC725" s="119">
        <f>IFERROR(
IF(OR($AE725=1,$AE725=""),SUM($P725,$AA725,$AC725,$AK725)*VLOOKUP($C725,'Employee information'!$B:$Q,COLUMNS('Employee information'!$B:$H),0),
IF($AE725=0,SUM($P725,$AA725,$AK725)*VLOOKUP($C725,'Employee information'!$B:$Q,COLUMNS('Employee information'!$B:$H),0),
0)),
0)</f>
        <v>0</v>
      </c>
      <c r="BE725" s="114">
        <f t="shared" si="744"/>
        <v>0</v>
      </c>
      <c r="BF725" s="114">
        <f t="shared" si="745"/>
        <v>0</v>
      </c>
      <c r="BG725" s="114">
        <f t="shared" si="746"/>
        <v>0</v>
      </c>
      <c r="BH725" s="114">
        <f t="shared" si="747"/>
        <v>0</v>
      </c>
      <c r="BI725" s="114">
        <f t="shared" si="748"/>
        <v>0</v>
      </c>
      <c r="BJ725" s="114">
        <f t="shared" si="749"/>
        <v>0</v>
      </c>
      <c r="BK725" s="114">
        <f t="shared" si="750"/>
        <v>0</v>
      </c>
      <c r="BL725" s="114">
        <f t="shared" si="760"/>
        <v>0</v>
      </c>
      <c r="BM725" s="114">
        <f t="shared" si="751"/>
        <v>0</v>
      </c>
    </row>
    <row r="726" spans="1:65" x14ac:dyDescent="0.25">
      <c r="C726" s="284" t="s">
        <v>39</v>
      </c>
      <c r="D726" s="223"/>
      <c r="E726" s="111">
        <f>SUM(E707:E725)</f>
        <v>345</v>
      </c>
      <c r="F726" s="112">
        <f t="shared" ref="F726:H726" si="761">SUM(F707:F725)</f>
        <v>0</v>
      </c>
      <c r="G726" s="112">
        <f t="shared" si="761"/>
        <v>0</v>
      </c>
      <c r="H726" s="112">
        <f t="shared" si="761"/>
        <v>0</v>
      </c>
      <c r="I726" s="112"/>
      <c r="J726" s="111">
        <f t="shared" ref="J726" si="762">SUM(J707:J725)</f>
        <v>345</v>
      </c>
      <c r="K726" s="223"/>
      <c r="L726" s="115">
        <f>SUM(L707:L725)</f>
        <v>19122.576396206536</v>
      </c>
      <c r="M726" s="115">
        <f>SUM(M707:M725)</f>
        <v>480579.7945205479</v>
      </c>
      <c r="N726" s="223"/>
      <c r="O726" s="116">
        <f>SUM(O707:O725)</f>
        <v>345</v>
      </c>
      <c r="P726" s="117">
        <f>SUM(P707:P725)</f>
        <v>19122.576396206536</v>
      </c>
      <c r="R726" s="117">
        <f>SUM(R707:R725)</f>
        <v>480579.7945205479</v>
      </c>
      <c r="S726" s="223"/>
      <c r="T726" s="116">
        <f>SUM(T707:T725)</f>
        <v>0</v>
      </c>
      <c r="U726" s="116">
        <f t="shared" ref="U726:Y726" si="763">SUM(U707:U725)</f>
        <v>0</v>
      </c>
      <c r="V726" s="285">
        <f t="shared" si="763"/>
        <v>0</v>
      </c>
      <c r="W726" s="285">
        <f t="shared" si="763"/>
        <v>0</v>
      </c>
      <c r="X726" s="285">
        <f t="shared" si="763"/>
        <v>1538.4615384615386</v>
      </c>
      <c r="Y726" s="285">
        <f t="shared" si="763"/>
        <v>801.28205128205127</v>
      </c>
      <c r="Z726" s="223"/>
      <c r="AA726" s="117">
        <f t="shared" ref="AA726" si="764">SUM(AA707:AA725)</f>
        <v>0</v>
      </c>
      <c r="AC726" s="117">
        <f t="shared" ref="AC726" si="765">SUM(AC707:AC725)</f>
        <v>0</v>
      </c>
      <c r="AD726" s="117"/>
      <c r="AE726" s="117"/>
      <c r="AF726" s="117"/>
      <c r="AG726" s="117">
        <f t="shared" ref="AG726" si="766">SUM(AG707:AG725)</f>
        <v>0</v>
      </c>
      <c r="AH726" s="117"/>
      <c r="AI726" s="117"/>
      <c r="AJ726" s="117">
        <f>SUM(AJ707:AJ725)</f>
        <v>0</v>
      </c>
      <c r="AK726" s="117">
        <f>SUM(AK707:AK725)</f>
        <v>0</v>
      </c>
      <c r="AM726" s="117">
        <f t="shared" ref="AM726:AN726" si="767">SUM(AM707:AM725)</f>
        <v>19122.576396206536</v>
      </c>
      <c r="AN726" s="117">
        <f t="shared" si="767"/>
        <v>19122.576396206536</v>
      </c>
      <c r="AO726" s="117"/>
      <c r="AP726" s="117"/>
      <c r="AQ726" s="117"/>
      <c r="AR726" s="117"/>
      <c r="AS726" s="117"/>
      <c r="AT726" s="117"/>
      <c r="AU726" s="117"/>
      <c r="AV726" s="117"/>
      <c r="AW726" s="117"/>
      <c r="AX726" s="117"/>
      <c r="AY726" s="117"/>
      <c r="AZ726" s="117">
        <f>SUM(AZ707:AZ725)</f>
        <v>7481</v>
      </c>
      <c r="BA726" s="117">
        <f>SUM(BA707:BA725)</f>
        <v>0</v>
      </c>
      <c r="BB726" s="117">
        <f>SUM(BB707:BB725)</f>
        <v>11641.576396206534</v>
      </c>
      <c r="BC726" s="117">
        <f t="shared" ref="BC726" si="768">SUM(BC707:BC725)</f>
        <v>1816.6447576396208</v>
      </c>
      <c r="BD726" s="136"/>
      <c r="BE726" s="117">
        <f t="shared" ref="BE726:BM726" si="769">SUM(BE707:BE725)</f>
        <v>480819.7945205479</v>
      </c>
      <c r="BF726" s="117">
        <f t="shared" si="769"/>
        <v>480679.7945205479</v>
      </c>
      <c r="BG726" s="117">
        <f t="shared" si="769"/>
        <v>0</v>
      </c>
      <c r="BH726" s="117">
        <f t="shared" si="769"/>
        <v>140</v>
      </c>
      <c r="BI726" s="117">
        <f t="shared" si="769"/>
        <v>187839</v>
      </c>
      <c r="BJ726" s="117">
        <f t="shared" si="769"/>
        <v>0</v>
      </c>
      <c r="BK726" s="117">
        <f t="shared" si="769"/>
        <v>0</v>
      </c>
      <c r="BL726" s="117">
        <f t="shared" si="769"/>
        <v>100</v>
      </c>
      <c r="BM726" s="117">
        <f t="shared" si="769"/>
        <v>45664.580479452052</v>
      </c>
    </row>
    <row r="728" spans="1:65" x14ac:dyDescent="0.25">
      <c r="B728" s="228">
        <v>26</v>
      </c>
      <c r="C728" s="230" t="s">
        <v>2</v>
      </c>
      <c r="E728" s="232">
        <v>44116</v>
      </c>
      <c r="F728" s="148" t="s">
        <v>91</v>
      </c>
      <c r="L728" s="286"/>
      <c r="T728" s="127"/>
      <c r="U728" s="127"/>
      <c r="V728" s="127"/>
      <c r="W728" s="127"/>
      <c r="X728" s="127"/>
      <c r="Y728" s="127"/>
    </row>
    <row r="729" spans="1:65" x14ac:dyDescent="0.25">
      <c r="C729" s="230" t="s">
        <v>3</v>
      </c>
      <c r="E729" s="232">
        <v>44127</v>
      </c>
      <c r="F729" s="148" t="s">
        <v>90</v>
      </c>
      <c r="G729" s="229"/>
      <c r="H729" s="229"/>
      <c r="I729" s="229"/>
      <c r="J729" s="229"/>
      <c r="L729" s="164"/>
      <c r="T729" s="127"/>
      <c r="U729" s="127"/>
      <c r="V729" s="127"/>
      <c r="W729" s="127"/>
      <c r="X729" s="127"/>
      <c r="Y729" s="127"/>
    </row>
    <row r="730" spans="1:65" x14ac:dyDescent="0.25">
      <c r="C730" s="233"/>
    </row>
    <row r="731" spans="1:65" ht="34.5" customHeight="1" x14ac:dyDescent="0.25">
      <c r="C731" s="234"/>
      <c r="D731" s="235"/>
      <c r="E731" s="441" t="s">
        <v>4</v>
      </c>
      <c r="F731" s="442"/>
      <c r="G731" s="442"/>
      <c r="H731" s="442"/>
      <c r="I731" s="442"/>
      <c r="J731" s="443"/>
      <c r="L731" s="444" t="s">
        <v>253</v>
      </c>
      <c r="M731" s="445"/>
      <c r="N731" s="235"/>
      <c r="O731" s="444" t="s">
        <v>148</v>
      </c>
      <c r="P731" s="445"/>
      <c r="R731" s="235"/>
      <c r="T731" s="446" t="s">
        <v>269</v>
      </c>
      <c r="U731" s="447"/>
      <c r="V731" s="447"/>
      <c r="W731" s="447"/>
      <c r="X731" s="447"/>
      <c r="Y731" s="447"/>
      <c r="Z731" s="447"/>
      <c r="AA731" s="447"/>
      <c r="AC731" s="438" t="s">
        <v>274</v>
      </c>
      <c r="AD731" s="438"/>
      <c r="AE731" s="438"/>
      <c r="AF731" s="438"/>
      <c r="AG731" s="438"/>
      <c r="AH731" s="438"/>
      <c r="AI731" s="438"/>
      <c r="AJ731" s="438"/>
      <c r="AK731" s="438"/>
      <c r="AM731" s="439" t="s">
        <v>270</v>
      </c>
      <c r="AN731" s="439"/>
      <c r="AO731" s="439"/>
      <c r="AP731" s="439"/>
      <c r="AQ731" s="439"/>
      <c r="AR731" s="439"/>
      <c r="AS731" s="439"/>
      <c r="AT731" s="439"/>
      <c r="AU731" s="439"/>
      <c r="AV731" s="439"/>
      <c r="AW731" s="439"/>
      <c r="AX731" s="439"/>
      <c r="AY731" s="439"/>
      <c r="AZ731" s="439"/>
      <c r="BA731" s="439"/>
      <c r="BB731" s="439"/>
      <c r="BC731" s="440"/>
      <c r="BE731" s="439" t="s">
        <v>246</v>
      </c>
      <c r="BF731" s="439"/>
      <c r="BG731" s="439"/>
      <c r="BH731" s="439"/>
      <c r="BI731" s="439"/>
      <c r="BJ731" s="439"/>
      <c r="BK731" s="439"/>
      <c r="BL731" s="439"/>
      <c r="BM731" s="439"/>
    </row>
    <row r="732" spans="1:65" x14ac:dyDescent="0.25">
      <c r="C732" s="236"/>
      <c r="E732" s="229"/>
      <c r="F732" s="229"/>
      <c r="G732" s="229"/>
      <c r="H732" s="229"/>
      <c r="I732" s="229"/>
      <c r="J732" s="229"/>
      <c r="L732" s="164"/>
      <c r="O732" s="229"/>
      <c r="P732" s="164"/>
      <c r="T732" s="127"/>
      <c r="U732" s="127"/>
      <c r="V732" s="127"/>
      <c r="W732" s="127"/>
      <c r="X732" s="127"/>
      <c r="Y732" s="127"/>
      <c r="AA732" s="229"/>
      <c r="AC732" s="229"/>
      <c r="AD732" s="229"/>
      <c r="AE732" s="229"/>
      <c r="AF732" s="229"/>
      <c r="AG732" s="229"/>
      <c r="AH732" s="229"/>
      <c r="AI732" s="229"/>
      <c r="AJ732" s="229"/>
      <c r="AK732" s="127"/>
      <c r="AM732" s="229"/>
      <c r="AN732" s="229"/>
      <c r="AO732" s="229"/>
      <c r="AP732" s="229"/>
      <c r="AQ732" s="229"/>
      <c r="AR732" s="229"/>
      <c r="AS732" s="229"/>
      <c r="AT732" s="229"/>
      <c r="AU732" s="229"/>
      <c r="AV732" s="229"/>
      <c r="AW732" s="229"/>
      <c r="AX732" s="229"/>
      <c r="AY732" s="229"/>
      <c r="AZ732" s="229"/>
      <c r="BA732" s="229"/>
      <c r="BB732" s="229"/>
      <c r="BC732" s="229"/>
    </row>
    <row r="733" spans="1:65" ht="60" x14ac:dyDescent="0.25">
      <c r="C733" s="238" t="s">
        <v>5</v>
      </c>
      <c r="D733" s="239"/>
      <c r="E733" s="240" t="s">
        <v>268</v>
      </c>
      <c r="F733" s="241" t="s">
        <v>271</v>
      </c>
      <c r="G733" s="242" t="s">
        <v>267</v>
      </c>
      <c r="H733" s="243" t="s">
        <v>266</v>
      </c>
      <c r="I733" s="242" t="s">
        <v>265</v>
      </c>
      <c r="J733" s="244" t="s">
        <v>6</v>
      </c>
      <c r="L733" s="245" t="s">
        <v>7</v>
      </c>
      <c r="M733" s="246" t="s">
        <v>254</v>
      </c>
      <c r="N733" s="247"/>
      <c r="O733" s="248" t="s">
        <v>272</v>
      </c>
      <c r="P733" s="249" t="s">
        <v>200</v>
      </c>
      <c r="R733" s="250" t="s">
        <v>151</v>
      </c>
      <c r="T733" s="251" t="s">
        <v>8</v>
      </c>
      <c r="U733" s="252" t="s">
        <v>9</v>
      </c>
      <c r="V733" s="252" t="s">
        <v>120</v>
      </c>
      <c r="W733" s="252" t="s">
        <v>121</v>
      </c>
      <c r="X733" s="253" t="s">
        <v>118</v>
      </c>
      <c r="Y733" s="254" t="s">
        <v>119</v>
      </c>
      <c r="AA733" s="255" t="s">
        <v>84</v>
      </c>
      <c r="AC733" s="256" t="s">
        <v>142</v>
      </c>
      <c r="AD733" s="256" t="s">
        <v>138</v>
      </c>
      <c r="AE733" s="257" t="s">
        <v>147</v>
      </c>
      <c r="AF733" s="257" t="s">
        <v>149</v>
      </c>
      <c r="AG733" s="256" t="s">
        <v>305</v>
      </c>
      <c r="AH733" s="256" t="s">
        <v>306</v>
      </c>
      <c r="AI733" s="257" t="s">
        <v>150</v>
      </c>
      <c r="AJ733" s="258" t="s">
        <v>250</v>
      </c>
      <c r="AK733" s="259" t="s">
        <v>373</v>
      </c>
      <c r="AM733" s="260" t="s">
        <v>256</v>
      </c>
      <c r="AN733" s="261" t="s">
        <v>372</v>
      </c>
      <c r="AO733" s="253" t="s">
        <v>170</v>
      </c>
      <c r="AP733" s="253" t="s">
        <v>171</v>
      </c>
      <c r="AQ733" s="253" t="s">
        <v>172</v>
      </c>
      <c r="AR733" s="253" t="s">
        <v>173</v>
      </c>
      <c r="AS733" s="253" t="s">
        <v>174</v>
      </c>
      <c r="AT733" s="253" t="s">
        <v>175</v>
      </c>
      <c r="AU733" s="262" t="s">
        <v>210</v>
      </c>
      <c r="AV733" s="262" t="s">
        <v>211</v>
      </c>
      <c r="AW733" s="262" t="s">
        <v>212</v>
      </c>
      <c r="AX733" s="262" t="s">
        <v>213</v>
      </c>
      <c r="AY733" s="263" t="s">
        <v>214</v>
      </c>
      <c r="AZ733" s="264" t="s">
        <v>111</v>
      </c>
      <c r="BA733" s="265" t="s">
        <v>199</v>
      </c>
      <c r="BB733" s="252" t="s">
        <v>223</v>
      </c>
      <c r="BC733" s="260" t="s">
        <v>112</v>
      </c>
      <c r="BE733" s="260" t="s">
        <v>257</v>
      </c>
      <c r="BF733" s="266" t="s">
        <v>255</v>
      </c>
      <c r="BG733" s="262" t="s">
        <v>247</v>
      </c>
      <c r="BH733" s="262" t="s">
        <v>248</v>
      </c>
      <c r="BI733" s="260" t="s">
        <v>249</v>
      </c>
      <c r="BJ733" s="253" t="s">
        <v>199</v>
      </c>
      <c r="BK733" s="262" t="s">
        <v>251</v>
      </c>
      <c r="BL733" s="259" t="s">
        <v>373</v>
      </c>
      <c r="BM733" s="260" t="s">
        <v>252</v>
      </c>
    </row>
    <row r="734" spans="1:65" x14ac:dyDescent="0.25">
      <c r="T734" s="120"/>
      <c r="U734" s="120"/>
      <c r="V734" s="120"/>
      <c r="W734" s="120"/>
      <c r="X734" s="120"/>
      <c r="Y734" s="120"/>
      <c r="AM734" s="267" t="s">
        <v>322</v>
      </c>
      <c r="AN734" s="237"/>
      <c r="AO734" s="237"/>
      <c r="AP734" s="237"/>
      <c r="AQ734" s="237"/>
      <c r="AR734" s="237"/>
      <c r="AS734" s="237"/>
      <c r="AT734" s="237"/>
      <c r="AU734" s="237"/>
      <c r="AV734" s="237"/>
      <c r="AW734" s="237"/>
      <c r="AX734" s="237"/>
      <c r="AY734" s="237"/>
      <c r="AZ734" s="436" t="s">
        <v>320</v>
      </c>
      <c r="BA734" s="437"/>
      <c r="BB734" s="237"/>
      <c r="BC734" s="267" t="s">
        <v>321</v>
      </c>
    </row>
    <row r="735" spans="1:65" x14ac:dyDescent="0.25">
      <c r="A735" s="228">
        <f t="shared" ref="A735:A754" si="770">IF($E$729="","",$B$728)</f>
        <v>26</v>
      </c>
      <c r="C735" s="268"/>
      <c r="D735" s="239"/>
      <c r="E735" s="269"/>
      <c r="F735" s="270"/>
      <c r="G735" s="271"/>
      <c r="H735" s="272"/>
      <c r="I735" s="271"/>
      <c r="J735" s="273"/>
      <c r="O735" s="274"/>
      <c r="P735" s="247"/>
      <c r="T735" s="271"/>
      <c r="U735" s="271"/>
      <c r="V735" s="275"/>
      <c r="W735" s="269"/>
      <c r="X735" s="269"/>
      <c r="Y735" s="269"/>
      <c r="AA735" s="271"/>
      <c r="AC735" s="271"/>
      <c r="AD735" s="271"/>
      <c r="AE735" s="271"/>
      <c r="AF735" s="271"/>
      <c r="AG735" s="271"/>
      <c r="AH735" s="271"/>
      <c r="AI735" s="271"/>
      <c r="AJ735" s="271"/>
      <c r="AK735" s="275"/>
      <c r="AM735" s="271"/>
      <c r="AN735" s="271"/>
      <c r="AO735" s="276">
        <v>1</v>
      </c>
      <c r="AP735" s="276">
        <v>2</v>
      </c>
      <c r="AQ735" s="276">
        <v>3</v>
      </c>
      <c r="AR735" s="277">
        <v>4</v>
      </c>
      <c r="AS735" s="276">
        <v>5</v>
      </c>
      <c r="AT735" s="276">
        <v>6</v>
      </c>
      <c r="AU735" s="276">
        <v>11</v>
      </c>
      <c r="AV735" s="276">
        <v>22</v>
      </c>
      <c r="AW735" s="276">
        <v>33</v>
      </c>
      <c r="AX735" s="276">
        <v>55</v>
      </c>
      <c r="AY735" s="276">
        <v>66</v>
      </c>
      <c r="AZ735" s="271"/>
      <c r="BA735" s="271"/>
      <c r="BB735" s="271"/>
      <c r="BC735" s="273"/>
    </row>
    <row r="736" spans="1:65" x14ac:dyDescent="0.25">
      <c r="A736" s="228">
        <f t="shared" si="770"/>
        <v>26</v>
      </c>
      <c r="C736" s="278" t="s">
        <v>12</v>
      </c>
      <c r="E736" s="103">
        <f>IF($C736="",0,
IF(AND($E$2="Monthly",$A736&gt;12),0,
IF($E$2="Monthly",VLOOKUP($C736,'Employee information'!$B:$AM,COLUMNS('Employee information'!$B:S),0),
IF($E$2="Fortnightly",VLOOKUP($C736,'Employee information'!$B:$AM,COLUMNS('Employee information'!$B:R),0),
0))))</f>
        <v>75</v>
      </c>
      <c r="F736" s="279"/>
      <c r="G736" s="106"/>
      <c r="H736" s="280"/>
      <c r="I736" s="106"/>
      <c r="J736" s="103">
        <f>IF($E$2="Monthly",
IF(AND($E$2="Monthly",$H736&lt;&gt;""),$H736,
IF(AND($E$2="Monthly",$E736=0),SUM($F736:$G736),
$E736)),
IF($E$2="Fortnightly",
IF(AND($E$2="Fortnightly",$H736&lt;&gt;""),$H736,
IF(AND($E$2="Fortnightly",$F736&lt;&gt;"",$E736&lt;&gt;0),$F736,
IF(AND($E$2="Fortnightly",$E736=0),SUM($F736:$G736),
$E736)))))</f>
        <v>75</v>
      </c>
      <c r="L736" s="113">
        <f>IF(AND($E$2="Monthly",$A736&gt;12),"",
IFERROR($J736*VLOOKUP($C736,'Employee information'!$B:$AI,COLUMNS('Employee information'!$B:$P),0),0))</f>
        <v>3697.576396206533</v>
      </c>
      <c r="M736" s="114">
        <f>IF(AND($E$2="Monthly",$A736&gt;12),"",
SUMIFS($L:$L,$C:$C,$C736,$A:$A,"&lt;="&amp;$A736)
)</f>
        <v>96136.986301369907</v>
      </c>
      <c r="O736" s="103">
        <f>IF($E$2="Monthly",
IF(AND($E$2="Monthly",$H736&lt;&gt;""),$H736,
IF(AND($E$2="Monthly",$E736=0),$F736,
$E736)),
IF($E$2="Fortnightly",
IF(AND($E$2="Fortnightly",$H736&lt;&gt;""),$H736,
IF(AND($E$2="Fortnightly",$F736&lt;&gt;"",$E736&lt;&gt;0),$F736,
IF(AND($E$2="Fortnightly",$E736=0),$F736,
$E736)))))</f>
        <v>75</v>
      </c>
      <c r="P736" s="113">
        <f>IFERROR(
IF(AND($E$2="Monthly",$A736&gt;12),0,
$O736*VLOOKUP($C736,'Employee information'!$B:$AI,COLUMNS('Employee information'!$B:$P),0)),
0)</f>
        <v>3697.576396206533</v>
      </c>
      <c r="R736" s="114">
        <f t="shared" ref="R736:R754" si="771">IF(AND($E$2="Monthly",$A736&gt;12),"",
SUMIFS($P:$P,$C:$C,$C736,$A:$A,"&lt;="&amp;$A736)
)</f>
        <v>96136.986301369907</v>
      </c>
      <c r="T736" s="281"/>
      <c r="U736" s="103"/>
      <c r="V736" s="282">
        <f>IF($C736="","",
IF(AND($E$2="Monthly",$A736&gt;12),"",
$T736*VLOOKUP($C736,'Employee information'!$B:$P,COLUMNS('Employee information'!$B:$P),0)))</f>
        <v>0</v>
      </c>
      <c r="W736" s="282">
        <f>IF($C736="","",
IF(AND($E$2="Monthly",$A736&gt;12),"",
$U736*VLOOKUP($C736,'Employee information'!$B:$P,COLUMNS('Employee information'!$B:$P),0)))</f>
        <v>0</v>
      </c>
      <c r="X736" s="114">
        <f t="shared" ref="X736:X754" si="772">IF(AND($E$2="Monthly",$A736&gt;12),"",
SUMIFS($V:$V,$C:$C,$C736,$A:$A,"&lt;="&amp;$A736)
)</f>
        <v>0</v>
      </c>
      <c r="Y736" s="114">
        <f t="shared" ref="Y736:Y754" si="773">IF(AND($E$2="Monthly",$A736&gt;12),"",
SUMIFS($W:$W,$C:$C,$C736,$A:$A,"&lt;="&amp;$A736)
)</f>
        <v>0</v>
      </c>
      <c r="AA736" s="118">
        <f>IFERROR(
IF(OR('Basic payroll data'!$D$12="",'Basic payroll data'!$D$12="No"),0,
$T736*VLOOKUP($C736,'Employee information'!$B:$P,COLUMNS('Employee information'!$B:$P),0)*AL_loading_perc),
0)</f>
        <v>0</v>
      </c>
      <c r="AC736" s="118"/>
      <c r="AD736" s="118"/>
      <c r="AE736" s="283" t="str">
        <f>IF(LEFT($AD736,6)="Is OTE",1,
IF(LEFT($AD736,10)="Is not OTE",0,
""))</f>
        <v/>
      </c>
      <c r="AF736" s="283" t="str">
        <f>IF(RIGHT($AD736,12)="tax withheld",1,
IF(RIGHT($AD736,16)="tax not withheld",0,
""))</f>
        <v/>
      </c>
      <c r="AG736" s="118"/>
      <c r="AH736" s="118"/>
      <c r="AI736" s="283" t="str">
        <f>IF($AH736="FBT",0,
IF($AH736="Not FBT",1,
""))</f>
        <v/>
      </c>
      <c r="AJ736" s="118"/>
      <c r="AK736" s="118"/>
      <c r="AM736" s="118">
        <f>SUM($L736,$AA736,$AC736,$AG736,$AK736)-$AJ736</f>
        <v>3697.576396206533</v>
      </c>
      <c r="AN736" s="118">
        <f t="shared" ref="AN736:AN754" si="774">IF(AND(OR($AF736=1,$AF736=""),OR($AI736=1,$AI736="")),SUM($L736,$AA736,$AC736,$AG736,$AK736)-$AJ736,
IF(AND(OR($AF736=1,$AF736=""),$AI736=0),SUM($L736,$AA736,$AC736,$AK736)-$AJ736,
IF(AND($AF736=0,OR($AI736=1,$AI736="")),SUM($L736,$AA736,$AG736,$AK736)-$AJ736,
IF(AND($AF736=0,$AI736=0),SUM($L736,$AA736,$AK736)-$AJ736,
""))))</f>
        <v>3697.576396206533</v>
      </c>
      <c r="AO736" s="118" t="str">
        <f>IFERROR(
IF(VLOOKUP($C736,'Employee information'!$B:$M,COLUMNS('Employee information'!$B:$M),0)=1,
IF($E$2="Fortnightly",
ROUND(
ROUND((((TRUNC($AN736/2,0)+0.99))*VLOOKUP((TRUNC($AN736/2,0)+0.99),'Tax scales - NAT 1004'!$A$12:$C$18,2,1)-VLOOKUP((TRUNC($AN736/2,0)+0.99),'Tax scales - NAT 1004'!$A$12:$C$18,3,1)),0)
*2,
0),
IF(AND($E$2="Monthly",ROUND($AN736-TRUNC($AN736),2)=0.33),
ROUND(
ROUND(((TRUNC(($AN736+0.01)*3/13,0)+0.99)*VLOOKUP((TRUNC(($AN736+0.01)*3/13,0)+0.99),'Tax scales - NAT 1004'!$A$12:$C$18,2,1)-VLOOKUP((TRUNC(($AN736+0.01)*3/13,0)+0.99),'Tax scales - NAT 1004'!$A$12:$C$18,3,1)),0)
*13/3,
0),
IF($E$2="Monthly",
ROUND(
ROUND(((TRUNC($AN736*3/13,0)+0.99)*VLOOKUP((TRUNC($AN736*3/13,0)+0.99),'Tax scales - NAT 1004'!$A$12:$C$18,2,1)-VLOOKUP((TRUNC($AN736*3/13,0)+0.99),'Tax scales - NAT 1004'!$A$12:$C$18,3,1)),0)
*13/3,
0),
""))),
""),
"")</f>
        <v/>
      </c>
      <c r="AP736" s="118" t="str">
        <f>IFERROR(
IF(VLOOKUP($C736,'Employee information'!$B:$M,COLUMNS('Employee information'!$B:$M),0)=2,
IF($E$2="Fortnightly",
ROUND(
ROUND((((TRUNC($AN736/2,0)+0.99))*VLOOKUP((TRUNC($AN736/2,0)+0.99),'Tax scales - NAT 1004'!$A$25:$C$33,2,1)-VLOOKUP((TRUNC($AN736/2,0)+0.99),'Tax scales - NAT 1004'!$A$25:$C$33,3,1)),0)
*2,
0),
IF(AND($E$2="Monthly",ROUND($AN736-TRUNC($AN736),2)=0.33),
ROUND(
ROUND(((TRUNC(($AN736+0.01)*3/13,0)+0.99)*VLOOKUP((TRUNC(($AN736+0.01)*3/13,0)+0.99),'Tax scales - NAT 1004'!$A$25:$C$33,2,1)-VLOOKUP((TRUNC(($AN736+0.01)*3/13,0)+0.99),'Tax scales - NAT 1004'!$A$25:$C$33,3,1)),0)
*13/3,
0),
IF($E$2="Monthly",
ROUND(
ROUND(((TRUNC($AN736*3/13,0)+0.99)*VLOOKUP((TRUNC($AN736*3/13,0)+0.99),'Tax scales - NAT 1004'!$A$25:$C$33,2,1)-VLOOKUP((TRUNC($AN736*3/13,0)+0.99),'Tax scales - NAT 1004'!$A$25:$C$33,3,1)),0)
*13/3,
0),
""))),
""),
"")</f>
        <v/>
      </c>
      <c r="AQ736" s="118" t="str">
        <f>IFERROR(
IF(VLOOKUP($C736,'Employee information'!$B:$M,COLUMNS('Employee information'!$B:$M),0)=3,
IF($E$2="Fortnightly",
ROUND(
ROUND((((TRUNC($AN736/2,0)+0.99))*VLOOKUP((TRUNC($AN736/2,0)+0.99),'Tax scales - NAT 1004'!$A$39:$C$41,2,1)-VLOOKUP((TRUNC($AN736/2,0)+0.99),'Tax scales - NAT 1004'!$A$39:$C$41,3,1)),0)
*2,
0),
IF(AND($E$2="Monthly",ROUND($AN736-TRUNC($AN736),2)=0.33),
ROUND(
ROUND(((TRUNC(($AN736+0.01)*3/13,0)+0.99)*VLOOKUP((TRUNC(($AN736+0.01)*3/13,0)+0.99),'Tax scales - NAT 1004'!$A$39:$C$41,2,1)-VLOOKUP((TRUNC(($AN736+0.01)*3/13,0)+0.99),'Tax scales - NAT 1004'!$A$39:$C$41,3,1)),0)
*13/3,
0),
IF($E$2="Monthly",
ROUND(
ROUND(((TRUNC($AN736*3/13,0)+0.99)*VLOOKUP((TRUNC($AN736*3/13,0)+0.99),'Tax scales - NAT 1004'!$A$39:$C$41,2,1)-VLOOKUP((TRUNC($AN736*3/13,0)+0.99),'Tax scales - NAT 1004'!$A$39:$C$41,3,1)),0)
*13/3,
0),
""))),
""),
"")</f>
        <v/>
      </c>
      <c r="AR736" s="118" t="str">
        <f>IFERROR(
IF(AND(VLOOKUP($C736,'Employee information'!$B:$M,COLUMNS('Employee information'!$B:$M),0)=4,
VLOOKUP($C736,'Employee information'!$B:$J,COLUMNS('Employee information'!$B:$J),0)="Resident"),
TRUNC(TRUNC($AN736)*'Tax scales - NAT 1004'!$B$47),
IF(AND(VLOOKUP($C736,'Employee information'!$B:$M,COLUMNS('Employee information'!$B:$M),0)=4,
VLOOKUP($C736,'Employee information'!$B:$J,COLUMNS('Employee information'!$B:$J),0)="Foreign resident"),
TRUNC(TRUNC($AN736)*'Tax scales - NAT 1004'!$B$48),
"")),
"")</f>
        <v/>
      </c>
      <c r="AS736" s="118" t="str">
        <f>IFERROR(
IF(VLOOKUP($C736,'Employee information'!$B:$M,COLUMNS('Employee information'!$B:$M),0)=5,
IF($E$2="Fortnightly",
ROUND(
ROUND((((TRUNC($AN736/2,0)+0.99))*VLOOKUP((TRUNC($AN736/2,0)+0.99),'Tax scales - NAT 1004'!$A$53:$C$59,2,1)-VLOOKUP((TRUNC($AN736/2,0)+0.99),'Tax scales - NAT 1004'!$A$53:$C$59,3,1)),0)
*2,
0),
IF(AND($E$2="Monthly",ROUND($AN736-TRUNC($AN736),2)=0.33),
ROUND(
ROUND(((TRUNC(($AN736+0.01)*3/13,0)+0.99)*VLOOKUP((TRUNC(($AN736+0.01)*3/13,0)+0.99),'Tax scales - NAT 1004'!$A$53:$C$59,2,1)-VLOOKUP((TRUNC(($AN736+0.01)*3/13,0)+0.99),'Tax scales - NAT 1004'!$A$53:$C$59,3,1)),0)
*13/3,
0),
IF($E$2="Monthly",
ROUND(
ROUND(((TRUNC($AN736*3/13,0)+0.99)*VLOOKUP((TRUNC($AN736*3/13,0)+0.99),'Tax scales - NAT 1004'!$A$53:$C$59,2,1)-VLOOKUP((TRUNC($AN736*3/13,0)+0.99),'Tax scales - NAT 1004'!$A$53:$C$59,3,1)),0)
*13/3,
0),
""))),
""),
"")</f>
        <v/>
      </c>
      <c r="AT736" s="118" t="str">
        <f>IFERROR(
IF(VLOOKUP($C736,'Employee information'!$B:$M,COLUMNS('Employee information'!$B:$M),0)=6,
IF($E$2="Fortnightly",
ROUND(
ROUND((((TRUNC($AN736/2,0)+0.99))*VLOOKUP((TRUNC($AN736/2,0)+0.99),'Tax scales - NAT 1004'!$A$65:$C$73,2,1)-VLOOKUP((TRUNC($AN736/2,0)+0.99),'Tax scales - NAT 1004'!$A$65:$C$73,3,1)),0)
*2,
0),
IF(AND($E$2="Monthly",ROUND($AN736-TRUNC($AN736),2)=0.33),
ROUND(
ROUND(((TRUNC(($AN736+0.01)*3/13,0)+0.99)*VLOOKUP((TRUNC(($AN736+0.01)*3/13,0)+0.99),'Tax scales - NAT 1004'!$A$65:$C$73,2,1)-VLOOKUP((TRUNC(($AN736+0.01)*3/13,0)+0.99),'Tax scales - NAT 1004'!$A$65:$C$73,3,1)),0)
*13/3,
0),
IF($E$2="Monthly",
ROUND(
ROUND(((TRUNC($AN736*3/13,0)+0.99)*VLOOKUP((TRUNC($AN736*3/13,0)+0.99),'Tax scales - NAT 1004'!$A$65:$C$73,2,1)-VLOOKUP((TRUNC($AN736*3/13,0)+0.99),'Tax scales - NAT 1004'!$A$65:$C$73,3,1)),0)
*13/3,
0),
""))),
""),
"")</f>
        <v/>
      </c>
      <c r="AU736" s="118">
        <f>IFERROR(
IF(VLOOKUP($C736,'Employee information'!$B:$M,COLUMNS('Employee information'!$B:$M),0)=11,
IF($E$2="Fortnightly",
ROUND(
ROUND((((TRUNC($AN736/2,0)+0.99))*VLOOKUP((TRUNC($AN736/2,0)+0.99),'Tax scales - NAT 3539'!$A$14:$C$38,2,1)-VLOOKUP((TRUNC($AN736/2,0)+0.99),'Tax scales - NAT 3539'!$A$14:$C$38,3,1)),0)
*2,
0),
IF(AND($E$2="Monthly",ROUND($AN736-TRUNC($AN736),2)=0.33),
ROUND(
ROUND(((TRUNC(($AN736+0.01)*3/13,0)+0.99)*VLOOKUP((TRUNC(($AN736+0.01)*3/13,0)+0.99),'Tax scales - NAT 3539'!$A$14:$C$38,2,1)-VLOOKUP((TRUNC(($AN736+0.01)*3/13,0)+0.99),'Tax scales - NAT 3539'!$A$14:$C$38,3,1)),0)
*13/3,
0),
IF($E$2="Monthly",
ROUND(
ROUND(((TRUNC($AN736*3/13,0)+0.99)*VLOOKUP((TRUNC($AN736*3/13,0)+0.99),'Tax scales - NAT 3539'!$A$14:$C$38,2,1)-VLOOKUP((TRUNC($AN736*3/13,0)+0.99),'Tax scales - NAT 3539'!$A$14:$C$38,3,1)),0)
*13/3,
0),
""))),
""),
"")</f>
        <v>1448</v>
      </c>
      <c r="AV736" s="118" t="str">
        <f>IFERROR(
IF(VLOOKUP($C736,'Employee information'!$B:$M,COLUMNS('Employee information'!$B:$M),0)=22,
IF($E$2="Fortnightly",
ROUND(
ROUND((((TRUNC($AN736/2,0)+0.99))*VLOOKUP((TRUNC($AN736/2,0)+0.99),'Tax scales - NAT 3539'!$A$43:$C$69,2,1)-VLOOKUP((TRUNC($AN736/2,0)+0.99),'Tax scales - NAT 3539'!$A$43:$C$69,3,1)),0)
*2,
0),
IF(AND($E$2="Monthly",ROUND($AN736-TRUNC($AN736),2)=0.33),
ROUND(
ROUND(((TRUNC(($AN736+0.01)*3/13,0)+0.99)*VLOOKUP((TRUNC(($AN736+0.01)*3/13,0)+0.99),'Tax scales - NAT 3539'!$A$43:$C$69,2,1)-VLOOKUP((TRUNC(($AN736+0.01)*3/13,0)+0.99),'Tax scales - NAT 3539'!$A$43:$C$69,3,1)),0)
*13/3,
0),
IF($E$2="Monthly",
ROUND(
ROUND(((TRUNC($AN736*3/13,0)+0.99)*VLOOKUP((TRUNC($AN736*3/13,0)+0.99),'Tax scales - NAT 3539'!$A$43:$C$69,2,1)-VLOOKUP((TRUNC($AN736*3/13,0)+0.99),'Tax scales - NAT 3539'!$A$43:$C$69,3,1)),0)
*13/3,
0),
""))),
""),
"")</f>
        <v/>
      </c>
      <c r="AW736" s="118" t="str">
        <f>IFERROR(
IF(VLOOKUP($C736,'Employee information'!$B:$M,COLUMNS('Employee information'!$B:$M),0)=33,
IF($E$2="Fortnightly",
ROUND(
ROUND((((TRUNC($AN736/2,0)+0.99))*VLOOKUP((TRUNC($AN736/2,0)+0.99),'Tax scales - NAT 3539'!$A$74:$C$94,2,1)-VLOOKUP((TRUNC($AN736/2,0)+0.99),'Tax scales - NAT 3539'!$A$74:$C$94,3,1)),0)
*2,
0),
IF(AND($E$2="Monthly",ROUND($AN736-TRUNC($AN736),2)=0.33),
ROUND(
ROUND(((TRUNC(($AN736+0.01)*3/13,0)+0.99)*VLOOKUP((TRUNC(($AN736+0.01)*3/13,0)+0.99),'Tax scales - NAT 3539'!$A$74:$C$94,2,1)-VLOOKUP((TRUNC(($AN736+0.01)*3/13,0)+0.99),'Tax scales - NAT 3539'!$A$74:$C$94,3,1)),0)
*13/3,
0),
IF($E$2="Monthly",
ROUND(
ROUND(((TRUNC($AN736*3/13,0)+0.99)*VLOOKUP((TRUNC($AN736*3/13,0)+0.99),'Tax scales - NAT 3539'!$A$74:$C$94,2,1)-VLOOKUP((TRUNC($AN736*3/13,0)+0.99),'Tax scales - NAT 3539'!$A$74:$C$94,3,1)),0)
*13/3,
0),
""))),
""),
"")</f>
        <v/>
      </c>
      <c r="AX736" s="118" t="str">
        <f>IFERROR(
IF(VLOOKUP($C736,'Employee information'!$B:$M,COLUMNS('Employee information'!$B:$M),0)=55,
IF($E$2="Fortnightly",
ROUND(
ROUND((((TRUNC($AN736/2,0)+0.99))*VLOOKUP((TRUNC($AN736/2,0)+0.99),'Tax scales - NAT 3539'!$A$99:$C$123,2,1)-VLOOKUP((TRUNC($AN736/2,0)+0.99),'Tax scales - NAT 3539'!$A$99:$C$123,3,1)),0)
*2,
0),
IF(AND($E$2="Monthly",ROUND($AN736-TRUNC($AN736),2)=0.33),
ROUND(
ROUND(((TRUNC(($AN736+0.01)*3/13,0)+0.99)*VLOOKUP((TRUNC(($AN736+0.01)*3/13,0)+0.99),'Tax scales - NAT 3539'!$A$99:$C$123,2,1)-VLOOKUP((TRUNC(($AN736+0.01)*3/13,0)+0.99),'Tax scales - NAT 3539'!$A$99:$C$123,3,1)),0)
*13/3,
0),
IF($E$2="Monthly",
ROUND(
ROUND(((TRUNC($AN736*3/13,0)+0.99)*VLOOKUP((TRUNC($AN736*3/13,0)+0.99),'Tax scales - NAT 3539'!$A$99:$C$123,2,1)-VLOOKUP((TRUNC($AN736*3/13,0)+0.99),'Tax scales - NAT 3539'!$A$99:$C$123,3,1)),0)
*13/3,
0),
""))),
""),
"")</f>
        <v/>
      </c>
      <c r="AY736" s="118" t="str">
        <f>IFERROR(
IF(VLOOKUP($C736,'Employee information'!$B:$M,COLUMNS('Employee information'!$B:$M),0)=66,
IF($E$2="Fortnightly",
ROUND(
ROUND((((TRUNC($AN736/2,0)+0.99))*VLOOKUP((TRUNC($AN736/2,0)+0.99),'Tax scales - NAT 3539'!$A$127:$C$154,2,1)-VLOOKUP((TRUNC($AN736/2,0)+0.99),'Tax scales - NAT 3539'!$A$127:$C$154,3,1)),0)
*2,
0),
IF(AND($E$2="Monthly",ROUND($AN736-TRUNC($AN736),2)=0.33),
ROUND(
ROUND(((TRUNC(($AN736+0.01)*3/13,0)+0.99)*VLOOKUP((TRUNC(($AN736+0.01)*3/13,0)+0.99),'Tax scales - NAT 3539'!$A$127:$C$154,2,1)-VLOOKUP((TRUNC(($AN736+0.01)*3/13,0)+0.99),'Tax scales - NAT 3539'!$A$127:$C$154,3,1)),0)
*13/3,
0),
IF($E$2="Monthly",
ROUND(
ROUND(((TRUNC($AN736*3/13,0)+0.99)*VLOOKUP((TRUNC($AN736*3/13,0)+0.99),'Tax scales - NAT 3539'!$A$127:$C$154,2,1)-VLOOKUP((TRUNC($AN736*3/13,0)+0.99),'Tax scales - NAT 3539'!$A$127:$C$154,3,1)),0)
*13/3,
0),
""))),
""),
"")</f>
        <v/>
      </c>
      <c r="AZ736" s="118">
        <f>IFERROR(
HLOOKUP(VLOOKUP($C736,'Employee information'!$B:$M,COLUMNS('Employee information'!$B:$M),0),'PAYG worksheet'!$AO$735:$AY$754,COUNTA($C$736:$C736)+1,0),
0)</f>
        <v>1448</v>
      </c>
      <c r="BA736" s="118"/>
      <c r="BB736" s="118">
        <f>IFERROR($AM736-$AZ736-$BA736,"")</f>
        <v>2249.576396206533</v>
      </c>
      <c r="BC736" s="119">
        <f>IFERROR(
IF(OR($AE736=1,$AE736=""),SUM($P736,$AA736,$AC736,$AK736)*VLOOKUP($C736,'Employee information'!$B:$Q,COLUMNS('Employee information'!$B:$H),0),
IF($AE736=0,SUM($P736,$AA736,$AK736)*VLOOKUP($C736,'Employee information'!$B:$Q,COLUMNS('Employee information'!$B:$H),0),
0)),
0)</f>
        <v>351.26975763962065</v>
      </c>
      <c r="BE736" s="114">
        <f t="shared" ref="BE736:BE754" si="775">IF(AND($E$2="Monthly",$A736&gt;12),"",
SUMIFS($AM:$AM,$C:$C,$C736,$A:$A,"&lt;="&amp;$A736)
)</f>
        <v>96136.986301369907</v>
      </c>
      <c r="BF736" s="114">
        <f t="shared" ref="BF736:BF754" si="776">IF(AND($E$2="Monthly",$A736&gt;12),"",
SUMIFS($AN:$AN,$C:$C,$C736,$A:$A,"&lt;="&amp;$A736)
)</f>
        <v>96136.986301369907</v>
      </c>
      <c r="BG736" s="114">
        <f t="shared" ref="BG736:BG754" si="777">IF(AND($E$2="Monthly",$A736&gt;12),"",
SUMIFS($AC:$AC,$C:$C,$C736,$A:$A,"&lt;="&amp;$A736)
)</f>
        <v>0</v>
      </c>
      <c r="BH736" s="114">
        <f t="shared" ref="BH736:BH754" si="778">IF(AND($E$2="Monthly",$A736&gt;12),"",
SUMIFS($AG:$AG,$C:$C,$C736,$A:$A,"&lt;="&amp;$A736)
)</f>
        <v>0</v>
      </c>
      <c r="BI736" s="114">
        <f t="shared" ref="BI736:BI754" si="779">IF(AND($E$2="Monthly",$A736&gt;12),"",
SUMIFS($AZ:$AZ,$C:$C,$C736,$A:$A,"&lt;="&amp;$A736)
)</f>
        <v>37648</v>
      </c>
      <c r="BJ736" s="114">
        <f t="shared" ref="BJ736:BJ754" si="780">IF(AND($E$2="Monthly",$A736&gt;12),"",
SUMIFS($BA:$BA,$C:$C,$C736,$A:$A,"&lt;="&amp;$A736)
)</f>
        <v>0</v>
      </c>
      <c r="BK736" s="114">
        <f t="shared" ref="BK736:BK754" si="781">IF(AND($E$2="Monthly",$A736&gt;12),"",
SUMIFS($AJ:$AJ,$C:$C,$C736,$A:$A,"&lt;="&amp;$A736)
)</f>
        <v>0</v>
      </c>
      <c r="BL736" s="114">
        <f>IF(AND($E$2="Monthly",$A736&gt;12),"",
SUMIFS($AK:$AK,$C:$C,$C736,$A:$A,"&lt;="&amp;$A736)
)</f>
        <v>0</v>
      </c>
      <c r="BM736" s="114">
        <f t="shared" ref="BM736:BM754" si="782">IF(AND($E$2="Monthly",$A736&gt;12),"",
SUMIFS($BC:$BC,$C:$C,$C736,$A:$A,"&lt;="&amp;$A736)
)</f>
        <v>9133.013698630135</v>
      </c>
    </row>
    <row r="737" spans="1:65" x14ac:dyDescent="0.25">
      <c r="A737" s="228">
        <f t="shared" si="770"/>
        <v>26</v>
      </c>
      <c r="C737" s="278" t="s">
        <v>13</v>
      </c>
      <c r="E737" s="103">
        <f>IF($C737="",0,
IF(AND($E$2="Monthly",$A737&gt;12),0,
IF($E$2="Monthly",VLOOKUP($C737,'Employee information'!$B:$AM,COLUMNS('Employee information'!$B:S),0),
IF($E$2="Fortnightly",VLOOKUP($C737,'Employee information'!$B:$AM,COLUMNS('Employee information'!$B:R),0),
0))))</f>
        <v>0</v>
      </c>
      <c r="F737" s="106"/>
      <c r="G737" s="106"/>
      <c r="H737" s="106"/>
      <c r="I737" s="106"/>
      <c r="J737" s="103">
        <f t="shared" ref="J737:J754" si="783">IF($E$2="Monthly",
IF(AND($E$2="Monthly",$H737&lt;&gt;""),$H737,
IF(AND($E$2="Monthly",$E737=0),SUM($F737:$G737),
$E737)),
IF($E$2="Fortnightly",
IF(AND($E$2="Fortnightly",$H737&lt;&gt;""),$H737,
IF(AND($E$2="Fortnightly",$F737&lt;&gt;"",$E737&lt;&gt;0),$F737,
IF(AND($E$2="Fortnightly",$E737=0),SUM($F737:$G737),
$E737)))))</f>
        <v>0</v>
      </c>
      <c r="L737" s="113">
        <f>IF(AND($E$2="Monthly",$A737&gt;12),"",
IFERROR($J737*VLOOKUP($C737,'Employee information'!$B:$AI,COLUMNS('Employee information'!$B:$P),0),0))</f>
        <v>0</v>
      </c>
      <c r="M737" s="114">
        <f t="shared" ref="M737:M754" si="784">IF(AND($E$2="Monthly",$A737&gt;12),"",
SUMIFS($L:$L,$C:$C,$C737,$A:$A,"&lt;="&amp;$A737)
)</f>
        <v>1615.3846153846152</v>
      </c>
      <c r="O737" s="103">
        <f t="shared" ref="O737:O754" si="785">IF($E$2="Monthly",
IF(AND($E$2="Monthly",$H737&lt;&gt;""),$H737,
IF(AND($E$2="Monthly",$E737=0),$F737,
$E737)),
IF($E$2="Fortnightly",
IF(AND($E$2="Fortnightly",$H737&lt;&gt;""),$H737,
IF(AND($E$2="Fortnightly",$F737&lt;&gt;"",$E737&lt;&gt;0),$F737,
IF(AND($E$2="Fortnightly",$E737=0),$F737,
$E737)))))</f>
        <v>0</v>
      </c>
      <c r="P737" s="113">
        <f>IFERROR(
IF(AND($E$2="Monthly",$A737&gt;12),0,
$O737*VLOOKUP($C737,'Employee information'!$B:$AI,COLUMNS('Employee information'!$B:$P),0)),
0)</f>
        <v>0</v>
      </c>
      <c r="R737" s="114">
        <f t="shared" si="771"/>
        <v>1615.3846153846152</v>
      </c>
      <c r="T737" s="103"/>
      <c r="U737" s="103"/>
      <c r="V737" s="282">
        <f>IF($C737="","",
IF(AND($E$2="Monthly",$A737&gt;12),"",
$T737*VLOOKUP($C737,'Employee information'!$B:$P,COLUMNS('Employee information'!$B:$P),0)))</f>
        <v>0</v>
      </c>
      <c r="W737" s="282">
        <f>IF($C737="","",
IF(AND($E$2="Monthly",$A737&gt;12),"",
$U737*VLOOKUP($C737,'Employee information'!$B:$P,COLUMNS('Employee information'!$B:$P),0)))</f>
        <v>0</v>
      </c>
      <c r="X737" s="114">
        <f t="shared" si="772"/>
        <v>0</v>
      </c>
      <c r="Y737" s="114">
        <f t="shared" si="773"/>
        <v>288.46153846153845</v>
      </c>
      <c r="AA737" s="118">
        <f>IFERROR(
IF(OR('Basic payroll data'!$D$12="",'Basic payroll data'!$D$12="No"),0,
$T737*VLOOKUP($C737,'Employee information'!$B:$P,COLUMNS('Employee information'!$B:$P),0)*AL_loading_perc),
0)</f>
        <v>0</v>
      </c>
      <c r="AC737" s="118"/>
      <c r="AD737" s="118"/>
      <c r="AE737" s="283" t="str">
        <f t="shared" ref="AE737:AE754" si="786">IF(LEFT($AD737,6)="Is OTE",1,
IF(LEFT($AD737,10)="Is not OTE",0,
""))</f>
        <v/>
      </c>
      <c r="AF737" s="283" t="str">
        <f t="shared" ref="AF737:AF754" si="787">IF(RIGHT($AD737,12)="tax withheld",1,
IF(RIGHT($AD737,16)="tax not withheld",0,
""))</f>
        <v/>
      </c>
      <c r="AG737" s="118"/>
      <c r="AH737" s="118"/>
      <c r="AI737" s="283" t="str">
        <f t="shared" ref="AI737:AI754" si="788">IF($AH737="FBT",0,
IF($AH737="Not FBT",1,
""))</f>
        <v/>
      </c>
      <c r="AJ737" s="118"/>
      <c r="AK737" s="118"/>
      <c r="AM737" s="118">
        <f t="shared" ref="AM737:AM754" si="789">SUM($L737,$AA737,$AC737,$AG737,$AK737)-$AJ737</f>
        <v>0</v>
      </c>
      <c r="AN737" s="118">
        <f t="shared" si="774"/>
        <v>0</v>
      </c>
      <c r="AO737" s="118" t="str">
        <f>IFERROR(
IF(VLOOKUP($C737,'Employee information'!$B:$M,COLUMNS('Employee information'!$B:$M),0)=1,
IF($E$2="Fortnightly",
ROUND(
ROUND((((TRUNC($AN737/2,0)+0.99))*VLOOKUP((TRUNC($AN737/2,0)+0.99),'Tax scales - NAT 1004'!$A$12:$C$18,2,1)-VLOOKUP((TRUNC($AN737/2,0)+0.99),'Tax scales - NAT 1004'!$A$12:$C$18,3,1)),0)
*2,
0),
IF(AND($E$2="Monthly",ROUND($AN737-TRUNC($AN737),2)=0.33),
ROUND(
ROUND(((TRUNC(($AN737+0.01)*3/13,0)+0.99)*VLOOKUP((TRUNC(($AN737+0.01)*3/13,0)+0.99),'Tax scales - NAT 1004'!$A$12:$C$18,2,1)-VLOOKUP((TRUNC(($AN737+0.01)*3/13,0)+0.99),'Tax scales - NAT 1004'!$A$12:$C$18,3,1)),0)
*13/3,
0),
IF($E$2="Monthly",
ROUND(
ROUND(((TRUNC($AN737*3/13,0)+0.99)*VLOOKUP((TRUNC($AN737*3/13,0)+0.99),'Tax scales - NAT 1004'!$A$12:$C$18,2,1)-VLOOKUP((TRUNC($AN737*3/13,0)+0.99),'Tax scales - NAT 1004'!$A$12:$C$18,3,1)),0)
*13/3,
0),
""))),
""),
"")</f>
        <v/>
      </c>
      <c r="AP737" s="118" t="str">
        <f>IFERROR(
IF(VLOOKUP($C737,'Employee information'!$B:$M,COLUMNS('Employee information'!$B:$M),0)=2,
IF($E$2="Fortnightly",
ROUND(
ROUND((((TRUNC($AN737/2,0)+0.99))*VLOOKUP((TRUNC($AN737/2,0)+0.99),'Tax scales - NAT 1004'!$A$25:$C$33,2,1)-VLOOKUP((TRUNC($AN737/2,0)+0.99),'Tax scales - NAT 1004'!$A$25:$C$33,3,1)),0)
*2,
0),
IF(AND($E$2="Monthly",ROUND($AN737-TRUNC($AN737),2)=0.33),
ROUND(
ROUND(((TRUNC(($AN737+0.01)*3/13,0)+0.99)*VLOOKUP((TRUNC(($AN737+0.01)*3/13,0)+0.99),'Tax scales - NAT 1004'!$A$25:$C$33,2,1)-VLOOKUP((TRUNC(($AN737+0.01)*3/13,0)+0.99),'Tax scales - NAT 1004'!$A$25:$C$33,3,1)),0)
*13/3,
0),
IF($E$2="Monthly",
ROUND(
ROUND(((TRUNC($AN737*3/13,0)+0.99)*VLOOKUP((TRUNC($AN737*3/13,0)+0.99),'Tax scales - NAT 1004'!$A$25:$C$33,2,1)-VLOOKUP((TRUNC($AN737*3/13,0)+0.99),'Tax scales - NAT 1004'!$A$25:$C$33,3,1)),0)
*13/3,
0),
""))),
""),
"")</f>
        <v/>
      </c>
      <c r="AQ737" s="118" t="str">
        <f>IFERROR(
IF(VLOOKUP($C737,'Employee information'!$B:$M,COLUMNS('Employee information'!$B:$M),0)=3,
IF($E$2="Fortnightly",
ROUND(
ROUND((((TRUNC($AN737/2,0)+0.99))*VLOOKUP((TRUNC($AN737/2,0)+0.99),'Tax scales - NAT 1004'!$A$39:$C$41,2,1)-VLOOKUP((TRUNC($AN737/2,0)+0.99),'Tax scales - NAT 1004'!$A$39:$C$41,3,1)),0)
*2,
0),
IF(AND($E$2="Monthly",ROUND($AN737-TRUNC($AN737),2)=0.33),
ROUND(
ROUND(((TRUNC(($AN737+0.01)*3/13,0)+0.99)*VLOOKUP((TRUNC(($AN737+0.01)*3/13,0)+0.99),'Tax scales - NAT 1004'!$A$39:$C$41,2,1)-VLOOKUP((TRUNC(($AN737+0.01)*3/13,0)+0.99),'Tax scales - NAT 1004'!$A$39:$C$41,3,1)),0)
*13/3,
0),
IF($E$2="Monthly",
ROUND(
ROUND(((TRUNC($AN737*3/13,0)+0.99)*VLOOKUP((TRUNC($AN737*3/13,0)+0.99),'Tax scales - NAT 1004'!$A$39:$C$41,2,1)-VLOOKUP((TRUNC($AN737*3/13,0)+0.99),'Tax scales - NAT 1004'!$A$39:$C$41,3,1)),0)
*13/3,
0),
""))),
""),
"")</f>
        <v/>
      </c>
      <c r="AR737" s="118" t="str">
        <f>IFERROR(
IF(AND(VLOOKUP($C737,'Employee information'!$B:$M,COLUMNS('Employee information'!$B:$M),0)=4,
VLOOKUP($C737,'Employee information'!$B:$J,COLUMNS('Employee information'!$B:$J),0)="Resident"),
TRUNC(TRUNC($AN737)*'Tax scales - NAT 1004'!$B$47),
IF(AND(VLOOKUP($C737,'Employee information'!$B:$M,COLUMNS('Employee information'!$B:$M),0)=4,
VLOOKUP($C737,'Employee information'!$B:$J,COLUMNS('Employee information'!$B:$J),0)="Foreign resident"),
TRUNC(TRUNC($AN737)*'Tax scales - NAT 1004'!$B$48),
"")),
"")</f>
        <v/>
      </c>
      <c r="AS737" s="118" t="str">
        <f>IFERROR(
IF(VLOOKUP($C737,'Employee information'!$B:$M,COLUMNS('Employee information'!$B:$M),0)=5,
IF($E$2="Fortnightly",
ROUND(
ROUND((((TRUNC($AN737/2,0)+0.99))*VLOOKUP((TRUNC($AN737/2,0)+0.99),'Tax scales - NAT 1004'!$A$53:$C$59,2,1)-VLOOKUP((TRUNC($AN737/2,0)+0.99),'Tax scales - NAT 1004'!$A$53:$C$59,3,1)),0)
*2,
0),
IF(AND($E$2="Monthly",ROUND($AN737-TRUNC($AN737),2)=0.33),
ROUND(
ROUND(((TRUNC(($AN737+0.01)*3/13,0)+0.99)*VLOOKUP((TRUNC(($AN737+0.01)*3/13,0)+0.99),'Tax scales - NAT 1004'!$A$53:$C$59,2,1)-VLOOKUP((TRUNC(($AN737+0.01)*3/13,0)+0.99),'Tax scales - NAT 1004'!$A$53:$C$59,3,1)),0)
*13/3,
0),
IF($E$2="Monthly",
ROUND(
ROUND(((TRUNC($AN737*3/13,0)+0.99)*VLOOKUP((TRUNC($AN737*3/13,0)+0.99),'Tax scales - NAT 1004'!$A$53:$C$59,2,1)-VLOOKUP((TRUNC($AN737*3/13,0)+0.99),'Tax scales - NAT 1004'!$A$53:$C$59,3,1)),0)
*13/3,
0),
""))),
""),
"")</f>
        <v/>
      </c>
      <c r="AT737" s="118" t="str">
        <f>IFERROR(
IF(VLOOKUP($C737,'Employee information'!$B:$M,COLUMNS('Employee information'!$B:$M),0)=6,
IF($E$2="Fortnightly",
ROUND(
ROUND((((TRUNC($AN737/2,0)+0.99))*VLOOKUP((TRUNC($AN737/2,0)+0.99),'Tax scales - NAT 1004'!$A$65:$C$73,2,1)-VLOOKUP((TRUNC($AN737/2,0)+0.99),'Tax scales - NAT 1004'!$A$65:$C$73,3,1)),0)
*2,
0),
IF(AND($E$2="Monthly",ROUND($AN737-TRUNC($AN737),2)=0.33),
ROUND(
ROUND(((TRUNC(($AN737+0.01)*3/13,0)+0.99)*VLOOKUP((TRUNC(($AN737+0.01)*3/13,0)+0.99),'Tax scales - NAT 1004'!$A$65:$C$73,2,1)-VLOOKUP((TRUNC(($AN737+0.01)*3/13,0)+0.99),'Tax scales - NAT 1004'!$A$65:$C$73,3,1)),0)
*13/3,
0),
IF($E$2="Monthly",
ROUND(
ROUND(((TRUNC($AN737*3/13,0)+0.99)*VLOOKUP((TRUNC($AN737*3/13,0)+0.99),'Tax scales - NAT 1004'!$A$65:$C$73,2,1)-VLOOKUP((TRUNC($AN737*3/13,0)+0.99),'Tax scales - NAT 1004'!$A$65:$C$73,3,1)),0)
*13/3,
0),
""))),
""),
"")</f>
        <v/>
      </c>
      <c r="AU737" s="118">
        <f>IFERROR(
IF(VLOOKUP($C737,'Employee information'!$B:$M,COLUMNS('Employee information'!$B:$M),0)=11,
IF($E$2="Fortnightly",
ROUND(
ROUND((((TRUNC($AN737/2,0)+0.99))*VLOOKUP((TRUNC($AN737/2,0)+0.99),'Tax scales - NAT 3539'!$A$14:$C$38,2,1)-VLOOKUP((TRUNC($AN737/2,0)+0.99),'Tax scales - NAT 3539'!$A$14:$C$38,3,1)),0)
*2,
0),
IF(AND($E$2="Monthly",ROUND($AN737-TRUNC($AN737),2)=0.33),
ROUND(
ROUND(((TRUNC(($AN737+0.01)*3/13,0)+0.99)*VLOOKUP((TRUNC(($AN737+0.01)*3/13,0)+0.99),'Tax scales - NAT 3539'!$A$14:$C$38,2,1)-VLOOKUP((TRUNC(($AN737+0.01)*3/13,0)+0.99),'Tax scales - NAT 3539'!$A$14:$C$38,3,1)),0)
*13/3,
0),
IF($E$2="Monthly",
ROUND(
ROUND(((TRUNC($AN737*3/13,0)+0.99)*VLOOKUP((TRUNC($AN737*3/13,0)+0.99),'Tax scales - NAT 3539'!$A$14:$C$38,2,1)-VLOOKUP((TRUNC($AN737*3/13,0)+0.99),'Tax scales - NAT 3539'!$A$14:$C$38,3,1)),0)
*13/3,
0),
""))),
""),
"")</f>
        <v>0</v>
      </c>
      <c r="AV737" s="118" t="str">
        <f>IFERROR(
IF(VLOOKUP($C737,'Employee information'!$B:$M,COLUMNS('Employee information'!$B:$M),0)=22,
IF($E$2="Fortnightly",
ROUND(
ROUND((((TRUNC($AN737/2,0)+0.99))*VLOOKUP((TRUNC($AN737/2,0)+0.99),'Tax scales - NAT 3539'!$A$43:$C$69,2,1)-VLOOKUP((TRUNC($AN737/2,0)+0.99),'Tax scales - NAT 3539'!$A$43:$C$69,3,1)),0)
*2,
0),
IF(AND($E$2="Monthly",ROUND($AN737-TRUNC($AN737),2)=0.33),
ROUND(
ROUND(((TRUNC(($AN737+0.01)*3/13,0)+0.99)*VLOOKUP((TRUNC(($AN737+0.01)*3/13,0)+0.99),'Tax scales - NAT 3539'!$A$43:$C$69,2,1)-VLOOKUP((TRUNC(($AN737+0.01)*3/13,0)+0.99),'Tax scales - NAT 3539'!$A$43:$C$69,3,1)),0)
*13/3,
0),
IF($E$2="Monthly",
ROUND(
ROUND(((TRUNC($AN737*3/13,0)+0.99)*VLOOKUP((TRUNC($AN737*3/13,0)+0.99),'Tax scales - NAT 3539'!$A$43:$C$69,2,1)-VLOOKUP((TRUNC($AN737*3/13,0)+0.99),'Tax scales - NAT 3539'!$A$43:$C$69,3,1)),0)
*13/3,
0),
""))),
""),
"")</f>
        <v/>
      </c>
      <c r="AW737" s="118" t="str">
        <f>IFERROR(
IF(VLOOKUP($C737,'Employee information'!$B:$M,COLUMNS('Employee information'!$B:$M),0)=33,
IF($E$2="Fortnightly",
ROUND(
ROUND((((TRUNC($AN737/2,0)+0.99))*VLOOKUP((TRUNC($AN737/2,0)+0.99),'Tax scales - NAT 3539'!$A$74:$C$94,2,1)-VLOOKUP((TRUNC($AN737/2,0)+0.99),'Tax scales - NAT 3539'!$A$74:$C$94,3,1)),0)
*2,
0),
IF(AND($E$2="Monthly",ROUND($AN737-TRUNC($AN737),2)=0.33),
ROUND(
ROUND(((TRUNC(($AN737+0.01)*3/13,0)+0.99)*VLOOKUP((TRUNC(($AN737+0.01)*3/13,0)+0.99),'Tax scales - NAT 3539'!$A$74:$C$94,2,1)-VLOOKUP((TRUNC(($AN737+0.01)*3/13,0)+0.99),'Tax scales - NAT 3539'!$A$74:$C$94,3,1)),0)
*13/3,
0),
IF($E$2="Monthly",
ROUND(
ROUND(((TRUNC($AN737*3/13,0)+0.99)*VLOOKUP((TRUNC($AN737*3/13,0)+0.99),'Tax scales - NAT 3539'!$A$74:$C$94,2,1)-VLOOKUP((TRUNC($AN737*3/13,0)+0.99),'Tax scales - NAT 3539'!$A$74:$C$94,3,1)),0)
*13/3,
0),
""))),
""),
"")</f>
        <v/>
      </c>
      <c r="AX737" s="118" t="str">
        <f>IFERROR(
IF(VLOOKUP($C737,'Employee information'!$B:$M,COLUMNS('Employee information'!$B:$M),0)=55,
IF($E$2="Fortnightly",
ROUND(
ROUND((((TRUNC($AN737/2,0)+0.99))*VLOOKUP((TRUNC($AN737/2,0)+0.99),'Tax scales - NAT 3539'!$A$99:$C$123,2,1)-VLOOKUP((TRUNC($AN737/2,0)+0.99),'Tax scales - NAT 3539'!$A$99:$C$123,3,1)),0)
*2,
0),
IF(AND($E$2="Monthly",ROUND($AN737-TRUNC($AN737),2)=0.33),
ROUND(
ROUND(((TRUNC(($AN737+0.01)*3/13,0)+0.99)*VLOOKUP((TRUNC(($AN737+0.01)*3/13,0)+0.99),'Tax scales - NAT 3539'!$A$99:$C$123,2,1)-VLOOKUP((TRUNC(($AN737+0.01)*3/13,0)+0.99),'Tax scales - NAT 3539'!$A$99:$C$123,3,1)),0)
*13/3,
0),
IF($E$2="Monthly",
ROUND(
ROUND(((TRUNC($AN737*3/13,0)+0.99)*VLOOKUP((TRUNC($AN737*3/13,0)+0.99),'Tax scales - NAT 3539'!$A$99:$C$123,2,1)-VLOOKUP((TRUNC($AN737*3/13,0)+0.99),'Tax scales - NAT 3539'!$A$99:$C$123,3,1)),0)
*13/3,
0),
""))),
""),
"")</f>
        <v/>
      </c>
      <c r="AY737" s="118" t="str">
        <f>IFERROR(
IF(VLOOKUP($C737,'Employee information'!$B:$M,COLUMNS('Employee information'!$B:$M),0)=66,
IF($E$2="Fortnightly",
ROUND(
ROUND((((TRUNC($AN737/2,0)+0.99))*VLOOKUP((TRUNC($AN737/2,0)+0.99),'Tax scales - NAT 3539'!$A$127:$C$154,2,1)-VLOOKUP((TRUNC($AN737/2,0)+0.99),'Tax scales - NAT 3539'!$A$127:$C$154,3,1)),0)
*2,
0),
IF(AND($E$2="Monthly",ROUND($AN737-TRUNC($AN737),2)=0.33),
ROUND(
ROUND(((TRUNC(($AN737+0.01)*3/13,0)+0.99)*VLOOKUP((TRUNC(($AN737+0.01)*3/13,0)+0.99),'Tax scales - NAT 3539'!$A$127:$C$154,2,1)-VLOOKUP((TRUNC(($AN737+0.01)*3/13,0)+0.99),'Tax scales - NAT 3539'!$A$127:$C$154,3,1)),0)
*13/3,
0),
IF($E$2="Monthly",
ROUND(
ROUND(((TRUNC($AN737*3/13,0)+0.99)*VLOOKUP((TRUNC($AN737*3/13,0)+0.99),'Tax scales - NAT 3539'!$A$127:$C$154,2,1)-VLOOKUP((TRUNC($AN737*3/13,0)+0.99),'Tax scales - NAT 3539'!$A$127:$C$154,3,1)),0)
*13/3,
0),
""))),
""),
"")</f>
        <v/>
      </c>
      <c r="AZ737" s="118">
        <f>IFERROR(
HLOOKUP(VLOOKUP($C737,'Employee information'!$B:$M,COLUMNS('Employee information'!$B:$M),0),'PAYG worksheet'!$AO$735:$AY$754,COUNTA($C$736:$C737)+1,0),
0)</f>
        <v>0</v>
      </c>
      <c r="BA737" s="118"/>
      <c r="BB737" s="118">
        <f t="shared" ref="BB737:BB754" si="790">IFERROR($AM737-$AZ737-$BA737,"")</f>
        <v>0</v>
      </c>
      <c r="BC737" s="119">
        <f>IFERROR(
IF(OR($AE737=1,$AE737=""),SUM($P737,$AA737,$AC737,$AK737)*VLOOKUP($C737,'Employee information'!$B:$Q,COLUMNS('Employee information'!$B:$H),0),
IF($AE737=0,SUM($P737,$AA737,$AK737)*VLOOKUP($C737,'Employee information'!$B:$Q,COLUMNS('Employee information'!$B:$H),0),
0)),
0)</f>
        <v>0</v>
      </c>
      <c r="BE737" s="114">
        <f t="shared" si="775"/>
        <v>1615.3846153846152</v>
      </c>
      <c r="BF737" s="114">
        <f t="shared" si="776"/>
        <v>1615.3846153846152</v>
      </c>
      <c r="BG737" s="114">
        <f t="shared" si="777"/>
        <v>0</v>
      </c>
      <c r="BH737" s="114">
        <f t="shared" si="778"/>
        <v>0</v>
      </c>
      <c r="BI737" s="114">
        <f t="shared" si="779"/>
        <v>474</v>
      </c>
      <c r="BJ737" s="114">
        <f t="shared" si="780"/>
        <v>0</v>
      </c>
      <c r="BK737" s="114">
        <f t="shared" si="781"/>
        <v>0</v>
      </c>
      <c r="BL737" s="114">
        <f t="shared" ref="BL737:BL754" si="791">IF(AND($E$2="Monthly",$A737&gt;12),"",
SUMIFS($AK:$AK,$C:$C,$C737,$A:$A,"&lt;="&amp;$A737)
)</f>
        <v>0</v>
      </c>
      <c r="BM737" s="114">
        <f t="shared" si="782"/>
        <v>153.46153846153845</v>
      </c>
    </row>
    <row r="738" spans="1:65" x14ac:dyDescent="0.25">
      <c r="A738" s="228">
        <f t="shared" si="770"/>
        <v>26</v>
      </c>
      <c r="C738" s="278" t="s">
        <v>14</v>
      </c>
      <c r="E738" s="103">
        <f>IF($C738="",0,
IF(AND($E$2="Monthly",$A738&gt;12),0,
IF($E$2="Monthly",VLOOKUP($C738,'Employee information'!$B:$AM,COLUMNS('Employee information'!$B:S),0),
IF($E$2="Fortnightly",VLOOKUP($C738,'Employee information'!$B:$AM,COLUMNS('Employee information'!$B:R),0),
0))))</f>
        <v>0</v>
      </c>
      <c r="F738" s="106"/>
      <c r="G738" s="106"/>
      <c r="H738" s="106"/>
      <c r="I738" s="106"/>
      <c r="J738" s="103">
        <f t="shared" si="783"/>
        <v>0</v>
      </c>
      <c r="L738" s="113">
        <f>IF(AND($E$2="Monthly",$A738&gt;12),"",
IFERROR($J738*VLOOKUP($C738,'Employee information'!$B:$AI,COLUMNS('Employee information'!$B:$P),0),0))</f>
        <v>0</v>
      </c>
      <c r="M738" s="114">
        <f t="shared" si="784"/>
        <v>900</v>
      </c>
      <c r="O738" s="103">
        <f t="shared" si="785"/>
        <v>0</v>
      </c>
      <c r="P738" s="113">
        <f>IFERROR(
IF(AND($E$2="Monthly",$A738&gt;12),0,
$O738*VLOOKUP($C738,'Employee information'!$B:$AI,COLUMNS('Employee information'!$B:$P),0)),
0)</f>
        <v>0</v>
      </c>
      <c r="R738" s="114">
        <f t="shared" si="771"/>
        <v>900</v>
      </c>
      <c r="T738" s="103"/>
      <c r="U738" s="103"/>
      <c r="V738" s="282">
        <f>IF($C738="","",
IF(AND($E$2="Monthly",$A738&gt;12),"",
$T738*VLOOKUP($C738,'Employee information'!$B:$P,COLUMNS('Employee information'!$B:$P),0)))</f>
        <v>0</v>
      </c>
      <c r="W738" s="282">
        <f>IF($C738="","",
IF(AND($E$2="Monthly",$A738&gt;12),"",
$U738*VLOOKUP($C738,'Employee information'!$B:$P,COLUMNS('Employee information'!$B:$P),0)))</f>
        <v>0</v>
      </c>
      <c r="X738" s="114">
        <f t="shared" si="772"/>
        <v>0</v>
      </c>
      <c r="Y738" s="114">
        <f t="shared" si="773"/>
        <v>0</v>
      </c>
      <c r="AA738" s="118">
        <f>IFERROR(
IF(OR('Basic payroll data'!$D$12="",'Basic payroll data'!$D$12="No"),0,
$T738*VLOOKUP($C738,'Employee information'!$B:$P,COLUMNS('Employee information'!$B:$P),0)*AL_loading_perc),
0)</f>
        <v>0</v>
      </c>
      <c r="AC738" s="118"/>
      <c r="AD738" s="118"/>
      <c r="AE738" s="283" t="str">
        <f t="shared" si="786"/>
        <v/>
      </c>
      <c r="AF738" s="283" t="str">
        <f t="shared" si="787"/>
        <v/>
      </c>
      <c r="AG738" s="118"/>
      <c r="AH738" s="118"/>
      <c r="AI738" s="283" t="str">
        <f t="shared" si="788"/>
        <v/>
      </c>
      <c r="AJ738" s="118"/>
      <c r="AK738" s="118"/>
      <c r="AM738" s="118">
        <f t="shared" si="789"/>
        <v>0</v>
      </c>
      <c r="AN738" s="118">
        <f t="shared" si="774"/>
        <v>0</v>
      </c>
      <c r="AO738" s="118" t="str">
        <f>IFERROR(
IF(VLOOKUP($C738,'Employee information'!$B:$M,COLUMNS('Employee information'!$B:$M),0)=1,
IF($E$2="Fortnightly",
ROUND(
ROUND((((TRUNC($AN738/2,0)+0.99))*VLOOKUP((TRUNC($AN738/2,0)+0.99),'Tax scales - NAT 1004'!$A$12:$C$18,2,1)-VLOOKUP((TRUNC($AN738/2,0)+0.99),'Tax scales - NAT 1004'!$A$12:$C$18,3,1)),0)
*2,
0),
IF(AND($E$2="Monthly",ROUND($AN738-TRUNC($AN738),2)=0.33),
ROUND(
ROUND(((TRUNC(($AN738+0.01)*3/13,0)+0.99)*VLOOKUP((TRUNC(($AN738+0.01)*3/13,0)+0.99),'Tax scales - NAT 1004'!$A$12:$C$18,2,1)-VLOOKUP((TRUNC(($AN738+0.01)*3/13,0)+0.99),'Tax scales - NAT 1004'!$A$12:$C$18,3,1)),0)
*13/3,
0),
IF($E$2="Monthly",
ROUND(
ROUND(((TRUNC($AN738*3/13,0)+0.99)*VLOOKUP((TRUNC($AN738*3/13,0)+0.99),'Tax scales - NAT 1004'!$A$12:$C$18,2,1)-VLOOKUP((TRUNC($AN738*3/13,0)+0.99),'Tax scales - NAT 1004'!$A$12:$C$18,3,1)),0)
*13/3,
0),
""))),
""),
"")</f>
        <v/>
      </c>
      <c r="AP738" s="118" t="str">
        <f>IFERROR(
IF(VLOOKUP($C738,'Employee information'!$B:$M,COLUMNS('Employee information'!$B:$M),0)=2,
IF($E$2="Fortnightly",
ROUND(
ROUND((((TRUNC($AN738/2,0)+0.99))*VLOOKUP((TRUNC($AN738/2,0)+0.99),'Tax scales - NAT 1004'!$A$25:$C$33,2,1)-VLOOKUP((TRUNC($AN738/2,0)+0.99),'Tax scales - NAT 1004'!$A$25:$C$33,3,1)),0)
*2,
0),
IF(AND($E$2="Monthly",ROUND($AN738-TRUNC($AN738),2)=0.33),
ROUND(
ROUND(((TRUNC(($AN738+0.01)*3/13,0)+0.99)*VLOOKUP((TRUNC(($AN738+0.01)*3/13,0)+0.99),'Tax scales - NAT 1004'!$A$25:$C$33,2,1)-VLOOKUP((TRUNC(($AN738+0.01)*3/13,0)+0.99),'Tax scales - NAT 1004'!$A$25:$C$33,3,1)),0)
*13/3,
0),
IF($E$2="Monthly",
ROUND(
ROUND(((TRUNC($AN738*3/13,0)+0.99)*VLOOKUP((TRUNC($AN738*3/13,0)+0.99),'Tax scales - NAT 1004'!$A$25:$C$33,2,1)-VLOOKUP((TRUNC($AN738*3/13,0)+0.99),'Tax scales - NAT 1004'!$A$25:$C$33,3,1)),0)
*13/3,
0),
""))),
""),
"")</f>
        <v/>
      </c>
      <c r="AQ738" s="118" t="str">
        <f>IFERROR(
IF(VLOOKUP($C738,'Employee information'!$B:$M,COLUMNS('Employee information'!$B:$M),0)=3,
IF($E$2="Fortnightly",
ROUND(
ROUND((((TRUNC($AN738/2,0)+0.99))*VLOOKUP((TRUNC($AN738/2,0)+0.99),'Tax scales - NAT 1004'!$A$39:$C$41,2,1)-VLOOKUP((TRUNC($AN738/2,0)+0.99),'Tax scales - NAT 1004'!$A$39:$C$41,3,1)),0)
*2,
0),
IF(AND($E$2="Monthly",ROUND($AN738-TRUNC($AN738),2)=0.33),
ROUND(
ROUND(((TRUNC(($AN738+0.01)*3/13,0)+0.99)*VLOOKUP((TRUNC(($AN738+0.01)*3/13,0)+0.99),'Tax scales - NAT 1004'!$A$39:$C$41,2,1)-VLOOKUP((TRUNC(($AN738+0.01)*3/13,0)+0.99),'Tax scales - NAT 1004'!$A$39:$C$41,3,1)),0)
*13/3,
0),
IF($E$2="Monthly",
ROUND(
ROUND(((TRUNC($AN738*3/13,0)+0.99)*VLOOKUP((TRUNC($AN738*3/13,0)+0.99),'Tax scales - NAT 1004'!$A$39:$C$41,2,1)-VLOOKUP((TRUNC($AN738*3/13,0)+0.99),'Tax scales - NAT 1004'!$A$39:$C$41,3,1)),0)
*13/3,
0),
""))),
""),
"")</f>
        <v/>
      </c>
      <c r="AR738" s="118" t="str">
        <f>IFERROR(
IF(AND(VLOOKUP($C738,'Employee information'!$B:$M,COLUMNS('Employee information'!$B:$M),0)=4,
VLOOKUP($C738,'Employee information'!$B:$J,COLUMNS('Employee information'!$B:$J),0)="Resident"),
TRUNC(TRUNC($AN738)*'Tax scales - NAT 1004'!$B$47),
IF(AND(VLOOKUP($C738,'Employee information'!$B:$M,COLUMNS('Employee information'!$B:$M),0)=4,
VLOOKUP($C738,'Employee information'!$B:$J,COLUMNS('Employee information'!$B:$J),0)="Foreign resident"),
TRUNC(TRUNC($AN738)*'Tax scales - NAT 1004'!$B$48),
"")),
"")</f>
        <v/>
      </c>
      <c r="AS738" s="118" t="str">
        <f>IFERROR(
IF(VLOOKUP($C738,'Employee information'!$B:$M,COLUMNS('Employee information'!$B:$M),0)=5,
IF($E$2="Fortnightly",
ROUND(
ROUND((((TRUNC($AN738/2,0)+0.99))*VLOOKUP((TRUNC($AN738/2,0)+0.99),'Tax scales - NAT 1004'!$A$53:$C$59,2,1)-VLOOKUP((TRUNC($AN738/2,0)+0.99),'Tax scales - NAT 1004'!$A$53:$C$59,3,1)),0)
*2,
0),
IF(AND($E$2="Monthly",ROUND($AN738-TRUNC($AN738),2)=0.33),
ROUND(
ROUND(((TRUNC(($AN738+0.01)*3/13,0)+0.99)*VLOOKUP((TRUNC(($AN738+0.01)*3/13,0)+0.99),'Tax scales - NAT 1004'!$A$53:$C$59,2,1)-VLOOKUP((TRUNC(($AN738+0.01)*3/13,0)+0.99),'Tax scales - NAT 1004'!$A$53:$C$59,3,1)),0)
*13/3,
0),
IF($E$2="Monthly",
ROUND(
ROUND(((TRUNC($AN738*3/13,0)+0.99)*VLOOKUP((TRUNC($AN738*3/13,0)+0.99),'Tax scales - NAT 1004'!$A$53:$C$59,2,1)-VLOOKUP((TRUNC($AN738*3/13,0)+0.99),'Tax scales - NAT 1004'!$A$53:$C$59,3,1)),0)
*13/3,
0),
""))),
""),
"")</f>
        <v/>
      </c>
      <c r="AT738" s="118" t="str">
        <f>IFERROR(
IF(VLOOKUP($C738,'Employee information'!$B:$M,COLUMNS('Employee information'!$B:$M),0)=6,
IF($E$2="Fortnightly",
ROUND(
ROUND((((TRUNC($AN738/2,0)+0.99))*VLOOKUP((TRUNC($AN738/2,0)+0.99),'Tax scales - NAT 1004'!$A$65:$C$73,2,1)-VLOOKUP((TRUNC($AN738/2,0)+0.99),'Tax scales - NAT 1004'!$A$65:$C$73,3,1)),0)
*2,
0),
IF(AND($E$2="Monthly",ROUND($AN738-TRUNC($AN738),2)=0.33),
ROUND(
ROUND(((TRUNC(($AN738+0.01)*3/13,0)+0.99)*VLOOKUP((TRUNC(($AN738+0.01)*3/13,0)+0.99),'Tax scales - NAT 1004'!$A$65:$C$73,2,1)-VLOOKUP((TRUNC(($AN738+0.01)*3/13,0)+0.99),'Tax scales - NAT 1004'!$A$65:$C$73,3,1)),0)
*13/3,
0),
IF($E$2="Monthly",
ROUND(
ROUND(((TRUNC($AN738*3/13,0)+0.99)*VLOOKUP((TRUNC($AN738*3/13,0)+0.99),'Tax scales - NAT 1004'!$A$65:$C$73,2,1)-VLOOKUP((TRUNC($AN738*3/13,0)+0.99),'Tax scales - NAT 1004'!$A$65:$C$73,3,1)),0)
*13/3,
0),
""))),
""),
"")</f>
        <v/>
      </c>
      <c r="AU738" s="118" t="str">
        <f>IFERROR(
IF(VLOOKUP($C738,'Employee information'!$B:$M,COLUMNS('Employee information'!$B:$M),0)=11,
IF($E$2="Fortnightly",
ROUND(
ROUND((((TRUNC($AN738/2,0)+0.99))*VLOOKUP((TRUNC($AN738/2,0)+0.99),'Tax scales - NAT 3539'!$A$14:$C$38,2,1)-VLOOKUP((TRUNC($AN738/2,0)+0.99),'Tax scales - NAT 3539'!$A$14:$C$38,3,1)),0)
*2,
0),
IF(AND($E$2="Monthly",ROUND($AN738-TRUNC($AN738),2)=0.33),
ROUND(
ROUND(((TRUNC(($AN738+0.01)*3/13,0)+0.99)*VLOOKUP((TRUNC(($AN738+0.01)*3/13,0)+0.99),'Tax scales - NAT 3539'!$A$14:$C$38,2,1)-VLOOKUP((TRUNC(($AN738+0.01)*3/13,0)+0.99),'Tax scales - NAT 3539'!$A$14:$C$38,3,1)),0)
*13/3,
0),
IF($E$2="Monthly",
ROUND(
ROUND(((TRUNC($AN738*3/13,0)+0.99)*VLOOKUP((TRUNC($AN738*3/13,0)+0.99),'Tax scales - NAT 3539'!$A$14:$C$38,2,1)-VLOOKUP((TRUNC($AN738*3/13,0)+0.99),'Tax scales - NAT 3539'!$A$14:$C$38,3,1)),0)
*13/3,
0),
""))),
""),
"")</f>
        <v/>
      </c>
      <c r="AV738" s="118" t="str">
        <f>IFERROR(
IF(VLOOKUP($C738,'Employee information'!$B:$M,COLUMNS('Employee information'!$B:$M),0)=22,
IF($E$2="Fortnightly",
ROUND(
ROUND((((TRUNC($AN738/2,0)+0.99))*VLOOKUP((TRUNC($AN738/2,0)+0.99),'Tax scales - NAT 3539'!$A$43:$C$69,2,1)-VLOOKUP((TRUNC($AN738/2,0)+0.99),'Tax scales - NAT 3539'!$A$43:$C$69,3,1)),0)
*2,
0),
IF(AND($E$2="Monthly",ROUND($AN738-TRUNC($AN738),2)=0.33),
ROUND(
ROUND(((TRUNC(($AN738+0.01)*3/13,0)+0.99)*VLOOKUP((TRUNC(($AN738+0.01)*3/13,0)+0.99),'Tax scales - NAT 3539'!$A$43:$C$69,2,1)-VLOOKUP((TRUNC(($AN738+0.01)*3/13,0)+0.99),'Tax scales - NAT 3539'!$A$43:$C$69,3,1)),0)
*13/3,
0),
IF($E$2="Monthly",
ROUND(
ROUND(((TRUNC($AN738*3/13,0)+0.99)*VLOOKUP((TRUNC($AN738*3/13,0)+0.99),'Tax scales - NAT 3539'!$A$43:$C$69,2,1)-VLOOKUP((TRUNC($AN738*3/13,0)+0.99),'Tax scales - NAT 3539'!$A$43:$C$69,3,1)),0)
*13/3,
0),
""))),
""),
"")</f>
        <v/>
      </c>
      <c r="AW738" s="118">
        <f>IFERROR(
IF(VLOOKUP($C738,'Employee information'!$B:$M,COLUMNS('Employee information'!$B:$M),0)=33,
IF($E$2="Fortnightly",
ROUND(
ROUND((((TRUNC($AN738/2,0)+0.99))*VLOOKUP((TRUNC($AN738/2,0)+0.99),'Tax scales - NAT 3539'!$A$74:$C$94,2,1)-VLOOKUP((TRUNC($AN738/2,0)+0.99),'Tax scales - NAT 3539'!$A$74:$C$94,3,1)),0)
*2,
0),
IF(AND($E$2="Monthly",ROUND($AN738-TRUNC($AN738),2)=0.33),
ROUND(
ROUND(((TRUNC(($AN738+0.01)*3/13,0)+0.99)*VLOOKUP((TRUNC(($AN738+0.01)*3/13,0)+0.99),'Tax scales - NAT 3539'!$A$74:$C$94,2,1)-VLOOKUP((TRUNC(($AN738+0.01)*3/13,0)+0.99),'Tax scales - NAT 3539'!$A$74:$C$94,3,1)),0)
*13/3,
0),
IF($E$2="Monthly",
ROUND(
ROUND(((TRUNC($AN738*3/13,0)+0.99)*VLOOKUP((TRUNC($AN738*3/13,0)+0.99),'Tax scales - NAT 3539'!$A$74:$C$94,2,1)-VLOOKUP((TRUNC($AN738*3/13,0)+0.99),'Tax scales - NAT 3539'!$A$74:$C$94,3,1)),0)
*13/3,
0),
""))),
""),
"")</f>
        <v>0</v>
      </c>
      <c r="AX738" s="118" t="str">
        <f>IFERROR(
IF(VLOOKUP($C738,'Employee information'!$B:$M,COLUMNS('Employee information'!$B:$M),0)=55,
IF($E$2="Fortnightly",
ROUND(
ROUND((((TRUNC($AN738/2,0)+0.99))*VLOOKUP((TRUNC($AN738/2,0)+0.99),'Tax scales - NAT 3539'!$A$99:$C$123,2,1)-VLOOKUP((TRUNC($AN738/2,0)+0.99),'Tax scales - NAT 3539'!$A$99:$C$123,3,1)),0)
*2,
0),
IF(AND($E$2="Monthly",ROUND($AN738-TRUNC($AN738),2)=0.33),
ROUND(
ROUND(((TRUNC(($AN738+0.01)*3/13,0)+0.99)*VLOOKUP((TRUNC(($AN738+0.01)*3/13,0)+0.99),'Tax scales - NAT 3539'!$A$99:$C$123,2,1)-VLOOKUP((TRUNC(($AN738+0.01)*3/13,0)+0.99),'Tax scales - NAT 3539'!$A$99:$C$123,3,1)),0)
*13/3,
0),
IF($E$2="Monthly",
ROUND(
ROUND(((TRUNC($AN738*3/13,0)+0.99)*VLOOKUP((TRUNC($AN738*3/13,0)+0.99),'Tax scales - NAT 3539'!$A$99:$C$123,2,1)-VLOOKUP((TRUNC($AN738*3/13,0)+0.99),'Tax scales - NAT 3539'!$A$99:$C$123,3,1)),0)
*13/3,
0),
""))),
""),
"")</f>
        <v/>
      </c>
      <c r="AY738" s="118" t="str">
        <f>IFERROR(
IF(VLOOKUP($C738,'Employee information'!$B:$M,COLUMNS('Employee information'!$B:$M),0)=66,
IF($E$2="Fortnightly",
ROUND(
ROUND((((TRUNC($AN738/2,0)+0.99))*VLOOKUP((TRUNC($AN738/2,0)+0.99),'Tax scales - NAT 3539'!$A$127:$C$154,2,1)-VLOOKUP((TRUNC($AN738/2,0)+0.99),'Tax scales - NAT 3539'!$A$127:$C$154,3,1)),0)
*2,
0),
IF(AND($E$2="Monthly",ROUND($AN738-TRUNC($AN738),2)=0.33),
ROUND(
ROUND(((TRUNC(($AN738+0.01)*3/13,0)+0.99)*VLOOKUP((TRUNC(($AN738+0.01)*3/13,0)+0.99),'Tax scales - NAT 3539'!$A$127:$C$154,2,1)-VLOOKUP((TRUNC(($AN738+0.01)*3/13,0)+0.99),'Tax scales - NAT 3539'!$A$127:$C$154,3,1)),0)
*13/3,
0),
IF($E$2="Monthly",
ROUND(
ROUND(((TRUNC($AN738*3/13,0)+0.99)*VLOOKUP((TRUNC($AN738*3/13,0)+0.99),'Tax scales - NAT 3539'!$A$127:$C$154,2,1)-VLOOKUP((TRUNC($AN738*3/13,0)+0.99),'Tax scales - NAT 3539'!$A$127:$C$154,3,1)),0)
*13/3,
0),
""))),
""),
"")</f>
        <v/>
      </c>
      <c r="AZ738" s="118">
        <f>IFERROR(
HLOOKUP(VLOOKUP($C738,'Employee information'!$B:$M,COLUMNS('Employee information'!$B:$M),0),'PAYG worksheet'!$AO$735:$AY$754,COUNTA($C$736:$C738)+1,0),
0)</f>
        <v>0</v>
      </c>
      <c r="BA738" s="118"/>
      <c r="BB738" s="118">
        <f t="shared" si="790"/>
        <v>0</v>
      </c>
      <c r="BC738" s="119">
        <f>IFERROR(
IF(OR($AE738=1,$AE738=""),SUM($P738,$AA738,$AC738,$AK738)*VLOOKUP($C738,'Employee information'!$B:$Q,COLUMNS('Employee information'!$B:$H),0),
IF($AE738=0,SUM($P738,$AA738,$AK738)*VLOOKUP($C738,'Employee information'!$B:$Q,COLUMNS('Employee information'!$B:$H),0),
0)),
0)</f>
        <v>0</v>
      </c>
      <c r="BE738" s="114">
        <f t="shared" si="775"/>
        <v>900</v>
      </c>
      <c r="BF738" s="114">
        <f t="shared" si="776"/>
        <v>900</v>
      </c>
      <c r="BG738" s="114">
        <f t="shared" si="777"/>
        <v>0</v>
      </c>
      <c r="BH738" s="114">
        <f t="shared" si="778"/>
        <v>0</v>
      </c>
      <c r="BI738" s="114">
        <f t="shared" si="779"/>
        <v>292</v>
      </c>
      <c r="BJ738" s="114">
        <f t="shared" si="780"/>
        <v>0</v>
      </c>
      <c r="BK738" s="114">
        <f t="shared" si="781"/>
        <v>0</v>
      </c>
      <c r="BL738" s="114">
        <f t="shared" si="791"/>
        <v>0</v>
      </c>
      <c r="BM738" s="114">
        <f t="shared" si="782"/>
        <v>85.5</v>
      </c>
    </row>
    <row r="739" spans="1:65" x14ac:dyDescent="0.25">
      <c r="A739" s="228">
        <f t="shared" si="770"/>
        <v>26</v>
      </c>
      <c r="C739" s="278" t="s">
        <v>15</v>
      </c>
      <c r="E739" s="103">
        <f>IF($C739="",0,
IF(AND($E$2="Monthly",$A739&gt;12),0,
IF($E$2="Monthly",VLOOKUP($C739,'Employee information'!$B:$AM,COLUMNS('Employee information'!$B:S),0),
IF($E$2="Fortnightly",VLOOKUP($C739,'Employee information'!$B:$AM,COLUMNS('Employee information'!$B:R),0),
0))))</f>
        <v>75</v>
      </c>
      <c r="F739" s="106"/>
      <c r="G739" s="106"/>
      <c r="H739" s="106"/>
      <c r="I739" s="106"/>
      <c r="J739" s="103">
        <f t="shared" si="783"/>
        <v>75</v>
      </c>
      <c r="L739" s="113">
        <f>IF(AND($E$2="Monthly",$A739&gt;12),"",
IFERROR($J739*VLOOKUP($C739,'Employee information'!$B:$AI,COLUMNS('Employee information'!$B:$P),0),0))</f>
        <v>7692.3076923076924</v>
      </c>
      <c r="M739" s="114">
        <f t="shared" si="784"/>
        <v>199999.99999999994</v>
      </c>
      <c r="O739" s="103">
        <f t="shared" si="785"/>
        <v>75</v>
      </c>
      <c r="P739" s="113">
        <f>IFERROR(
IF(AND($E$2="Monthly",$A739&gt;12),0,
$O739*VLOOKUP($C739,'Employee information'!$B:$AI,COLUMNS('Employee information'!$B:$P),0)),
0)</f>
        <v>7692.3076923076924</v>
      </c>
      <c r="R739" s="114">
        <f t="shared" si="771"/>
        <v>199999.99999999994</v>
      </c>
      <c r="T739" s="103"/>
      <c r="U739" s="103"/>
      <c r="V739" s="282">
        <f>IF($C739="","",
IF(AND($E$2="Monthly",$A739&gt;12),"",
$T739*VLOOKUP($C739,'Employee information'!$B:$P,COLUMNS('Employee information'!$B:$P),0)))</f>
        <v>0</v>
      </c>
      <c r="W739" s="282">
        <f>IF($C739="","",
IF(AND($E$2="Monthly",$A739&gt;12),"",
$U739*VLOOKUP($C739,'Employee information'!$B:$P,COLUMNS('Employee information'!$B:$P),0)))</f>
        <v>0</v>
      </c>
      <c r="X739" s="114">
        <f t="shared" si="772"/>
        <v>1538.4615384615386</v>
      </c>
      <c r="Y739" s="114">
        <f t="shared" si="773"/>
        <v>512.82051282051282</v>
      </c>
      <c r="AA739" s="118">
        <f>IFERROR(
IF(OR('Basic payroll data'!$D$12="",'Basic payroll data'!$D$12="No"),0,
$T739*VLOOKUP($C739,'Employee information'!$B:$P,COLUMNS('Employee information'!$B:$P),0)*AL_loading_perc),
0)</f>
        <v>0</v>
      </c>
      <c r="AC739" s="118"/>
      <c r="AD739" s="118"/>
      <c r="AE739" s="283" t="str">
        <f t="shared" si="786"/>
        <v/>
      </c>
      <c r="AF739" s="283" t="str">
        <f t="shared" si="787"/>
        <v/>
      </c>
      <c r="AG739" s="118"/>
      <c r="AH739" s="118"/>
      <c r="AI739" s="283" t="str">
        <f t="shared" si="788"/>
        <v/>
      </c>
      <c r="AJ739" s="118"/>
      <c r="AK739" s="118"/>
      <c r="AM739" s="118">
        <f t="shared" si="789"/>
        <v>7692.3076923076924</v>
      </c>
      <c r="AN739" s="118">
        <f t="shared" si="774"/>
        <v>7692.3076923076924</v>
      </c>
      <c r="AO739" s="118" t="str">
        <f>IFERROR(
IF(VLOOKUP($C739,'Employee information'!$B:$M,COLUMNS('Employee information'!$B:$M),0)=1,
IF($E$2="Fortnightly",
ROUND(
ROUND((((TRUNC($AN739/2,0)+0.99))*VLOOKUP((TRUNC($AN739/2,0)+0.99),'Tax scales - NAT 1004'!$A$12:$C$18,2,1)-VLOOKUP((TRUNC($AN739/2,0)+0.99),'Tax scales - NAT 1004'!$A$12:$C$18,3,1)),0)
*2,
0),
IF(AND($E$2="Monthly",ROUND($AN739-TRUNC($AN739),2)=0.33),
ROUND(
ROUND(((TRUNC(($AN739+0.01)*3/13,0)+0.99)*VLOOKUP((TRUNC(($AN739+0.01)*3/13,0)+0.99),'Tax scales - NAT 1004'!$A$12:$C$18,2,1)-VLOOKUP((TRUNC(($AN739+0.01)*3/13,0)+0.99),'Tax scales - NAT 1004'!$A$12:$C$18,3,1)),0)
*13/3,
0),
IF($E$2="Monthly",
ROUND(
ROUND(((TRUNC($AN739*3/13,0)+0.99)*VLOOKUP((TRUNC($AN739*3/13,0)+0.99),'Tax scales - NAT 1004'!$A$12:$C$18,2,1)-VLOOKUP((TRUNC($AN739*3/13,0)+0.99),'Tax scales - NAT 1004'!$A$12:$C$18,3,1)),0)
*13/3,
0),
""))),
""),
"")</f>
        <v/>
      </c>
      <c r="AP739" s="118" t="str">
        <f>IFERROR(
IF(VLOOKUP($C739,'Employee information'!$B:$M,COLUMNS('Employee information'!$B:$M),0)=2,
IF($E$2="Fortnightly",
ROUND(
ROUND((((TRUNC($AN739/2,0)+0.99))*VLOOKUP((TRUNC($AN739/2,0)+0.99),'Tax scales - NAT 1004'!$A$25:$C$33,2,1)-VLOOKUP((TRUNC($AN739/2,0)+0.99),'Tax scales - NAT 1004'!$A$25:$C$33,3,1)),0)
*2,
0),
IF(AND($E$2="Monthly",ROUND($AN739-TRUNC($AN739),2)=0.33),
ROUND(
ROUND(((TRUNC(($AN739+0.01)*3/13,0)+0.99)*VLOOKUP((TRUNC(($AN739+0.01)*3/13,0)+0.99),'Tax scales - NAT 1004'!$A$25:$C$33,2,1)-VLOOKUP((TRUNC(($AN739+0.01)*3/13,0)+0.99),'Tax scales - NAT 1004'!$A$25:$C$33,3,1)),0)
*13/3,
0),
IF($E$2="Monthly",
ROUND(
ROUND(((TRUNC($AN739*3/13,0)+0.99)*VLOOKUP((TRUNC($AN739*3/13,0)+0.99),'Tax scales - NAT 1004'!$A$25:$C$33,2,1)-VLOOKUP((TRUNC($AN739*3/13,0)+0.99),'Tax scales - NAT 1004'!$A$25:$C$33,3,1)),0)
*13/3,
0),
""))),
""),
"")</f>
        <v/>
      </c>
      <c r="AQ739" s="118" t="str">
        <f>IFERROR(
IF(VLOOKUP($C739,'Employee information'!$B:$M,COLUMNS('Employee information'!$B:$M),0)=3,
IF($E$2="Fortnightly",
ROUND(
ROUND((((TRUNC($AN739/2,0)+0.99))*VLOOKUP((TRUNC($AN739/2,0)+0.99),'Tax scales - NAT 1004'!$A$39:$C$41,2,1)-VLOOKUP((TRUNC($AN739/2,0)+0.99),'Tax scales - NAT 1004'!$A$39:$C$41,3,1)),0)
*2,
0),
IF(AND($E$2="Monthly",ROUND($AN739-TRUNC($AN739),2)=0.33),
ROUND(
ROUND(((TRUNC(($AN739+0.01)*3/13,0)+0.99)*VLOOKUP((TRUNC(($AN739+0.01)*3/13,0)+0.99),'Tax scales - NAT 1004'!$A$39:$C$41,2,1)-VLOOKUP((TRUNC(($AN739+0.01)*3/13,0)+0.99),'Tax scales - NAT 1004'!$A$39:$C$41,3,1)),0)
*13/3,
0),
IF($E$2="Monthly",
ROUND(
ROUND(((TRUNC($AN739*3/13,0)+0.99)*VLOOKUP((TRUNC($AN739*3/13,0)+0.99),'Tax scales - NAT 1004'!$A$39:$C$41,2,1)-VLOOKUP((TRUNC($AN739*3/13,0)+0.99),'Tax scales - NAT 1004'!$A$39:$C$41,3,1)),0)
*13/3,
0),
""))),
""),
"")</f>
        <v/>
      </c>
      <c r="AR739" s="118" t="str">
        <f>IFERROR(
IF(AND(VLOOKUP($C739,'Employee information'!$B:$M,COLUMNS('Employee information'!$B:$M),0)=4,
VLOOKUP($C739,'Employee information'!$B:$J,COLUMNS('Employee information'!$B:$J),0)="Resident"),
TRUNC(TRUNC($AN739)*'Tax scales - NAT 1004'!$B$47),
IF(AND(VLOOKUP($C739,'Employee information'!$B:$M,COLUMNS('Employee information'!$B:$M),0)=4,
VLOOKUP($C739,'Employee information'!$B:$J,COLUMNS('Employee information'!$B:$J),0)="Foreign resident"),
TRUNC(TRUNC($AN739)*'Tax scales - NAT 1004'!$B$48),
"")),
"")</f>
        <v/>
      </c>
      <c r="AS739" s="118" t="str">
        <f>IFERROR(
IF(VLOOKUP($C739,'Employee information'!$B:$M,COLUMNS('Employee information'!$B:$M),0)=5,
IF($E$2="Fortnightly",
ROUND(
ROUND((((TRUNC($AN739/2,0)+0.99))*VLOOKUP((TRUNC($AN739/2,0)+0.99),'Tax scales - NAT 1004'!$A$53:$C$59,2,1)-VLOOKUP((TRUNC($AN739/2,0)+0.99),'Tax scales - NAT 1004'!$A$53:$C$59,3,1)),0)
*2,
0),
IF(AND($E$2="Monthly",ROUND($AN739-TRUNC($AN739),2)=0.33),
ROUND(
ROUND(((TRUNC(($AN739+0.01)*3/13,0)+0.99)*VLOOKUP((TRUNC(($AN739+0.01)*3/13,0)+0.99),'Tax scales - NAT 1004'!$A$53:$C$59,2,1)-VLOOKUP((TRUNC(($AN739+0.01)*3/13,0)+0.99),'Tax scales - NAT 1004'!$A$53:$C$59,3,1)),0)
*13/3,
0),
IF($E$2="Monthly",
ROUND(
ROUND(((TRUNC($AN739*3/13,0)+0.99)*VLOOKUP((TRUNC($AN739*3/13,0)+0.99),'Tax scales - NAT 1004'!$A$53:$C$59,2,1)-VLOOKUP((TRUNC($AN739*3/13,0)+0.99),'Tax scales - NAT 1004'!$A$53:$C$59,3,1)),0)
*13/3,
0),
""))),
""),
"")</f>
        <v/>
      </c>
      <c r="AT739" s="118" t="str">
        <f>IFERROR(
IF(VLOOKUP($C739,'Employee information'!$B:$M,COLUMNS('Employee information'!$B:$M),0)=6,
IF($E$2="Fortnightly",
ROUND(
ROUND((((TRUNC($AN739/2,0)+0.99))*VLOOKUP((TRUNC($AN739/2,0)+0.99),'Tax scales - NAT 1004'!$A$65:$C$73,2,1)-VLOOKUP((TRUNC($AN739/2,0)+0.99),'Tax scales - NAT 1004'!$A$65:$C$73,3,1)),0)
*2,
0),
IF(AND($E$2="Monthly",ROUND($AN739-TRUNC($AN739),2)=0.33),
ROUND(
ROUND(((TRUNC(($AN739+0.01)*3/13,0)+0.99)*VLOOKUP((TRUNC(($AN739+0.01)*3/13,0)+0.99),'Tax scales - NAT 1004'!$A$65:$C$73,2,1)-VLOOKUP((TRUNC(($AN739+0.01)*3/13,0)+0.99),'Tax scales - NAT 1004'!$A$65:$C$73,3,1)),0)
*13/3,
0),
IF($E$2="Monthly",
ROUND(
ROUND(((TRUNC($AN739*3/13,0)+0.99)*VLOOKUP((TRUNC($AN739*3/13,0)+0.99),'Tax scales - NAT 1004'!$A$65:$C$73,2,1)-VLOOKUP((TRUNC($AN739*3/13,0)+0.99),'Tax scales - NAT 1004'!$A$65:$C$73,3,1)),0)
*13/3,
0),
""))),
""),
"")</f>
        <v/>
      </c>
      <c r="AU739" s="118" t="str">
        <f>IFERROR(
IF(VLOOKUP($C739,'Employee information'!$B:$M,COLUMNS('Employee information'!$B:$M),0)=11,
IF($E$2="Fortnightly",
ROUND(
ROUND((((TRUNC($AN739/2,0)+0.99))*VLOOKUP((TRUNC($AN739/2,0)+0.99),'Tax scales - NAT 3539'!$A$14:$C$38,2,1)-VLOOKUP((TRUNC($AN739/2,0)+0.99),'Tax scales - NAT 3539'!$A$14:$C$38,3,1)),0)
*2,
0),
IF(AND($E$2="Monthly",ROUND($AN739-TRUNC($AN739),2)=0.33),
ROUND(
ROUND(((TRUNC(($AN739+0.01)*3/13,0)+0.99)*VLOOKUP((TRUNC(($AN739+0.01)*3/13,0)+0.99),'Tax scales - NAT 3539'!$A$14:$C$38,2,1)-VLOOKUP((TRUNC(($AN739+0.01)*3/13,0)+0.99),'Tax scales - NAT 3539'!$A$14:$C$38,3,1)),0)
*13/3,
0),
IF($E$2="Monthly",
ROUND(
ROUND(((TRUNC($AN739*3/13,0)+0.99)*VLOOKUP((TRUNC($AN739*3/13,0)+0.99),'Tax scales - NAT 3539'!$A$14:$C$38,2,1)-VLOOKUP((TRUNC($AN739*3/13,0)+0.99),'Tax scales - NAT 3539'!$A$14:$C$38,3,1)),0)
*13/3,
0),
""))),
""),
"")</f>
        <v/>
      </c>
      <c r="AV739" s="118" t="str">
        <f>IFERROR(
IF(VLOOKUP($C739,'Employee information'!$B:$M,COLUMNS('Employee information'!$B:$M),0)=22,
IF($E$2="Fortnightly",
ROUND(
ROUND((((TRUNC($AN739/2,0)+0.99))*VLOOKUP((TRUNC($AN739/2,0)+0.99),'Tax scales - NAT 3539'!$A$43:$C$69,2,1)-VLOOKUP((TRUNC($AN739/2,0)+0.99),'Tax scales - NAT 3539'!$A$43:$C$69,3,1)),0)
*2,
0),
IF(AND($E$2="Monthly",ROUND($AN739-TRUNC($AN739),2)=0.33),
ROUND(
ROUND(((TRUNC(($AN739+0.01)*3/13,0)+0.99)*VLOOKUP((TRUNC(($AN739+0.01)*3/13,0)+0.99),'Tax scales - NAT 3539'!$A$43:$C$69,2,1)-VLOOKUP((TRUNC(($AN739+0.01)*3/13,0)+0.99),'Tax scales - NAT 3539'!$A$43:$C$69,3,1)),0)
*13/3,
0),
IF($E$2="Monthly",
ROUND(
ROUND(((TRUNC($AN739*3/13,0)+0.99)*VLOOKUP((TRUNC($AN739*3/13,0)+0.99),'Tax scales - NAT 3539'!$A$43:$C$69,2,1)-VLOOKUP((TRUNC($AN739*3/13,0)+0.99),'Tax scales - NAT 3539'!$A$43:$C$69,3,1)),0)
*13/3,
0),
""))),
""),
"")</f>
        <v/>
      </c>
      <c r="AW739" s="118" t="str">
        <f>IFERROR(
IF(VLOOKUP($C739,'Employee information'!$B:$M,COLUMNS('Employee information'!$B:$M),0)=33,
IF($E$2="Fortnightly",
ROUND(
ROUND((((TRUNC($AN739/2,0)+0.99))*VLOOKUP((TRUNC($AN739/2,0)+0.99),'Tax scales - NAT 3539'!$A$74:$C$94,2,1)-VLOOKUP((TRUNC($AN739/2,0)+0.99),'Tax scales - NAT 3539'!$A$74:$C$94,3,1)),0)
*2,
0),
IF(AND($E$2="Monthly",ROUND($AN739-TRUNC($AN739),2)=0.33),
ROUND(
ROUND(((TRUNC(($AN739+0.01)*3/13,0)+0.99)*VLOOKUP((TRUNC(($AN739+0.01)*3/13,0)+0.99),'Tax scales - NAT 3539'!$A$74:$C$94,2,1)-VLOOKUP((TRUNC(($AN739+0.01)*3/13,0)+0.99),'Tax scales - NAT 3539'!$A$74:$C$94,3,1)),0)
*13/3,
0),
IF($E$2="Monthly",
ROUND(
ROUND(((TRUNC($AN739*3/13,0)+0.99)*VLOOKUP((TRUNC($AN739*3/13,0)+0.99),'Tax scales - NAT 3539'!$A$74:$C$94,2,1)-VLOOKUP((TRUNC($AN739*3/13,0)+0.99),'Tax scales - NAT 3539'!$A$74:$C$94,3,1)),0)
*13/3,
0),
""))),
""),
"")</f>
        <v/>
      </c>
      <c r="AX739" s="118">
        <f>IFERROR(
IF(VLOOKUP($C739,'Employee information'!$B:$M,COLUMNS('Employee information'!$B:$M),0)=55,
IF($E$2="Fortnightly",
ROUND(
ROUND((((TRUNC($AN739/2,0)+0.99))*VLOOKUP((TRUNC($AN739/2,0)+0.99),'Tax scales - NAT 3539'!$A$99:$C$123,2,1)-VLOOKUP((TRUNC($AN739/2,0)+0.99),'Tax scales - NAT 3539'!$A$99:$C$123,3,1)),0)
*2,
0),
IF(AND($E$2="Monthly",ROUND($AN739-TRUNC($AN739),2)=0.33),
ROUND(
ROUND(((TRUNC(($AN739+0.01)*3/13,0)+0.99)*VLOOKUP((TRUNC(($AN739+0.01)*3/13,0)+0.99),'Tax scales - NAT 3539'!$A$99:$C$123,2,1)-VLOOKUP((TRUNC(($AN739+0.01)*3/13,0)+0.99),'Tax scales - NAT 3539'!$A$99:$C$123,3,1)),0)
*13/3,
0),
IF($E$2="Monthly",
ROUND(
ROUND(((TRUNC($AN739*3/13,0)+0.99)*VLOOKUP((TRUNC($AN739*3/13,0)+0.99),'Tax scales - NAT 3539'!$A$99:$C$123,2,1)-VLOOKUP((TRUNC($AN739*3/13,0)+0.99),'Tax scales - NAT 3539'!$A$99:$C$123,3,1)),0)
*13/3,
0),
""))),
""),
"")</f>
        <v>3104</v>
      </c>
      <c r="AY739" s="118" t="str">
        <f>IFERROR(
IF(VLOOKUP($C739,'Employee information'!$B:$M,COLUMNS('Employee information'!$B:$M),0)=66,
IF($E$2="Fortnightly",
ROUND(
ROUND((((TRUNC($AN739/2,0)+0.99))*VLOOKUP((TRUNC($AN739/2,0)+0.99),'Tax scales - NAT 3539'!$A$127:$C$154,2,1)-VLOOKUP((TRUNC($AN739/2,0)+0.99),'Tax scales - NAT 3539'!$A$127:$C$154,3,1)),0)
*2,
0),
IF(AND($E$2="Monthly",ROUND($AN739-TRUNC($AN739),2)=0.33),
ROUND(
ROUND(((TRUNC(($AN739+0.01)*3/13,0)+0.99)*VLOOKUP((TRUNC(($AN739+0.01)*3/13,0)+0.99),'Tax scales - NAT 3539'!$A$127:$C$154,2,1)-VLOOKUP((TRUNC(($AN739+0.01)*3/13,0)+0.99),'Tax scales - NAT 3539'!$A$127:$C$154,3,1)),0)
*13/3,
0),
IF($E$2="Monthly",
ROUND(
ROUND(((TRUNC($AN739*3/13,0)+0.99)*VLOOKUP((TRUNC($AN739*3/13,0)+0.99),'Tax scales - NAT 3539'!$A$127:$C$154,2,1)-VLOOKUP((TRUNC($AN739*3/13,0)+0.99),'Tax scales - NAT 3539'!$A$127:$C$154,3,1)),0)
*13/3,
0),
""))),
""),
"")</f>
        <v/>
      </c>
      <c r="AZ739" s="118">
        <f>IFERROR(
HLOOKUP(VLOOKUP($C739,'Employee information'!$B:$M,COLUMNS('Employee information'!$B:$M),0),'PAYG worksheet'!$AO$735:$AY$754,COUNTA($C$736:$C739)+1,0),
0)</f>
        <v>3104</v>
      </c>
      <c r="BA739" s="118"/>
      <c r="BB739" s="118">
        <f t="shared" si="790"/>
        <v>4588.3076923076924</v>
      </c>
      <c r="BC739" s="119">
        <f>IFERROR(
IF(OR($AE739=1,$AE739=""),SUM($P739,$AA739,$AC739,$AK739)*VLOOKUP($C739,'Employee information'!$B:$Q,COLUMNS('Employee information'!$B:$H),0),
IF($AE739=0,SUM($P739,$AA739,$AK739)*VLOOKUP($C739,'Employee information'!$B:$Q,COLUMNS('Employee information'!$B:$H),0),
0)),
0)</f>
        <v>730.76923076923083</v>
      </c>
      <c r="BE739" s="114">
        <f t="shared" si="775"/>
        <v>200139.99999999994</v>
      </c>
      <c r="BF739" s="114">
        <f t="shared" si="776"/>
        <v>199999.99999999994</v>
      </c>
      <c r="BG739" s="114">
        <f t="shared" si="777"/>
        <v>0</v>
      </c>
      <c r="BH739" s="114">
        <f t="shared" si="778"/>
        <v>140</v>
      </c>
      <c r="BI739" s="114">
        <f t="shared" si="779"/>
        <v>80704</v>
      </c>
      <c r="BJ739" s="114">
        <f t="shared" si="780"/>
        <v>0</v>
      </c>
      <c r="BK739" s="114">
        <f t="shared" si="781"/>
        <v>0</v>
      </c>
      <c r="BL739" s="114">
        <f t="shared" si="791"/>
        <v>0</v>
      </c>
      <c r="BM739" s="114">
        <f t="shared" si="782"/>
        <v>18999.999999999996</v>
      </c>
    </row>
    <row r="740" spans="1:65" x14ac:dyDescent="0.25">
      <c r="A740" s="228">
        <f t="shared" si="770"/>
        <v>26</v>
      </c>
      <c r="C740" s="278" t="s">
        <v>16</v>
      </c>
      <c r="E740" s="103">
        <f>IF($C740="",0,
IF(AND($E$2="Monthly",$A740&gt;12),0,
IF($E$2="Monthly",VLOOKUP($C740,'Employee information'!$B:$AM,COLUMNS('Employee information'!$B:S),0),
IF($E$2="Fortnightly",VLOOKUP($C740,'Employee information'!$B:$AM,COLUMNS('Employee information'!$B:R),0),
0))))</f>
        <v>75</v>
      </c>
      <c r="F740" s="106"/>
      <c r="G740" s="106"/>
      <c r="H740" s="106"/>
      <c r="I740" s="106"/>
      <c r="J740" s="103">
        <f t="shared" si="783"/>
        <v>75</v>
      </c>
      <c r="L740" s="113">
        <f>IF(AND($E$2="Monthly",$A740&gt;12),"",
IFERROR($J740*VLOOKUP($C740,'Employee information'!$B:$AI,COLUMNS('Employee information'!$B:$P),0),0))</f>
        <v>4125</v>
      </c>
      <c r="M740" s="114">
        <f t="shared" si="784"/>
        <v>107250</v>
      </c>
      <c r="O740" s="103">
        <f t="shared" si="785"/>
        <v>75</v>
      </c>
      <c r="P740" s="113">
        <f>IFERROR(
IF(AND($E$2="Monthly",$A740&gt;12),0,
$O740*VLOOKUP($C740,'Employee information'!$B:$AI,COLUMNS('Employee information'!$B:$P),0)),
0)</f>
        <v>4125</v>
      </c>
      <c r="R740" s="114">
        <f t="shared" si="771"/>
        <v>107250</v>
      </c>
      <c r="T740" s="103"/>
      <c r="U740" s="103"/>
      <c r="V740" s="282">
        <f>IF($C740="","",
IF(AND($E$2="Monthly",$A740&gt;12),"",
$T740*VLOOKUP($C740,'Employee information'!$B:$P,COLUMNS('Employee information'!$B:$P),0)))</f>
        <v>0</v>
      </c>
      <c r="W740" s="282">
        <f>IF($C740="","",
IF(AND($E$2="Monthly",$A740&gt;12),"",
$U740*VLOOKUP($C740,'Employee information'!$B:$P,COLUMNS('Employee information'!$B:$P),0)))</f>
        <v>0</v>
      </c>
      <c r="X740" s="114">
        <f t="shared" si="772"/>
        <v>0</v>
      </c>
      <c r="Y740" s="114">
        <f t="shared" si="773"/>
        <v>0</v>
      </c>
      <c r="AA740" s="118">
        <f>IFERROR(
IF(OR('Basic payroll data'!$D$12="",'Basic payroll data'!$D$12="No"),0,
$T740*VLOOKUP($C740,'Employee information'!$B:$P,COLUMNS('Employee information'!$B:$P),0)*AL_loading_perc),
0)</f>
        <v>0</v>
      </c>
      <c r="AC740" s="118"/>
      <c r="AD740" s="118"/>
      <c r="AE740" s="283" t="str">
        <f t="shared" si="786"/>
        <v/>
      </c>
      <c r="AF740" s="283" t="str">
        <f t="shared" si="787"/>
        <v/>
      </c>
      <c r="AG740" s="118"/>
      <c r="AH740" s="118"/>
      <c r="AI740" s="283" t="str">
        <f t="shared" si="788"/>
        <v/>
      </c>
      <c r="AJ740" s="118"/>
      <c r="AK740" s="118"/>
      <c r="AM740" s="118">
        <f t="shared" si="789"/>
        <v>4125</v>
      </c>
      <c r="AN740" s="118">
        <f t="shared" si="774"/>
        <v>4125</v>
      </c>
      <c r="AO740" s="118" t="str">
        <f>IFERROR(
IF(VLOOKUP($C740,'Employee information'!$B:$M,COLUMNS('Employee information'!$B:$M),0)=1,
IF($E$2="Fortnightly",
ROUND(
ROUND((((TRUNC($AN740/2,0)+0.99))*VLOOKUP((TRUNC($AN740/2,0)+0.99),'Tax scales - NAT 1004'!$A$12:$C$18,2,1)-VLOOKUP((TRUNC($AN740/2,0)+0.99),'Tax scales - NAT 1004'!$A$12:$C$18,3,1)),0)
*2,
0),
IF(AND($E$2="Monthly",ROUND($AN740-TRUNC($AN740),2)=0.33),
ROUND(
ROUND(((TRUNC(($AN740+0.01)*3/13,0)+0.99)*VLOOKUP((TRUNC(($AN740+0.01)*3/13,0)+0.99),'Tax scales - NAT 1004'!$A$12:$C$18,2,1)-VLOOKUP((TRUNC(($AN740+0.01)*3/13,0)+0.99),'Tax scales - NAT 1004'!$A$12:$C$18,3,1)),0)
*13/3,
0),
IF($E$2="Monthly",
ROUND(
ROUND(((TRUNC($AN740*3/13,0)+0.99)*VLOOKUP((TRUNC($AN740*3/13,0)+0.99),'Tax scales - NAT 1004'!$A$12:$C$18,2,1)-VLOOKUP((TRUNC($AN740*3/13,0)+0.99),'Tax scales - NAT 1004'!$A$12:$C$18,3,1)),0)
*13/3,
0),
""))),
""),
"")</f>
        <v/>
      </c>
      <c r="AP740" s="118" t="str">
        <f>IFERROR(
IF(VLOOKUP($C740,'Employee information'!$B:$M,COLUMNS('Employee information'!$B:$M),0)=2,
IF($E$2="Fortnightly",
ROUND(
ROUND((((TRUNC($AN740/2,0)+0.99))*VLOOKUP((TRUNC($AN740/2,0)+0.99),'Tax scales - NAT 1004'!$A$25:$C$33,2,1)-VLOOKUP((TRUNC($AN740/2,0)+0.99),'Tax scales - NAT 1004'!$A$25:$C$33,3,1)),0)
*2,
0),
IF(AND($E$2="Monthly",ROUND($AN740-TRUNC($AN740),2)=0.33),
ROUND(
ROUND(((TRUNC(($AN740+0.01)*3/13,0)+0.99)*VLOOKUP((TRUNC(($AN740+0.01)*3/13,0)+0.99),'Tax scales - NAT 1004'!$A$25:$C$33,2,1)-VLOOKUP((TRUNC(($AN740+0.01)*3/13,0)+0.99),'Tax scales - NAT 1004'!$A$25:$C$33,3,1)),0)
*13/3,
0),
IF($E$2="Monthly",
ROUND(
ROUND(((TRUNC($AN740*3/13,0)+0.99)*VLOOKUP((TRUNC($AN740*3/13,0)+0.99),'Tax scales - NAT 1004'!$A$25:$C$33,2,1)-VLOOKUP((TRUNC($AN740*3/13,0)+0.99),'Tax scales - NAT 1004'!$A$25:$C$33,3,1)),0)
*13/3,
0),
""))),
""),
"")</f>
        <v/>
      </c>
      <c r="AQ740" s="118" t="str">
        <f>IFERROR(
IF(VLOOKUP($C740,'Employee information'!$B:$M,COLUMNS('Employee information'!$B:$M),0)=3,
IF($E$2="Fortnightly",
ROUND(
ROUND((((TRUNC($AN740/2,0)+0.99))*VLOOKUP((TRUNC($AN740/2,0)+0.99),'Tax scales - NAT 1004'!$A$39:$C$41,2,1)-VLOOKUP((TRUNC($AN740/2,0)+0.99),'Tax scales - NAT 1004'!$A$39:$C$41,3,1)),0)
*2,
0),
IF(AND($E$2="Monthly",ROUND($AN740-TRUNC($AN740),2)=0.33),
ROUND(
ROUND(((TRUNC(($AN740+0.01)*3/13,0)+0.99)*VLOOKUP((TRUNC(($AN740+0.01)*3/13,0)+0.99),'Tax scales - NAT 1004'!$A$39:$C$41,2,1)-VLOOKUP((TRUNC(($AN740+0.01)*3/13,0)+0.99),'Tax scales - NAT 1004'!$A$39:$C$41,3,1)),0)
*13/3,
0),
IF($E$2="Monthly",
ROUND(
ROUND(((TRUNC($AN740*3/13,0)+0.99)*VLOOKUP((TRUNC($AN740*3/13,0)+0.99),'Tax scales - NAT 1004'!$A$39:$C$41,2,1)-VLOOKUP((TRUNC($AN740*3/13,0)+0.99),'Tax scales - NAT 1004'!$A$39:$C$41,3,1)),0)
*13/3,
0),
""))),
""),
"")</f>
        <v/>
      </c>
      <c r="AR740" s="118" t="str">
        <f>IFERROR(
IF(AND(VLOOKUP($C740,'Employee information'!$B:$M,COLUMNS('Employee information'!$B:$M),0)=4,
VLOOKUP($C740,'Employee information'!$B:$J,COLUMNS('Employee information'!$B:$J),0)="Resident"),
TRUNC(TRUNC($AN740)*'Tax scales - NAT 1004'!$B$47),
IF(AND(VLOOKUP($C740,'Employee information'!$B:$M,COLUMNS('Employee information'!$B:$M),0)=4,
VLOOKUP($C740,'Employee information'!$B:$J,COLUMNS('Employee information'!$B:$J),0)="Foreign resident"),
TRUNC(TRUNC($AN740)*'Tax scales - NAT 1004'!$B$48),
"")),
"")</f>
        <v/>
      </c>
      <c r="AS740" s="118" t="str">
        <f>IFERROR(
IF(VLOOKUP($C740,'Employee information'!$B:$M,COLUMNS('Employee information'!$B:$M),0)=5,
IF($E$2="Fortnightly",
ROUND(
ROUND((((TRUNC($AN740/2,0)+0.99))*VLOOKUP((TRUNC($AN740/2,0)+0.99),'Tax scales - NAT 1004'!$A$53:$C$59,2,1)-VLOOKUP((TRUNC($AN740/2,0)+0.99),'Tax scales - NAT 1004'!$A$53:$C$59,3,1)),0)
*2,
0),
IF(AND($E$2="Monthly",ROUND($AN740-TRUNC($AN740),2)=0.33),
ROUND(
ROUND(((TRUNC(($AN740+0.01)*3/13,0)+0.99)*VLOOKUP((TRUNC(($AN740+0.01)*3/13,0)+0.99),'Tax scales - NAT 1004'!$A$53:$C$59,2,1)-VLOOKUP((TRUNC(($AN740+0.01)*3/13,0)+0.99),'Tax scales - NAT 1004'!$A$53:$C$59,3,1)),0)
*13/3,
0),
IF($E$2="Monthly",
ROUND(
ROUND(((TRUNC($AN740*3/13,0)+0.99)*VLOOKUP((TRUNC($AN740*3/13,0)+0.99),'Tax scales - NAT 1004'!$A$53:$C$59,2,1)-VLOOKUP((TRUNC($AN740*3/13,0)+0.99),'Tax scales - NAT 1004'!$A$53:$C$59,3,1)),0)
*13/3,
0),
""))),
""),
"")</f>
        <v/>
      </c>
      <c r="AT740" s="118" t="str">
        <f>IFERROR(
IF(VLOOKUP($C740,'Employee information'!$B:$M,COLUMNS('Employee information'!$B:$M),0)=6,
IF($E$2="Fortnightly",
ROUND(
ROUND((((TRUNC($AN740/2,0)+0.99))*VLOOKUP((TRUNC($AN740/2,0)+0.99),'Tax scales - NAT 1004'!$A$65:$C$73,2,1)-VLOOKUP((TRUNC($AN740/2,0)+0.99),'Tax scales - NAT 1004'!$A$65:$C$73,3,1)),0)
*2,
0),
IF(AND($E$2="Monthly",ROUND($AN740-TRUNC($AN740),2)=0.33),
ROUND(
ROUND(((TRUNC(($AN740+0.01)*3/13,0)+0.99)*VLOOKUP((TRUNC(($AN740+0.01)*3/13,0)+0.99),'Tax scales - NAT 1004'!$A$65:$C$73,2,1)-VLOOKUP((TRUNC(($AN740+0.01)*3/13,0)+0.99),'Tax scales - NAT 1004'!$A$65:$C$73,3,1)),0)
*13/3,
0),
IF($E$2="Monthly",
ROUND(
ROUND(((TRUNC($AN740*3/13,0)+0.99)*VLOOKUP((TRUNC($AN740*3/13,0)+0.99),'Tax scales - NAT 1004'!$A$65:$C$73,2,1)-VLOOKUP((TRUNC($AN740*3/13,0)+0.99),'Tax scales - NAT 1004'!$A$65:$C$73,3,1)),0)
*13/3,
0),
""))),
""),
"")</f>
        <v/>
      </c>
      <c r="AU740" s="118">
        <f>IFERROR(
IF(VLOOKUP($C740,'Employee information'!$B:$M,COLUMNS('Employee information'!$B:$M),0)=11,
IF($E$2="Fortnightly",
ROUND(
ROUND((((TRUNC($AN740/2,0)+0.99))*VLOOKUP((TRUNC($AN740/2,0)+0.99),'Tax scales - NAT 3539'!$A$14:$C$38,2,1)-VLOOKUP((TRUNC($AN740/2,0)+0.99),'Tax scales - NAT 3539'!$A$14:$C$38,3,1)),0)
*2,
0),
IF(AND($E$2="Monthly",ROUND($AN740-TRUNC($AN740),2)=0.33),
ROUND(
ROUND(((TRUNC(($AN740+0.01)*3/13,0)+0.99)*VLOOKUP((TRUNC(($AN740+0.01)*3/13,0)+0.99),'Tax scales - NAT 3539'!$A$14:$C$38,2,1)-VLOOKUP((TRUNC(($AN740+0.01)*3/13,0)+0.99),'Tax scales - NAT 3539'!$A$14:$C$38,3,1)),0)
*13/3,
0),
IF($E$2="Monthly",
ROUND(
ROUND(((TRUNC($AN740*3/13,0)+0.99)*VLOOKUP((TRUNC($AN740*3/13,0)+0.99),'Tax scales - NAT 3539'!$A$14:$C$38,2,1)-VLOOKUP((TRUNC($AN740*3/13,0)+0.99),'Tax scales - NAT 3539'!$A$14:$C$38,3,1)),0)
*13/3,
0),
""))),
""),
"")</f>
        <v>1680</v>
      </c>
      <c r="AV740" s="118" t="str">
        <f>IFERROR(
IF(VLOOKUP($C740,'Employee information'!$B:$M,COLUMNS('Employee information'!$B:$M),0)=22,
IF($E$2="Fortnightly",
ROUND(
ROUND((((TRUNC($AN740/2,0)+0.99))*VLOOKUP((TRUNC($AN740/2,0)+0.99),'Tax scales - NAT 3539'!$A$43:$C$69,2,1)-VLOOKUP((TRUNC($AN740/2,0)+0.99),'Tax scales - NAT 3539'!$A$43:$C$69,3,1)),0)
*2,
0),
IF(AND($E$2="Monthly",ROUND($AN740-TRUNC($AN740),2)=0.33),
ROUND(
ROUND(((TRUNC(($AN740+0.01)*3/13,0)+0.99)*VLOOKUP((TRUNC(($AN740+0.01)*3/13,0)+0.99),'Tax scales - NAT 3539'!$A$43:$C$69,2,1)-VLOOKUP((TRUNC(($AN740+0.01)*3/13,0)+0.99),'Tax scales - NAT 3539'!$A$43:$C$69,3,1)),0)
*13/3,
0),
IF($E$2="Monthly",
ROUND(
ROUND(((TRUNC($AN740*3/13,0)+0.99)*VLOOKUP((TRUNC($AN740*3/13,0)+0.99),'Tax scales - NAT 3539'!$A$43:$C$69,2,1)-VLOOKUP((TRUNC($AN740*3/13,0)+0.99),'Tax scales - NAT 3539'!$A$43:$C$69,3,1)),0)
*13/3,
0),
""))),
""),
"")</f>
        <v/>
      </c>
      <c r="AW740" s="118" t="str">
        <f>IFERROR(
IF(VLOOKUP($C740,'Employee information'!$B:$M,COLUMNS('Employee information'!$B:$M),0)=33,
IF($E$2="Fortnightly",
ROUND(
ROUND((((TRUNC($AN740/2,0)+0.99))*VLOOKUP((TRUNC($AN740/2,0)+0.99),'Tax scales - NAT 3539'!$A$74:$C$94,2,1)-VLOOKUP((TRUNC($AN740/2,0)+0.99),'Tax scales - NAT 3539'!$A$74:$C$94,3,1)),0)
*2,
0),
IF(AND($E$2="Monthly",ROUND($AN740-TRUNC($AN740),2)=0.33),
ROUND(
ROUND(((TRUNC(($AN740+0.01)*3/13,0)+0.99)*VLOOKUP((TRUNC(($AN740+0.01)*3/13,0)+0.99),'Tax scales - NAT 3539'!$A$74:$C$94,2,1)-VLOOKUP((TRUNC(($AN740+0.01)*3/13,0)+0.99),'Tax scales - NAT 3539'!$A$74:$C$94,3,1)),0)
*13/3,
0),
IF($E$2="Monthly",
ROUND(
ROUND(((TRUNC($AN740*3/13,0)+0.99)*VLOOKUP((TRUNC($AN740*3/13,0)+0.99),'Tax scales - NAT 3539'!$A$74:$C$94,2,1)-VLOOKUP((TRUNC($AN740*3/13,0)+0.99),'Tax scales - NAT 3539'!$A$74:$C$94,3,1)),0)
*13/3,
0),
""))),
""),
"")</f>
        <v/>
      </c>
      <c r="AX740" s="118" t="str">
        <f>IFERROR(
IF(VLOOKUP($C740,'Employee information'!$B:$M,COLUMNS('Employee information'!$B:$M),0)=55,
IF($E$2="Fortnightly",
ROUND(
ROUND((((TRUNC($AN740/2,0)+0.99))*VLOOKUP((TRUNC($AN740/2,0)+0.99),'Tax scales - NAT 3539'!$A$99:$C$123,2,1)-VLOOKUP((TRUNC($AN740/2,0)+0.99),'Tax scales - NAT 3539'!$A$99:$C$123,3,1)),0)
*2,
0),
IF(AND($E$2="Monthly",ROUND($AN740-TRUNC($AN740),2)=0.33),
ROUND(
ROUND(((TRUNC(($AN740+0.01)*3/13,0)+0.99)*VLOOKUP((TRUNC(($AN740+0.01)*3/13,0)+0.99),'Tax scales - NAT 3539'!$A$99:$C$123,2,1)-VLOOKUP((TRUNC(($AN740+0.01)*3/13,0)+0.99),'Tax scales - NAT 3539'!$A$99:$C$123,3,1)),0)
*13/3,
0),
IF($E$2="Monthly",
ROUND(
ROUND(((TRUNC($AN740*3/13,0)+0.99)*VLOOKUP((TRUNC($AN740*3/13,0)+0.99),'Tax scales - NAT 3539'!$A$99:$C$123,2,1)-VLOOKUP((TRUNC($AN740*3/13,0)+0.99),'Tax scales - NAT 3539'!$A$99:$C$123,3,1)),0)
*13/3,
0),
""))),
""),
"")</f>
        <v/>
      </c>
      <c r="AY740" s="118" t="str">
        <f>IFERROR(
IF(VLOOKUP($C740,'Employee information'!$B:$M,COLUMNS('Employee information'!$B:$M),0)=66,
IF($E$2="Fortnightly",
ROUND(
ROUND((((TRUNC($AN740/2,0)+0.99))*VLOOKUP((TRUNC($AN740/2,0)+0.99),'Tax scales - NAT 3539'!$A$127:$C$154,2,1)-VLOOKUP((TRUNC($AN740/2,0)+0.99),'Tax scales - NAT 3539'!$A$127:$C$154,3,1)),0)
*2,
0),
IF(AND($E$2="Monthly",ROUND($AN740-TRUNC($AN740),2)=0.33),
ROUND(
ROUND(((TRUNC(($AN740+0.01)*3/13,0)+0.99)*VLOOKUP((TRUNC(($AN740+0.01)*3/13,0)+0.99),'Tax scales - NAT 3539'!$A$127:$C$154,2,1)-VLOOKUP((TRUNC(($AN740+0.01)*3/13,0)+0.99),'Tax scales - NAT 3539'!$A$127:$C$154,3,1)),0)
*13/3,
0),
IF($E$2="Monthly",
ROUND(
ROUND(((TRUNC($AN740*3/13,0)+0.99)*VLOOKUP((TRUNC($AN740*3/13,0)+0.99),'Tax scales - NAT 3539'!$A$127:$C$154,2,1)-VLOOKUP((TRUNC($AN740*3/13,0)+0.99),'Tax scales - NAT 3539'!$A$127:$C$154,3,1)),0)
*13/3,
0),
""))),
""),
"")</f>
        <v/>
      </c>
      <c r="AZ740" s="118">
        <f>IFERROR(
HLOOKUP(VLOOKUP($C740,'Employee information'!$B:$M,COLUMNS('Employee information'!$B:$M),0),'PAYG worksheet'!$AO$735:$AY$754,COUNTA($C$736:$C740)+1,0),
0)</f>
        <v>1680</v>
      </c>
      <c r="BA740" s="118"/>
      <c r="BB740" s="118">
        <f t="shared" si="790"/>
        <v>2445</v>
      </c>
      <c r="BC740" s="119">
        <f>IFERROR(
IF(OR($AE740=1,$AE740=""),SUM($P740,$AA740,$AC740,$AK740)*VLOOKUP($C740,'Employee information'!$B:$Q,COLUMNS('Employee information'!$B:$H),0),
IF($AE740=0,SUM($P740,$AA740,$AK740)*VLOOKUP($C740,'Employee information'!$B:$Q,COLUMNS('Employee information'!$B:$H),0),
0)),
0)</f>
        <v>391.875</v>
      </c>
      <c r="BE740" s="114">
        <f t="shared" si="775"/>
        <v>107350</v>
      </c>
      <c r="BF740" s="114">
        <f t="shared" si="776"/>
        <v>107350</v>
      </c>
      <c r="BG740" s="114">
        <f t="shared" si="777"/>
        <v>0</v>
      </c>
      <c r="BH740" s="114">
        <f t="shared" si="778"/>
        <v>0</v>
      </c>
      <c r="BI740" s="114">
        <f t="shared" si="779"/>
        <v>43728</v>
      </c>
      <c r="BJ740" s="114">
        <f t="shared" si="780"/>
        <v>0</v>
      </c>
      <c r="BK740" s="114">
        <f t="shared" si="781"/>
        <v>0</v>
      </c>
      <c r="BL740" s="114">
        <f t="shared" si="791"/>
        <v>100</v>
      </c>
      <c r="BM740" s="114">
        <f t="shared" si="782"/>
        <v>10198.25</v>
      </c>
    </row>
    <row r="741" spans="1:65" x14ac:dyDescent="0.25">
      <c r="A741" s="228">
        <f t="shared" si="770"/>
        <v>26</v>
      </c>
      <c r="C741" s="278" t="s">
        <v>17</v>
      </c>
      <c r="E741" s="103">
        <f>IF($C741="",0,
IF(AND($E$2="Monthly",$A741&gt;12),0,
IF($E$2="Monthly",VLOOKUP($C741,'Employee information'!$B:$AM,COLUMNS('Employee information'!$B:S),0),
IF($E$2="Fortnightly",VLOOKUP($C741,'Employee information'!$B:$AM,COLUMNS('Employee information'!$B:R),0),
0))))</f>
        <v>75</v>
      </c>
      <c r="F741" s="106"/>
      <c r="G741" s="106"/>
      <c r="H741" s="106"/>
      <c r="I741" s="106"/>
      <c r="J741" s="103">
        <f t="shared" si="783"/>
        <v>75</v>
      </c>
      <c r="L741" s="113">
        <f>IF(AND($E$2="Monthly",$A741&gt;12),"",
IFERROR($J741*VLOOKUP($C741,'Employee information'!$B:$AI,COLUMNS('Employee information'!$B:$P),0),0))</f>
        <v>2500</v>
      </c>
      <c r="M741" s="114">
        <f t="shared" si="784"/>
        <v>65000</v>
      </c>
      <c r="O741" s="103">
        <f t="shared" si="785"/>
        <v>75</v>
      </c>
      <c r="P741" s="113">
        <f>IFERROR(
IF(AND($E$2="Monthly",$A741&gt;12),0,
$O741*VLOOKUP($C741,'Employee information'!$B:$AI,COLUMNS('Employee information'!$B:$P),0)),
0)</f>
        <v>2500</v>
      </c>
      <c r="R741" s="114">
        <f t="shared" si="771"/>
        <v>65000</v>
      </c>
      <c r="T741" s="103"/>
      <c r="U741" s="103"/>
      <c r="V741" s="282">
        <f>IF($C741="","",
IF(AND($E$2="Monthly",$A741&gt;12),"",
$T741*VLOOKUP($C741,'Employee information'!$B:$P,COLUMNS('Employee information'!$B:$P),0)))</f>
        <v>0</v>
      </c>
      <c r="W741" s="282">
        <f>IF($C741="","",
IF(AND($E$2="Monthly",$A741&gt;12),"",
$U741*VLOOKUP($C741,'Employee information'!$B:$P,COLUMNS('Employee information'!$B:$P),0)))</f>
        <v>0</v>
      </c>
      <c r="X741" s="114">
        <f t="shared" si="772"/>
        <v>0</v>
      </c>
      <c r="Y741" s="114">
        <f t="shared" si="773"/>
        <v>0</v>
      </c>
      <c r="AA741" s="118">
        <f>IFERROR(
IF(OR('Basic payroll data'!$D$12="",'Basic payroll data'!$D$12="No"),0,
$T741*VLOOKUP($C741,'Employee information'!$B:$P,COLUMNS('Employee information'!$B:$P),0)*AL_loading_perc),
0)</f>
        <v>0</v>
      </c>
      <c r="AC741" s="118"/>
      <c r="AD741" s="118"/>
      <c r="AE741" s="283" t="str">
        <f t="shared" si="786"/>
        <v/>
      </c>
      <c r="AF741" s="283" t="str">
        <f t="shared" si="787"/>
        <v/>
      </c>
      <c r="AG741" s="118"/>
      <c r="AH741" s="118"/>
      <c r="AI741" s="283" t="str">
        <f t="shared" si="788"/>
        <v/>
      </c>
      <c r="AJ741" s="118"/>
      <c r="AK741" s="118"/>
      <c r="AM741" s="118">
        <f t="shared" si="789"/>
        <v>2500</v>
      </c>
      <c r="AN741" s="118">
        <f t="shared" si="774"/>
        <v>2500</v>
      </c>
      <c r="AO741" s="118" t="str">
        <f>IFERROR(
IF(VLOOKUP($C741,'Employee information'!$B:$M,COLUMNS('Employee information'!$B:$M),0)=1,
IF($E$2="Fortnightly",
ROUND(
ROUND((((TRUNC($AN741/2,0)+0.99))*VLOOKUP((TRUNC($AN741/2,0)+0.99),'Tax scales - NAT 1004'!$A$12:$C$18,2,1)-VLOOKUP((TRUNC($AN741/2,0)+0.99),'Tax scales - NAT 1004'!$A$12:$C$18,3,1)),0)
*2,
0),
IF(AND($E$2="Monthly",ROUND($AN741-TRUNC($AN741),2)=0.33),
ROUND(
ROUND(((TRUNC(($AN741+0.01)*3/13,0)+0.99)*VLOOKUP((TRUNC(($AN741+0.01)*3/13,0)+0.99),'Tax scales - NAT 1004'!$A$12:$C$18,2,1)-VLOOKUP((TRUNC(($AN741+0.01)*3/13,0)+0.99),'Tax scales - NAT 1004'!$A$12:$C$18,3,1)),0)
*13/3,
0),
IF($E$2="Monthly",
ROUND(
ROUND(((TRUNC($AN741*3/13,0)+0.99)*VLOOKUP((TRUNC($AN741*3/13,0)+0.99),'Tax scales - NAT 1004'!$A$12:$C$18,2,1)-VLOOKUP((TRUNC($AN741*3/13,0)+0.99),'Tax scales - NAT 1004'!$A$12:$C$18,3,1)),0)
*13/3,
0),
""))),
""),
"")</f>
        <v/>
      </c>
      <c r="AP741" s="118" t="str">
        <f>IFERROR(
IF(VLOOKUP($C741,'Employee information'!$B:$M,COLUMNS('Employee information'!$B:$M),0)=2,
IF($E$2="Fortnightly",
ROUND(
ROUND((((TRUNC($AN741/2,0)+0.99))*VLOOKUP((TRUNC($AN741/2,0)+0.99),'Tax scales - NAT 1004'!$A$25:$C$33,2,1)-VLOOKUP((TRUNC($AN741/2,0)+0.99),'Tax scales - NAT 1004'!$A$25:$C$33,3,1)),0)
*2,
0),
IF(AND($E$2="Monthly",ROUND($AN741-TRUNC($AN741),2)=0.33),
ROUND(
ROUND(((TRUNC(($AN741+0.01)*3/13,0)+0.99)*VLOOKUP((TRUNC(($AN741+0.01)*3/13,0)+0.99),'Tax scales - NAT 1004'!$A$25:$C$33,2,1)-VLOOKUP((TRUNC(($AN741+0.01)*3/13,0)+0.99),'Tax scales - NAT 1004'!$A$25:$C$33,3,1)),0)
*13/3,
0),
IF($E$2="Monthly",
ROUND(
ROUND(((TRUNC($AN741*3/13,0)+0.99)*VLOOKUP((TRUNC($AN741*3/13,0)+0.99),'Tax scales - NAT 1004'!$A$25:$C$33,2,1)-VLOOKUP((TRUNC($AN741*3/13,0)+0.99),'Tax scales - NAT 1004'!$A$25:$C$33,3,1)),0)
*13/3,
0),
""))),
""),
"")</f>
        <v/>
      </c>
      <c r="AQ741" s="118" t="str">
        <f>IFERROR(
IF(VLOOKUP($C741,'Employee information'!$B:$M,COLUMNS('Employee information'!$B:$M),0)=3,
IF($E$2="Fortnightly",
ROUND(
ROUND((((TRUNC($AN741/2,0)+0.99))*VLOOKUP((TRUNC($AN741/2,0)+0.99),'Tax scales - NAT 1004'!$A$39:$C$41,2,1)-VLOOKUP((TRUNC($AN741/2,0)+0.99),'Tax scales - NAT 1004'!$A$39:$C$41,3,1)),0)
*2,
0),
IF(AND($E$2="Monthly",ROUND($AN741-TRUNC($AN741),2)=0.33),
ROUND(
ROUND(((TRUNC(($AN741+0.01)*3/13,0)+0.99)*VLOOKUP((TRUNC(($AN741+0.01)*3/13,0)+0.99),'Tax scales - NAT 1004'!$A$39:$C$41,2,1)-VLOOKUP((TRUNC(($AN741+0.01)*3/13,0)+0.99),'Tax scales - NAT 1004'!$A$39:$C$41,3,1)),0)
*13/3,
0),
IF($E$2="Monthly",
ROUND(
ROUND(((TRUNC($AN741*3/13,0)+0.99)*VLOOKUP((TRUNC($AN741*3/13,0)+0.99),'Tax scales - NAT 1004'!$A$39:$C$41,2,1)-VLOOKUP((TRUNC($AN741*3/13,0)+0.99),'Tax scales - NAT 1004'!$A$39:$C$41,3,1)),0)
*13/3,
0),
""))),
""),
"")</f>
        <v/>
      </c>
      <c r="AR741" s="118">
        <f>IFERROR(
IF(AND(VLOOKUP($C741,'Employee information'!$B:$M,COLUMNS('Employee information'!$B:$M),0)=4,
VLOOKUP($C741,'Employee information'!$B:$J,COLUMNS('Employee information'!$B:$J),0)="Resident"),
TRUNC(TRUNC($AN741)*'Tax scales - NAT 1004'!$B$47),
IF(AND(VLOOKUP($C741,'Employee information'!$B:$M,COLUMNS('Employee information'!$B:$M),0)=4,
VLOOKUP($C741,'Employee information'!$B:$J,COLUMNS('Employee information'!$B:$J),0)="Foreign resident"),
TRUNC(TRUNC($AN741)*'Tax scales - NAT 1004'!$B$48),
"")),
"")</f>
        <v>1175</v>
      </c>
      <c r="AS741" s="118" t="str">
        <f>IFERROR(
IF(VLOOKUP($C741,'Employee information'!$B:$M,COLUMNS('Employee information'!$B:$M),0)=5,
IF($E$2="Fortnightly",
ROUND(
ROUND((((TRUNC($AN741/2,0)+0.99))*VLOOKUP((TRUNC($AN741/2,0)+0.99),'Tax scales - NAT 1004'!$A$53:$C$59,2,1)-VLOOKUP((TRUNC($AN741/2,0)+0.99),'Tax scales - NAT 1004'!$A$53:$C$59,3,1)),0)
*2,
0),
IF(AND($E$2="Monthly",ROUND($AN741-TRUNC($AN741),2)=0.33),
ROUND(
ROUND(((TRUNC(($AN741+0.01)*3/13,0)+0.99)*VLOOKUP((TRUNC(($AN741+0.01)*3/13,0)+0.99),'Tax scales - NAT 1004'!$A$53:$C$59,2,1)-VLOOKUP((TRUNC(($AN741+0.01)*3/13,0)+0.99),'Tax scales - NAT 1004'!$A$53:$C$59,3,1)),0)
*13/3,
0),
IF($E$2="Monthly",
ROUND(
ROUND(((TRUNC($AN741*3/13,0)+0.99)*VLOOKUP((TRUNC($AN741*3/13,0)+0.99),'Tax scales - NAT 1004'!$A$53:$C$59,2,1)-VLOOKUP((TRUNC($AN741*3/13,0)+0.99),'Tax scales - NAT 1004'!$A$53:$C$59,3,1)),0)
*13/3,
0),
""))),
""),
"")</f>
        <v/>
      </c>
      <c r="AT741" s="118" t="str">
        <f>IFERROR(
IF(VLOOKUP($C741,'Employee information'!$B:$M,COLUMNS('Employee information'!$B:$M),0)=6,
IF($E$2="Fortnightly",
ROUND(
ROUND((((TRUNC($AN741/2,0)+0.99))*VLOOKUP((TRUNC($AN741/2,0)+0.99),'Tax scales - NAT 1004'!$A$65:$C$73,2,1)-VLOOKUP((TRUNC($AN741/2,0)+0.99),'Tax scales - NAT 1004'!$A$65:$C$73,3,1)),0)
*2,
0),
IF(AND($E$2="Monthly",ROUND($AN741-TRUNC($AN741),2)=0.33),
ROUND(
ROUND(((TRUNC(($AN741+0.01)*3/13,0)+0.99)*VLOOKUP((TRUNC(($AN741+0.01)*3/13,0)+0.99),'Tax scales - NAT 1004'!$A$65:$C$73,2,1)-VLOOKUP((TRUNC(($AN741+0.01)*3/13,0)+0.99),'Tax scales - NAT 1004'!$A$65:$C$73,3,1)),0)
*13/3,
0),
IF($E$2="Monthly",
ROUND(
ROUND(((TRUNC($AN741*3/13,0)+0.99)*VLOOKUP((TRUNC($AN741*3/13,0)+0.99),'Tax scales - NAT 1004'!$A$65:$C$73,2,1)-VLOOKUP((TRUNC($AN741*3/13,0)+0.99),'Tax scales - NAT 1004'!$A$65:$C$73,3,1)),0)
*13/3,
0),
""))),
""),
"")</f>
        <v/>
      </c>
      <c r="AU741" s="118" t="str">
        <f>IFERROR(
IF(VLOOKUP($C741,'Employee information'!$B:$M,COLUMNS('Employee information'!$B:$M),0)=11,
IF($E$2="Fortnightly",
ROUND(
ROUND((((TRUNC($AN741/2,0)+0.99))*VLOOKUP((TRUNC($AN741/2,0)+0.99),'Tax scales - NAT 3539'!$A$14:$C$38,2,1)-VLOOKUP((TRUNC($AN741/2,0)+0.99),'Tax scales - NAT 3539'!$A$14:$C$38,3,1)),0)
*2,
0),
IF(AND($E$2="Monthly",ROUND($AN741-TRUNC($AN741),2)=0.33),
ROUND(
ROUND(((TRUNC(($AN741+0.01)*3/13,0)+0.99)*VLOOKUP((TRUNC(($AN741+0.01)*3/13,0)+0.99),'Tax scales - NAT 3539'!$A$14:$C$38,2,1)-VLOOKUP((TRUNC(($AN741+0.01)*3/13,0)+0.99),'Tax scales - NAT 3539'!$A$14:$C$38,3,1)),0)
*13/3,
0),
IF($E$2="Monthly",
ROUND(
ROUND(((TRUNC($AN741*3/13,0)+0.99)*VLOOKUP((TRUNC($AN741*3/13,0)+0.99),'Tax scales - NAT 3539'!$A$14:$C$38,2,1)-VLOOKUP((TRUNC($AN741*3/13,0)+0.99),'Tax scales - NAT 3539'!$A$14:$C$38,3,1)),0)
*13/3,
0),
""))),
""),
"")</f>
        <v/>
      </c>
      <c r="AV741" s="118" t="str">
        <f>IFERROR(
IF(VLOOKUP($C741,'Employee information'!$B:$M,COLUMNS('Employee information'!$B:$M),0)=22,
IF($E$2="Fortnightly",
ROUND(
ROUND((((TRUNC($AN741/2,0)+0.99))*VLOOKUP((TRUNC($AN741/2,0)+0.99),'Tax scales - NAT 3539'!$A$43:$C$69,2,1)-VLOOKUP((TRUNC($AN741/2,0)+0.99),'Tax scales - NAT 3539'!$A$43:$C$69,3,1)),0)
*2,
0),
IF(AND($E$2="Monthly",ROUND($AN741-TRUNC($AN741),2)=0.33),
ROUND(
ROUND(((TRUNC(($AN741+0.01)*3/13,0)+0.99)*VLOOKUP((TRUNC(($AN741+0.01)*3/13,0)+0.99),'Tax scales - NAT 3539'!$A$43:$C$69,2,1)-VLOOKUP((TRUNC(($AN741+0.01)*3/13,0)+0.99),'Tax scales - NAT 3539'!$A$43:$C$69,3,1)),0)
*13/3,
0),
IF($E$2="Monthly",
ROUND(
ROUND(((TRUNC($AN741*3/13,0)+0.99)*VLOOKUP((TRUNC($AN741*3/13,0)+0.99),'Tax scales - NAT 3539'!$A$43:$C$69,2,1)-VLOOKUP((TRUNC($AN741*3/13,0)+0.99),'Tax scales - NAT 3539'!$A$43:$C$69,3,1)),0)
*13/3,
0),
""))),
""),
"")</f>
        <v/>
      </c>
      <c r="AW741" s="118" t="str">
        <f>IFERROR(
IF(VLOOKUP($C741,'Employee information'!$B:$M,COLUMNS('Employee information'!$B:$M),0)=33,
IF($E$2="Fortnightly",
ROUND(
ROUND((((TRUNC($AN741/2,0)+0.99))*VLOOKUP((TRUNC($AN741/2,0)+0.99),'Tax scales - NAT 3539'!$A$74:$C$94,2,1)-VLOOKUP((TRUNC($AN741/2,0)+0.99),'Tax scales - NAT 3539'!$A$74:$C$94,3,1)),0)
*2,
0),
IF(AND($E$2="Monthly",ROUND($AN741-TRUNC($AN741),2)=0.33),
ROUND(
ROUND(((TRUNC(($AN741+0.01)*3/13,0)+0.99)*VLOOKUP((TRUNC(($AN741+0.01)*3/13,0)+0.99),'Tax scales - NAT 3539'!$A$74:$C$94,2,1)-VLOOKUP((TRUNC(($AN741+0.01)*3/13,0)+0.99),'Tax scales - NAT 3539'!$A$74:$C$94,3,1)),0)
*13/3,
0),
IF($E$2="Monthly",
ROUND(
ROUND(((TRUNC($AN741*3/13,0)+0.99)*VLOOKUP((TRUNC($AN741*3/13,0)+0.99),'Tax scales - NAT 3539'!$A$74:$C$94,2,1)-VLOOKUP((TRUNC($AN741*3/13,0)+0.99),'Tax scales - NAT 3539'!$A$74:$C$94,3,1)),0)
*13/3,
0),
""))),
""),
"")</f>
        <v/>
      </c>
      <c r="AX741" s="118" t="str">
        <f>IFERROR(
IF(VLOOKUP($C741,'Employee information'!$B:$M,COLUMNS('Employee information'!$B:$M),0)=55,
IF($E$2="Fortnightly",
ROUND(
ROUND((((TRUNC($AN741/2,0)+0.99))*VLOOKUP((TRUNC($AN741/2,0)+0.99),'Tax scales - NAT 3539'!$A$99:$C$123,2,1)-VLOOKUP((TRUNC($AN741/2,0)+0.99),'Tax scales - NAT 3539'!$A$99:$C$123,3,1)),0)
*2,
0),
IF(AND($E$2="Monthly",ROUND($AN741-TRUNC($AN741),2)=0.33),
ROUND(
ROUND(((TRUNC(($AN741+0.01)*3/13,0)+0.99)*VLOOKUP((TRUNC(($AN741+0.01)*3/13,0)+0.99),'Tax scales - NAT 3539'!$A$99:$C$123,2,1)-VLOOKUP((TRUNC(($AN741+0.01)*3/13,0)+0.99),'Tax scales - NAT 3539'!$A$99:$C$123,3,1)),0)
*13/3,
0),
IF($E$2="Monthly",
ROUND(
ROUND(((TRUNC($AN741*3/13,0)+0.99)*VLOOKUP((TRUNC($AN741*3/13,0)+0.99),'Tax scales - NAT 3539'!$A$99:$C$123,2,1)-VLOOKUP((TRUNC($AN741*3/13,0)+0.99),'Tax scales - NAT 3539'!$A$99:$C$123,3,1)),0)
*13/3,
0),
""))),
""),
"")</f>
        <v/>
      </c>
      <c r="AY741" s="118" t="str">
        <f>IFERROR(
IF(VLOOKUP($C741,'Employee information'!$B:$M,COLUMNS('Employee information'!$B:$M),0)=66,
IF($E$2="Fortnightly",
ROUND(
ROUND((((TRUNC($AN741/2,0)+0.99))*VLOOKUP((TRUNC($AN741/2,0)+0.99),'Tax scales - NAT 3539'!$A$127:$C$154,2,1)-VLOOKUP((TRUNC($AN741/2,0)+0.99),'Tax scales - NAT 3539'!$A$127:$C$154,3,1)),0)
*2,
0),
IF(AND($E$2="Monthly",ROUND($AN741-TRUNC($AN741),2)=0.33),
ROUND(
ROUND(((TRUNC(($AN741+0.01)*3/13,0)+0.99)*VLOOKUP((TRUNC(($AN741+0.01)*3/13,0)+0.99),'Tax scales - NAT 3539'!$A$127:$C$154,2,1)-VLOOKUP((TRUNC(($AN741+0.01)*3/13,0)+0.99),'Tax scales - NAT 3539'!$A$127:$C$154,3,1)),0)
*13/3,
0),
IF($E$2="Monthly",
ROUND(
ROUND(((TRUNC($AN741*3/13,0)+0.99)*VLOOKUP((TRUNC($AN741*3/13,0)+0.99),'Tax scales - NAT 3539'!$A$127:$C$154,2,1)-VLOOKUP((TRUNC($AN741*3/13,0)+0.99),'Tax scales - NAT 3539'!$A$127:$C$154,3,1)),0)
*13/3,
0),
""))),
""),
"")</f>
        <v/>
      </c>
      <c r="AZ741" s="118">
        <f>IFERROR(
HLOOKUP(VLOOKUP($C741,'Employee information'!$B:$M,COLUMNS('Employee information'!$B:$M),0),'PAYG worksheet'!$AO$735:$AY$754,COUNTA($C$736:$C741)+1,0),
0)</f>
        <v>1175</v>
      </c>
      <c r="BA741" s="118"/>
      <c r="BB741" s="118">
        <f t="shared" si="790"/>
        <v>1325</v>
      </c>
      <c r="BC741" s="119">
        <f>IFERROR(
IF(OR($AE741=1,$AE741=""),SUM($P741,$AA741,$AC741,$AK741)*VLOOKUP($C741,'Employee information'!$B:$Q,COLUMNS('Employee information'!$B:$H),0),
IF($AE741=0,SUM($P741,$AA741,$AK741)*VLOOKUP($C741,'Employee information'!$B:$Q,COLUMNS('Employee information'!$B:$H),0),
0)),
0)</f>
        <v>237.5</v>
      </c>
      <c r="BE741" s="114">
        <f t="shared" si="775"/>
        <v>65000</v>
      </c>
      <c r="BF741" s="114">
        <f t="shared" si="776"/>
        <v>65000</v>
      </c>
      <c r="BG741" s="114">
        <f t="shared" si="777"/>
        <v>0</v>
      </c>
      <c r="BH741" s="114">
        <f t="shared" si="778"/>
        <v>0</v>
      </c>
      <c r="BI741" s="114">
        <f t="shared" si="779"/>
        <v>30550</v>
      </c>
      <c r="BJ741" s="114">
        <f t="shared" si="780"/>
        <v>0</v>
      </c>
      <c r="BK741" s="114">
        <f t="shared" si="781"/>
        <v>0</v>
      </c>
      <c r="BL741" s="114">
        <f t="shared" si="791"/>
        <v>0</v>
      </c>
      <c r="BM741" s="114">
        <f t="shared" si="782"/>
        <v>6175</v>
      </c>
    </row>
    <row r="742" spans="1:65" x14ac:dyDescent="0.25">
      <c r="A742" s="228">
        <f t="shared" si="770"/>
        <v>26</v>
      </c>
      <c r="C742" s="278" t="s">
        <v>95</v>
      </c>
      <c r="E742" s="103">
        <f>IF($C742="",0,
IF(AND($E$2="Monthly",$A742&gt;12),0,
IF($E$2="Monthly",VLOOKUP($C742,'Employee information'!$B:$AM,COLUMNS('Employee information'!$B:S),0),
IF($E$2="Fortnightly",VLOOKUP($C742,'Employee information'!$B:$AM,COLUMNS('Employee information'!$B:R),0),
0))))</f>
        <v>45</v>
      </c>
      <c r="F742" s="106"/>
      <c r="G742" s="106"/>
      <c r="H742" s="106"/>
      <c r="I742" s="106"/>
      <c r="J742" s="103">
        <f t="shared" si="783"/>
        <v>45</v>
      </c>
      <c r="L742" s="113">
        <f>IF(AND($E$2="Monthly",$A742&gt;12),"",
IFERROR($J742*VLOOKUP($C742,'Employee information'!$B:$AI,COLUMNS('Employee information'!$B:$P),0),0))</f>
        <v>1107.6923076923078</v>
      </c>
      <c r="M742" s="114">
        <f t="shared" si="784"/>
        <v>28800.000000000015</v>
      </c>
      <c r="O742" s="103">
        <f t="shared" si="785"/>
        <v>45</v>
      </c>
      <c r="P742" s="113">
        <f>IFERROR(
IF(AND($E$2="Monthly",$A742&gt;12),0,
$O742*VLOOKUP($C742,'Employee information'!$B:$AI,COLUMNS('Employee information'!$B:$P),0)),
0)</f>
        <v>1107.6923076923078</v>
      </c>
      <c r="R742" s="114">
        <f t="shared" si="771"/>
        <v>28800.000000000015</v>
      </c>
      <c r="T742" s="103"/>
      <c r="U742" s="103"/>
      <c r="V742" s="282">
        <f>IF($C742="","",
IF(AND($E$2="Monthly",$A742&gt;12),"",
$T742*VLOOKUP($C742,'Employee information'!$B:$P,COLUMNS('Employee information'!$B:$P),0)))</f>
        <v>0</v>
      </c>
      <c r="W742" s="282">
        <f>IF($C742="","",
IF(AND($E$2="Monthly",$A742&gt;12),"",
$U742*VLOOKUP($C742,'Employee information'!$B:$P,COLUMNS('Employee information'!$B:$P),0)))</f>
        <v>0</v>
      </c>
      <c r="X742" s="114">
        <f t="shared" si="772"/>
        <v>0</v>
      </c>
      <c r="Y742" s="114">
        <f t="shared" si="773"/>
        <v>0</v>
      </c>
      <c r="AA742" s="118">
        <f>IFERROR(
IF(OR('Basic payroll data'!$D$12="",'Basic payroll data'!$D$12="No"),0,
$T742*VLOOKUP($C742,'Employee information'!$B:$P,COLUMNS('Employee information'!$B:$P),0)*AL_loading_perc),
0)</f>
        <v>0</v>
      </c>
      <c r="AC742" s="118"/>
      <c r="AD742" s="118"/>
      <c r="AE742" s="283" t="str">
        <f t="shared" si="786"/>
        <v/>
      </c>
      <c r="AF742" s="283" t="str">
        <f t="shared" si="787"/>
        <v/>
      </c>
      <c r="AG742" s="118"/>
      <c r="AH742" s="118"/>
      <c r="AI742" s="283" t="str">
        <f t="shared" si="788"/>
        <v/>
      </c>
      <c r="AJ742" s="118"/>
      <c r="AK742" s="118"/>
      <c r="AM742" s="118">
        <f t="shared" si="789"/>
        <v>1107.6923076923078</v>
      </c>
      <c r="AN742" s="118">
        <f t="shared" si="774"/>
        <v>1107.6923076923078</v>
      </c>
      <c r="AO742" s="118" t="str">
        <f>IFERROR(
IF(VLOOKUP($C742,'Employee information'!$B:$M,COLUMNS('Employee information'!$B:$M),0)=1,
IF($E$2="Fortnightly",
ROUND(
ROUND((((TRUNC($AN742/2,0)+0.99))*VLOOKUP((TRUNC($AN742/2,0)+0.99),'Tax scales - NAT 1004'!$A$12:$C$18,2,1)-VLOOKUP((TRUNC($AN742/2,0)+0.99),'Tax scales - NAT 1004'!$A$12:$C$18,3,1)),0)
*2,
0),
IF(AND($E$2="Monthly",ROUND($AN742-TRUNC($AN742),2)=0.33),
ROUND(
ROUND(((TRUNC(($AN742+0.01)*3/13,0)+0.99)*VLOOKUP((TRUNC(($AN742+0.01)*3/13,0)+0.99),'Tax scales - NAT 1004'!$A$12:$C$18,2,1)-VLOOKUP((TRUNC(($AN742+0.01)*3/13,0)+0.99),'Tax scales - NAT 1004'!$A$12:$C$18,3,1)),0)
*13/3,
0),
IF($E$2="Monthly",
ROUND(
ROUND(((TRUNC($AN742*3/13,0)+0.99)*VLOOKUP((TRUNC($AN742*3/13,0)+0.99),'Tax scales - NAT 1004'!$A$12:$C$18,2,1)-VLOOKUP((TRUNC($AN742*3/13,0)+0.99),'Tax scales - NAT 1004'!$A$12:$C$18,3,1)),0)
*13/3,
0),
""))),
""),
"")</f>
        <v/>
      </c>
      <c r="AP742" s="118" t="str">
        <f>IFERROR(
IF(VLOOKUP($C742,'Employee information'!$B:$M,COLUMNS('Employee information'!$B:$M),0)=2,
IF($E$2="Fortnightly",
ROUND(
ROUND((((TRUNC($AN742/2,0)+0.99))*VLOOKUP((TRUNC($AN742/2,0)+0.99),'Tax scales - NAT 1004'!$A$25:$C$33,2,1)-VLOOKUP((TRUNC($AN742/2,0)+0.99),'Tax scales - NAT 1004'!$A$25:$C$33,3,1)),0)
*2,
0),
IF(AND($E$2="Monthly",ROUND($AN742-TRUNC($AN742),2)=0.33),
ROUND(
ROUND(((TRUNC(($AN742+0.01)*3/13,0)+0.99)*VLOOKUP((TRUNC(($AN742+0.01)*3/13,0)+0.99),'Tax scales - NAT 1004'!$A$25:$C$33,2,1)-VLOOKUP((TRUNC(($AN742+0.01)*3/13,0)+0.99),'Tax scales - NAT 1004'!$A$25:$C$33,3,1)),0)
*13/3,
0),
IF($E$2="Monthly",
ROUND(
ROUND(((TRUNC($AN742*3/13,0)+0.99)*VLOOKUP((TRUNC($AN742*3/13,0)+0.99),'Tax scales - NAT 1004'!$A$25:$C$33,2,1)-VLOOKUP((TRUNC($AN742*3/13,0)+0.99),'Tax scales - NAT 1004'!$A$25:$C$33,3,1)),0)
*13/3,
0),
""))),
""),
"")</f>
        <v/>
      </c>
      <c r="AQ742" s="118" t="str">
        <f>IFERROR(
IF(VLOOKUP($C742,'Employee information'!$B:$M,COLUMNS('Employee information'!$B:$M),0)=3,
IF($E$2="Fortnightly",
ROUND(
ROUND((((TRUNC($AN742/2,0)+0.99))*VLOOKUP((TRUNC($AN742/2,0)+0.99),'Tax scales - NAT 1004'!$A$39:$C$41,2,1)-VLOOKUP((TRUNC($AN742/2,0)+0.99),'Tax scales - NAT 1004'!$A$39:$C$41,3,1)),0)
*2,
0),
IF(AND($E$2="Monthly",ROUND($AN742-TRUNC($AN742),2)=0.33),
ROUND(
ROUND(((TRUNC(($AN742+0.01)*3/13,0)+0.99)*VLOOKUP((TRUNC(($AN742+0.01)*3/13,0)+0.99),'Tax scales - NAT 1004'!$A$39:$C$41,2,1)-VLOOKUP((TRUNC(($AN742+0.01)*3/13,0)+0.99),'Tax scales - NAT 1004'!$A$39:$C$41,3,1)),0)
*13/3,
0),
IF($E$2="Monthly",
ROUND(
ROUND(((TRUNC($AN742*3/13,0)+0.99)*VLOOKUP((TRUNC($AN742*3/13,0)+0.99),'Tax scales - NAT 1004'!$A$39:$C$41,2,1)-VLOOKUP((TRUNC($AN742*3/13,0)+0.99),'Tax scales - NAT 1004'!$A$39:$C$41,3,1)),0)
*13/3,
0),
""))),
""),
"")</f>
        <v/>
      </c>
      <c r="AR742" s="118" t="str">
        <f>IFERROR(
IF(AND(VLOOKUP($C742,'Employee information'!$B:$M,COLUMNS('Employee information'!$B:$M),0)=4,
VLOOKUP($C742,'Employee information'!$B:$J,COLUMNS('Employee information'!$B:$J),0)="Resident"),
TRUNC(TRUNC($AN742)*'Tax scales - NAT 1004'!$B$47),
IF(AND(VLOOKUP($C742,'Employee information'!$B:$M,COLUMNS('Employee information'!$B:$M),0)=4,
VLOOKUP($C742,'Employee information'!$B:$J,COLUMNS('Employee information'!$B:$J),0)="Foreign resident"),
TRUNC(TRUNC($AN742)*'Tax scales - NAT 1004'!$B$48),
"")),
"")</f>
        <v/>
      </c>
      <c r="AS742" s="118" t="str">
        <f>IFERROR(
IF(VLOOKUP($C742,'Employee information'!$B:$M,COLUMNS('Employee information'!$B:$M),0)=5,
IF($E$2="Fortnightly",
ROUND(
ROUND((((TRUNC($AN742/2,0)+0.99))*VLOOKUP((TRUNC($AN742/2,0)+0.99),'Tax scales - NAT 1004'!$A$53:$C$59,2,1)-VLOOKUP((TRUNC($AN742/2,0)+0.99),'Tax scales - NAT 1004'!$A$53:$C$59,3,1)),0)
*2,
0),
IF(AND($E$2="Monthly",ROUND($AN742-TRUNC($AN742),2)=0.33),
ROUND(
ROUND(((TRUNC(($AN742+0.01)*3/13,0)+0.99)*VLOOKUP((TRUNC(($AN742+0.01)*3/13,0)+0.99),'Tax scales - NAT 1004'!$A$53:$C$59,2,1)-VLOOKUP((TRUNC(($AN742+0.01)*3/13,0)+0.99),'Tax scales - NAT 1004'!$A$53:$C$59,3,1)),0)
*13/3,
0),
IF($E$2="Monthly",
ROUND(
ROUND(((TRUNC($AN742*3/13,0)+0.99)*VLOOKUP((TRUNC($AN742*3/13,0)+0.99),'Tax scales - NAT 1004'!$A$53:$C$59,2,1)-VLOOKUP((TRUNC($AN742*3/13,0)+0.99),'Tax scales - NAT 1004'!$A$53:$C$59,3,1)),0)
*13/3,
0),
""))),
""),
"")</f>
        <v/>
      </c>
      <c r="AT742" s="118" t="str">
        <f>IFERROR(
IF(VLOOKUP($C742,'Employee information'!$B:$M,COLUMNS('Employee information'!$B:$M),0)=6,
IF($E$2="Fortnightly",
ROUND(
ROUND((((TRUNC($AN742/2,0)+0.99))*VLOOKUP((TRUNC($AN742/2,0)+0.99),'Tax scales - NAT 1004'!$A$65:$C$73,2,1)-VLOOKUP((TRUNC($AN742/2,0)+0.99),'Tax scales - NAT 1004'!$A$65:$C$73,3,1)),0)
*2,
0),
IF(AND($E$2="Monthly",ROUND($AN742-TRUNC($AN742),2)=0.33),
ROUND(
ROUND(((TRUNC(($AN742+0.01)*3/13,0)+0.99)*VLOOKUP((TRUNC(($AN742+0.01)*3/13,0)+0.99),'Tax scales - NAT 1004'!$A$65:$C$73,2,1)-VLOOKUP((TRUNC(($AN742+0.01)*3/13,0)+0.99),'Tax scales - NAT 1004'!$A$65:$C$73,3,1)),0)
*13/3,
0),
IF($E$2="Monthly",
ROUND(
ROUND(((TRUNC($AN742*3/13,0)+0.99)*VLOOKUP((TRUNC($AN742*3/13,0)+0.99),'Tax scales - NAT 1004'!$A$65:$C$73,2,1)-VLOOKUP((TRUNC($AN742*3/13,0)+0.99),'Tax scales - NAT 1004'!$A$65:$C$73,3,1)),0)
*13/3,
0),
""))),
""),
"")</f>
        <v/>
      </c>
      <c r="AU742" s="118" t="str">
        <f>IFERROR(
IF(VLOOKUP($C742,'Employee information'!$B:$M,COLUMNS('Employee information'!$B:$M),0)=11,
IF($E$2="Fortnightly",
ROUND(
ROUND((((TRUNC($AN742/2,0)+0.99))*VLOOKUP((TRUNC($AN742/2,0)+0.99),'Tax scales - NAT 3539'!$A$14:$C$38,2,1)-VLOOKUP((TRUNC($AN742/2,0)+0.99),'Tax scales - NAT 3539'!$A$14:$C$38,3,1)),0)
*2,
0),
IF(AND($E$2="Monthly",ROUND($AN742-TRUNC($AN742),2)=0.33),
ROUND(
ROUND(((TRUNC(($AN742+0.01)*3/13,0)+0.99)*VLOOKUP((TRUNC(($AN742+0.01)*3/13,0)+0.99),'Tax scales - NAT 3539'!$A$14:$C$38,2,1)-VLOOKUP((TRUNC(($AN742+0.01)*3/13,0)+0.99),'Tax scales - NAT 3539'!$A$14:$C$38,3,1)),0)
*13/3,
0),
IF($E$2="Monthly",
ROUND(
ROUND(((TRUNC($AN742*3/13,0)+0.99)*VLOOKUP((TRUNC($AN742*3/13,0)+0.99),'Tax scales - NAT 3539'!$A$14:$C$38,2,1)-VLOOKUP((TRUNC($AN742*3/13,0)+0.99),'Tax scales - NAT 3539'!$A$14:$C$38,3,1)),0)
*13/3,
0),
""))),
""),
"")</f>
        <v/>
      </c>
      <c r="AV742" s="118" t="str">
        <f>IFERROR(
IF(VLOOKUP($C742,'Employee information'!$B:$M,COLUMNS('Employee information'!$B:$M),0)=22,
IF($E$2="Fortnightly",
ROUND(
ROUND((((TRUNC($AN742/2,0)+0.99))*VLOOKUP((TRUNC($AN742/2,0)+0.99),'Tax scales - NAT 3539'!$A$43:$C$69,2,1)-VLOOKUP((TRUNC($AN742/2,0)+0.99),'Tax scales - NAT 3539'!$A$43:$C$69,3,1)),0)
*2,
0),
IF(AND($E$2="Monthly",ROUND($AN742-TRUNC($AN742),2)=0.33),
ROUND(
ROUND(((TRUNC(($AN742+0.01)*3/13,0)+0.99)*VLOOKUP((TRUNC(($AN742+0.01)*3/13,0)+0.99),'Tax scales - NAT 3539'!$A$43:$C$69,2,1)-VLOOKUP((TRUNC(($AN742+0.01)*3/13,0)+0.99),'Tax scales - NAT 3539'!$A$43:$C$69,3,1)),0)
*13/3,
0),
IF($E$2="Monthly",
ROUND(
ROUND(((TRUNC($AN742*3/13,0)+0.99)*VLOOKUP((TRUNC($AN742*3/13,0)+0.99),'Tax scales - NAT 3539'!$A$43:$C$69,2,1)-VLOOKUP((TRUNC($AN742*3/13,0)+0.99),'Tax scales - NAT 3539'!$A$43:$C$69,3,1)),0)
*13/3,
0),
""))),
""),
"")</f>
        <v/>
      </c>
      <c r="AW742" s="118" t="str">
        <f>IFERROR(
IF(VLOOKUP($C742,'Employee information'!$B:$M,COLUMNS('Employee information'!$B:$M),0)=33,
IF($E$2="Fortnightly",
ROUND(
ROUND((((TRUNC($AN742/2,0)+0.99))*VLOOKUP((TRUNC($AN742/2,0)+0.99),'Tax scales - NAT 3539'!$A$74:$C$94,2,1)-VLOOKUP((TRUNC($AN742/2,0)+0.99),'Tax scales - NAT 3539'!$A$74:$C$94,3,1)),0)
*2,
0),
IF(AND($E$2="Monthly",ROUND($AN742-TRUNC($AN742),2)=0.33),
ROUND(
ROUND(((TRUNC(($AN742+0.01)*3/13,0)+0.99)*VLOOKUP((TRUNC(($AN742+0.01)*3/13,0)+0.99),'Tax scales - NAT 3539'!$A$74:$C$94,2,1)-VLOOKUP((TRUNC(($AN742+0.01)*3/13,0)+0.99),'Tax scales - NAT 3539'!$A$74:$C$94,3,1)),0)
*13/3,
0),
IF($E$2="Monthly",
ROUND(
ROUND(((TRUNC($AN742*3/13,0)+0.99)*VLOOKUP((TRUNC($AN742*3/13,0)+0.99),'Tax scales - NAT 3539'!$A$74:$C$94,2,1)-VLOOKUP((TRUNC($AN742*3/13,0)+0.99),'Tax scales - NAT 3539'!$A$74:$C$94,3,1)),0)
*13/3,
0),
""))),
""),
"")</f>
        <v/>
      </c>
      <c r="AX742" s="118" t="str">
        <f>IFERROR(
IF(VLOOKUP($C742,'Employee information'!$B:$M,COLUMNS('Employee information'!$B:$M),0)=55,
IF($E$2="Fortnightly",
ROUND(
ROUND((((TRUNC($AN742/2,0)+0.99))*VLOOKUP((TRUNC($AN742/2,0)+0.99),'Tax scales - NAT 3539'!$A$99:$C$123,2,1)-VLOOKUP((TRUNC($AN742/2,0)+0.99),'Tax scales - NAT 3539'!$A$99:$C$123,3,1)),0)
*2,
0),
IF(AND($E$2="Monthly",ROUND($AN742-TRUNC($AN742),2)=0.33),
ROUND(
ROUND(((TRUNC(($AN742+0.01)*3/13,0)+0.99)*VLOOKUP((TRUNC(($AN742+0.01)*3/13,0)+0.99),'Tax scales - NAT 3539'!$A$99:$C$123,2,1)-VLOOKUP((TRUNC(($AN742+0.01)*3/13,0)+0.99),'Tax scales - NAT 3539'!$A$99:$C$123,3,1)),0)
*13/3,
0),
IF($E$2="Monthly",
ROUND(
ROUND(((TRUNC($AN742*3/13,0)+0.99)*VLOOKUP((TRUNC($AN742*3/13,0)+0.99),'Tax scales - NAT 3539'!$A$99:$C$123,2,1)-VLOOKUP((TRUNC($AN742*3/13,0)+0.99),'Tax scales - NAT 3539'!$A$99:$C$123,3,1)),0)
*13/3,
0),
""))),
""),
"")</f>
        <v/>
      </c>
      <c r="AY742" s="118">
        <f>IFERROR(
IF(VLOOKUP($C742,'Employee information'!$B:$M,COLUMNS('Employee information'!$B:$M),0)=66,
IF($E$2="Fortnightly",
ROUND(
ROUND((((TRUNC($AN742/2,0)+0.99))*VLOOKUP((TRUNC($AN742/2,0)+0.99),'Tax scales - NAT 3539'!$A$127:$C$154,2,1)-VLOOKUP((TRUNC($AN742/2,0)+0.99),'Tax scales - NAT 3539'!$A$127:$C$154,3,1)),0)
*2,
0),
IF(AND($E$2="Monthly",ROUND($AN742-TRUNC($AN742),2)=0.33),
ROUND(
ROUND(((TRUNC(($AN742+0.01)*3/13,0)+0.99)*VLOOKUP((TRUNC(($AN742+0.01)*3/13,0)+0.99),'Tax scales - NAT 3539'!$A$127:$C$154,2,1)-VLOOKUP((TRUNC(($AN742+0.01)*3/13,0)+0.99),'Tax scales - NAT 3539'!$A$127:$C$154,3,1)),0)
*13/3,
0),
IF($E$2="Monthly",
ROUND(
ROUND(((TRUNC($AN742*3/13,0)+0.99)*VLOOKUP((TRUNC($AN742*3/13,0)+0.99),'Tax scales - NAT 3539'!$A$127:$C$154,2,1)-VLOOKUP((TRUNC($AN742*3/13,0)+0.99),'Tax scales - NAT 3539'!$A$127:$C$154,3,1)),0)
*13/3,
0),
""))),
""),
"")</f>
        <v>74</v>
      </c>
      <c r="AZ742" s="118">
        <f>IFERROR(
HLOOKUP(VLOOKUP($C742,'Employee information'!$B:$M,COLUMNS('Employee information'!$B:$M),0),'PAYG worksheet'!$AO$735:$AY$754,COUNTA($C$736:$C742)+1,0),
0)</f>
        <v>74</v>
      </c>
      <c r="BA742" s="118"/>
      <c r="BB742" s="118">
        <f t="shared" si="790"/>
        <v>1033.6923076923078</v>
      </c>
      <c r="BC742" s="119">
        <f>IFERROR(
IF(OR($AE742=1,$AE742=""),SUM($P742,$AA742,$AC742,$AK742)*VLOOKUP($C742,'Employee information'!$B:$Q,COLUMNS('Employee information'!$B:$H),0),
IF($AE742=0,SUM($P742,$AA742,$AK742)*VLOOKUP($C742,'Employee information'!$B:$Q,COLUMNS('Employee information'!$B:$H),0),
0)),
0)</f>
        <v>105.23076923076924</v>
      </c>
      <c r="BE742" s="114">
        <f t="shared" si="775"/>
        <v>28800.000000000015</v>
      </c>
      <c r="BF742" s="114">
        <f t="shared" si="776"/>
        <v>28800.000000000015</v>
      </c>
      <c r="BG742" s="114">
        <f t="shared" si="777"/>
        <v>0</v>
      </c>
      <c r="BH742" s="114">
        <f t="shared" si="778"/>
        <v>0</v>
      </c>
      <c r="BI742" s="114">
        <f t="shared" si="779"/>
        <v>1924</v>
      </c>
      <c r="BJ742" s="114">
        <f t="shared" si="780"/>
        <v>0</v>
      </c>
      <c r="BK742" s="114">
        <f t="shared" si="781"/>
        <v>0</v>
      </c>
      <c r="BL742" s="114">
        <f t="shared" si="791"/>
        <v>0</v>
      </c>
      <c r="BM742" s="114">
        <f t="shared" si="782"/>
        <v>2735.9999999999995</v>
      </c>
    </row>
    <row r="743" spans="1:65" x14ac:dyDescent="0.25">
      <c r="A743" s="228">
        <f t="shared" si="770"/>
        <v>26</v>
      </c>
      <c r="C743" s="278"/>
      <c r="E743" s="103">
        <f>IF($C743="",0,
IF(AND($E$2="Monthly",$A743&gt;12),0,
IF($E$2="Monthly",VLOOKUP($C743,'Employee information'!$B:$AM,COLUMNS('Employee information'!$B:S),0),
IF($E$2="Fortnightly",VLOOKUP($C743,'Employee information'!$B:$AM,COLUMNS('Employee information'!$B:R),0),
0))))</f>
        <v>0</v>
      </c>
      <c r="F743" s="106"/>
      <c r="G743" s="106"/>
      <c r="H743" s="106"/>
      <c r="I743" s="106"/>
      <c r="J743" s="103">
        <f>IF($E$2="Monthly",
IF(AND($E$2="Monthly",$H743&lt;&gt;""),$H743,
IF(AND($E$2="Monthly",$E743=0),SUM($F743:$G743),
$E743)),
IF($E$2="Fortnightly",
IF(AND($E$2="Fortnightly",$H743&lt;&gt;""),$H743,
IF(AND($E$2="Fortnightly",$F743&lt;&gt;"",$E743&lt;&gt;0),$F743,
IF(AND($E$2="Fortnightly",$E743=0),SUM($F743:$G743),
$E743)))))</f>
        <v>0</v>
      </c>
      <c r="L743" s="113">
        <f>IF(AND($E$2="Monthly",$A743&gt;12),"",
IFERROR($J743*VLOOKUP($C743,'Employee information'!$B:$AI,COLUMNS('Employee information'!$B:$P),0),0))</f>
        <v>0</v>
      </c>
      <c r="M743" s="114">
        <f t="shared" si="784"/>
        <v>0</v>
      </c>
      <c r="O743" s="103">
        <f t="shared" si="785"/>
        <v>0</v>
      </c>
      <c r="P743" s="113">
        <f>IFERROR(
IF(AND($E$2="Monthly",$A743&gt;12),0,
$O743*VLOOKUP($C743,'Employee information'!$B:$AI,COLUMNS('Employee information'!$B:$P),0)),
0)</f>
        <v>0</v>
      </c>
      <c r="R743" s="114">
        <f t="shared" si="771"/>
        <v>0</v>
      </c>
      <c r="T743" s="103"/>
      <c r="U743" s="103"/>
      <c r="V743" s="282" t="str">
        <f>IF($C743="","",
IF(AND($E$2="Monthly",$A743&gt;12),"",
$T743*VLOOKUP($C743,'Employee information'!$B:$P,COLUMNS('Employee information'!$B:$P),0)))</f>
        <v/>
      </c>
      <c r="W743" s="282" t="str">
        <f>IF($C743="","",
IF(AND($E$2="Monthly",$A743&gt;12),"",
$U743*VLOOKUP($C743,'Employee information'!$B:$P,COLUMNS('Employee information'!$B:$P),0)))</f>
        <v/>
      </c>
      <c r="X743" s="114">
        <f t="shared" si="772"/>
        <v>0</v>
      </c>
      <c r="Y743" s="114">
        <f t="shared" si="773"/>
        <v>0</v>
      </c>
      <c r="AA743" s="118">
        <f>IFERROR(
IF(OR('Basic payroll data'!$D$12="",'Basic payroll data'!$D$12="No"),0,
$T743*VLOOKUP($C743,'Employee information'!$B:$P,COLUMNS('Employee information'!$B:$P),0)*AL_loading_perc),
0)</f>
        <v>0</v>
      </c>
      <c r="AC743" s="118"/>
      <c r="AD743" s="118"/>
      <c r="AE743" s="283" t="str">
        <f t="shared" si="786"/>
        <v/>
      </c>
      <c r="AF743" s="283" t="str">
        <f t="shared" si="787"/>
        <v/>
      </c>
      <c r="AG743" s="118"/>
      <c r="AH743" s="118"/>
      <c r="AI743" s="283" t="str">
        <f t="shared" si="788"/>
        <v/>
      </c>
      <c r="AJ743" s="118"/>
      <c r="AK743" s="118"/>
      <c r="AM743" s="118">
        <f t="shared" si="789"/>
        <v>0</v>
      </c>
      <c r="AN743" s="118">
        <f t="shared" si="774"/>
        <v>0</v>
      </c>
      <c r="AO743" s="118" t="str">
        <f>IFERROR(
IF(VLOOKUP($C743,'Employee information'!$B:$M,COLUMNS('Employee information'!$B:$M),0)=1,
IF($E$2="Fortnightly",
ROUND(
ROUND((((TRUNC($AN743/2,0)+0.99))*VLOOKUP((TRUNC($AN743/2,0)+0.99),'Tax scales - NAT 1004'!$A$12:$C$18,2,1)-VLOOKUP((TRUNC($AN743/2,0)+0.99),'Tax scales - NAT 1004'!$A$12:$C$18,3,1)),0)
*2,
0),
IF(AND($E$2="Monthly",ROUND($AN743-TRUNC($AN743),2)=0.33),
ROUND(
ROUND(((TRUNC(($AN743+0.01)*3/13,0)+0.99)*VLOOKUP((TRUNC(($AN743+0.01)*3/13,0)+0.99),'Tax scales - NAT 1004'!$A$12:$C$18,2,1)-VLOOKUP((TRUNC(($AN743+0.01)*3/13,0)+0.99),'Tax scales - NAT 1004'!$A$12:$C$18,3,1)),0)
*13/3,
0),
IF($E$2="Monthly",
ROUND(
ROUND(((TRUNC($AN743*3/13,0)+0.99)*VLOOKUP((TRUNC($AN743*3/13,0)+0.99),'Tax scales - NAT 1004'!$A$12:$C$18,2,1)-VLOOKUP((TRUNC($AN743*3/13,0)+0.99),'Tax scales - NAT 1004'!$A$12:$C$18,3,1)),0)
*13/3,
0),
""))),
""),
"")</f>
        <v/>
      </c>
      <c r="AP743" s="118" t="str">
        <f>IFERROR(
IF(VLOOKUP($C743,'Employee information'!$B:$M,COLUMNS('Employee information'!$B:$M),0)=2,
IF($E$2="Fortnightly",
ROUND(
ROUND((((TRUNC($AN743/2,0)+0.99))*VLOOKUP((TRUNC($AN743/2,0)+0.99),'Tax scales - NAT 1004'!$A$25:$C$33,2,1)-VLOOKUP((TRUNC($AN743/2,0)+0.99),'Tax scales - NAT 1004'!$A$25:$C$33,3,1)),0)
*2,
0),
IF(AND($E$2="Monthly",ROUND($AN743-TRUNC($AN743),2)=0.33),
ROUND(
ROUND(((TRUNC(($AN743+0.01)*3/13,0)+0.99)*VLOOKUP((TRUNC(($AN743+0.01)*3/13,0)+0.99),'Tax scales - NAT 1004'!$A$25:$C$33,2,1)-VLOOKUP((TRUNC(($AN743+0.01)*3/13,0)+0.99),'Tax scales - NAT 1004'!$A$25:$C$33,3,1)),0)
*13/3,
0),
IF($E$2="Monthly",
ROUND(
ROUND(((TRUNC($AN743*3/13,0)+0.99)*VLOOKUP((TRUNC($AN743*3/13,0)+0.99),'Tax scales - NAT 1004'!$A$25:$C$33,2,1)-VLOOKUP((TRUNC($AN743*3/13,0)+0.99),'Tax scales - NAT 1004'!$A$25:$C$33,3,1)),0)
*13/3,
0),
""))),
""),
"")</f>
        <v/>
      </c>
      <c r="AQ743" s="118" t="str">
        <f>IFERROR(
IF(VLOOKUP($C743,'Employee information'!$B:$M,COLUMNS('Employee information'!$B:$M),0)=3,
IF($E$2="Fortnightly",
ROUND(
ROUND((((TRUNC($AN743/2,0)+0.99))*VLOOKUP((TRUNC($AN743/2,0)+0.99),'Tax scales - NAT 1004'!$A$39:$C$41,2,1)-VLOOKUP((TRUNC($AN743/2,0)+0.99),'Tax scales - NAT 1004'!$A$39:$C$41,3,1)),0)
*2,
0),
IF(AND($E$2="Monthly",ROUND($AN743-TRUNC($AN743),2)=0.33),
ROUND(
ROUND(((TRUNC(($AN743+0.01)*3/13,0)+0.99)*VLOOKUP((TRUNC(($AN743+0.01)*3/13,0)+0.99),'Tax scales - NAT 1004'!$A$39:$C$41,2,1)-VLOOKUP((TRUNC(($AN743+0.01)*3/13,0)+0.99),'Tax scales - NAT 1004'!$A$39:$C$41,3,1)),0)
*13/3,
0),
IF($E$2="Monthly",
ROUND(
ROUND(((TRUNC($AN743*3/13,0)+0.99)*VLOOKUP((TRUNC($AN743*3/13,0)+0.99),'Tax scales - NAT 1004'!$A$39:$C$41,2,1)-VLOOKUP((TRUNC($AN743*3/13,0)+0.99),'Tax scales - NAT 1004'!$A$39:$C$41,3,1)),0)
*13/3,
0),
""))),
""),
"")</f>
        <v/>
      </c>
      <c r="AR743" s="118" t="str">
        <f>IFERROR(
IF(AND(VLOOKUP($C743,'Employee information'!$B:$M,COLUMNS('Employee information'!$B:$M),0)=4,
VLOOKUP($C743,'Employee information'!$B:$J,COLUMNS('Employee information'!$B:$J),0)="Resident"),
TRUNC(TRUNC($AN743)*'Tax scales - NAT 1004'!$B$47),
IF(AND(VLOOKUP($C743,'Employee information'!$B:$M,COLUMNS('Employee information'!$B:$M),0)=4,
VLOOKUP($C743,'Employee information'!$B:$J,COLUMNS('Employee information'!$B:$J),0)="Foreign resident"),
TRUNC(TRUNC($AN743)*'Tax scales - NAT 1004'!$B$48),
"")),
"")</f>
        <v/>
      </c>
      <c r="AS743" s="118" t="str">
        <f>IFERROR(
IF(VLOOKUP($C743,'Employee information'!$B:$M,COLUMNS('Employee information'!$B:$M),0)=5,
IF($E$2="Fortnightly",
ROUND(
ROUND((((TRUNC($AN743/2,0)+0.99))*VLOOKUP((TRUNC($AN743/2,0)+0.99),'Tax scales - NAT 1004'!$A$53:$C$59,2,1)-VLOOKUP((TRUNC($AN743/2,0)+0.99),'Tax scales - NAT 1004'!$A$53:$C$59,3,1)),0)
*2,
0),
IF(AND($E$2="Monthly",ROUND($AN743-TRUNC($AN743),2)=0.33),
ROUND(
ROUND(((TRUNC(($AN743+0.01)*3/13,0)+0.99)*VLOOKUP((TRUNC(($AN743+0.01)*3/13,0)+0.99),'Tax scales - NAT 1004'!$A$53:$C$59,2,1)-VLOOKUP((TRUNC(($AN743+0.01)*3/13,0)+0.99),'Tax scales - NAT 1004'!$A$53:$C$59,3,1)),0)
*13/3,
0),
IF($E$2="Monthly",
ROUND(
ROUND(((TRUNC($AN743*3/13,0)+0.99)*VLOOKUP((TRUNC($AN743*3/13,0)+0.99),'Tax scales - NAT 1004'!$A$53:$C$59,2,1)-VLOOKUP((TRUNC($AN743*3/13,0)+0.99),'Tax scales - NAT 1004'!$A$53:$C$59,3,1)),0)
*13/3,
0),
""))),
""),
"")</f>
        <v/>
      </c>
      <c r="AT743" s="118" t="str">
        <f>IFERROR(
IF(VLOOKUP($C743,'Employee information'!$B:$M,COLUMNS('Employee information'!$B:$M),0)=6,
IF($E$2="Fortnightly",
ROUND(
ROUND((((TRUNC($AN743/2,0)+0.99))*VLOOKUP((TRUNC($AN743/2,0)+0.99),'Tax scales - NAT 1004'!$A$65:$C$73,2,1)-VLOOKUP((TRUNC($AN743/2,0)+0.99),'Tax scales - NAT 1004'!$A$65:$C$73,3,1)),0)
*2,
0),
IF(AND($E$2="Monthly",ROUND($AN743-TRUNC($AN743),2)=0.33),
ROUND(
ROUND(((TRUNC(($AN743+0.01)*3/13,0)+0.99)*VLOOKUP((TRUNC(($AN743+0.01)*3/13,0)+0.99),'Tax scales - NAT 1004'!$A$65:$C$73,2,1)-VLOOKUP((TRUNC(($AN743+0.01)*3/13,0)+0.99),'Tax scales - NAT 1004'!$A$65:$C$73,3,1)),0)
*13/3,
0),
IF($E$2="Monthly",
ROUND(
ROUND(((TRUNC($AN743*3/13,0)+0.99)*VLOOKUP((TRUNC($AN743*3/13,0)+0.99),'Tax scales - NAT 1004'!$A$65:$C$73,2,1)-VLOOKUP((TRUNC($AN743*3/13,0)+0.99),'Tax scales - NAT 1004'!$A$65:$C$73,3,1)),0)
*13/3,
0),
""))),
""),
"")</f>
        <v/>
      </c>
      <c r="AU743" s="118" t="str">
        <f>IFERROR(
IF(VLOOKUP($C743,'Employee information'!$B:$M,COLUMNS('Employee information'!$B:$M),0)=11,
IF($E$2="Fortnightly",
ROUND(
ROUND((((TRUNC($AN743/2,0)+0.99))*VLOOKUP((TRUNC($AN743/2,0)+0.99),'Tax scales - NAT 3539'!$A$14:$C$38,2,1)-VLOOKUP((TRUNC($AN743/2,0)+0.99),'Tax scales - NAT 3539'!$A$14:$C$38,3,1)),0)
*2,
0),
IF(AND($E$2="Monthly",ROUND($AN743-TRUNC($AN743),2)=0.33),
ROUND(
ROUND(((TRUNC(($AN743+0.01)*3/13,0)+0.99)*VLOOKUP((TRUNC(($AN743+0.01)*3/13,0)+0.99),'Tax scales - NAT 3539'!$A$14:$C$38,2,1)-VLOOKUP((TRUNC(($AN743+0.01)*3/13,0)+0.99),'Tax scales - NAT 3539'!$A$14:$C$38,3,1)),0)
*13/3,
0),
IF($E$2="Monthly",
ROUND(
ROUND(((TRUNC($AN743*3/13,0)+0.99)*VLOOKUP((TRUNC($AN743*3/13,0)+0.99),'Tax scales - NAT 3539'!$A$14:$C$38,2,1)-VLOOKUP((TRUNC($AN743*3/13,0)+0.99),'Tax scales - NAT 3539'!$A$14:$C$38,3,1)),0)
*13/3,
0),
""))),
""),
"")</f>
        <v/>
      </c>
      <c r="AV743" s="118" t="str">
        <f>IFERROR(
IF(VLOOKUP($C743,'Employee information'!$B:$M,COLUMNS('Employee information'!$B:$M),0)=22,
IF($E$2="Fortnightly",
ROUND(
ROUND((((TRUNC($AN743/2,0)+0.99))*VLOOKUP((TRUNC($AN743/2,0)+0.99),'Tax scales - NAT 3539'!$A$43:$C$69,2,1)-VLOOKUP((TRUNC($AN743/2,0)+0.99),'Tax scales - NAT 3539'!$A$43:$C$69,3,1)),0)
*2,
0),
IF(AND($E$2="Monthly",ROUND($AN743-TRUNC($AN743),2)=0.33),
ROUND(
ROUND(((TRUNC(($AN743+0.01)*3/13,0)+0.99)*VLOOKUP((TRUNC(($AN743+0.01)*3/13,0)+0.99),'Tax scales - NAT 3539'!$A$43:$C$69,2,1)-VLOOKUP((TRUNC(($AN743+0.01)*3/13,0)+0.99),'Tax scales - NAT 3539'!$A$43:$C$69,3,1)),0)
*13/3,
0),
IF($E$2="Monthly",
ROUND(
ROUND(((TRUNC($AN743*3/13,0)+0.99)*VLOOKUP((TRUNC($AN743*3/13,0)+0.99),'Tax scales - NAT 3539'!$A$43:$C$69,2,1)-VLOOKUP((TRUNC($AN743*3/13,0)+0.99),'Tax scales - NAT 3539'!$A$43:$C$69,3,1)),0)
*13/3,
0),
""))),
""),
"")</f>
        <v/>
      </c>
      <c r="AW743" s="118" t="str">
        <f>IFERROR(
IF(VLOOKUP($C743,'Employee information'!$B:$M,COLUMNS('Employee information'!$B:$M),0)=33,
IF($E$2="Fortnightly",
ROUND(
ROUND((((TRUNC($AN743/2,0)+0.99))*VLOOKUP((TRUNC($AN743/2,0)+0.99),'Tax scales - NAT 3539'!$A$74:$C$94,2,1)-VLOOKUP((TRUNC($AN743/2,0)+0.99),'Tax scales - NAT 3539'!$A$74:$C$94,3,1)),0)
*2,
0),
IF(AND($E$2="Monthly",ROUND($AN743-TRUNC($AN743),2)=0.33),
ROUND(
ROUND(((TRUNC(($AN743+0.01)*3/13,0)+0.99)*VLOOKUP((TRUNC(($AN743+0.01)*3/13,0)+0.99),'Tax scales - NAT 3539'!$A$74:$C$94,2,1)-VLOOKUP((TRUNC(($AN743+0.01)*3/13,0)+0.99),'Tax scales - NAT 3539'!$A$74:$C$94,3,1)),0)
*13/3,
0),
IF($E$2="Monthly",
ROUND(
ROUND(((TRUNC($AN743*3/13,0)+0.99)*VLOOKUP((TRUNC($AN743*3/13,0)+0.99),'Tax scales - NAT 3539'!$A$74:$C$94,2,1)-VLOOKUP((TRUNC($AN743*3/13,0)+0.99),'Tax scales - NAT 3539'!$A$74:$C$94,3,1)),0)
*13/3,
0),
""))),
""),
"")</f>
        <v/>
      </c>
      <c r="AX743" s="118" t="str">
        <f>IFERROR(
IF(VLOOKUP($C743,'Employee information'!$B:$M,COLUMNS('Employee information'!$B:$M),0)=55,
IF($E$2="Fortnightly",
ROUND(
ROUND((((TRUNC($AN743/2,0)+0.99))*VLOOKUP((TRUNC($AN743/2,0)+0.99),'Tax scales - NAT 3539'!$A$99:$C$123,2,1)-VLOOKUP((TRUNC($AN743/2,0)+0.99),'Tax scales - NAT 3539'!$A$99:$C$123,3,1)),0)
*2,
0),
IF(AND($E$2="Monthly",ROUND($AN743-TRUNC($AN743),2)=0.33),
ROUND(
ROUND(((TRUNC(($AN743+0.01)*3/13,0)+0.99)*VLOOKUP((TRUNC(($AN743+0.01)*3/13,0)+0.99),'Tax scales - NAT 3539'!$A$99:$C$123,2,1)-VLOOKUP((TRUNC(($AN743+0.01)*3/13,0)+0.99),'Tax scales - NAT 3539'!$A$99:$C$123,3,1)),0)
*13/3,
0),
IF($E$2="Monthly",
ROUND(
ROUND(((TRUNC($AN743*3/13,0)+0.99)*VLOOKUP((TRUNC($AN743*3/13,0)+0.99),'Tax scales - NAT 3539'!$A$99:$C$123,2,1)-VLOOKUP((TRUNC($AN743*3/13,0)+0.99),'Tax scales - NAT 3539'!$A$99:$C$123,3,1)),0)
*13/3,
0),
""))),
""),
"")</f>
        <v/>
      </c>
      <c r="AY743" s="118" t="str">
        <f>IFERROR(
IF(VLOOKUP($C743,'Employee information'!$B:$M,COLUMNS('Employee information'!$B:$M),0)=66,
IF($E$2="Fortnightly",
ROUND(
ROUND((((TRUNC($AN743/2,0)+0.99))*VLOOKUP((TRUNC($AN743/2,0)+0.99),'Tax scales - NAT 3539'!$A$127:$C$154,2,1)-VLOOKUP((TRUNC($AN743/2,0)+0.99),'Tax scales - NAT 3539'!$A$127:$C$154,3,1)),0)
*2,
0),
IF(AND($E$2="Monthly",ROUND($AN743-TRUNC($AN743),2)=0.33),
ROUND(
ROUND(((TRUNC(($AN743+0.01)*3/13,0)+0.99)*VLOOKUP((TRUNC(($AN743+0.01)*3/13,0)+0.99),'Tax scales - NAT 3539'!$A$127:$C$154,2,1)-VLOOKUP((TRUNC(($AN743+0.01)*3/13,0)+0.99),'Tax scales - NAT 3539'!$A$127:$C$154,3,1)),0)
*13/3,
0),
IF($E$2="Monthly",
ROUND(
ROUND(((TRUNC($AN743*3/13,0)+0.99)*VLOOKUP((TRUNC($AN743*3/13,0)+0.99),'Tax scales - NAT 3539'!$A$127:$C$154,2,1)-VLOOKUP((TRUNC($AN743*3/13,0)+0.99),'Tax scales - NAT 3539'!$A$127:$C$154,3,1)),0)
*13/3,
0),
""))),
""),
"")</f>
        <v/>
      </c>
      <c r="AZ743" s="118">
        <f>IFERROR(
HLOOKUP(VLOOKUP($C743,'Employee information'!$B:$M,COLUMNS('Employee information'!$B:$M),0),'PAYG worksheet'!$AO$735:$AY$754,COUNTA($C$736:$C743)+1,0),
0)</f>
        <v>0</v>
      </c>
      <c r="BA743" s="118"/>
      <c r="BB743" s="118">
        <f t="shared" si="790"/>
        <v>0</v>
      </c>
      <c r="BC743" s="119">
        <f>IFERROR(
IF(OR($AE743=1,$AE743=""),SUM($P743,$AA743,$AC743,$AK743)*VLOOKUP($C743,'Employee information'!$B:$Q,COLUMNS('Employee information'!$B:$H),0),
IF($AE743=0,SUM($P743,$AA743,$AK743)*VLOOKUP($C743,'Employee information'!$B:$Q,COLUMNS('Employee information'!$B:$H),0),
0)),
0)</f>
        <v>0</v>
      </c>
      <c r="BE743" s="114">
        <f t="shared" si="775"/>
        <v>0</v>
      </c>
      <c r="BF743" s="114">
        <f t="shared" si="776"/>
        <v>0</v>
      </c>
      <c r="BG743" s="114">
        <f t="shared" si="777"/>
        <v>0</v>
      </c>
      <c r="BH743" s="114">
        <f t="shared" si="778"/>
        <v>0</v>
      </c>
      <c r="BI743" s="114">
        <f t="shared" si="779"/>
        <v>0</v>
      </c>
      <c r="BJ743" s="114">
        <f t="shared" si="780"/>
        <v>0</v>
      </c>
      <c r="BK743" s="114">
        <f t="shared" si="781"/>
        <v>0</v>
      </c>
      <c r="BL743" s="114">
        <f t="shared" si="791"/>
        <v>0</v>
      </c>
      <c r="BM743" s="114">
        <f t="shared" si="782"/>
        <v>0</v>
      </c>
    </row>
    <row r="744" spans="1:65" x14ac:dyDescent="0.25">
      <c r="A744" s="228">
        <f t="shared" si="770"/>
        <v>26</v>
      </c>
      <c r="C744" s="278"/>
      <c r="E744" s="103">
        <f>IF($C744="",0,
IF(AND($E$2="Monthly",$A744&gt;12),0,
IF($E$2="Monthly",VLOOKUP($C744,'Employee information'!$B:$AM,COLUMNS('Employee information'!$B:S),0),
IF($E$2="Fortnightly",VLOOKUP($C744,'Employee information'!$B:$AM,COLUMNS('Employee information'!$B:R),0),
0))))</f>
        <v>0</v>
      </c>
      <c r="F744" s="106"/>
      <c r="G744" s="106"/>
      <c r="H744" s="106"/>
      <c r="I744" s="106"/>
      <c r="J744" s="103">
        <f t="shared" si="783"/>
        <v>0</v>
      </c>
      <c r="L744" s="113">
        <f>IF(AND($E$2="Monthly",$A744&gt;12),"",
IFERROR($J744*VLOOKUP($C744,'Employee information'!$B:$AI,COLUMNS('Employee information'!$B:$P),0),0))</f>
        <v>0</v>
      </c>
      <c r="M744" s="114">
        <f t="shared" si="784"/>
        <v>0</v>
      </c>
      <c r="O744" s="103">
        <f t="shared" si="785"/>
        <v>0</v>
      </c>
      <c r="P744" s="113">
        <f>IFERROR(
IF(AND($E$2="Monthly",$A744&gt;12),0,
$O744*VLOOKUP($C744,'Employee information'!$B:$AI,COLUMNS('Employee information'!$B:$P),0)),
0)</f>
        <v>0</v>
      </c>
      <c r="R744" s="114">
        <f t="shared" si="771"/>
        <v>0</v>
      </c>
      <c r="T744" s="103"/>
      <c r="U744" s="103"/>
      <c r="V744" s="282" t="str">
        <f>IF($C744="","",
IF(AND($E$2="Monthly",$A744&gt;12),"",
$T744*VLOOKUP($C744,'Employee information'!$B:$P,COLUMNS('Employee information'!$B:$P),0)))</f>
        <v/>
      </c>
      <c r="W744" s="282" t="str">
        <f>IF($C744="","",
IF(AND($E$2="Monthly",$A744&gt;12),"",
$U744*VLOOKUP($C744,'Employee information'!$B:$P,COLUMNS('Employee information'!$B:$P),0)))</f>
        <v/>
      </c>
      <c r="X744" s="114">
        <f t="shared" si="772"/>
        <v>0</v>
      </c>
      <c r="Y744" s="114">
        <f t="shared" si="773"/>
        <v>0</v>
      </c>
      <c r="AA744" s="118">
        <f>IFERROR(
IF(OR('Basic payroll data'!$D$12="",'Basic payroll data'!$D$12="No"),0,
$T744*VLOOKUP($C744,'Employee information'!$B:$P,COLUMNS('Employee information'!$B:$P),0)*AL_loading_perc),
0)</f>
        <v>0</v>
      </c>
      <c r="AC744" s="118"/>
      <c r="AD744" s="118"/>
      <c r="AE744" s="283" t="str">
        <f t="shared" si="786"/>
        <v/>
      </c>
      <c r="AF744" s="283" t="str">
        <f t="shared" si="787"/>
        <v/>
      </c>
      <c r="AG744" s="118"/>
      <c r="AH744" s="118"/>
      <c r="AI744" s="283" t="str">
        <f t="shared" si="788"/>
        <v/>
      </c>
      <c r="AJ744" s="118"/>
      <c r="AK744" s="118"/>
      <c r="AM744" s="118">
        <f t="shared" si="789"/>
        <v>0</v>
      </c>
      <c r="AN744" s="118">
        <f t="shared" si="774"/>
        <v>0</v>
      </c>
      <c r="AO744" s="118" t="str">
        <f>IFERROR(
IF(VLOOKUP($C744,'Employee information'!$B:$M,COLUMNS('Employee information'!$B:$M),0)=1,
IF($E$2="Fortnightly",
ROUND(
ROUND((((TRUNC($AN744/2,0)+0.99))*VLOOKUP((TRUNC($AN744/2,0)+0.99),'Tax scales - NAT 1004'!$A$12:$C$18,2,1)-VLOOKUP((TRUNC($AN744/2,0)+0.99),'Tax scales - NAT 1004'!$A$12:$C$18,3,1)),0)
*2,
0),
IF(AND($E$2="Monthly",ROUND($AN744-TRUNC($AN744),2)=0.33),
ROUND(
ROUND(((TRUNC(($AN744+0.01)*3/13,0)+0.99)*VLOOKUP((TRUNC(($AN744+0.01)*3/13,0)+0.99),'Tax scales - NAT 1004'!$A$12:$C$18,2,1)-VLOOKUP((TRUNC(($AN744+0.01)*3/13,0)+0.99),'Tax scales - NAT 1004'!$A$12:$C$18,3,1)),0)
*13/3,
0),
IF($E$2="Monthly",
ROUND(
ROUND(((TRUNC($AN744*3/13,0)+0.99)*VLOOKUP((TRUNC($AN744*3/13,0)+0.99),'Tax scales - NAT 1004'!$A$12:$C$18,2,1)-VLOOKUP((TRUNC($AN744*3/13,0)+0.99),'Tax scales - NAT 1004'!$A$12:$C$18,3,1)),0)
*13/3,
0),
""))),
""),
"")</f>
        <v/>
      </c>
      <c r="AP744" s="118" t="str">
        <f>IFERROR(
IF(VLOOKUP($C744,'Employee information'!$B:$M,COLUMNS('Employee information'!$B:$M),0)=2,
IF($E$2="Fortnightly",
ROUND(
ROUND((((TRUNC($AN744/2,0)+0.99))*VLOOKUP((TRUNC($AN744/2,0)+0.99),'Tax scales - NAT 1004'!$A$25:$C$33,2,1)-VLOOKUP((TRUNC($AN744/2,0)+0.99),'Tax scales - NAT 1004'!$A$25:$C$33,3,1)),0)
*2,
0),
IF(AND($E$2="Monthly",ROUND($AN744-TRUNC($AN744),2)=0.33),
ROUND(
ROUND(((TRUNC(($AN744+0.01)*3/13,0)+0.99)*VLOOKUP((TRUNC(($AN744+0.01)*3/13,0)+0.99),'Tax scales - NAT 1004'!$A$25:$C$33,2,1)-VLOOKUP((TRUNC(($AN744+0.01)*3/13,0)+0.99),'Tax scales - NAT 1004'!$A$25:$C$33,3,1)),0)
*13/3,
0),
IF($E$2="Monthly",
ROUND(
ROUND(((TRUNC($AN744*3/13,0)+0.99)*VLOOKUP((TRUNC($AN744*3/13,0)+0.99),'Tax scales - NAT 1004'!$A$25:$C$33,2,1)-VLOOKUP((TRUNC($AN744*3/13,0)+0.99),'Tax scales - NAT 1004'!$A$25:$C$33,3,1)),0)
*13/3,
0),
""))),
""),
"")</f>
        <v/>
      </c>
      <c r="AQ744" s="118" t="str">
        <f>IFERROR(
IF(VLOOKUP($C744,'Employee information'!$B:$M,COLUMNS('Employee information'!$B:$M),0)=3,
IF($E$2="Fortnightly",
ROUND(
ROUND((((TRUNC($AN744/2,0)+0.99))*VLOOKUP((TRUNC($AN744/2,0)+0.99),'Tax scales - NAT 1004'!$A$39:$C$41,2,1)-VLOOKUP((TRUNC($AN744/2,0)+0.99),'Tax scales - NAT 1004'!$A$39:$C$41,3,1)),0)
*2,
0),
IF(AND($E$2="Monthly",ROUND($AN744-TRUNC($AN744),2)=0.33),
ROUND(
ROUND(((TRUNC(($AN744+0.01)*3/13,0)+0.99)*VLOOKUP((TRUNC(($AN744+0.01)*3/13,0)+0.99),'Tax scales - NAT 1004'!$A$39:$C$41,2,1)-VLOOKUP((TRUNC(($AN744+0.01)*3/13,0)+0.99),'Tax scales - NAT 1004'!$A$39:$C$41,3,1)),0)
*13/3,
0),
IF($E$2="Monthly",
ROUND(
ROUND(((TRUNC($AN744*3/13,0)+0.99)*VLOOKUP((TRUNC($AN744*3/13,0)+0.99),'Tax scales - NAT 1004'!$A$39:$C$41,2,1)-VLOOKUP((TRUNC($AN744*3/13,0)+0.99),'Tax scales - NAT 1004'!$A$39:$C$41,3,1)),0)
*13/3,
0),
""))),
""),
"")</f>
        <v/>
      </c>
      <c r="AR744" s="118" t="str">
        <f>IFERROR(
IF(AND(VLOOKUP($C744,'Employee information'!$B:$M,COLUMNS('Employee information'!$B:$M),0)=4,
VLOOKUP($C744,'Employee information'!$B:$J,COLUMNS('Employee information'!$B:$J),0)="Resident"),
TRUNC(TRUNC($AN744)*'Tax scales - NAT 1004'!$B$47),
IF(AND(VLOOKUP($C744,'Employee information'!$B:$M,COLUMNS('Employee information'!$B:$M),0)=4,
VLOOKUP($C744,'Employee information'!$B:$J,COLUMNS('Employee information'!$B:$J),0)="Foreign resident"),
TRUNC(TRUNC($AN744)*'Tax scales - NAT 1004'!$B$48),
"")),
"")</f>
        <v/>
      </c>
      <c r="AS744" s="118" t="str">
        <f>IFERROR(
IF(VLOOKUP($C744,'Employee information'!$B:$M,COLUMNS('Employee information'!$B:$M),0)=5,
IF($E$2="Fortnightly",
ROUND(
ROUND((((TRUNC($AN744/2,0)+0.99))*VLOOKUP((TRUNC($AN744/2,0)+0.99),'Tax scales - NAT 1004'!$A$53:$C$59,2,1)-VLOOKUP((TRUNC($AN744/2,0)+0.99),'Tax scales - NAT 1004'!$A$53:$C$59,3,1)),0)
*2,
0),
IF(AND($E$2="Monthly",ROUND($AN744-TRUNC($AN744),2)=0.33),
ROUND(
ROUND(((TRUNC(($AN744+0.01)*3/13,0)+0.99)*VLOOKUP((TRUNC(($AN744+0.01)*3/13,0)+0.99),'Tax scales - NAT 1004'!$A$53:$C$59,2,1)-VLOOKUP((TRUNC(($AN744+0.01)*3/13,0)+0.99),'Tax scales - NAT 1004'!$A$53:$C$59,3,1)),0)
*13/3,
0),
IF($E$2="Monthly",
ROUND(
ROUND(((TRUNC($AN744*3/13,0)+0.99)*VLOOKUP((TRUNC($AN744*3/13,0)+0.99),'Tax scales - NAT 1004'!$A$53:$C$59,2,1)-VLOOKUP((TRUNC($AN744*3/13,0)+0.99),'Tax scales - NAT 1004'!$A$53:$C$59,3,1)),0)
*13/3,
0),
""))),
""),
"")</f>
        <v/>
      </c>
      <c r="AT744" s="118" t="str">
        <f>IFERROR(
IF(VLOOKUP($C744,'Employee information'!$B:$M,COLUMNS('Employee information'!$B:$M),0)=6,
IF($E$2="Fortnightly",
ROUND(
ROUND((((TRUNC($AN744/2,0)+0.99))*VLOOKUP((TRUNC($AN744/2,0)+0.99),'Tax scales - NAT 1004'!$A$65:$C$73,2,1)-VLOOKUP((TRUNC($AN744/2,0)+0.99),'Tax scales - NAT 1004'!$A$65:$C$73,3,1)),0)
*2,
0),
IF(AND($E$2="Monthly",ROUND($AN744-TRUNC($AN744),2)=0.33),
ROUND(
ROUND(((TRUNC(($AN744+0.01)*3/13,0)+0.99)*VLOOKUP((TRUNC(($AN744+0.01)*3/13,0)+0.99),'Tax scales - NAT 1004'!$A$65:$C$73,2,1)-VLOOKUP((TRUNC(($AN744+0.01)*3/13,0)+0.99),'Tax scales - NAT 1004'!$A$65:$C$73,3,1)),0)
*13/3,
0),
IF($E$2="Monthly",
ROUND(
ROUND(((TRUNC($AN744*3/13,0)+0.99)*VLOOKUP((TRUNC($AN744*3/13,0)+0.99),'Tax scales - NAT 1004'!$A$65:$C$73,2,1)-VLOOKUP((TRUNC($AN744*3/13,0)+0.99),'Tax scales - NAT 1004'!$A$65:$C$73,3,1)),0)
*13/3,
0),
""))),
""),
"")</f>
        <v/>
      </c>
      <c r="AU744" s="118" t="str">
        <f>IFERROR(
IF(VLOOKUP($C744,'Employee information'!$B:$M,COLUMNS('Employee information'!$B:$M),0)=11,
IF($E$2="Fortnightly",
ROUND(
ROUND((((TRUNC($AN744/2,0)+0.99))*VLOOKUP((TRUNC($AN744/2,0)+0.99),'Tax scales - NAT 3539'!$A$14:$C$38,2,1)-VLOOKUP((TRUNC($AN744/2,0)+0.99),'Tax scales - NAT 3539'!$A$14:$C$38,3,1)),0)
*2,
0),
IF(AND($E$2="Monthly",ROUND($AN744-TRUNC($AN744),2)=0.33),
ROUND(
ROUND(((TRUNC(($AN744+0.01)*3/13,0)+0.99)*VLOOKUP((TRUNC(($AN744+0.01)*3/13,0)+0.99),'Tax scales - NAT 3539'!$A$14:$C$38,2,1)-VLOOKUP((TRUNC(($AN744+0.01)*3/13,0)+0.99),'Tax scales - NAT 3539'!$A$14:$C$38,3,1)),0)
*13/3,
0),
IF($E$2="Monthly",
ROUND(
ROUND(((TRUNC($AN744*3/13,0)+0.99)*VLOOKUP((TRUNC($AN744*3/13,0)+0.99),'Tax scales - NAT 3539'!$A$14:$C$38,2,1)-VLOOKUP((TRUNC($AN744*3/13,0)+0.99),'Tax scales - NAT 3539'!$A$14:$C$38,3,1)),0)
*13/3,
0),
""))),
""),
"")</f>
        <v/>
      </c>
      <c r="AV744" s="118" t="str">
        <f>IFERROR(
IF(VLOOKUP($C744,'Employee information'!$B:$M,COLUMNS('Employee information'!$B:$M),0)=22,
IF($E$2="Fortnightly",
ROUND(
ROUND((((TRUNC($AN744/2,0)+0.99))*VLOOKUP((TRUNC($AN744/2,0)+0.99),'Tax scales - NAT 3539'!$A$43:$C$69,2,1)-VLOOKUP((TRUNC($AN744/2,0)+0.99),'Tax scales - NAT 3539'!$A$43:$C$69,3,1)),0)
*2,
0),
IF(AND($E$2="Monthly",ROUND($AN744-TRUNC($AN744),2)=0.33),
ROUND(
ROUND(((TRUNC(($AN744+0.01)*3/13,0)+0.99)*VLOOKUP((TRUNC(($AN744+0.01)*3/13,0)+0.99),'Tax scales - NAT 3539'!$A$43:$C$69,2,1)-VLOOKUP((TRUNC(($AN744+0.01)*3/13,0)+0.99),'Tax scales - NAT 3539'!$A$43:$C$69,3,1)),0)
*13/3,
0),
IF($E$2="Monthly",
ROUND(
ROUND(((TRUNC($AN744*3/13,0)+0.99)*VLOOKUP((TRUNC($AN744*3/13,0)+0.99),'Tax scales - NAT 3539'!$A$43:$C$69,2,1)-VLOOKUP((TRUNC($AN744*3/13,0)+0.99),'Tax scales - NAT 3539'!$A$43:$C$69,3,1)),0)
*13/3,
0),
""))),
""),
"")</f>
        <v/>
      </c>
      <c r="AW744" s="118" t="str">
        <f>IFERROR(
IF(VLOOKUP($C744,'Employee information'!$B:$M,COLUMNS('Employee information'!$B:$M),0)=33,
IF($E$2="Fortnightly",
ROUND(
ROUND((((TRUNC($AN744/2,0)+0.99))*VLOOKUP((TRUNC($AN744/2,0)+0.99),'Tax scales - NAT 3539'!$A$74:$C$94,2,1)-VLOOKUP((TRUNC($AN744/2,0)+0.99),'Tax scales - NAT 3539'!$A$74:$C$94,3,1)),0)
*2,
0),
IF(AND($E$2="Monthly",ROUND($AN744-TRUNC($AN744),2)=0.33),
ROUND(
ROUND(((TRUNC(($AN744+0.01)*3/13,0)+0.99)*VLOOKUP((TRUNC(($AN744+0.01)*3/13,0)+0.99),'Tax scales - NAT 3539'!$A$74:$C$94,2,1)-VLOOKUP((TRUNC(($AN744+0.01)*3/13,0)+0.99),'Tax scales - NAT 3539'!$A$74:$C$94,3,1)),0)
*13/3,
0),
IF($E$2="Monthly",
ROUND(
ROUND(((TRUNC($AN744*3/13,0)+0.99)*VLOOKUP((TRUNC($AN744*3/13,0)+0.99),'Tax scales - NAT 3539'!$A$74:$C$94,2,1)-VLOOKUP((TRUNC($AN744*3/13,0)+0.99),'Tax scales - NAT 3539'!$A$74:$C$94,3,1)),0)
*13/3,
0),
""))),
""),
"")</f>
        <v/>
      </c>
      <c r="AX744" s="118" t="str">
        <f>IFERROR(
IF(VLOOKUP($C744,'Employee information'!$B:$M,COLUMNS('Employee information'!$B:$M),0)=55,
IF($E$2="Fortnightly",
ROUND(
ROUND((((TRUNC($AN744/2,0)+0.99))*VLOOKUP((TRUNC($AN744/2,0)+0.99),'Tax scales - NAT 3539'!$A$99:$C$123,2,1)-VLOOKUP((TRUNC($AN744/2,0)+0.99),'Tax scales - NAT 3539'!$A$99:$C$123,3,1)),0)
*2,
0),
IF(AND($E$2="Monthly",ROUND($AN744-TRUNC($AN744),2)=0.33),
ROUND(
ROUND(((TRUNC(($AN744+0.01)*3/13,0)+0.99)*VLOOKUP((TRUNC(($AN744+0.01)*3/13,0)+0.99),'Tax scales - NAT 3539'!$A$99:$C$123,2,1)-VLOOKUP((TRUNC(($AN744+0.01)*3/13,0)+0.99),'Tax scales - NAT 3539'!$A$99:$C$123,3,1)),0)
*13/3,
0),
IF($E$2="Monthly",
ROUND(
ROUND(((TRUNC($AN744*3/13,0)+0.99)*VLOOKUP((TRUNC($AN744*3/13,0)+0.99),'Tax scales - NAT 3539'!$A$99:$C$123,2,1)-VLOOKUP((TRUNC($AN744*3/13,0)+0.99),'Tax scales - NAT 3539'!$A$99:$C$123,3,1)),0)
*13/3,
0),
""))),
""),
"")</f>
        <v/>
      </c>
      <c r="AY744" s="118" t="str">
        <f>IFERROR(
IF(VLOOKUP($C744,'Employee information'!$B:$M,COLUMNS('Employee information'!$B:$M),0)=66,
IF($E$2="Fortnightly",
ROUND(
ROUND((((TRUNC($AN744/2,0)+0.99))*VLOOKUP((TRUNC($AN744/2,0)+0.99),'Tax scales - NAT 3539'!$A$127:$C$154,2,1)-VLOOKUP((TRUNC($AN744/2,0)+0.99),'Tax scales - NAT 3539'!$A$127:$C$154,3,1)),0)
*2,
0),
IF(AND($E$2="Monthly",ROUND($AN744-TRUNC($AN744),2)=0.33),
ROUND(
ROUND(((TRUNC(($AN744+0.01)*3/13,0)+0.99)*VLOOKUP((TRUNC(($AN744+0.01)*3/13,0)+0.99),'Tax scales - NAT 3539'!$A$127:$C$154,2,1)-VLOOKUP((TRUNC(($AN744+0.01)*3/13,0)+0.99),'Tax scales - NAT 3539'!$A$127:$C$154,3,1)),0)
*13/3,
0),
IF($E$2="Monthly",
ROUND(
ROUND(((TRUNC($AN744*3/13,0)+0.99)*VLOOKUP((TRUNC($AN744*3/13,0)+0.99),'Tax scales - NAT 3539'!$A$127:$C$154,2,1)-VLOOKUP((TRUNC($AN744*3/13,0)+0.99),'Tax scales - NAT 3539'!$A$127:$C$154,3,1)),0)
*13/3,
0),
""))),
""),
"")</f>
        <v/>
      </c>
      <c r="AZ744" s="118">
        <f>IFERROR(
HLOOKUP(VLOOKUP($C744,'Employee information'!$B:$M,COLUMNS('Employee information'!$B:$M),0),'PAYG worksheet'!$AO$735:$AY$754,COUNTA($C$736:$C744)+1,0),
0)</f>
        <v>0</v>
      </c>
      <c r="BA744" s="118"/>
      <c r="BB744" s="118">
        <f t="shared" si="790"/>
        <v>0</v>
      </c>
      <c r="BC744" s="119">
        <f>IFERROR(
IF(OR($AE744=1,$AE744=""),SUM($P744,$AA744,$AC744,$AK744)*VLOOKUP($C744,'Employee information'!$B:$Q,COLUMNS('Employee information'!$B:$H),0),
IF($AE744=0,SUM($P744,$AA744,$AK744)*VLOOKUP($C744,'Employee information'!$B:$Q,COLUMNS('Employee information'!$B:$H),0),
0)),
0)</f>
        <v>0</v>
      </c>
      <c r="BE744" s="114">
        <f t="shared" si="775"/>
        <v>0</v>
      </c>
      <c r="BF744" s="114">
        <f t="shared" si="776"/>
        <v>0</v>
      </c>
      <c r="BG744" s="114">
        <f t="shared" si="777"/>
        <v>0</v>
      </c>
      <c r="BH744" s="114">
        <f t="shared" si="778"/>
        <v>0</v>
      </c>
      <c r="BI744" s="114">
        <f t="shared" si="779"/>
        <v>0</v>
      </c>
      <c r="BJ744" s="114">
        <f t="shared" si="780"/>
        <v>0</v>
      </c>
      <c r="BK744" s="114">
        <f t="shared" si="781"/>
        <v>0</v>
      </c>
      <c r="BL744" s="114">
        <f t="shared" si="791"/>
        <v>0</v>
      </c>
      <c r="BM744" s="114">
        <f t="shared" si="782"/>
        <v>0</v>
      </c>
    </row>
    <row r="745" spans="1:65" x14ac:dyDescent="0.25">
      <c r="A745" s="228">
        <f t="shared" si="770"/>
        <v>26</v>
      </c>
      <c r="C745" s="278"/>
      <c r="E745" s="103">
        <f>IF($C745="",0,
IF(AND($E$2="Monthly",$A745&gt;12),0,
IF($E$2="Monthly",VLOOKUP($C745,'Employee information'!$B:$AM,COLUMNS('Employee information'!$B:S),0),
IF($E$2="Fortnightly",VLOOKUP($C745,'Employee information'!$B:$AM,COLUMNS('Employee information'!$B:R),0),
0))))</f>
        <v>0</v>
      </c>
      <c r="F745" s="106"/>
      <c r="G745" s="106"/>
      <c r="H745" s="106"/>
      <c r="I745" s="106"/>
      <c r="J745" s="103">
        <f t="shared" si="783"/>
        <v>0</v>
      </c>
      <c r="L745" s="113">
        <f>IF(AND($E$2="Monthly",$A745&gt;12),"",
IFERROR($J745*VLOOKUP($C745,'Employee information'!$B:$AI,COLUMNS('Employee information'!$B:$P),0),0))</f>
        <v>0</v>
      </c>
      <c r="M745" s="114">
        <f t="shared" si="784"/>
        <v>0</v>
      </c>
      <c r="O745" s="103">
        <f>IF($E$2="Monthly",
IF(AND($E$2="Monthly",$H745&lt;&gt;""),$H745,
IF(AND($E$2="Monthly",$E745=0),$F745,
$E745)),
IF($E$2="Fortnightly",
IF(AND($E$2="Fortnightly",$H745&lt;&gt;""),$H745,
IF(AND($E$2="Fortnightly",$F745&lt;&gt;"",$E745&lt;&gt;0),$F745,
IF(AND($E$2="Fortnightly",$E745=0),$F745,
$E745)))))</f>
        <v>0</v>
      </c>
      <c r="P745" s="113">
        <f>IFERROR(
IF(AND($E$2="Monthly",$A745&gt;12),0,
$O745*VLOOKUP($C745,'Employee information'!$B:$AI,COLUMNS('Employee information'!$B:$P),0)),
0)</f>
        <v>0</v>
      </c>
      <c r="R745" s="114">
        <f t="shared" si="771"/>
        <v>0</v>
      </c>
      <c r="T745" s="103"/>
      <c r="U745" s="103"/>
      <c r="V745" s="282" t="str">
        <f>IF($C745="","",
IF(AND($E$2="Monthly",$A745&gt;12),"",
$T745*VLOOKUP($C745,'Employee information'!$B:$P,COLUMNS('Employee information'!$B:$P),0)))</f>
        <v/>
      </c>
      <c r="W745" s="282" t="str">
        <f>IF($C745="","",
IF(AND($E$2="Monthly",$A745&gt;12),"",
$U745*VLOOKUP($C745,'Employee information'!$B:$P,COLUMNS('Employee information'!$B:$P),0)))</f>
        <v/>
      </c>
      <c r="X745" s="114">
        <f t="shared" si="772"/>
        <v>0</v>
      </c>
      <c r="Y745" s="114">
        <f t="shared" si="773"/>
        <v>0</v>
      </c>
      <c r="AA745" s="118">
        <f>IFERROR(
IF(OR('Basic payroll data'!$D$12="",'Basic payroll data'!$D$12="No"),0,
$T745*VLOOKUP($C745,'Employee information'!$B:$P,COLUMNS('Employee information'!$B:$P),0)*AL_loading_perc),
0)</f>
        <v>0</v>
      </c>
      <c r="AC745" s="118"/>
      <c r="AD745" s="118"/>
      <c r="AE745" s="283" t="str">
        <f t="shared" si="786"/>
        <v/>
      </c>
      <c r="AF745" s="283" t="str">
        <f t="shared" si="787"/>
        <v/>
      </c>
      <c r="AG745" s="118"/>
      <c r="AH745" s="118"/>
      <c r="AI745" s="283" t="str">
        <f t="shared" si="788"/>
        <v/>
      </c>
      <c r="AJ745" s="118"/>
      <c r="AK745" s="118"/>
      <c r="AM745" s="118">
        <f t="shared" si="789"/>
        <v>0</v>
      </c>
      <c r="AN745" s="118">
        <f t="shared" si="774"/>
        <v>0</v>
      </c>
      <c r="AO745" s="118" t="str">
        <f>IFERROR(
IF(VLOOKUP($C745,'Employee information'!$B:$M,COLUMNS('Employee information'!$B:$M),0)=1,
IF($E$2="Fortnightly",
ROUND(
ROUND((((TRUNC($AN745/2,0)+0.99))*VLOOKUP((TRUNC($AN745/2,0)+0.99),'Tax scales - NAT 1004'!$A$12:$C$18,2,1)-VLOOKUP((TRUNC($AN745/2,0)+0.99),'Tax scales - NAT 1004'!$A$12:$C$18,3,1)),0)
*2,
0),
IF(AND($E$2="Monthly",ROUND($AN745-TRUNC($AN745),2)=0.33),
ROUND(
ROUND(((TRUNC(($AN745+0.01)*3/13,0)+0.99)*VLOOKUP((TRUNC(($AN745+0.01)*3/13,0)+0.99),'Tax scales - NAT 1004'!$A$12:$C$18,2,1)-VLOOKUP((TRUNC(($AN745+0.01)*3/13,0)+0.99),'Tax scales - NAT 1004'!$A$12:$C$18,3,1)),0)
*13/3,
0),
IF($E$2="Monthly",
ROUND(
ROUND(((TRUNC($AN745*3/13,0)+0.99)*VLOOKUP((TRUNC($AN745*3/13,0)+0.99),'Tax scales - NAT 1004'!$A$12:$C$18,2,1)-VLOOKUP((TRUNC($AN745*3/13,0)+0.99),'Tax scales - NAT 1004'!$A$12:$C$18,3,1)),0)
*13/3,
0),
""))),
""),
"")</f>
        <v/>
      </c>
      <c r="AP745" s="118" t="str">
        <f>IFERROR(
IF(VLOOKUP($C745,'Employee information'!$B:$M,COLUMNS('Employee information'!$B:$M),0)=2,
IF($E$2="Fortnightly",
ROUND(
ROUND((((TRUNC($AN745/2,0)+0.99))*VLOOKUP((TRUNC($AN745/2,0)+0.99),'Tax scales - NAT 1004'!$A$25:$C$33,2,1)-VLOOKUP((TRUNC($AN745/2,0)+0.99),'Tax scales - NAT 1004'!$A$25:$C$33,3,1)),0)
*2,
0),
IF(AND($E$2="Monthly",ROUND($AN745-TRUNC($AN745),2)=0.33),
ROUND(
ROUND(((TRUNC(($AN745+0.01)*3/13,0)+0.99)*VLOOKUP((TRUNC(($AN745+0.01)*3/13,0)+0.99),'Tax scales - NAT 1004'!$A$25:$C$33,2,1)-VLOOKUP((TRUNC(($AN745+0.01)*3/13,0)+0.99),'Tax scales - NAT 1004'!$A$25:$C$33,3,1)),0)
*13/3,
0),
IF($E$2="Monthly",
ROUND(
ROUND(((TRUNC($AN745*3/13,0)+0.99)*VLOOKUP((TRUNC($AN745*3/13,0)+0.99),'Tax scales - NAT 1004'!$A$25:$C$33,2,1)-VLOOKUP((TRUNC($AN745*3/13,0)+0.99),'Tax scales - NAT 1004'!$A$25:$C$33,3,1)),0)
*13/3,
0),
""))),
""),
"")</f>
        <v/>
      </c>
      <c r="AQ745" s="118" t="str">
        <f>IFERROR(
IF(VLOOKUP($C745,'Employee information'!$B:$M,COLUMNS('Employee information'!$B:$M),0)=3,
IF($E$2="Fortnightly",
ROUND(
ROUND((((TRUNC($AN745/2,0)+0.99))*VLOOKUP((TRUNC($AN745/2,0)+0.99),'Tax scales - NAT 1004'!$A$39:$C$41,2,1)-VLOOKUP((TRUNC($AN745/2,0)+0.99),'Tax scales - NAT 1004'!$A$39:$C$41,3,1)),0)
*2,
0),
IF(AND($E$2="Monthly",ROUND($AN745-TRUNC($AN745),2)=0.33),
ROUND(
ROUND(((TRUNC(($AN745+0.01)*3/13,0)+0.99)*VLOOKUP((TRUNC(($AN745+0.01)*3/13,0)+0.99),'Tax scales - NAT 1004'!$A$39:$C$41,2,1)-VLOOKUP((TRUNC(($AN745+0.01)*3/13,0)+0.99),'Tax scales - NAT 1004'!$A$39:$C$41,3,1)),0)
*13/3,
0),
IF($E$2="Monthly",
ROUND(
ROUND(((TRUNC($AN745*3/13,0)+0.99)*VLOOKUP((TRUNC($AN745*3/13,0)+0.99),'Tax scales - NAT 1004'!$A$39:$C$41,2,1)-VLOOKUP((TRUNC($AN745*3/13,0)+0.99),'Tax scales - NAT 1004'!$A$39:$C$41,3,1)),0)
*13/3,
0),
""))),
""),
"")</f>
        <v/>
      </c>
      <c r="AR745" s="118" t="str">
        <f>IFERROR(
IF(AND(VLOOKUP($C745,'Employee information'!$B:$M,COLUMNS('Employee information'!$B:$M),0)=4,
VLOOKUP($C745,'Employee information'!$B:$J,COLUMNS('Employee information'!$B:$J),0)="Resident"),
TRUNC(TRUNC($AN745)*'Tax scales - NAT 1004'!$B$47),
IF(AND(VLOOKUP($C745,'Employee information'!$B:$M,COLUMNS('Employee information'!$B:$M),0)=4,
VLOOKUP($C745,'Employee information'!$B:$J,COLUMNS('Employee information'!$B:$J),0)="Foreign resident"),
TRUNC(TRUNC($AN745)*'Tax scales - NAT 1004'!$B$48),
"")),
"")</f>
        <v/>
      </c>
      <c r="AS745" s="118" t="str">
        <f>IFERROR(
IF(VLOOKUP($C745,'Employee information'!$B:$M,COLUMNS('Employee information'!$B:$M),0)=5,
IF($E$2="Fortnightly",
ROUND(
ROUND((((TRUNC($AN745/2,0)+0.99))*VLOOKUP((TRUNC($AN745/2,0)+0.99),'Tax scales - NAT 1004'!$A$53:$C$59,2,1)-VLOOKUP((TRUNC($AN745/2,0)+0.99),'Tax scales - NAT 1004'!$A$53:$C$59,3,1)),0)
*2,
0),
IF(AND($E$2="Monthly",ROUND($AN745-TRUNC($AN745),2)=0.33),
ROUND(
ROUND(((TRUNC(($AN745+0.01)*3/13,0)+0.99)*VLOOKUP((TRUNC(($AN745+0.01)*3/13,0)+0.99),'Tax scales - NAT 1004'!$A$53:$C$59,2,1)-VLOOKUP((TRUNC(($AN745+0.01)*3/13,0)+0.99),'Tax scales - NAT 1004'!$A$53:$C$59,3,1)),0)
*13/3,
0),
IF($E$2="Monthly",
ROUND(
ROUND(((TRUNC($AN745*3/13,0)+0.99)*VLOOKUP((TRUNC($AN745*3/13,0)+0.99),'Tax scales - NAT 1004'!$A$53:$C$59,2,1)-VLOOKUP((TRUNC($AN745*3/13,0)+0.99),'Tax scales - NAT 1004'!$A$53:$C$59,3,1)),0)
*13/3,
0),
""))),
""),
"")</f>
        <v/>
      </c>
      <c r="AT745" s="118" t="str">
        <f>IFERROR(
IF(VLOOKUP($C745,'Employee information'!$B:$M,COLUMNS('Employee information'!$B:$M),0)=6,
IF($E$2="Fortnightly",
ROUND(
ROUND((((TRUNC($AN745/2,0)+0.99))*VLOOKUP((TRUNC($AN745/2,0)+0.99),'Tax scales - NAT 1004'!$A$65:$C$73,2,1)-VLOOKUP((TRUNC($AN745/2,0)+0.99),'Tax scales - NAT 1004'!$A$65:$C$73,3,1)),0)
*2,
0),
IF(AND($E$2="Monthly",ROUND($AN745-TRUNC($AN745),2)=0.33),
ROUND(
ROUND(((TRUNC(($AN745+0.01)*3/13,0)+0.99)*VLOOKUP((TRUNC(($AN745+0.01)*3/13,0)+0.99),'Tax scales - NAT 1004'!$A$65:$C$73,2,1)-VLOOKUP((TRUNC(($AN745+0.01)*3/13,0)+0.99),'Tax scales - NAT 1004'!$A$65:$C$73,3,1)),0)
*13/3,
0),
IF($E$2="Monthly",
ROUND(
ROUND(((TRUNC($AN745*3/13,0)+0.99)*VLOOKUP((TRUNC($AN745*3/13,0)+0.99),'Tax scales - NAT 1004'!$A$65:$C$73,2,1)-VLOOKUP((TRUNC($AN745*3/13,0)+0.99),'Tax scales - NAT 1004'!$A$65:$C$73,3,1)),0)
*13/3,
0),
""))),
""),
"")</f>
        <v/>
      </c>
      <c r="AU745" s="118" t="str">
        <f>IFERROR(
IF(VLOOKUP($C745,'Employee information'!$B:$M,COLUMNS('Employee information'!$B:$M),0)=11,
IF($E$2="Fortnightly",
ROUND(
ROUND((((TRUNC($AN745/2,0)+0.99))*VLOOKUP((TRUNC($AN745/2,0)+0.99),'Tax scales - NAT 3539'!$A$14:$C$38,2,1)-VLOOKUP((TRUNC($AN745/2,0)+0.99),'Tax scales - NAT 3539'!$A$14:$C$38,3,1)),0)
*2,
0),
IF(AND($E$2="Monthly",ROUND($AN745-TRUNC($AN745),2)=0.33),
ROUND(
ROUND(((TRUNC(($AN745+0.01)*3/13,0)+0.99)*VLOOKUP((TRUNC(($AN745+0.01)*3/13,0)+0.99),'Tax scales - NAT 3539'!$A$14:$C$38,2,1)-VLOOKUP((TRUNC(($AN745+0.01)*3/13,0)+0.99),'Tax scales - NAT 3539'!$A$14:$C$38,3,1)),0)
*13/3,
0),
IF($E$2="Monthly",
ROUND(
ROUND(((TRUNC($AN745*3/13,0)+0.99)*VLOOKUP((TRUNC($AN745*3/13,0)+0.99),'Tax scales - NAT 3539'!$A$14:$C$38,2,1)-VLOOKUP((TRUNC($AN745*3/13,0)+0.99),'Tax scales - NAT 3539'!$A$14:$C$38,3,1)),0)
*13/3,
0),
""))),
""),
"")</f>
        <v/>
      </c>
      <c r="AV745" s="118" t="str">
        <f>IFERROR(
IF(VLOOKUP($C745,'Employee information'!$B:$M,COLUMNS('Employee information'!$B:$M),0)=22,
IF($E$2="Fortnightly",
ROUND(
ROUND((((TRUNC($AN745/2,0)+0.99))*VLOOKUP((TRUNC($AN745/2,0)+0.99),'Tax scales - NAT 3539'!$A$43:$C$69,2,1)-VLOOKUP((TRUNC($AN745/2,0)+0.99),'Tax scales - NAT 3539'!$A$43:$C$69,3,1)),0)
*2,
0),
IF(AND($E$2="Monthly",ROUND($AN745-TRUNC($AN745),2)=0.33),
ROUND(
ROUND(((TRUNC(($AN745+0.01)*3/13,0)+0.99)*VLOOKUP((TRUNC(($AN745+0.01)*3/13,0)+0.99),'Tax scales - NAT 3539'!$A$43:$C$69,2,1)-VLOOKUP((TRUNC(($AN745+0.01)*3/13,0)+0.99),'Tax scales - NAT 3539'!$A$43:$C$69,3,1)),0)
*13/3,
0),
IF($E$2="Monthly",
ROUND(
ROUND(((TRUNC($AN745*3/13,0)+0.99)*VLOOKUP((TRUNC($AN745*3/13,0)+0.99),'Tax scales - NAT 3539'!$A$43:$C$69,2,1)-VLOOKUP((TRUNC($AN745*3/13,0)+0.99),'Tax scales - NAT 3539'!$A$43:$C$69,3,1)),0)
*13/3,
0),
""))),
""),
"")</f>
        <v/>
      </c>
      <c r="AW745" s="118" t="str">
        <f>IFERROR(
IF(VLOOKUP($C745,'Employee information'!$B:$M,COLUMNS('Employee information'!$B:$M),0)=33,
IF($E$2="Fortnightly",
ROUND(
ROUND((((TRUNC($AN745/2,0)+0.99))*VLOOKUP((TRUNC($AN745/2,0)+0.99),'Tax scales - NAT 3539'!$A$74:$C$94,2,1)-VLOOKUP((TRUNC($AN745/2,0)+0.99),'Tax scales - NAT 3539'!$A$74:$C$94,3,1)),0)
*2,
0),
IF(AND($E$2="Monthly",ROUND($AN745-TRUNC($AN745),2)=0.33),
ROUND(
ROUND(((TRUNC(($AN745+0.01)*3/13,0)+0.99)*VLOOKUP((TRUNC(($AN745+0.01)*3/13,0)+0.99),'Tax scales - NAT 3539'!$A$74:$C$94,2,1)-VLOOKUP((TRUNC(($AN745+0.01)*3/13,0)+0.99),'Tax scales - NAT 3539'!$A$74:$C$94,3,1)),0)
*13/3,
0),
IF($E$2="Monthly",
ROUND(
ROUND(((TRUNC($AN745*3/13,0)+0.99)*VLOOKUP((TRUNC($AN745*3/13,0)+0.99),'Tax scales - NAT 3539'!$A$74:$C$94,2,1)-VLOOKUP((TRUNC($AN745*3/13,0)+0.99),'Tax scales - NAT 3539'!$A$74:$C$94,3,1)),0)
*13/3,
0),
""))),
""),
"")</f>
        <v/>
      </c>
      <c r="AX745" s="118" t="str">
        <f>IFERROR(
IF(VLOOKUP($C745,'Employee information'!$B:$M,COLUMNS('Employee information'!$B:$M),0)=55,
IF($E$2="Fortnightly",
ROUND(
ROUND((((TRUNC($AN745/2,0)+0.99))*VLOOKUP((TRUNC($AN745/2,0)+0.99),'Tax scales - NAT 3539'!$A$99:$C$123,2,1)-VLOOKUP((TRUNC($AN745/2,0)+0.99),'Tax scales - NAT 3539'!$A$99:$C$123,3,1)),0)
*2,
0),
IF(AND($E$2="Monthly",ROUND($AN745-TRUNC($AN745),2)=0.33),
ROUND(
ROUND(((TRUNC(($AN745+0.01)*3/13,0)+0.99)*VLOOKUP((TRUNC(($AN745+0.01)*3/13,0)+0.99),'Tax scales - NAT 3539'!$A$99:$C$123,2,1)-VLOOKUP((TRUNC(($AN745+0.01)*3/13,0)+0.99),'Tax scales - NAT 3539'!$A$99:$C$123,3,1)),0)
*13/3,
0),
IF($E$2="Monthly",
ROUND(
ROUND(((TRUNC($AN745*3/13,0)+0.99)*VLOOKUP((TRUNC($AN745*3/13,0)+0.99),'Tax scales - NAT 3539'!$A$99:$C$123,2,1)-VLOOKUP((TRUNC($AN745*3/13,0)+0.99),'Tax scales - NAT 3539'!$A$99:$C$123,3,1)),0)
*13/3,
0),
""))),
""),
"")</f>
        <v/>
      </c>
      <c r="AY745" s="118" t="str">
        <f>IFERROR(
IF(VLOOKUP($C745,'Employee information'!$B:$M,COLUMNS('Employee information'!$B:$M),0)=66,
IF($E$2="Fortnightly",
ROUND(
ROUND((((TRUNC($AN745/2,0)+0.99))*VLOOKUP((TRUNC($AN745/2,0)+0.99),'Tax scales - NAT 3539'!$A$127:$C$154,2,1)-VLOOKUP((TRUNC($AN745/2,0)+0.99),'Tax scales - NAT 3539'!$A$127:$C$154,3,1)),0)
*2,
0),
IF(AND($E$2="Monthly",ROUND($AN745-TRUNC($AN745),2)=0.33),
ROUND(
ROUND(((TRUNC(($AN745+0.01)*3/13,0)+0.99)*VLOOKUP((TRUNC(($AN745+0.01)*3/13,0)+0.99),'Tax scales - NAT 3539'!$A$127:$C$154,2,1)-VLOOKUP((TRUNC(($AN745+0.01)*3/13,0)+0.99),'Tax scales - NAT 3539'!$A$127:$C$154,3,1)),0)
*13/3,
0),
IF($E$2="Monthly",
ROUND(
ROUND(((TRUNC($AN745*3/13,0)+0.99)*VLOOKUP((TRUNC($AN745*3/13,0)+0.99),'Tax scales - NAT 3539'!$A$127:$C$154,2,1)-VLOOKUP((TRUNC($AN745*3/13,0)+0.99),'Tax scales - NAT 3539'!$A$127:$C$154,3,1)),0)
*13/3,
0),
""))),
""),
"")</f>
        <v/>
      </c>
      <c r="AZ745" s="118">
        <f>IFERROR(
HLOOKUP(VLOOKUP($C745,'Employee information'!$B:$M,COLUMNS('Employee information'!$B:$M),0),'PAYG worksheet'!$AO$735:$AY$754,COUNTA($C$736:$C745)+1,0),
0)</f>
        <v>0</v>
      </c>
      <c r="BA745" s="118"/>
      <c r="BB745" s="118">
        <f t="shared" si="790"/>
        <v>0</v>
      </c>
      <c r="BC745" s="119">
        <f>IFERROR(
IF(OR($AE745=1,$AE745=""),SUM($P745,$AA745,$AC745,$AK745)*VLOOKUP($C745,'Employee information'!$B:$Q,COLUMNS('Employee information'!$B:$H),0),
IF($AE745=0,SUM($P745,$AA745,$AK745)*VLOOKUP($C745,'Employee information'!$B:$Q,COLUMNS('Employee information'!$B:$H),0),
0)),
0)</f>
        <v>0</v>
      </c>
      <c r="BE745" s="114">
        <f t="shared" si="775"/>
        <v>0</v>
      </c>
      <c r="BF745" s="114">
        <f t="shared" si="776"/>
        <v>0</v>
      </c>
      <c r="BG745" s="114">
        <f t="shared" si="777"/>
        <v>0</v>
      </c>
      <c r="BH745" s="114">
        <f t="shared" si="778"/>
        <v>0</v>
      </c>
      <c r="BI745" s="114">
        <f t="shared" si="779"/>
        <v>0</v>
      </c>
      <c r="BJ745" s="114">
        <f t="shared" si="780"/>
        <v>0</v>
      </c>
      <c r="BK745" s="114">
        <f t="shared" si="781"/>
        <v>0</v>
      </c>
      <c r="BL745" s="114">
        <f t="shared" si="791"/>
        <v>0</v>
      </c>
      <c r="BM745" s="114">
        <f t="shared" si="782"/>
        <v>0</v>
      </c>
    </row>
    <row r="746" spans="1:65" x14ac:dyDescent="0.25">
      <c r="A746" s="228">
        <f t="shared" si="770"/>
        <v>26</v>
      </c>
      <c r="C746" s="278"/>
      <c r="E746" s="103">
        <f>IF($C746="",0,
IF(AND($E$2="Monthly",$A746&gt;12),0,
IF($E$2="Monthly",VLOOKUP($C746,'Employee information'!$B:$AM,COLUMNS('Employee information'!$B:S),0),
IF($E$2="Fortnightly",VLOOKUP($C746,'Employee information'!$B:$AM,COLUMNS('Employee information'!$B:R),0),
0))))</f>
        <v>0</v>
      </c>
      <c r="F746" s="106"/>
      <c r="G746" s="106"/>
      <c r="H746" s="106"/>
      <c r="I746" s="106"/>
      <c r="J746" s="103">
        <f t="shared" si="783"/>
        <v>0</v>
      </c>
      <c r="L746" s="113">
        <f>IF(AND($E$2="Monthly",$A746&gt;12),"",
IFERROR($J746*VLOOKUP($C746,'Employee information'!$B:$AI,COLUMNS('Employee information'!$B:$P),0),0))</f>
        <v>0</v>
      </c>
      <c r="M746" s="114">
        <f t="shared" si="784"/>
        <v>0</v>
      </c>
      <c r="O746" s="103">
        <f t="shared" si="785"/>
        <v>0</v>
      </c>
      <c r="P746" s="113">
        <f>IFERROR(
IF(AND($E$2="Monthly",$A746&gt;12),0,
$O746*VLOOKUP($C746,'Employee information'!$B:$AI,COLUMNS('Employee information'!$B:$P),0)),
0)</f>
        <v>0</v>
      </c>
      <c r="R746" s="114">
        <f t="shared" si="771"/>
        <v>0</v>
      </c>
      <c r="T746" s="103"/>
      <c r="U746" s="103"/>
      <c r="V746" s="282" t="str">
        <f>IF($C746="","",
IF(AND($E$2="Monthly",$A746&gt;12),"",
$T746*VLOOKUP($C746,'Employee information'!$B:$P,COLUMNS('Employee information'!$B:$P),0)))</f>
        <v/>
      </c>
      <c r="W746" s="282" t="str">
        <f>IF($C746="","",
IF(AND($E$2="Monthly",$A746&gt;12),"",
$U746*VLOOKUP($C746,'Employee information'!$B:$P,COLUMNS('Employee information'!$B:$P),0)))</f>
        <v/>
      </c>
      <c r="X746" s="114">
        <f t="shared" si="772"/>
        <v>0</v>
      </c>
      <c r="Y746" s="114">
        <f t="shared" si="773"/>
        <v>0</v>
      </c>
      <c r="AA746" s="118">
        <f>IFERROR(
IF(OR('Basic payroll data'!$D$12="",'Basic payroll data'!$D$12="No"),0,
$T746*VLOOKUP($C746,'Employee information'!$B:$P,COLUMNS('Employee information'!$B:$P),0)*AL_loading_perc),
0)</f>
        <v>0</v>
      </c>
      <c r="AC746" s="118"/>
      <c r="AD746" s="118"/>
      <c r="AE746" s="283" t="str">
        <f t="shared" si="786"/>
        <v/>
      </c>
      <c r="AF746" s="283" t="str">
        <f t="shared" si="787"/>
        <v/>
      </c>
      <c r="AG746" s="118"/>
      <c r="AH746" s="118"/>
      <c r="AI746" s="283" t="str">
        <f t="shared" si="788"/>
        <v/>
      </c>
      <c r="AJ746" s="118"/>
      <c r="AK746" s="118"/>
      <c r="AM746" s="118">
        <f t="shared" si="789"/>
        <v>0</v>
      </c>
      <c r="AN746" s="118">
        <f t="shared" si="774"/>
        <v>0</v>
      </c>
      <c r="AO746" s="118" t="str">
        <f>IFERROR(
IF(VLOOKUP($C746,'Employee information'!$B:$M,COLUMNS('Employee information'!$B:$M),0)=1,
IF($E$2="Fortnightly",
ROUND(
ROUND((((TRUNC($AN746/2,0)+0.99))*VLOOKUP((TRUNC($AN746/2,0)+0.99),'Tax scales - NAT 1004'!$A$12:$C$18,2,1)-VLOOKUP((TRUNC($AN746/2,0)+0.99),'Tax scales - NAT 1004'!$A$12:$C$18,3,1)),0)
*2,
0),
IF(AND($E$2="Monthly",ROUND($AN746-TRUNC($AN746),2)=0.33),
ROUND(
ROUND(((TRUNC(($AN746+0.01)*3/13,0)+0.99)*VLOOKUP((TRUNC(($AN746+0.01)*3/13,0)+0.99),'Tax scales - NAT 1004'!$A$12:$C$18,2,1)-VLOOKUP((TRUNC(($AN746+0.01)*3/13,0)+0.99),'Tax scales - NAT 1004'!$A$12:$C$18,3,1)),0)
*13/3,
0),
IF($E$2="Monthly",
ROUND(
ROUND(((TRUNC($AN746*3/13,0)+0.99)*VLOOKUP((TRUNC($AN746*3/13,0)+0.99),'Tax scales - NAT 1004'!$A$12:$C$18,2,1)-VLOOKUP((TRUNC($AN746*3/13,0)+0.99),'Tax scales - NAT 1004'!$A$12:$C$18,3,1)),0)
*13/3,
0),
""))),
""),
"")</f>
        <v/>
      </c>
      <c r="AP746" s="118" t="str">
        <f>IFERROR(
IF(VLOOKUP($C746,'Employee information'!$B:$M,COLUMNS('Employee information'!$B:$M),0)=2,
IF($E$2="Fortnightly",
ROUND(
ROUND((((TRUNC($AN746/2,0)+0.99))*VLOOKUP((TRUNC($AN746/2,0)+0.99),'Tax scales - NAT 1004'!$A$25:$C$33,2,1)-VLOOKUP((TRUNC($AN746/2,0)+0.99),'Tax scales - NAT 1004'!$A$25:$C$33,3,1)),0)
*2,
0),
IF(AND($E$2="Monthly",ROUND($AN746-TRUNC($AN746),2)=0.33),
ROUND(
ROUND(((TRUNC(($AN746+0.01)*3/13,0)+0.99)*VLOOKUP((TRUNC(($AN746+0.01)*3/13,0)+0.99),'Tax scales - NAT 1004'!$A$25:$C$33,2,1)-VLOOKUP((TRUNC(($AN746+0.01)*3/13,0)+0.99),'Tax scales - NAT 1004'!$A$25:$C$33,3,1)),0)
*13/3,
0),
IF($E$2="Monthly",
ROUND(
ROUND(((TRUNC($AN746*3/13,0)+0.99)*VLOOKUP((TRUNC($AN746*3/13,0)+0.99),'Tax scales - NAT 1004'!$A$25:$C$33,2,1)-VLOOKUP((TRUNC($AN746*3/13,0)+0.99),'Tax scales - NAT 1004'!$A$25:$C$33,3,1)),0)
*13/3,
0),
""))),
""),
"")</f>
        <v/>
      </c>
      <c r="AQ746" s="118" t="str">
        <f>IFERROR(
IF(VLOOKUP($C746,'Employee information'!$B:$M,COLUMNS('Employee information'!$B:$M),0)=3,
IF($E$2="Fortnightly",
ROUND(
ROUND((((TRUNC($AN746/2,0)+0.99))*VLOOKUP((TRUNC($AN746/2,0)+0.99),'Tax scales - NAT 1004'!$A$39:$C$41,2,1)-VLOOKUP((TRUNC($AN746/2,0)+0.99),'Tax scales - NAT 1004'!$A$39:$C$41,3,1)),0)
*2,
0),
IF(AND($E$2="Monthly",ROUND($AN746-TRUNC($AN746),2)=0.33),
ROUND(
ROUND(((TRUNC(($AN746+0.01)*3/13,0)+0.99)*VLOOKUP((TRUNC(($AN746+0.01)*3/13,0)+0.99),'Tax scales - NAT 1004'!$A$39:$C$41,2,1)-VLOOKUP((TRUNC(($AN746+0.01)*3/13,0)+0.99),'Tax scales - NAT 1004'!$A$39:$C$41,3,1)),0)
*13/3,
0),
IF($E$2="Monthly",
ROUND(
ROUND(((TRUNC($AN746*3/13,0)+0.99)*VLOOKUP((TRUNC($AN746*3/13,0)+0.99),'Tax scales - NAT 1004'!$A$39:$C$41,2,1)-VLOOKUP((TRUNC($AN746*3/13,0)+0.99),'Tax scales - NAT 1004'!$A$39:$C$41,3,1)),0)
*13/3,
0),
""))),
""),
"")</f>
        <v/>
      </c>
      <c r="AR746" s="118" t="str">
        <f>IFERROR(
IF(AND(VLOOKUP($C746,'Employee information'!$B:$M,COLUMNS('Employee information'!$B:$M),0)=4,
VLOOKUP($C746,'Employee information'!$B:$J,COLUMNS('Employee information'!$B:$J),0)="Resident"),
TRUNC(TRUNC($AN746)*'Tax scales - NAT 1004'!$B$47),
IF(AND(VLOOKUP($C746,'Employee information'!$B:$M,COLUMNS('Employee information'!$B:$M),0)=4,
VLOOKUP($C746,'Employee information'!$B:$J,COLUMNS('Employee information'!$B:$J),0)="Foreign resident"),
TRUNC(TRUNC($AN746)*'Tax scales - NAT 1004'!$B$48),
"")),
"")</f>
        <v/>
      </c>
      <c r="AS746" s="118" t="str">
        <f>IFERROR(
IF(VLOOKUP($C746,'Employee information'!$B:$M,COLUMNS('Employee information'!$B:$M),0)=5,
IF($E$2="Fortnightly",
ROUND(
ROUND((((TRUNC($AN746/2,0)+0.99))*VLOOKUP((TRUNC($AN746/2,0)+0.99),'Tax scales - NAT 1004'!$A$53:$C$59,2,1)-VLOOKUP((TRUNC($AN746/2,0)+0.99),'Tax scales - NAT 1004'!$A$53:$C$59,3,1)),0)
*2,
0),
IF(AND($E$2="Monthly",ROUND($AN746-TRUNC($AN746),2)=0.33),
ROUND(
ROUND(((TRUNC(($AN746+0.01)*3/13,0)+0.99)*VLOOKUP((TRUNC(($AN746+0.01)*3/13,0)+0.99),'Tax scales - NAT 1004'!$A$53:$C$59,2,1)-VLOOKUP((TRUNC(($AN746+0.01)*3/13,0)+0.99),'Tax scales - NAT 1004'!$A$53:$C$59,3,1)),0)
*13/3,
0),
IF($E$2="Monthly",
ROUND(
ROUND(((TRUNC($AN746*3/13,0)+0.99)*VLOOKUP((TRUNC($AN746*3/13,0)+0.99),'Tax scales - NAT 1004'!$A$53:$C$59,2,1)-VLOOKUP((TRUNC($AN746*3/13,0)+0.99),'Tax scales - NAT 1004'!$A$53:$C$59,3,1)),0)
*13/3,
0),
""))),
""),
"")</f>
        <v/>
      </c>
      <c r="AT746" s="118" t="str">
        <f>IFERROR(
IF(VLOOKUP($C746,'Employee information'!$B:$M,COLUMNS('Employee information'!$B:$M),0)=6,
IF($E$2="Fortnightly",
ROUND(
ROUND((((TRUNC($AN746/2,0)+0.99))*VLOOKUP((TRUNC($AN746/2,0)+0.99),'Tax scales - NAT 1004'!$A$65:$C$73,2,1)-VLOOKUP((TRUNC($AN746/2,0)+0.99),'Tax scales - NAT 1004'!$A$65:$C$73,3,1)),0)
*2,
0),
IF(AND($E$2="Monthly",ROUND($AN746-TRUNC($AN746),2)=0.33),
ROUND(
ROUND(((TRUNC(($AN746+0.01)*3/13,0)+0.99)*VLOOKUP((TRUNC(($AN746+0.01)*3/13,0)+0.99),'Tax scales - NAT 1004'!$A$65:$C$73,2,1)-VLOOKUP((TRUNC(($AN746+0.01)*3/13,0)+0.99),'Tax scales - NAT 1004'!$A$65:$C$73,3,1)),0)
*13/3,
0),
IF($E$2="Monthly",
ROUND(
ROUND(((TRUNC($AN746*3/13,0)+0.99)*VLOOKUP((TRUNC($AN746*3/13,0)+0.99),'Tax scales - NAT 1004'!$A$65:$C$73,2,1)-VLOOKUP((TRUNC($AN746*3/13,0)+0.99),'Tax scales - NAT 1004'!$A$65:$C$73,3,1)),0)
*13/3,
0),
""))),
""),
"")</f>
        <v/>
      </c>
      <c r="AU746" s="118" t="str">
        <f>IFERROR(
IF(VLOOKUP($C746,'Employee information'!$B:$M,COLUMNS('Employee information'!$B:$M),0)=11,
IF($E$2="Fortnightly",
ROUND(
ROUND((((TRUNC($AN746/2,0)+0.99))*VLOOKUP((TRUNC($AN746/2,0)+0.99),'Tax scales - NAT 3539'!$A$14:$C$38,2,1)-VLOOKUP((TRUNC($AN746/2,0)+0.99),'Tax scales - NAT 3539'!$A$14:$C$38,3,1)),0)
*2,
0),
IF(AND($E$2="Monthly",ROUND($AN746-TRUNC($AN746),2)=0.33),
ROUND(
ROUND(((TRUNC(($AN746+0.01)*3/13,0)+0.99)*VLOOKUP((TRUNC(($AN746+0.01)*3/13,0)+0.99),'Tax scales - NAT 3539'!$A$14:$C$38,2,1)-VLOOKUP((TRUNC(($AN746+0.01)*3/13,0)+0.99),'Tax scales - NAT 3539'!$A$14:$C$38,3,1)),0)
*13/3,
0),
IF($E$2="Monthly",
ROUND(
ROUND(((TRUNC($AN746*3/13,0)+0.99)*VLOOKUP((TRUNC($AN746*3/13,0)+0.99),'Tax scales - NAT 3539'!$A$14:$C$38,2,1)-VLOOKUP((TRUNC($AN746*3/13,0)+0.99),'Tax scales - NAT 3539'!$A$14:$C$38,3,1)),0)
*13/3,
0),
""))),
""),
"")</f>
        <v/>
      </c>
      <c r="AV746" s="118" t="str">
        <f>IFERROR(
IF(VLOOKUP($C746,'Employee information'!$B:$M,COLUMNS('Employee information'!$B:$M),0)=22,
IF($E$2="Fortnightly",
ROUND(
ROUND((((TRUNC($AN746/2,0)+0.99))*VLOOKUP((TRUNC($AN746/2,0)+0.99),'Tax scales - NAT 3539'!$A$43:$C$69,2,1)-VLOOKUP((TRUNC($AN746/2,0)+0.99),'Tax scales - NAT 3539'!$A$43:$C$69,3,1)),0)
*2,
0),
IF(AND($E$2="Monthly",ROUND($AN746-TRUNC($AN746),2)=0.33),
ROUND(
ROUND(((TRUNC(($AN746+0.01)*3/13,0)+0.99)*VLOOKUP((TRUNC(($AN746+0.01)*3/13,0)+0.99),'Tax scales - NAT 3539'!$A$43:$C$69,2,1)-VLOOKUP((TRUNC(($AN746+0.01)*3/13,0)+0.99),'Tax scales - NAT 3539'!$A$43:$C$69,3,1)),0)
*13/3,
0),
IF($E$2="Monthly",
ROUND(
ROUND(((TRUNC($AN746*3/13,0)+0.99)*VLOOKUP((TRUNC($AN746*3/13,0)+0.99),'Tax scales - NAT 3539'!$A$43:$C$69,2,1)-VLOOKUP((TRUNC($AN746*3/13,0)+0.99),'Tax scales - NAT 3539'!$A$43:$C$69,3,1)),0)
*13/3,
0),
""))),
""),
"")</f>
        <v/>
      </c>
      <c r="AW746" s="118" t="str">
        <f>IFERROR(
IF(VLOOKUP($C746,'Employee information'!$B:$M,COLUMNS('Employee information'!$B:$M),0)=33,
IF($E$2="Fortnightly",
ROUND(
ROUND((((TRUNC($AN746/2,0)+0.99))*VLOOKUP((TRUNC($AN746/2,0)+0.99),'Tax scales - NAT 3539'!$A$74:$C$94,2,1)-VLOOKUP((TRUNC($AN746/2,0)+0.99),'Tax scales - NAT 3539'!$A$74:$C$94,3,1)),0)
*2,
0),
IF(AND($E$2="Monthly",ROUND($AN746-TRUNC($AN746),2)=0.33),
ROUND(
ROUND(((TRUNC(($AN746+0.01)*3/13,0)+0.99)*VLOOKUP((TRUNC(($AN746+0.01)*3/13,0)+0.99),'Tax scales - NAT 3539'!$A$74:$C$94,2,1)-VLOOKUP((TRUNC(($AN746+0.01)*3/13,0)+0.99),'Tax scales - NAT 3539'!$A$74:$C$94,3,1)),0)
*13/3,
0),
IF($E$2="Monthly",
ROUND(
ROUND(((TRUNC($AN746*3/13,0)+0.99)*VLOOKUP((TRUNC($AN746*3/13,0)+0.99),'Tax scales - NAT 3539'!$A$74:$C$94,2,1)-VLOOKUP((TRUNC($AN746*3/13,0)+0.99),'Tax scales - NAT 3539'!$A$74:$C$94,3,1)),0)
*13/3,
0),
""))),
""),
"")</f>
        <v/>
      </c>
      <c r="AX746" s="118" t="str">
        <f>IFERROR(
IF(VLOOKUP($C746,'Employee information'!$B:$M,COLUMNS('Employee information'!$B:$M),0)=55,
IF($E$2="Fortnightly",
ROUND(
ROUND((((TRUNC($AN746/2,0)+0.99))*VLOOKUP((TRUNC($AN746/2,0)+0.99),'Tax scales - NAT 3539'!$A$99:$C$123,2,1)-VLOOKUP((TRUNC($AN746/2,0)+0.99),'Tax scales - NAT 3539'!$A$99:$C$123,3,1)),0)
*2,
0),
IF(AND($E$2="Monthly",ROUND($AN746-TRUNC($AN746),2)=0.33),
ROUND(
ROUND(((TRUNC(($AN746+0.01)*3/13,0)+0.99)*VLOOKUP((TRUNC(($AN746+0.01)*3/13,0)+0.99),'Tax scales - NAT 3539'!$A$99:$C$123,2,1)-VLOOKUP((TRUNC(($AN746+0.01)*3/13,0)+0.99),'Tax scales - NAT 3539'!$A$99:$C$123,3,1)),0)
*13/3,
0),
IF($E$2="Monthly",
ROUND(
ROUND(((TRUNC($AN746*3/13,0)+0.99)*VLOOKUP((TRUNC($AN746*3/13,0)+0.99),'Tax scales - NAT 3539'!$A$99:$C$123,2,1)-VLOOKUP((TRUNC($AN746*3/13,0)+0.99),'Tax scales - NAT 3539'!$A$99:$C$123,3,1)),0)
*13/3,
0),
""))),
""),
"")</f>
        <v/>
      </c>
      <c r="AY746" s="118" t="str">
        <f>IFERROR(
IF(VLOOKUP($C746,'Employee information'!$B:$M,COLUMNS('Employee information'!$B:$M),0)=66,
IF($E$2="Fortnightly",
ROUND(
ROUND((((TRUNC($AN746/2,0)+0.99))*VLOOKUP((TRUNC($AN746/2,0)+0.99),'Tax scales - NAT 3539'!$A$127:$C$154,2,1)-VLOOKUP((TRUNC($AN746/2,0)+0.99),'Tax scales - NAT 3539'!$A$127:$C$154,3,1)),0)
*2,
0),
IF(AND($E$2="Monthly",ROUND($AN746-TRUNC($AN746),2)=0.33),
ROUND(
ROUND(((TRUNC(($AN746+0.01)*3/13,0)+0.99)*VLOOKUP((TRUNC(($AN746+0.01)*3/13,0)+0.99),'Tax scales - NAT 3539'!$A$127:$C$154,2,1)-VLOOKUP((TRUNC(($AN746+0.01)*3/13,0)+0.99),'Tax scales - NAT 3539'!$A$127:$C$154,3,1)),0)
*13/3,
0),
IF($E$2="Monthly",
ROUND(
ROUND(((TRUNC($AN746*3/13,0)+0.99)*VLOOKUP((TRUNC($AN746*3/13,0)+0.99),'Tax scales - NAT 3539'!$A$127:$C$154,2,1)-VLOOKUP((TRUNC($AN746*3/13,0)+0.99),'Tax scales - NAT 3539'!$A$127:$C$154,3,1)),0)
*13/3,
0),
""))),
""),
"")</f>
        <v/>
      </c>
      <c r="AZ746" s="118">
        <f>IFERROR(
HLOOKUP(VLOOKUP($C746,'Employee information'!$B:$M,COLUMNS('Employee information'!$B:$M),0),'PAYG worksheet'!$AO$735:$AY$754,COUNTA($C$736:$C746)+1,0),
0)</f>
        <v>0</v>
      </c>
      <c r="BA746" s="118"/>
      <c r="BB746" s="118">
        <f t="shared" si="790"/>
        <v>0</v>
      </c>
      <c r="BC746" s="119">
        <f>IFERROR(
IF(OR($AE746=1,$AE746=""),SUM($P746,$AA746,$AC746,$AK746)*VLOOKUP($C746,'Employee information'!$B:$Q,COLUMNS('Employee information'!$B:$H),0),
IF($AE746=0,SUM($P746,$AA746,$AK746)*VLOOKUP($C746,'Employee information'!$B:$Q,COLUMNS('Employee information'!$B:$H),0),
0)),
0)</f>
        <v>0</v>
      </c>
      <c r="BE746" s="114">
        <f t="shared" si="775"/>
        <v>0</v>
      </c>
      <c r="BF746" s="114">
        <f t="shared" si="776"/>
        <v>0</v>
      </c>
      <c r="BG746" s="114">
        <f t="shared" si="777"/>
        <v>0</v>
      </c>
      <c r="BH746" s="114">
        <f t="shared" si="778"/>
        <v>0</v>
      </c>
      <c r="BI746" s="114">
        <f t="shared" si="779"/>
        <v>0</v>
      </c>
      <c r="BJ746" s="114">
        <f t="shared" si="780"/>
        <v>0</v>
      </c>
      <c r="BK746" s="114">
        <f t="shared" si="781"/>
        <v>0</v>
      </c>
      <c r="BL746" s="114">
        <f t="shared" si="791"/>
        <v>0</v>
      </c>
      <c r="BM746" s="114">
        <f t="shared" si="782"/>
        <v>0</v>
      </c>
    </row>
    <row r="747" spans="1:65" x14ac:dyDescent="0.25">
      <c r="A747" s="228">
        <f t="shared" si="770"/>
        <v>26</v>
      </c>
      <c r="C747" s="278"/>
      <c r="E747" s="103">
        <f>IF($C747="",0,
IF(AND($E$2="Monthly",$A747&gt;12),0,
IF($E$2="Monthly",VLOOKUP($C747,'Employee information'!$B:$AM,COLUMNS('Employee information'!$B:S),0),
IF($E$2="Fortnightly",VLOOKUP($C747,'Employee information'!$B:$AM,COLUMNS('Employee information'!$B:R),0),
0))))</f>
        <v>0</v>
      </c>
      <c r="F747" s="106"/>
      <c r="G747" s="106"/>
      <c r="H747" s="106"/>
      <c r="I747" s="106"/>
      <c r="J747" s="103">
        <f t="shared" si="783"/>
        <v>0</v>
      </c>
      <c r="L747" s="113">
        <f>IF(AND($E$2="Monthly",$A747&gt;12),"",
IFERROR($J747*VLOOKUP($C747,'Employee information'!$B:$AI,COLUMNS('Employee information'!$B:$P),0),0))</f>
        <v>0</v>
      </c>
      <c r="M747" s="114">
        <f t="shared" si="784"/>
        <v>0</v>
      </c>
      <c r="O747" s="103">
        <f t="shared" si="785"/>
        <v>0</v>
      </c>
      <c r="P747" s="113">
        <f>IFERROR(
IF(AND($E$2="Monthly",$A747&gt;12),0,
$O747*VLOOKUP($C747,'Employee information'!$B:$AI,COLUMNS('Employee information'!$B:$P),0)),
0)</f>
        <v>0</v>
      </c>
      <c r="R747" s="114">
        <f t="shared" si="771"/>
        <v>0</v>
      </c>
      <c r="T747" s="103"/>
      <c r="U747" s="103"/>
      <c r="V747" s="282" t="str">
        <f>IF($C747="","",
IF(AND($E$2="Monthly",$A747&gt;12),"",
$T747*VLOOKUP($C747,'Employee information'!$B:$P,COLUMNS('Employee information'!$B:$P),0)))</f>
        <v/>
      </c>
      <c r="W747" s="282" t="str">
        <f>IF($C747="","",
IF(AND($E$2="Monthly",$A747&gt;12),"",
$U747*VLOOKUP($C747,'Employee information'!$B:$P,COLUMNS('Employee information'!$B:$P),0)))</f>
        <v/>
      </c>
      <c r="X747" s="114">
        <f t="shared" si="772"/>
        <v>0</v>
      </c>
      <c r="Y747" s="114">
        <f t="shared" si="773"/>
        <v>0</v>
      </c>
      <c r="AA747" s="118">
        <f>IFERROR(
IF(OR('Basic payroll data'!$D$12="",'Basic payroll data'!$D$12="No"),0,
$T747*VLOOKUP($C747,'Employee information'!$B:$P,COLUMNS('Employee information'!$B:$P),0)*AL_loading_perc),
0)</f>
        <v>0</v>
      </c>
      <c r="AC747" s="118"/>
      <c r="AD747" s="118"/>
      <c r="AE747" s="283" t="str">
        <f t="shared" si="786"/>
        <v/>
      </c>
      <c r="AF747" s="283" t="str">
        <f t="shared" si="787"/>
        <v/>
      </c>
      <c r="AG747" s="118"/>
      <c r="AH747" s="118"/>
      <c r="AI747" s="283" t="str">
        <f t="shared" si="788"/>
        <v/>
      </c>
      <c r="AJ747" s="118"/>
      <c r="AK747" s="118"/>
      <c r="AM747" s="118">
        <f t="shared" si="789"/>
        <v>0</v>
      </c>
      <c r="AN747" s="118">
        <f t="shared" si="774"/>
        <v>0</v>
      </c>
      <c r="AO747" s="118" t="str">
        <f>IFERROR(
IF(VLOOKUP($C747,'Employee information'!$B:$M,COLUMNS('Employee information'!$B:$M),0)=1,
IF($E$2="Fortnightly",
ROUND(
ROUND((((TRUNC($AN747/2,0)+0.99))*VLOOKUP((TRUNC($AN747/2,0)+0.99),'Tax scales - NAT 1004'!$A$12:$C$18,2,1)-VLOOKUP((TRUNC($AN747/2,0)+0.99),'Tax scales - NAT 1004'!$A$12:$C$18,3,1)),0)
*2,
0),
IF(AND($E$2="Monthly",ROUND($AN747-TRUNC($AN747),2)=0.33),
ROUND(
ROUND(((TRUNC(($AN747+0.01)*3/13,0)+0.99)*VLOOKUP((TRUNC(($AN747+0.01)*3/13,0)+0.99),'Tax scales - NAT 1004'!$A$12:$C$18,2,1)-VLOOKUP((TRUNC(($AN747+0.01)*3/13,0)+0.99),'Tax scales - NAT 1004'!$A$12:$C$18,3,1)),0)
*13/3,
0),
IF($E$2="Monthly",
ROUND(
ROUND(((TRUNC($AN747*3/13,0)+0.99)*VLOOKUP((TRUNC($AN747*3/13,0)+0.99),'Tax scales - NAT 1004'!$A$12:$C$18,2,1)-VLOOKUP((TRUNC($AN747*3/13,0)+0.99),'Tax scales - NAT 1004'!$A$12:$C$18,3,1)),0)
*13/3,
0),
""))),
""),
"")</f>
        <v/>
      </c>
      <c r="AP747" s="118" t="str">
        <f>IFERROR(
IF(VLOOKUP($C747,'Employee information'!$B:$M,COLUMNS('Employee information'!$B:$M),0)=2,
IF($E$2="Fortnightly",
ROUND(
ROUND((((TRUNC($AN747/2,0)+0.99))*VLOOKUP((TRUNC($AN747/2,0)+0.99),'Tax scales - NAT 1004'!$A$25:$C$33,2,1)-VLOOKUP((TRUNC($AN747/2,0)+0.99),'Tax scales - NAT 1004'!$A$25:$C$33,3,1)),0)
*2,
0),
IF(AND($E$2="Monthly",ROUND($AN747-TRUNC($AN747),2)=0.33),
ROUND(
ROUND(((TRUNC(($AN747+0.01)*3/13,0)+0.99)*VLOOKUP((TRUNC(($AN747+0.01)*3/13,0)+0.99),'Tax scales - NAT 1004'!$A$25:$C$33,2,1)-VLOOKUP((TRUNC(($AN747+0.01)*3/13,0)+0.99),'Tax scales - NAT 1004'!$A$25:$C$33,3,1)),0)
*13/3,
0),
IF($E$2="Monthly",
ROUND(
ROUND(((TRUNC($AN747*3/13,0)+0.99)*VLOOKUP((TRUNC($AN747*3/13,0)+0.99),'Tax scales - NAT 1004'!$A$25:$C$33,2,1)-VLOOKUP((TRUNC($AN747*3/13,0)+0.99),'Tax scales - NAT 1004'!$A$25:$C$33,3,1)),0)
*13/3,
0),
""))),
""),
"")</f>
        <v/>
      </c>
      <c r="AQ747" s="118" t="str">
        <f>IFERROR(
IF(VLOOKUP($C747,'Employee information'!$B:$M,COLUMNS('Employee information'!$B:$M),0)=3,
IF($E$2="Fortnightly",
ROUND(
ROUND((((TRUNC($AN747/2,0)+0.99))*VLOOKUP((TRUNC($AN747/2,0)+0.99),'Tax scales - NAT 1004'!$A$39:$C$41,2,1)-VLOOKUP((TRUNC($AN747/2,0)+0.99),'Tax scales - NAT 1004'!$A$39:$C$41,3,1)),0)
*2,
0),
IF(AND($E$2="Monthly",ROUND($AN747-TRUNC($AN747),2)=0.33),
ROUND(
ROUND(((TRUNC(($AN747+0.01)*3/13,0)+0.99)*VLOOKUP((TRUNC(($AN747+0.01)*3/13,0)+0.99),'Tax scales - NAT 1004'!$A$39:$C$41,2,1)-VLOOKUP((TRUNC(($AN747+0.01)*3/13,0)+0.99),'Tax scales - NAT 1004'!$A$39:$C$41,3,1)),0)
*13/3,
0),
IF($E$2="Monthly",
ROUND(
ROUND(((TRUNC($AN747*3/13,0)+0.99)*VLOOKUP((TRUNC($AN747*3/13,0)+0.99),'Tax scales - NAT 1004'!$A$39:$C$41,2,1)-VLOOKUP((TRUNC($AN747*3/13,0)+0.99),'Tax scales - NAT 1004'!$A$39:$C$41,3,1)),0)
*13/3,
0),
""))),
""),
"")</f>
        <v/>
      </c>
      <c r="AR747" s="118" t="str">
        <f>IFERROR(
IF(AND(VLOOKUP($C747,'Employee information'!$B:$M,COLUMNS('Employee information'!$B:$M),0)=4,
VLOOKUP($C747,'Employee information'!$B:$J,COLUMNS('Employee information'!$B:$J),0)="Resident"),
TRUNC(TRUNC($AN747)*'Tax scales - NAT 1004'!$B$47),
IF(AND(VLOOKUP($C747,'Employee information'!$B:$M,COLUMNS('Employee information'!$B:$M),0)=4,
VLOOKUP($C747,'Employee information'!$B:$J,COLUMNS('Employee information'!$B:$J),0)="Foreign resident"),
TRUNC(TRUNC($AN747)*'Tax scales - NAT 1004'!$B$48),
"")),
"")</f>
        <v/>
      </c>
      <c r="AS747" s="118" t="str">
        <f>IFERROR(
IF(VLOOKUP($C747,'Employee information'!$B:$M,COLUMNS('Employee information'!$B:$M),0)=5,
IF($E$2="Fortnightly",
ROUND(
ROUND((((TRUNC($AN747/2,0)+0.99))*VLOOKUP((TRUNC($AN747/2,0)+0.99),'Tax scales - NAT 1004'!$A$53:$C$59,2,1)-VLOOKUP((TRUNC($AN747/2,0)+0.99),'Tax scales - NAT 1004'!$A$53:$C$59,3,1)),0)
*2,
0),
IF(AND($E$2="Monthly",ROUND($AN747-TRUNC($AN747),2)=0.33),
ROUND(
ROUND(((TRUNC(($AN747+0.01)*3/13,0)+0.99)*VLOOKUP((TRUNC(($AN747+0.01)*3/13,0)+0.99),'Tax scales - NAT 1004'!$A$53:$C$59,2,1)-VLOOKUP((TRUNC(($AN747+0.01)*3/13,0)+0.99),'Tax scales - NAT 1004'!$A$53:$C$59,3,1)),0)
*13/3,
0),
IF($E$2="Monthly",
ROUND(
ROUND(((TRUNC($AN747*3/13,0)+0.99)*VLOOKUP((TRUNC($AN747*3/13,0)+0.99),'Tax scales - NAT 1004'!$A$53:$C$59,2,1)-VLOOKUP((TRUNC($AN747*3/13,0)+0.99),'Tax scales - NAT 1004'!$A$53:$C$59,3,1)),0)
*13/3,
0),
""))),
""),
"")</f>
        <v/>
      </c>
      <c r="AT747" s="118" t="str">
        <f>IFERROR(
IF(VLOOKUP($C747,'Employee information'!$B:$M,COLUMNS('Employee information'!$B:$M),0)=6,
IF($E$2="Fortnightly",
ROUND(
ROUND((((TRUNC($AN747/2,0)+0.99))*VLOOKUP((TRUNC($AN747/2,0)+0.99),'Tax scales - NAT 1004'!$A$65:$C$73,2,1)-VLOOKUP((TRUNC($AN747/2,0)+0.99),'Tax scales - NAT 1004'!$A$65:$C$73,3,1)),0)
*2,
0),
IF(AND($E$2="Monthly",ROUND($AN747-TRUNC($AN747),2)=0.33),
ROUND(
ROUND(((TRUNC(($AN747+0.01)*3/13,0)+0.99)*VLOOKUP((TRUNC(($AN747+0.01)*3/13,0)+0.99),'Tax scales - NAT 1004'!$A$65:$C$73,2,1)-VLOOKUP((TRUNC(($AN747+0.01)*3/13,0)+0.99),'Tax scales - NAT 1004'!$A$65:$C$73,3,1)),0)
*13/3,
0),
IF($E$2="Monthly",
ROUND(
ROUND(((TRUNC($AN747*3/13,0)+0.99)*VLOOKUP((TRUNC($AN747*3/13,0)+0.99),'Tax scales - NAT 1004'!$A$65:$C$73,2,1)-VLOOKUP((TRUNC($AN747*3/13,0)+0.99),'Tax scales - NAT 1004'!$A$65:$C$73,3,1)),0)
*13/3,
0),
""))),
""),
"")</f>
        <v/>
      </c>
      <c r="AU747" s="118" t="str">
        <f>IFERROR(
IF(VLOOKUP($C747,'Employee information'!$B:$M,COLUMNS('Employee information'!$B:$M),0)=11,
IF($E$2="Fortnightly",
ROUND(
ROUND((((TRUNC($AN747/2,0)+0.99))*VLOOKUP((TRUNC($AN747/2,0)+0.99),'Tax scales - NAT 3539'!$A$14:$C$38,2,1)-VLOOKUP((TRUNC($AN747/2,0)+0.99),'Tax scales - NAT 3539'!$A$14:$C$38,3,1)),0)
*2,
0),
IF(AND($E$2="Monthly",ROUND($AN747-TRUNC($AN747),2)=0.33),
ROUND(
ROUND(((TRUNC(($AN747+0.01)*3/13,0)+0.99)*VLOOKUP((TRUNC(($AN747+0.01)*3/13,0)+0.99),'Tax scales - NAT 3539'!$A$14:$C$38,2,1)-VLOOKUP((TRUNC(($AN747+0.01)*3/13,0)+0.99),'Tax scales - NAT 3539'!$A$14:$C$38,3,1)),0)
*13/3,
0),
IF($E$2="Monthly",
ROUND(
ROUND(((TRUNC($AN747*3/13,0)+0.99)*VLOOKUP((TRUNC($AN747*3/13,0)+0.99),'Tax scales - NAT 3539'!$A$14:$C$38,2,1)-VLOOKUP((TRUNC($AN747*3/13,0)+0.99),'Tax scales - NAT 3539'!$A$14:$C$38,3,1)),0)
*13/3,
0),
""))),
""),
"")</f>
        <v/>
      </c>
      <c r="AV747" s="118" t="str">
        <f>IFERROR(
IF(VLOOKUP($C747,'Employee information'!$B:$M,COLUMNS('Employee information'!$B:$M),0)=22,
IF($E$2="Fortnightly",
ROUND(
ROUND((((TRUNC($AN747/2,0)+0.99))*VLOOKUP((TRUNC($AN747/2,0)+0.99),'Tax scales - NAT 3539'!$A$43:$C$69,2,1)-VLOOKUP((TRUNC($AN747/2,0)+0.99),'Tax scales - NAT 3539'!$A$43:$C$69,3,1)),0)
*2,
0),
IF(AND($E$2="Monthly",ROUND($AN747-TRUNC($AN747),2)=0.33),
ROUND(
ROUND(((TRUNC(($AN747+0.01)*3/13,0)+0.99)*VLOOKUP((TRUNC(($AN747+0.01)*3/13,0)+0.99),'Tax scales - NAT 3539'!$A$43:$C$69,2,1)-VLOOKUP((TRUNC(($AN747+0.01)*3/13,0)+0.99),'Tax scales - NAT 3539'!$A$43:$C$69,3,1)),0)
*13/3,
0),
IF($E$2="Monthly",
ROUND(
ROUND(((TRUNC($AN747*3/13,0)+0.99)*VLOOKUP((TRUNC($AN747*3/13,0)+0.99),'Tax scales - NAT 3539'!$A$43:$C$69,2,1)-VLOOKUP((TRUNC($AN747*3/13,0)+0.99),'Tax scales - NAT 3539'!$A$43:$C$69,3,1)),0)
*13/3,
0),
""))),
""),
"")</f>
        <v/>
      </c>
      <c r="AW747" s="118" t="str">
        <f>IFERROR(
IF(VLOOKUP($C747,'Employee information'!$B:$M,COLUMNS('Employee information'!$B:$M),0)=33,
IF($E$2="Fortnightly",
ROUND(
ROUND((((TRUNC($AN747/2,0)+0.99))*VLOOKUP((TRUNC($AN747/2,0)+0.99),'Tax scales - NAT 3539'!$A$74:$C$94,2,1)-VLOOKUP((TRUNC($AN747/2,0)+0.99),'Tax scales - NAT 3539'!$A$74:$C$94,3,1)),0)
*2,
0),
IF(AND($E$2="Monthly",ROUND($AN747-TRUNC($AN747),2)=0.33),
ROUND(
ROUND(((TRUNC(($AN747+0.01)*3/13,0)+0.99)*VLOOKUP((TRUNC(($AN747+0.01)*3/13,0)+0.99),'Tax scales - NAT 3539'!$A$74:$C$94,2,1)-VLOOKUP((TRUNC(($AN747+0.01)*3/13,0)+0.99),'Tax scales - NAT 3539'!$A$74:$C$94,3,1)),0)
*13/3,
0),
IF($E$2="Monthly",
ROUND(
ROUND(((TRUNC($AN747*3/13,0)+0.99)*VLOOKUP((TRUNC($AN747*3/13,0)+0.99),'Tax scales - NAT 3539'!$A$74:$C$94,2,1)-VLOOKUP((TRUNC($AN747*3/13,0)+0.99),'Tax scales - NAT 3539'!$A$74:$C$94,3,1)),0)
*13/3,
0),
""))),
""),
"")</f>
        <v/>
      </c>
      <c r="AX747" s="118" t="str">
        <f>IFERROR(
IF(VLOOKUP($C747,'Employee information'!$B:$M,COLUMNS('Employee information'!$B:$M),0)=55,
IF($E$2="Fortnightly",
ROUND(
ROUND((((TRUNC($AN747/2,0)+0.99))*VLOOKUP((TRUNC($AN747/2,0)+0.99),'Tax scales - NAT 3539'!$A$99:$C$123,2,1)-VLOOKUP((TRUNC($AN747/2,0)+0.99),'Tax scales - NAT 3539'!$A$99:$C$123,3,1)),0)
*2,
0),
IF(AND($E$2="Monthly",ROUND($AN747-TRUNC($AN747),2)=0.33),
ROUND(
ROUND(((TRUNC(($AN747+0.01)*3/13,0)+0.99)*VLOOKUP((TRUNC(($AN747+0.01)*3/13,0)+0.99),'Tax scales - NAT 3539'!$A$99:$C$123,2,1)-VLOOKUP((TRUNC(($AN747+0.01)*3/13,0)+0.99),'Tax scales - NAT 3539'!$A$99:$C$123,3,1)),0)
*13/3,
0),
IF($E$2="Monthly",
ROUND(
ROUND(((TRUNC($AN747*3/13,0)+0.99)*VLOOKUP((TRUNC($AN747*3/13,0)+0.99),'Tax scales - NAT 3539'!$A$99:$C$123,2,1)-VLOOKUP((TRUNC($AN747*3/13,0)+0.99),'Tax scales - NAT 3539'!$A$99:$C$123,3,1)),0)
*13/3,
0),
""))),
""),
"")</f>
        <v/>
      </c>
      <c r="AY747" s="118" t="str">
        <f>IFERROR(
IF(VLOOKUP($C747,'Employee information'!$B:$M,COLUMNS('Employee information'!$B:$M),0)=66,
IF($E$2="Fortnightly",
ROUND(
ROUND((((TRUNC($AN747/2,0)+0.99))*VLOOKUP((TRUNC($AN747/2,0)+0.99),'Tax scales - NAT 3539'!$A$127:$C$154,2,1)-VLOOKUP((TRUNC($AN747/2,0)+0.99),'Tax scales - NAT 3539'!$A$127:$C$154,3,1)),0)
*2,
0),
IF(AND($E$2="Monthly",ROUND($AN747-TRUNC($AN747),2)=0.33),
ROUND(
ROUND(((TRUNC(($AN747+0.01)*3/13,0)+0.99)*VLOOKUP((TRUNC(($AN747+0.01)*3/13,0)+0.99),'Tax scales - NAT 3539'!$A$127:$C$154,2,1)-VLOOKUP((TRUNC(($AN747+0.01)*3/13,0)+0.99),'Tax scales - NAT 3539'!$A$127:$C$154,3,1)),0)
*13/3,
0),
IF($E$2="Monthly",
ROUND(
ROUND(((TRUNC($AN747*3/13,0)+0.99)*VLOOKUP((TRUNC($AN747*3/13,0)+0.99),'Tax scales - NAT 3539'!$A$127:$C$154,2,1)-VLOOKUP((TRUNC($AN747*3/13,0)+0.99),'Tax scales - NAT 3539'!$A$127:$C$154,3,1)),0)
*13/3,
0),
""))),
""),
"")</f>
        <v/>
      </c>
      <c r="AZ747" s="118">
        <f>IFERROR(
HLOOKUP(VLOOKUP($C747,'Employee information'!$B:$M,COLUMNS('Employee information'!$B:$M),0),'PAYG worksheet'!$AO$735:$AY$754,COUNTA($C$736:$C747)+1,0),
0)</f>
        <v>0</v>
      </c>
      <c r="BA747" s="118"/>
      <c r="BB747" s="118">
        <f t="shared" si="790"/>
        <v>0</v>
      </c>
      <c r="BC747" s="119">
        <f>IFERROR(
IF(OR($AE747=1,$AE747=""),SUM($P747,$AA747,$AC747,$AK747)*VLOOKUP($C747,'Employee information'!$B:$Q,COLUMNS('Employee information'!$B:$H),0),
IF($AE747=0,SUM($P747,$AA747,$AK747)*VLOOKUP($C747,'Employee information'!$B:$Q,COLUMNS('Employee information'!$B:$H),0),
0)),
0)</f>
        <v>0</v>
      </c>
      <c r="BE747" s="114">
        <f t="shared" si="775"/>
        <v>0</v>
      </c>
      <c r="BF747" s="114">
        <f t="shared" si="776"/>
        <v>0</v>
      </c>
      <c r="BG747" s="114">
        <f t="shared" si="777"/>
        <v>0</v>
      </c>
      <c r="BH747" s="114">
        <f t="shared" si="778"/>
        <v>0</v>
      </c>
      <c r="BI747" s="114">
        <f t="shared" si="779"/>
        <v>0</v>
      </c>
      <c r="BJ747" s="114">
        <f t="shared" si="780"/>
        <v>0</v>
      </c>
      <c r="BK747" s="114">
        <f t="shared" si="781"/>
        <v>0</v>
      </c>
      <c r="BL747" s="114">
        <f t="shared" si="791"/>
        <v>0</v>
      </c>
      <c r="BM747" s="114">
        <f t="shared" si="782"/>
        <v>0</v>
      </c>
    </row>
    <row r="748" spans="1:65" x14ac:dyDescent="0.25">
      <c r="A748" s="228">
        <f t="shared" si="770"/>
        <v>26</v>
      </c>
      <c r="C748" s="278"/>
      <c r="E748" s="103">
        <f>IF($C748="",0,
IF(AND($E$2="Monthly",$A748&gt;12),0,
IF($E$2="Monthly",VLOOKUP($C748,'Employee information'!$B:$AM,COLUMNS('Employee information'!$B:S),0),
IF($E$2="Fortnightly",VLOOKUP($C748,'Employee information'!$B:$AM,COLUMNS('Employee information'!$B:R),0),
0))))</f>
        <v>0</v>
      </c>
      <c r="F748" s="106"/>
      <c r="G748" s="106"/>
      <c r="H748" s="106"/>
      <c r="I748" s="106"/>
      <c r="J748" s="103">
        <f t="shared" si="783"/>
        <v>0</v>
      </c>
      <c r="L748" s="113">
        <f>IF(AND($E$2="Monthly",$A748&gt;12),"",
IFERROR($J748*VLOOKUP($C748,'Employee information'!$B:$AI,COLUMNS('Employee information'!$B:$P),0),0))</f>
        <v>0</v>
      </c>
      <c r="M748" s="114">
        <f t="shared" si="784"/>
        <v>0</v>
      </c>
      <c r="O748" s="103">
        <f t="shared" si="785"/>
        <v>0</v>
      </c>
      <c r="P748" s="113">
        <f>IFERROR(
IF(AND($E$2="Monthly",$A748&gt;12),0,
$O748*VLOOKUP($C748,'Employee information'!$B:$AI,COLUMNS('Employee information'!$B:$P),0)),
0)</f>
        <v>0</v>
      </c>
      <c r="R748" s="114">
        <f t="shared" si="771"/>
        <v>0</v>
      </c>
      <c r="T748" s="103"/>
      <c r="U748" s="103"/>
      <c r="V748" s="282" t="str">
        <f>IF($C748="","",
IF(AND($E$2="Monthly",$A748&gt;12),"",
$T748*VLOOKUP($C748,'Employee information'!$B:$P,COLUMNS('Employee information'!$B:$P),0)))</f>
        <v/>
      </c>
      <c r="W748" s="282" t="str">
        <f>IF($C748="","",
IF(AND($E$2="Monthly",$A748&gt;12),"",
$U748*VLOOKUP($C748,'Employee information'!$B:$P,COLUMNS('Employee information'!$B:$P),0)))</f>
        <v/>
      </c>
      <c r="X748" s="114">
        <f t="shared" si="772"/>
        <v>0</v>
      </c>
      <c r="Y748" s="114">
        <f t="shared" si="773"/>
        <v>0</v>
      </c>
      <c r="AA748" s="118">
        <f>IFERROR(
IF(OR('Basic payroll data'!$D$12="",'Basic payroll data'!$D$12="No"),0,
$T748*VLOOKUP($C748,'Employee information'!$B:$P,COLUMNS('Employee information'!$B:$P),0)*AL_loading_perc),
0)</f>
        <v>0</v>
      </c>
      <c r="AC748" s="118"/>
      <c r="AD748" s="118"/>
      <c r="AE748" s="283" t="str">
        <f t="shared" si="786"/>
        <v/>
      </c>
      <c r="AF748" s="283" t="str">
        <f t="shared" si="787"/>
        <v/>
      </c>
      <c r="AG748" s="118"/>
      <c r="AH748" s="118"/>
      <c r="AI748" s="283" t="str">
        <f t="shared" si="788"/>
        <v/>
      </c>
      <c r="AJ748" s="118"/>
      <c r="AK748" s="118"/>
      <c r="AM748" s="118">
        <f t="shared" si="789"/>
        <v>0</v>
      </c>
      <c r="AN748" s="118">
        <f t="shared" si="774"/>
        <v>0</v>
      </c>
      <c r="AO748" s="118" t="str">
        <f>IFERROR(
IF(VLOOKUP($C748,'Employee information'!$B:$M,COLUMNS('Employee information'!$B:$M),0)=1,
IF($E$2="Fortnightly",
ROUND(
ROUND((((TRUNC($AN748/2,0)+0.99))*VLOOKUP((TRUNC($AN748/2,0)+0.99),'Tax scales - NAT 1004'!$A$12:$C$18,2,1)-VLOOKUP((TRUNC($AN748/2,0)+0.99),'Tax scales - NAT 1004'!$A$12:$C$18,3,1)),0)
*2,
0),
IF(AND($E$2="Monthly",ROUND($AN748-TRUNC($AN748),2)=0.33),
ROUND(
ROUND(((TRUNC(($AN748+0.01)*3/13,0)+0.99)*VLOOKUP((TRUNC(($AN748+0.01)*3/13,0)+0.99),'Tax scales - NAT 1004'!$A$12:$C$18,2,1)-VLOOKUP((TRUNC(($AN748+0.01)*3/13,0)+0.99),'Tax scales - NAT 1004'!$A$12:$C$18,3,1)),0)
*13/3,
0),
IF($E$2="Monthly",
ROUND(
ROUND(((TRUNC($AN748*3/13,0)+0.99)*VLOOKUP((TRUNC($AN748*3/13,0)+0.99),'Tax scales - NAT 1004'!$A$12:$C$18,2,1)-VLOOKUP((TRUNC($AN748*3/13,0)+0.99),'Tax scales - NAT 1004'!$A$12:$C$18,3,1)),0)
*13/3,
0),
""))),
""),
"")</f>
        <v/>
      </c>
      <c r="AP748" s="118" t="str">
        <f>IFERROR(
IF(VLOOKUP($C748,'Employee information'!$B:$M,COLUMNS('Employee information'!$B:$M),0)=2,
IF($E$2="Fortnightly",
ROUND(
ROUND((((TRUNC($AN748/2,0)+0.99))*VLOOKUP((TRUNC($AN748/2,0)+0.99),'Tax scales - NAT 1004'!$A$25:$C$33,2,1)-VLOOKUP((TRUNC($AN748/2,0)+0.99),'Tax scales - NAT 1004'!$A$25:$C$33,3,1)),0)
*2,
0),
IF(AND($E$2="Monthly",ROUND($AN748-TRUNC($AN748),2)=0.33),
ROUND(
ROUND(((TRUNC(($AN748+0.01)*3/13,0)+0.99)*VLOOKUP((TRUNC(($AN748+0.01)*3/13,0)+0.99),'Tax scales - NAT 1004'!$A$25:$C$33,2,1)-VLOOKUP((TRUNC(($AN748+0.01)*3/13,0)+0.99),'Tax scales - NAT 1004'!$A$25:$C$33,3,1)),0)
*13/3,
0),
IF($E$2="Monthly",
ROUND(
ROUND(((TRUNC($AN748*3/13,0)+0.99)*VLOOKUP((TRUNC($AN748*3/13,0)+0.99),'Tax scales - NAT 1004'!$A$25:$C$33,2,1)-VLOOKUP((TRUNC($AN748*3/13,0)+0.99),'Tax scales - NAT 1004'!$A$25:$C$33,3,1)),0)
*13/3,
0),
""))),
""),
"")</f>
        <v/>
      </c>
      <c r="AQ748" s="118" t="str">
        <f>IFERROR(
IF(VLOOKUP($C748,'Employee information'!$B:$M,COLUMNS('Employee information'!$B:$M),0)=3,
IF($E$2="Fortnightly",
ROUND(
ROUND((((TRUNC($AN748/2,0)+0.99))*VLOOKUP((TRUNC($AN748/2,0)+0.99),'Tax scales - NAT 1004'!$A$39:$C$41,2,1)-VLOOKUP((TRUNC($AN748/2,0)+0.99),'Tax scales - NAT 1004'!$A$39:$C$41,3,1)),0)
*2,
0),
IF(AND($E$2="Monthly",ROUND($AN748-TRUNC($AN748),2)=0.33),
ROUND(
ROUND(((TRUNC(($AN748+0.01)*3/13,0)+0.99)*VLOOKUP((TRUNC(($AN748+0.01)*3/13,0)+0.99),'Tax scales - NAT 1004'!$A$39:$C$41,2,1)-VLOOKUP((TRUNC(($AN748+0.01)*3/13,0)+0.99),'Tax scales - NAT 1004'!$A$39:$C$41,3,1)),0)
*13/3,
0),
IF($E$2="Monthly",
ROUND(
ROUND(((TRUNC($AN748*3/13,0)+0.99)*VLOOKUP((TRUNC($AN748*3/13,0)+0.99),'Tax scales - NAT 1004'!$A$39:$C$41,2,1)-VLOOKUP((TRUNC($AN748*3/13,0)+0.99),'Tax scales - NAT 1004'!$A$39:$C$41,3,1)),0)
*13/3,
0),
""))),
""),
"")</f>
        <v/>
      </c>
      <c r="AR748" s="118" t="str">
        <f>IFERROR(
IF(AND(VLOOKUP($C748,'Employee information'!$B:$M,COLUMNS('Employee information'!$B:$M),0)=4,
VLOOKUP($C748,'Employee information'!$B:$J,COLUMNS('Employee information'!$B:$J),0)="Resident"),
TRUNC(TRUNC($AN748)*'Tax scales - NAT 1004'!$B$47),
IF(AND(VLOOKUP($C748,'Employee information'!$B:$M,COLUMNS('Employee information'!$B:$M),0)=4,
VLOOKUP($C748,'Employee information'!$B:$J,COLUMNS('Employee information'!$B:$J),0)="Foreign resident"),
TRUNC(TRUNC($AN748)*'Tax scales - NAT 1004'!$B$48),
"")),
"")</f>
        <v/>
      </c>
      <c r="AS748" s="118" t="str">
        <f>IFERROR(
IF(VLOOKUP($C748,'Employee information'!$B:$M,COLUMNS('Employee information'!$B:$M),0)=5,
IF($E$2="Fortnightly",
ROUND(
ROUND((((TRUNC($AN748/2,0)+0.99))*VLOOKUP((TRUNC($AN748/2,0)+0.99),'Tax scales - NAT 1004'!$A$53:$C$59,2,1)-VLOOKUP((TRUNC($AN748/2,0)+0.99),'Tax scales - NAT 1004'!$A$53:$C$59,3,1)),0)
*2,
0),
IF(AND($E$2="Monthly",ROUND($AN748-TRUNC($AN748),2)=0.33),
ROUND(
ROUND(((TRUNC(($AN748+0.01)*3/13,0)+0.99)*VLOOKUP((TRUNC(($AN748+0.01)*3/13,0)+0.99),'Tax scales - NAT 1004'!$A$53:$C$59,2,1)-VLOOKUP((TRUNC(($AN748+0.01)*3/13,0)+0.99),'Tax scales - NAT 1004'!$A$53:$C$59,3,1)),0)
*13/3,
0),
IF($E$2="Monthly",
ROUND(
ROUND(((TRUNC($AN748*3/13,0)+0.99)*VLOOKUP((TRUNC($AN748*3/13,0)+0.99),'Tax scales - NAT 1004'!$A$53:$C$59,2,1)-VLOOKUP((TRUNC($AN748*3/13,0)+0.99),'Tax scales - NAT 1004'!$A$53:$C$59,3,1)),0)
*13/3,
0),
""))),
""),
"")</f>
        <v/>
      </c>
      <c r="AT748" s="118" t="str">
        <f>IFERROR(
IF(VLOOKUP($C748,'Employee information'!$B:$M,COLUMNS('Employee information'!$B:$M),0)=6,
IF($E$2="Fortnightly",
ROUND(
ROUND((((TRUNC($AN748/2,0)+0.99))*VLOOKUP((TRUNC($AN748/2,0)+0.99),'Tax scales - NAT 1004'!$A$65:$C$73,2,1)-VLOOKUP((TRUNC($AN748/2,0)+0.99),'Tax scales - NAT 1004'!$A$65:$C$73,3,1)),0)
*2,
0),
IF(AND($E$2="Monthly",ROUND($AN748-TRUNC($AN748),2)=0.33),
ROUND(
ROUND(((TRUNC(($AN748+0.01)*3/13,0)+0.99)*VLOOKUP((TRUNC(($AN748+0.01)*3/13,0)+0.99),'Tax scales - NAT 1004'!$A$65:$C$73,2,1)-VLOOKUP((TRUNC(($AN748+0.01)*3/13,0)+0.99),'Tax scales - NAT 1004'!$A$65:$C$73,3,1)),0)
*13/3,
0),
IF($E$2="Monthly",
ROUND(
ROUND(((TRUNC($AN748*3/13,0)+0.99)*VLOOKUP((TRUNC($AN748*3/13,0)+0.99),'Tax scales - NAT 1004'!$A$65:$C$73,2,1)-VLOOKUP((TRUNC($AN748*3/13,0)+0.99),'Tax scales - NAT 1004'!$A$65:$C$73,3,1)),0)
*13/3,
0),
""))),
""),
"")</f>
        <v/>
      </c>
      <c r="AU748" s="118" t="str">
        <f>IFERROR(
IF(VLOOKUP($C748,'Employee information'!$B:$M,COLUMNS('Employee information'!$B:$M),0)=11,
IF($E$2="Fortnightly",
ROUND(
ROUND((((TRUNC($AN748/2,0)+0.99))*VLOOKUP((TRUNC($AN748/2,0)+0.99),'Tax scales - NAT 3539'!$A$14:$C$38,2,1)-VLOOKUP((TRUNC($AN748/2,0)+0.99),'Tax scales - NAT 3539'!$A$14:$C$38,3,1)),0)
*2,
0),
IF(AND($E$2="Monthly",ROUND($AN748-TRUNC($AN748),2)=0.33),
ROUND(
ROUND(((TRUNC(($AN748+0.01)*3/13,0)+0.99)*VLOOKUP((TRUNC(($AN748+0.01)*3/13,0)+0.99),'Tax scales - NAT 3539'!$A$14:$C$38,2,1)-VLOOKUP((TRUNC(($AN748+0.01)*3/13,0)+0.99),'Tax scales - NAT 3539'!$A$14:$C$38,3,1)),0)
*13/3,
0),
IF($E$2="Monthly",
ROUND(
ROUND(((TRUNC($AN748*3/13,0)+0.99)*VLOOKUP((TRUNC($AN748*3/13,0)+0.99),'Tax scales - NAT 3539'!$A$14:$C$38,2,1)-VLOOKUP((TRUNC($AN748*3/13,0)+0.99),'Tax scales - NAT 3539'!$A$14:$C$38,3,1)),0)
*13/3,
0),
""))),
""),
"")</f>
        <v/>
      </c>
      <c r="AV748" s="118" t="str">
        <f>IFERROR(
IF(VLOOKUP($C748,'Employee information'!$B:$M,COLUMNS('Employee information'!$B:$M),0)=22,
IF($E$2="Fortnightly",
ROUND(
ROUND((((TRUNC($AN748/2,0)+0.99))*VLOOKUP((TRUNC($AN748/2,0)+0.99),'Tax scales - NAT 3539'!$A$43:$C$69,2,1)-VLOOKUP((TRUNC($AN748/2,0)+0.99),'Tax scales - NAT 3539'!$A$43:$C$69,3,1)),0)
*2,
0),
IF(AND($E$2="Monthly",ROUND($AN748-TRUNC($AN748),2)=0.33),
ROUND(
ROUND(((TRUNC(($AN748+0.01)*3/13,0)+0.99)*VLOOKUP((TRUNC(($AN748+0.01)*3/13,0)+0.99),'Tax scales - NAT 3539'!$A$43:$C$69,2,1)-VLOOKUP((TRUNC(($AN748+0.01)*3/13,0)+0.99),'Tax scales - NAT 3539'!$A$43:$C$69,3,1)),0)
*13/3,
0),
IF($E$2="Monthly",
ROUND(
ROUND(((TRUNC($AN748*3/13,0)+0.99)*VLOOKUP((TRUNC($AN748*3/13,0)+0.99),'Tax scales - NAT 3539'!$A$43:$C$69,2,1)-VLOOKUP((TRUNC($AN748*3/13,0)+0.99),'Tax scales - NAT 3539'!$A$43:$C$69,3,1)),0)
*13/3,
0),
""))),
""),
"")</f>
        <v/>
      </c>
      <c r="AW748" s="118" t="str">
        <f>IFERROR(
IF(VLOOKUP($C748,'Employee information'!$B:$M,COLUMNS('Employee information'!$B:$M),0)=33,
IF($E$2="Fortnightly",
ROUND(
ROUND((((TRUNC($AN748/2,0)+0.99))*VLOOKUP((TRUNC($AN748/2,0)+0.99),'Tax scales - NAT 3539'!$A$74:$C$94,2,1)-VLOOKUP((TRUNC($AN748/2,0)+0.99),'Tax scales - NAT 3539'!$A$74:$C$94,3,1)),0)
*2,
0),
IF(AND($E$2="Monthly",ROUND($AN748-TRUNC($AN748),2)=0.33),
ROUND(
ROUND(((TRUNC(($AN748+0.01)*3/13,0)+0.99)*VLOOKUP((TRUNC(($AN748+0.01)*3/13,0)+0.99),'Tax scales - NAT 3539'!$A$74:$C$94,2,1)-VLOOKUP((TRUNC(($AN748+0.01)*3/13,0)+0.99),'Tax scales - NAT 3539'!$A$74:$C$94,3,1)),0)
*13/3,
0),
IF($E$2="Monthly",
ROUND(
ROUND(((TRUNC($AN748*3/13,0)+0.99)*VLOOKUP((TRUNC($AN748*3/13,0)+0.99),'Tax scales - NAT 3539'!$A$74:$C$94,2,1)-VLOOKUP((TRUNC($AN748*3/13,0)+0.99),'Tax scales - NAT 3539'!$A$74:$C$94,3,1)),0)
*13/3,
0),
""))),
""),
"")</f>
        <v/>
      </c>
      <c r="AX748" s="118" t="str">
        <f>IFERROR(
IF(VLOOKUP($C748,'Employee information'!$B:$M,COLUMNS('Employee information'!$B:$M),0)=55,
IF($E$2="Fortnightly",
ROUND(
ROUND((((TRUNC($AN748/2,0)+0.99))*VLOOKUP((TRUNC($AN748/2,0)+0.99),'Tax scales - NAT 3539'!$A$99:$C$123,2,1)-VLOOKUP((TRUNC($AN748/2,0)+0.99),'Tax scales - NAT 3539'!$A$99:$C$123,3,1)),0)
*2,
0),
IF(AND($E$2="Monthly",ROUND($AN748-TRUNC($AN748),2)=0.33),
ROUND(
ROUND(((TRUNC(($AN748+0.01)*3/13,0)+0.99)*VLOOKUP((TRUNC(($AN748+0.01)*3/13,0)+0.99),'Tax scales - NAT 3539'!$A$99:$C$123,2,1)-VLOOKUP((TRUNC(($AN748+0.01)*3/13,0)+0.99),'Tax scales - NAT 3539'!$A$99:$C$123,3,1)),0)
*13/3,
0),
IF($E$2="Monthly",
ROUND(
ROUND(((TRUNC($AN748*3/13,0)+0.99)*VLOOKUP((TRUNC($AN748*3/13,0)+0.99),'Tax scales - NAT 3539'!$A$99:$C$123,2,1)-VLOOKUP((TRUNC($AN748*3/13,0)+0.99),'Tax scales - NAT 3539'!$A$99:$C$123,3,1)),0)
*13/3,
0),
""))),
""),
"")</f>
        <v/>
      </c>
      <c r="AY748" s="118" t="str">
        <f>IFERROR(
IF(VLOOKUP($C748,'Employee information'!$B:$M,COLUMNS('Employee information'!$B:$M),0)=66,
IF($E$2="Fortnightly",
ROUND(
ROUND((((TRUNC($AN748/2,0)+0.99))*VLOOKUP((TRUNC($AN748/2,0)+0.99),'Tax scales - NAT 3539'!$A$127:$C$154,2,1)-VLOOKUP((TRUNC($AN748/2,0)+0.99),'Tax scales - NAT 3539'!$A$127:$C$154,3,1)),0)
*2,
0),
IF(AND($E$2="Monthly",ROUND($AN748-TRUNC($AN748),2)=0.33),
ROUND(
ROUND(((TRUNC(($AN748+0.01)*3/13,0)+0.99)*VLOOKUP((TRUNC(($AN748+0.01)*3/13,0)+0.99),'Tax scales - NAT 3539'!$A$127:$C$154,2,1)-VLOOKUP((TRUNC(($AN748+0.01)*3/13,0)+0.99),'Tax scales - NAT 3539'!$A$127:$C$154,3,1)),0)
*13/3,
0),
IF($E$2="Monthly",
ROUND(
ROUND(((TRUNC($AN748*3/13,0)+0.99)*VLOOKUP((TRUNC($AN748*3/13,0)+0.99),'Tax scales - NAT 3539'!$A$127:$C$154,2,1)-VLOOKUP((TRUNC($AN748*3/13,0)+0.99),'Tax scales - NAT 3539'!$A$127:$C$154,3,1)),0)
*13/3,
0),
""))),
""),
"")</f>
        <v/>
      </c>
      <c r="AZ748" s="118">
        <f>IFERROR(
HLOOKUP(VLOOKUP($C748,'Employee information'!$B:$M,COLUMNS('Employee information'!$B:$M),0),'PAYG worksheet'!$AO$735:$AY$754,COUNTA($C$736:$C748)+1,0),
0)</f>
        <v>0</v>
      </c>
      <c r="BA748" s="118"/>
      <c r="BB748" s="118">
        <f t="shared" si="790"/>
        <v>0</v>
      </c>
      <c r="BC748" s="119">
        <f>IFERROR(
IF(OR($AE748=1,$AE748=""),SUM($P748,$AA748,$AC748,$AK748)*VLOOKUP($C748,'Employee information'!$B:$Q,COLUMNS('Employee information'!$B:$H),0),
IF($AE748=0,SUM($P748,$AA748,$AK748)*VLOOKUP($C748,'Employee information'!$B:$Q,COLUMNS('Employee information'!$B:$H),0),
0)),
0)</f>
        <v>0</v>
      </c>
      <c r="BE748" s="114">
        <f t="shared" si="775"/>
        <v>0</v>
      </c>
      <c r="BF748" s="114">
        <f t="shared" si="776"/>
        <v>0</v>
      </c>
      <c r="BG748" s="114">
        <f t="shared" si="777"/>
        <v>0</v>
      </c>
      <c r="BH748" s="114">
        <f t="shared" si="778"/>
        <v>0</v>
      </c>
      <c r="BI748" s="114">
        <f t="shared" si="779"/>
        <v>0</v>
      </c>
      <c r="BJ748" s="114">
        <f t="shared" si="780"/>
        <v>0</v>
      </c>
      <c r="BK748" s="114">
        <f t="shared" si="781"/>
        <v>0</v>
      </c>
      <c r="BL748" s="114">
        <f t="shared" si="791"/>
        <v>0</v>
      </c>
      <c r="BM748" s="114">
        <f t="shared" si="782"/>
        <v>0</v>
      </c>
    </row>
    <row r="749" spans="1:65" x14ac:dyDescent="0.25">
      <c r="A749" s="228">
        <f t="shared" si="770"/>
        <v>26</v>
      </c>
      <c r="C749" s="278"/>
      <c r="E749" s="103">
        <f>IF($C749="",0,
IF(AND($E$2="Monthly",$A749&gt;12),0,
IF($E$2="Monthly",VLOOKUP($C749,'Employee information'!$B:$AM,COLUMNS('Employee information'!$B:S),0),
IF($E$2="Fortnightly",VLOOKUP($C749,'Employee information'!$B:$AM,COLUMNS('Employee information'!$B:R),0),
0))))</f>
        <v>0</v>
      </c>
      <c r="F749" s="106"/>
      <c r="G749" s="106"/>
      <c r="H749" s="106"/>
      <c r="I749" s="106"/>
      <c r="J749" s="103">
        <f t="shared" si="783"/>
        <v>0</v>
      </c>
      <c r="L749" s="113">
        <f>IF(AND($E$2="Monthly",$A749&gt;12),"",
IFERROR($J749*VLOOKUP($C749,'Employee information'!$B:$AI,COLUMNS('Employee information'!$B:$P),0),0))</f>
        <v>0</v>
      </c>
      <c r="M749" s="114">
        <f t="shared" si="784"/>
        <v>0</v>
      </c>
      <c r="O749" s="103">
        <f t="shared" si="785"/>
        <v>0</v>
      </c>
      <c r="P749" s="113">
        <f>IFERROR(
IF(AND($E$2="Monthly",$A749&gt;12),0,
$O749*VLOOKUP($C749,'Employee information'!$B:$AI,COLUMNS('Employee information'!$B:$P),0)),
0)</f>
        <v>0</v>
      </c>
      <c r="R749" s="114">
        <f t="shared" si="771"/>
        <v>0</v>
      </c>
      <c r="T749" s="103"/>
      <c r="U749" s="103"/>
      <c r="V749" s="282" t="str">
        <f>IF($C749="","",
IF(AND($E$2="Monthly",$A749&gt;12),"",
$T749*VLOOKUP($C749,'Employee information'!$B:$P,COLUMNS('Employee information'!$B:$P),0)))</f>
        <v/>
      </c>
      <c r="W749" s="282" t="str">
        <f>IF($C749="","",
IF(AND($E$2="Monthly",$A749&gt;12),"",
$U749*VLOOKUP($C749,'Employee information'!$B:$P,COLUMNS('Employee information'!$B:$P),0)))</f>
        <v/>
      </c>
      <c r="X749" s="114">
        <f t="shared" si="772"/>
        <v>0</v>
      </c>
      <c r="Y749" s="114">
        <f t="shared" si="773"/>
        <v>0</v>
      </c>
      <c r="AA749" s="118">
        <f>IFERROR(
IF(OR('Basic payroll data'!$D$12="",'Basic payroll data'!$D$12="No"),0,
$T749*VLOOKUP($C749,'Employee information'!$B:$P,COLUMNS('Employee information'!$B:$P),0)*AL_loading_perc),
0)</f>
        <v>0</v>
      </c>
      <c r="AC749" s="118"/>
      <c r="AD749" s="118"/>
      <c r="AE749" s="283" t="str">
        <f t="shared" si="786"/>
        <v/>
      </c>
      <c r="AF749" s="283" t="str">
        <f t="shared" si="787"/>
        <v/>
      </c>
      <c r="AG749" s="118"/>
      <c r="AH749" s="118"/>
      <c r="AI749" s="283" t="str">
        <f t="shared" si="788"/>
        <v/>
      </c>
      <c r="AJ749" s="118"/>
      <c r="AK749" s="118"/>
      <c r="AM749" s="118">
        <f t="shared" si="789"/>
        <v>0</v>
      </c>
      <c r="AN749" s="118">
        <f t="shared" si="774"/>
        <v>0</v>
      </c>
      <c r="AO749" s="118" t="str">
        <f>IFERROR(
IF(VLOOKUP($C749,'Employee information'!$B:$M,COLUMNS('Employee information'!$B:$M),0)=1,
IF($E$2="Fortnightly",
ROUND(
ROUND((((TRUNC($AN749/2,0)+0.99))*VLOOKUP((TRUNC($AN749/2,0)+0.99),'Tax scales - NAT 1004'!$A$12:$C$18,2,1)-VLOOKUP((TRUNC($AN749/2,0)+0.99),'Tax scales - NAT 1004'!$A$12:$C$18,3,1)),0)
*2,
0),
IF(AND($E$2="Monthly",ROUND($AN749-TRUNC($AN749),2)=0.33),
ROUND(
ROUND(((TRUNC(($AN749+0.01)*3/13,0)+0.99)*VLOOKUP((TRUNC(($AN749+0.01)*3/13,0)+0.99),'Tax scales - NAT 1004'!$A$12:$C$18,2,1)-VLOOKUP((TRUNC(($AN749+0.01)*3/13,0)+0.99),'Tax scales - NAT 1004'!$A$12:$C$18,3,1)),0)
*13/3,
0),
IF($E$2="Monthly",
ROUND(
ROUND(((TRUNC($AN749*3/13,0)+0.99)*VLOOKUP((TRUNC($AN749*3/13,0)+0.99),'Tax scales - NAT 1004'!$A$12:$C$18,2,1)-VLOOKUP((TRUNC($AN749*3/13,0)+0.99),'Tax scales - NAT 1004'!$A$12:$C$18,3,1)),0)
*13/3,
0),
""))),
""),
"")</f>
        <v/>
      </c>
      <c r="AP749" s="118" t="str">
        <f>IFERROR(
IF(VLOOKUP($C749,'Employee information'!$B:$M,COLUMNS('Employee information'!$B:$M),0)=2,
IF($E$2="Fortnightly",
ROUND(
ROUND((((TRUNC($AN749/2,0)+0.99))*VLOOKUP((TRUNC($AN749/2,0)+0.99),'Tax scales - NAT 1004'!$A$25:$C$33,2,1)-VLOOKUP((TRUNC($AN749/2,0)+0.99),'Tax scales - NAT 1004'!$A$25:$C$33,3,1)),0)
*2,
0),
IF(AND($E$2="Monthly",ROUND($AN749-TRUNC($AN749),2)=0.33),
ROUND(
ROUND(((TRUNC(($AN749+0.01)*3/13,0)+0.99)*VLOOKUP((TRUNC(($AN749+0.01)*3/13,0)+0.99),'Tax scales - NAT 1004'!$A$25:$C$33,2,1)-VLOOKUP((TRUNC(($AN749+0.01)*3/13,0)+0.99),'Tax scales - NAT 1004'!$A$25:$C$33,3,1)),0)
*13/3,
0),
IF($E$2="Monthly",
ROUND(
ROUND(((TRUNC($AN749*3/13,0)+0.99)*VLOOKUP((TRUNC($AN749*3/13,0)+0.99),'Tax scales - NAT 1004'!$A$25:$C$33,2,1)-VLOOKUP((TRUNC($AN749*3/13,0)+0.99),'Tax scales - NAT 1004'!$A$25:$C$33,3,1)),0)
*13/3,
0),
""))),
""),
"")</f>
        <v/>
      </c>
      <c r="AQ749" s="118" t="str">
        <f>IFERROR(
IF(VLOOKUP($C749,'Employee information'!$B:$M,COLUMNS('Employee information'!$B:$M),0)=3,
IF($E$2="Fortnightly",
ROUND(
ROUND((((TRUNC($AN749/2,0)+0.99))*VLOOKUP((TRUNC($AN749/2,0)+0.99),'Tax scales - NAT 1004'!$A$39:$C$41,2,1)-VLOOKUP((TRUNC($AN749/2,0)+0.99),'Tax scales - NAT 1004'!$A$39:$C$41,3,1)),0)
*2,
0),
IF(AND($E$2="Monthly",ROUND($AN749-TRUNC($AN749),2)=0.33),
ROUND(
ROUND(((TRUNC(($AN749+0.01)*3/13,0)+0.99)*VLOOKUP((TRUNC(($AN749+0.01)*3/13,0)+0.99),'Tax scales - NAT 1004'!$A$39:$C$41,2,1)-VLOOKUP((TRUNC(($AN749+0.01)*3/13,0)+0.99),'Tax scales - NAT 1004'!$A$39:$C$41,3,1)),0)
*13/3,
0),
IF($E$2="Monthly",
ROUND(
ROUND(((TRUNC($AN749*3/13,0)+0.99)*VLOOKUP((TRUNC($AN749*3/13,0)+0.99),'Tax scales - NAT 1004'!$A$39:$C$41,2,1)-VLOOKUP((TRUNC($AN749*3/13,0)+0.99),'Tax scales - NAT 1004'!$A$39:$C$41,3,1)),0)
*13/3,
0),
""))),
""),
"")</f>
        <v/>
      </c>
      <c r="AR749" s="118" t="str">
        <f>IFERROR(
IF(AND(VLOOKUP($C749,'Employee information'!$B:$M,COLUMNS('Employee information'!$B:$M),0)=4,
VLOOKUP($C749,'Employee information'!$B:$J,COLUMNS('Employee information'!$B:$J),0)="Resident"),
TRUNC(TRUNC($AN749)*'Tax scales - NAT 1004'!$B$47),
IF(AND(VLOOKUP($C749,'Employee information'!$B:$M,COLUMNS('Employee information'!$B:$M),0)=4,
VLOOKUP($C749,'Employee information'!$B:$J,COLUMNS('Employee information'!$B:$J),0)="Foreign resident"),
TRUNC(TRUNC($AN749)*'Tax scales - NAT 1004'!$B$48),
"")),
"")</f>
        <v/>
      </c>
      <c r="AS749" s="118" t="str">
        <f>IFERROR(
IF(VLOOKUP($C749,'Employee information'!$B:$M,COLUMNS('Employee information'!$B:$M),0)=5,
IF($E$2="Fortnightly",
ROUND(
ROUND((((TRUNC($AN749/2,0)+0.99))*VLOOKUP((TRUNC($AN749/2,0)+0.99),'Tax scales - NAT 1004'!$A$53:$C$59,2,1)-VLOOKUP((TRUNC($AN749/2,0)+0.99),'Tax scales - NAT 1004'!$A$53:$C$59,3,1)),0)
*2,
0),
IF(AND($E$2="Monthly",ROUND($AN749-TRUNC($AN749),2)=0.33),
ROUND(
ROUND(((TRUNC(($AN749+0.01)*3/13,0)+0.99)*VLOOKUP((TRUNC(($AN749+0.01)*3/13,0)+0.99),'Tax scales - NAT 1004'!$A$53:$C$59,2,1)-VLOOKUP((TRUNC(($AN749+0.01)*3/13,0)+0.99),'Tax scales - NAT 1004'!$A$53:$C$59,3,1)),0)
*13/3,
0),
IF($E$2="Monthly",
ROUND(
ROUND(((TRUNC($AN749*3/13,0)+0.99)*VLOOKUP((TRUNC($AN749*3/13,0)+0.99),'Tax scales - NAT 1004'!$A$53:$C$59,2,1)-VLOOKUP((TRUNC($AN749*3/13,0)+0.99),'Tax scales - NAT 1004'!$A$53:$C$59,3,1)),0)
*13/3,
0),
""))),
""),
"")</f>
        <v/>
      </c>
      <c r="AT749" s="118" t="str">
        <f>IFERROR(
IF(VLOOKUP($C749,'Employee information'!$B:$M,COLUMNS('Employee information'!$B:$M),0)=6,
IF($E$2="Fortnightly",
ROUND(
ROUND((((TRUNC($AN749/2,0)+0.99))*VLOOKUP((TRUNC($AN749/2,0)+0.99),'Tax scales - NAT 1004'!$A$65:$C$73,2,1)-VLOOKUP((TRUNC($AN749/2,0)+0.99),'Tax scales - NAT 1004'!$A$65:$C$73,3,1)),0)
*2,
0),
IF(AND($E$2="Monthly",ROUND($AN749-TRUNC($AN749),2)=0.33),
ROUND(
ROUND(((TRUNC(($AN749+0.01)*3/13,0)+0.99)*VLOOKUP((TRUNC(($AN749+0.01)*3/13,0)+0.99),'Tax scales - NAT 1004'!$A$65:$C$73,2,1)-VLOOKUP((TRUNC(($AN749+0.01)*3/13,0)+0.99),'Tax scales - NAT 1004'!$A$65:$C$73,3,1)),0)
*13/3,
0),
IF($E$2="Monthly",
ROUND(
ROUND(((TRUNC($AN749*3/13,0)+0.99)*VLOOKUP((TRUNC($AN749*3/13,0)+0.99),'Tax scales - NAT 1004'!$A$65:$C$73,2,1)-VLOOKUP((TRUNC($AN749*3/13,0)+0.99),'Tax scales - NAT 1004'!$A$65:$C$73,3,1)),0)
*13/3,
0),
""))),
""),
"")</f>
        <v/>
      </c>
      <c r="AU749" s="118" t="str">
        <f>IFERROR(
IF(VLOOKUP($C749,'Employee information'!$B:$M,COLUMNS('Employee information'!$B:$M),0)=11,
IF($E$2="Fortnightly",
ROUND(
ROUND((((TRUNC($AN749/2,0)+0.99))*VLOOKUP((TRUNC($AN749/2,0)+0.99),'Tax scales - NAT 3539'!$A$14:$C$38,2,1)-VLOOKUP((TRUNC($AN749/2,0)+0.99),'Tax scales - NAT 3539'!$A$14:$C$38,3,1)),0)
*2,
0),
IF(AND($E$2="Monthly",ROUND($AN749-TRUNC($AN749),2)=0.33),
ROUND(
ROUND(((TRUNC(($AN749+0.01)*3/13,0)+0.99)*VLOOKUP((TRUNC(($AN749+0.01)*3/13,0)+0.99),'Tax scales - NAT 3539'!$A$14:$C$38,2,1)-VLOOKUP((TRUNC(($AN749+0.01)*3/13,0)+0.99),'Tax scales - NAT 3539'!$A$14:$C$38,3,1)),0)
*13/3,
0),
IF($E$2="Monthly",
ROUND(
ROUND(((TRUNC($AN749*3/13,0)+0.99)*VLOOKUP((TRUNC($AN749*3/13,0)+0.99),'Tax scales - NAT 3539'!$A$14:$C$38,2,1)-VLOOKUP((TRUNC($AN749*3/13,0)+0.99),'Tax scales - NAT 3539'!$A$14:$C$38,3,1)),0)
*13/3,
0),
""))),
""),
"")</f>
        <v/>
      </c>
      <c r="AV749" s="118" t="str">
        <f>IFERROR(
IF(VLOOKUP($C749,'Employee information'!$B:$M,COLUMNS('Employee information'!$B:$M),0)=22,
IF($E$2="Fortnightly",
ROUND(
ROUND((((TRUNC($AN749/2,0)+0.99))*VLOOKUP((TRUNC($AN749/2,0)+0.99),'Tax scales - NAT 3539'!$A$43:$C$69,2,1)-VLOOKUP((TRUNC($AN749/2,0)+0.99),'Tax scales - NAT 3539'!$A$43:$C$69,3,1)),0)
*2,
0),
IF(AND($E$2="Monthly",ROUND($AN749-TRUNC($AN749),2)=0.33),
ROUND(
ROUND(((TRUNC(($AN749+0.01)*3/13,0)+0.99)*VLOOKUP((TRUNC(($AN749+0.01)*3/13,0)+0.99),'Tax scales - NAT 3539'!$A$43:$C$69,2,1)-VLOOKUP((TRUNC(($AN749+0.01)*3/13,0)+0.99),'Tax scales - NAT 3539'!$A$43:$C$69,3,1)),0)
*13/3,
0),
IF($E$2="Monthly",
ROUND(
ROUND(((TRUNC($AN749*3/13,0)+0.99)*VLOOKUP((TRUNC($AN749*3/13,0)+0.99),'Tax scales - NAT 3539'!$A$43:$C$69,2,1)-VLOOKUP((TRUNC($AN749*3/13,0)+0.99),'Tax scales - NAT 3539'!$A$43:$C$69,3,1)),0)
*13/3,
0),
""))),
""),
"")</f>
        <v/>
      </c>
      <c r="AW749" s="118" t="str">
        <f>IFERROR(
IF(VLOOKUP($C749,'Employee information'!$B:$M,COLUMNS('Employee information'!$B:$M),0)=33,
IF($E$2="Fortnightly",
ROUND(
ROUND((((TRUNC($AN749/2,0)+0.99))*VLOOKUP((TRUNC($AN749/2,0)+0.99),'Tax scales - NAT 3539'!$A$74:$C$94,2,1)-VLOOKUP((TRUNC($AN749/2,0)+0.99),'Tax scales - NAT 3539'!$A$74:$C$94,3,1)),0)
*2,
0),
IF(AND($E$2="Monthly",ROUND($AN749-TRUNC($AN749),2)=0.33),
ROUND(
ROUND(((TRUNC(($AN749+0.01)*3/13,0)+0.99)*VLOOKUP((TRUNC(($AN749+0.01)*3/13,0)+0.99),'Tax scales - NAT 3539'!$A$74:$C$94,2,1)-VLOOKUP((TRUNC(($AN749+0.01)*3/13,0)+0.99),'Tax scales - NAT 3539'!$A$74:$C$94,3,1)),0)
*13/3,
0),
IF($E$2="Monthly",
ROUND(
ROUND(((TRUNC($AN749*3/13,0)+0.99)*VLOOKUP((TRUNC($AN749*3/13,0)+0.99),'Tax scales - NAT 3539'!$A$74:$C$94,2,1)-VLOOKUP((TRUNC($AN749*3/13,0)+0.99),'Tax scales - NAT 3539'!$A$74:$C$94,3,1)),0)
*13/3,
0),
""))),
""),
"")</f>
        <v/>
      </c>
      <c r="AX749" s="118" t="str">
        <f>IFERROR(
IF(VLOOKUP($C749,'Employee information'!$B:$M,COLUMNS('Employee information'!$B:$M),0)=55,
IF($E$2="Fortnightly",
ROUND(
ROUND((((TRUNC($AN749/2,0)+0.99))*VLOOKUP((TRUNC($AN749/2,0)+0.99),'Tax scales - NAT 3539'!$A$99:$C$123,2,1)-VLOOKUP((TRUNC($AN749/2,0)+0.99),'Tax scales - NAT 3539'!$A$99:$C$123,3,1)),0)
*2,
0),
IF(AND($E$2="Monthly",ROUND($AN749-TRUNC($AN749),2)=0.33),
ROUND(
ROUND(((TRUNC(($AN749+0.01)*3/13,0)+0.99)*VLOOKUP((TRUNC(($AN749+0.01)*3/13,0)+0.99),'Tax scales - NAT 3539'!$A$99:$C$123,2,1)-VLOOKUP((TRUNC(($AN749+0.01)*3/13,0)+0.99),'Tax scales - NAT 3539'!$A$99:$C$123,3,1)),0)
*13/3,
0),
IF($E$2="Monthly",
ROUND(
ROUND(((TRUNC($AN749*3/13,0)+0.99)*VLOOKUP((TRUNC($AN749*3/13,0)+0.99),'Tax scales - NAT 3539'!$A$99:$C$123,2,1)-VLOOKUP((TRUNC($AN749*3/13,0)+0.99),'Tax scales - NAT 3539'!$A$99:$C$123,3,1)),0)
*13/3,
0),
""))),
""),
"")</f>
        <v/>
      </c>
      <c r="AY749" s="118" t="str">
        <f>IFERROR(
IF(VLOOKUP($C749,'Employee information'!$B:$M,COLUMNS('Employee information'!$B:$M),0)=66,
IF($E$2="Fortnightly",
ROUND(
ROUND((((TRUNC($AN749/2,0)+0.99))*VLOOKUP((TRUNC($AN749/2,0)+0.99),'Tax scales - NAT 3539'!$A$127:$C$154,2,1)-VLOOKUP((TRUNC($AN749/2,0)+0.99),'Tax scales - NAT 3539'!$A$127:$C$154,3,1)),0)
*2,
0),
IF(AND($E$2="Monthly",ROUND($AN749-TRUNC($AN749),2)=0.33),
ROUND(
ROUND(((TRUNC(($AN749+0.01)*3/13,0)+0.99)*VLOOKUP((TRUNC(($AN749+0.01)*3/13,0)+0.99),'Tax scales - NAT 3539'!$A$127:$C$154,2,1)-VLOOKUP((TRUNC(($AN749+0.01)*3/13,0)+0.99),'Tax scales - NAT 3539'!$A$127:$C$154,3,1)),0)
*13/3,
0),
IF($E$2="Monthly",
ROUND(
ROUND(((TRUNC($AN749*3/13,0)+0.99)*VLOOKUP((TRUNC($AN749*3/13,0)+0.99),'Tax scales - NAT 3539'!$A$127:$C$154,2,1)-VLOOKUP((TRUNC($AN749*3/13,0)+0.99),'Tax scales - NAT 3539'!$A$127:$C$154,3,1)),0)
*13/3,
0),
""))),
""),
"")</f>
        <v/>
      </c>
      <c r="AZ749" s="118">
        <f>IFERROR(
HLOOKUP(VLOOKUP($C749,'Employee information'!$B:$M,COLUMNS('Employee information'!$B:$M),0),'PAYG worksheet'!$AO$735:$AY$754,COUNTA($C$736:$C749)+1,0),
0)</f>
        <v>0</v>
      </c>
      <c r="BA749" s="118"/>
      <c r="BB749" s="118">
        <f t="shared" si="790"/>
        <v>0</v>
      </c>
      <c r="BC749" s="119">
        <f>IFERROR(
IF(OR($AE749=1,$AE749=""),SUM($P749,$AA749,$AC749,$AK749)*VLOOKUP($C749,'Employee information'!$B:$Q,COLUMNS('Employee information'!$B:$H),0),
IF($AE749=0,SUM($P749,$AA749,$AK749)*VLOOKUP($C749,'Employee information'!$B:$Q,COLUMNS('Employee information'!$B:$H),0),
0)),
0)</f>
        <v>0</v>
      </c>
      <c r="BE749" s="114">
        <f t="shared" si="775"/>
        <v>0</v>
      </c>
      <c r="BF749" s="114">
        <f t="shared" si="776"/>
        <v>0</v>
      </c>
      <c r="BG749" s="114">
        <f t="shared" si="777"/>
        <v>0</v>
      </c>
      <c r="BH749" s="114">
        <f t="shared" si="778"/>
        <v>0</v>
      </c>
      <c r="BI749" s="114">
        <f t="shared" si="779"/>
        <v>0</v>
      </c>
      <c r="BJ749" s="114">
        <f t="shared" si="780"/>
        <v>0</v>
      </c>
      <c r="BK749" s="114">
        <f t="shared" si="781"/>
        <v>0</v>
      </c>
      <c r="BL749" s="114">
        <f t="shared" si="791"/>
        <v>0</v>
      </c>
      <c r="BM749" s="114">
        <f t="shared" si="782"/>
        <v>0</v>
      </c>
    </row>
    <row r="750" spans="1:65" x14ac:dyDescent="0.25">
      <c r="A750" s="228">
        <f t="shared" si="770"/>
        <v>26</v>
      </c>
      <c r="C750" s="278"/>
      <c r="E750" s="103">
        <f>IF($C750="",0,
IF(AND($E$2="Monthly",$A750&gt;12),0,
IF($E$2="Monthly",VLOOKUP($C750,'Employee information'!$B:$AM,COLUMNS('Employee information'!$B:S),0),
IF($E$2="Fortnightly",VLOOKUP($C750,'Employee information'!$B:$AM,COLUMNS('Employee information'!$B:R),0),
0))))</f>
        <v>0</v>
      </c>
      <c r="F750" s="106"/>
      <c r="G750" s="106"/>
      <c r="H750" s="106"/>
      <c r="I750" s="106"/>
      <c r="J750" s="103">
        <f t="shared" si="783"/>
        <v>0</v>
      </c>
      <c r="L750" s="113">
        <f>IF(AND($E$2="Monthly",$A750&gt;12),"",
IFERROR($J750*VLOOKUP($C750,'Employee information'!$B:$AI,COLUMNS('Employee information'!$B:$P),0),0))</f>
        <v>0</v>
      </c>
      <c r="M750" s="114">
        <f t="shared" si="784"/>
        <v>0</v>
      </c>
      <c r="O750" s="103">
        <f t="shared" si="785"/>
        <v>0</v>
      </c>
      <c r="P750" s="113">
        <f>IFERROR(
IF(AND($E$2="Monthly",$A750&gt;12),0,
$O750*VLOOKUP($C750,'Employee information'!$B:$AI,COLUMNS('Employee information'!$B:$P),0)),
0)</f>
        <v>0</v>
      </c>
      <c r="R750" s="114">
        <f t="shared" si="771"/>
        <v>0</v>
      </c>
      <c r="T750" s="103"/>
      <c r="U750" s="103"/>
      <c r="V750" s="282" t="str">
        <f>IF($C750="","",
IF(AND($E$2="Monthly",$A750&gt;12),"",
$T750*VLOOKUP($C750,'Employee information'!$B:$P,COLUMNS('Employee information'!$B:$P),0)))</f>
        <v/>
      </c>
      <c r="W750" s="282" t="str">
        <f>IF($C750="","",
IF(AND($E$2="Monthly",$A750&gt;12),"",
$U750*VLOOKUP($C750,'Employee information'!$B:$P,COLUMNS('Employee information'!$B:$P),0)))</f>
        <v/>
      </c>
      <c r="X750" s="114">
        <f t="shared" si="772"/>
        <v>0</v>
      </c>
      <c r="Y750" s="114">
        <f t="shared" si="773"/>
        <v>0</v>
      </c>
      <c r="AA750" s="118">
        <f>IFERROR(
IF(OR('Basic payroll data'!$D$12="",'Basic payroll data'!$D$12="No"),0,
$T750*VLOOKUP($C750,'Employee information'!$B:$P,COLUMNS('Employee information'!$B:$P),0)*AL_loading_perc),
0)</f>
        <v>0</v>
      </c>
      <c r="AC750" s="118"/>
      <c r="AD750" s="118"/>
      <c r="AE750" s="283" t="str">
        <f t="shared" si="786"/>
        <v/>
      </c>
      <c r="AF750" s="283" t="str">
        <f t="shared" si="787"/>
        <v/>
      </c>
      <c r="AG750" s="118"/>
      <c r="AH750" s="118"/>
      <c r="AI750" s="283" t="str">
        <f t="shared" si="788"/>
        <v/>
      </c>
      <c r="AJ750" s="118"/>
      <c r="AK750" s="118"/>
      <c r="AM750" s="118">
        <f t="shared" si="789"/>
        <v>0</v>
      </c>
      <c r="AN750" s="118">
        <f t="shared" si="774"/>
        <v>0</v>
      </c>
      <c r="AO750" s="118" t="str">
        <f>IFERROR(
IF(VLOOKUP($C750,'Employee information'!$B:$M,COLUMNS('Employee information'!$B:$M),0)=1,
IF($E$2="Fortnightly",
ROUND(
ROUND((((TRUNC($AN750/2,0)+0.99))*VLOOKUP((TRUNC($AN750/2,0)+0.99),'Tax scales - NAT 1004'!$A$12:$C$18,2,1)-VLOOKUP((TRUNC($AN750/2,0)+0.99),'Tax scales - NAT 1004'!$A$12:$C$18,3,1)),0)
*2,
0),
IF(AND($E$2="Monthly",ROUND($AN750-TRUNC($AN750),2)=0.33),
ROUND(
ROUND(((TRUNC(($AN750+0.01)*3/13,0)+0.99)*VLOOKUP((TRUNC(($AN750+0.01)*3/13,0)+0.99),'Tax scales - NAT 1004'!$A$12:$C$18,2,1)-VLOOKUP((TRUNC(($AN750+0.01)*3/13,0)+0.99),'Tax scales - NAT 1004'!$A$12:$C$18,3,1)),0)
*13/3,
0),
IF($E$2="Monthly",
ROUND(
ROUND(((TRUNC($AN750*3/13,0)+0.99)*VLOOKUP((TRUNC($AN750*3/13,0)+0.99),'Tax scales - NAT 1004'!$A$12:$C$18,2,1)-VLOOKUP((TRUNC($AN750*3/13,0)+0.99),'Tax scales - NAT 1004'!$A$12:$C$18,3,1)),0)
*13/3,
0),
""))),
""),
"")</f>
        <v/>
      </c>
      <c r="AP750" s="118" t="str">
        <f>IFERROR(
IF(VLOOKUP($C750,'Employee information'!$B:$M,COLUMNS('Employee information'!$B:$M),0)=2,
IF($E$2="Fortnightly",
ROUND(
ROUND((((TRUNC($AN750/2,0)+0.99))*VLOOKUP((TRUNC($AN750/2,0)+0.99),'Tax scales - NAT 1004'!$A$25:$C$33,2,1)-VLOOKUP((TRUNC($AN750/2,0)+0.99),'Tax scales - NAT 1004'!$A$25:$C$33,3,1)),0)
*2,
0),
IF(AND($E$2="Monthly",ROUND($AN750-TRUNC($AN750),2)=0.33),
ROUND(
ROUND(((TRUNC(($AN750+0.01)*3/13,0)+0.99)*VLOOKUP((TRUNC(($AN750+0.01)*3/13,0)+0.99),'Tax scales - NAT 1004'!$A$25:$C$33,2,1)-VLOOKUP((TRUNC(($AN750+0.01)*3/13,0)+0.99),'Tax scales - NAT 1004'!$A$25:$C$33,3,1)),0)
*13/3,
0),
IF($E$2="Monthly",
ROUND(
ROUND(((TRUNC($AN750*3/13,0)+0.99)*VLOOKUP((TRUNC($AN750*3/13,0)+0.99),'Tax scales - NAT 1004'!$A$25:$C$33,2,1)-VLOOKUP((TRUNC($AN750*3/13,0)+0.99),'Tax scales - NAT 1004'!$A$25:$C$33,3,1)),0)
*13/3,
0),
""))),
""),
"")</f>
        <v/>
      </c>
      <c r="AQ750" s="118" t="str">
        <f>IFERROR(
IF(VLOOKUP($C750,'Employee information'!$B:$M,COLUMNS('Employee information'!$B:$M),0)=3,
IF($E$2="Fortnightly",
ROUND(
ROUND((((TRUNC($AN750/2,0)+0.99))*VLOOKUP((TRUNC($AN750/2,0)+0.99),'Tax scales - NAT 1004'!$A$39:$C$41,2,1)-VLOOKUP((TRUNC($AN750/2,0)+0.99),'Tax scales - NAT 1004'!$A$39:$C$41,3,1)),0)
*2,
0),
IF(AND($E$2="Monthly",ROUND($AN750-TRUNC($AN750),2)=0.33),
ROUND(
ROUND(((TRUNC(($AN750+0.01)*3/13,0)+0.99)*VLOOKUP((TRUNC(($AN750+0.01)*3/13,0)+0.99),'Tax scales - NAT 1004'!$A$39:$C$41,2,1)-VLOOKUP((TRUNC(($AN750+0.01)*3/13,0)+0.99),'Tax scales - NAT 1004'!$A$39:$C$41,3,1)),0)
*13/3,
0),
IF($E$2="Monthly",
ROUND(
ROUND(((TRUNC($AN750*3/13,0)+0.99)*VLOOKUP((TRUNC($AN750*3/13,0)+0.99),'Tax scales - NAT 1004'!$A$39:$C$41,2,1)-VLOOKUP((TRUNC($AN750*3/13,0)+0.99),'Tax scales - NAT 1004'!$A$39:$C$41,3,1)),0)
*13/3,
0),
""))),
""),
"")</f>
        <v/>
      </c>
      <c r="AR750" s="118" t="str">
        <f>IFERROR(
IF(AND(VLOOKUP($C750,'Employee information'!$B:$M,COLUMNS('Employee information'!$B:$M),0)=4,
VLOOKUP($C750,'Employee information'!$B:$J,COLUMNS('Employee information'!$B:$J),0)="Resident"),
TRUNC(TRUNC($AN750)*'Tax scales - NAT 1004'!$B$47),
IF(AND(VLOOKUP($C750,'Employee information'!$B:$M,COLUMNS('Employee information'!$B:$M),0)=4,
VLOOKUP($C750,'Employee information'!$B:$J,COLUMNS('Employee information'!$B:$J),0)="Foreign resident"),
TRUNC(TRUNC($AN750)*'Tax scales - NAT 1004'!$B$48),
"")),
"")</f>
        <v/>
      </c>
      <c r="AS750" s="118" t="str">
        <f>IFERROR(
IF(VLOOKUP($C750,'Employee information'!$B:$M,COLUMNS('Employee information'!$B:$M),0)=5,
IF($E$2="Fortnightly",
ROUND(
ROUND((((TRUNC($AN750/2,0)+0.99))*VLOOKUP((TRUNC($AN750/2,0)+0.99),'Tax scales - NAT 1004'!$A$53:$C$59,2,1)-VLOOKUP((TRUNC($AN750/2,0)+0.99),'Tax scales - NAT 1004'!$A$53:$C$59,3,1)),0)
*2,
0),
IF(AND($E$2="Monthly",ROUND($AN750-TRUNC($AN750),2)=0.33),
ROUND(
ROUND(((TRUNC(($AN750+0.01)*3/13,0)+0.99)*VLOOKUP((TRUNC(($AN750+0.01)*3/13,0)+0.99),'Tax scales - NAT 1004'!$A$53:$C$59,2,1)-VLOOKUP((TRUNC(($AN750+0.01)*3/13,0)+0.99),'Tax scales - NAT 1004'!$A$53:$C$59,3,1)),0)
*13/3,
0),
IF($E$2="Monthly",
ROUND(
ROUND(((TRUNC($AN750*3/13,0)+0.99)*VLOOKUP((TRUNC($AN750*3/13,0)+0.99),'Tax scales - NAT 1004'!$A$53:$C$59,2,1)-VLOOKUP((TRUNC($AN750*3/13,0)+0.99),'Tax scales - NAT 1004'!$A$53:$C$59,3,1)),0)
*13/3,
0),
""))),
""),
"")</f>
        <v/>
      </c>
      <c r="AT750" s="118" t="str">
        <f>IFERROR(
IF(VLOOKUP($C750,'Employee information'!$B:$M,COLUMNS('Employee information'!$B:$M),0)=6,
IF($E$2="Fortnightly",
ROUND(
ROUND((((TRUNC($AN750/2,0)+0.99))*VLOOKUP((TRUNC($AN750/2,0)+0.99),'Tax scales - NAT 1004'!$A$65:$C$73,2,1)-VLOOKUP((TRUNC($AN750/2,0)+0.99),'Tax scales - NAT 1004'!$A$65:$C$73,3,1)),0)
*2,
0),
IF(AND($E$2="Monthly",ROUND($AN750-TRUNC($AN750),2)=0.33),
ROUND(
ROUND(((TRUNC(($AN750+0.01)*3/13,0)+0.99)*VLOOKUP((TRUNC(($AN750+0.01)*3/13,0)+0.99),'Tax scales - NAT 1004'!$A$65:$C$73,2,1)-VLOOKUP((TRUNC(($AN750+0.01)*3/13,0)+0.99),'Tax scales - NAT 1004'!$A$65:$C$73,3,1)),0)
*13/3,
0),
IF($E$2="Monthly",
ROUND(
ROUND(((TRUNC($AN750*3/13,0)+0.99)*VLOOKUP((TRUNC($AN750*3/13,0)+0.99),'Tax scales - NAT 1004'!$A$65:$C$73,2,1)-VLOOKUP((TRUNC($AN750*3/13,0)+0.99),'Tax scales - NAT 1004'!$A$65:$C$73,3,1)),0)
*13/3,
0),
""))),
""),
"")</f>
        <v/>
      </c>
      <c r="AU750" s="118" t="str">
        <f>IFERROR(
IF(VLOOKUP($C750,'Employee information'!$B:$M,COLUMNS('Employee information'!$B:$M),0)=11,
IF($E$2="Fortnightly",
ROUND(
ROUND((((TRUNC($AN750/2,0)+0.99))*VLOOKUP((TRUNC($AN750/2,0)+0.99),'Tax scales - NAT 3539'!$A$14:$C$38,2,1)-VLOOKUP((TRUNC($AN750/2,0)+0.99),'Tax scales - NAT 3539'!$A$14:$C$38,3,1)),0)
*2,
0),
IF(AND($E$2="Monthly",ROUND($AN750-TRUNC($AN750),2)=0.33),
ROUND(
ROUND(((TRUNC(($AN750+0.01)*3/13,0)+0.99)*VLOOKUP((TRUNC(($AN750+0.01)*3/13,0)+0.99),'Tax scales - NAT 3539'!$A$14:$C$38,2,1)-VLOOKUP((TRUNC(($AN750+0.01)*3/13,0)+0.99),'Tax scales - NAT 3539'!$A$14:$C$38,3,1)),0)
*13/3,
0),
IF($E$2="Monthly",
ROUND(
ROUND(((TRUNC($AN750*3/13,0)+0.99)*VLOOKUP((TRUNC($AN750*3/13,0)+0.99),'Tax scales - NAT 3539'!$A$14:$C$38,2,1)-VLOOKUP((TRUNC($AN750*3/13,0)+0.99),'Tax scales - NAT 3539'!$A$14:$C$38,3,1)),0)
*13/3,
0),
""))),
""),
"")</f>
        <v/>
      </c>
      <c r="AV750" s="118" t="str">
        <f>IFERROR(
IF(VLOOKUP($C750,'Employee information'!$B:$M,COLUMNS('Employee information'!$B:$M),0)=22,
IF($E$2="Fortnightly",
ROUND(
ROUND((((TRUNC($AN750/2,0)+0.99))*VLOOKUP((TRUNC($AN750/2,0)+0.99),'Tax scales - NAT 3539'!$A$43:$C$69,2,1)-VLOOKUP((TRUNC($AN750/2,0)+0.99),'Tax scales - NAT 3539'!$A$43:$C$69,3,1)),0)
*2,
0),
IF(AND($E$2="Monthly",ROUND($AN750-TRUNC($AN750),2)=0.33),
ROUND(
ROUND(((TRUNC(($AN750+0.01)*3/13,0)+0.99)*VLOOKUP((TRUNC(($AN750+0.01)*3/13,0)+0.99),'Tax scales - NAT 3539'!$A$43:$C$69,2,1)-VLOOKUP((TRUNC(($AN750+0.01)*3/13,0)+0.99),'Tax scales - NAT 3539'!$A$43:$C$69,3,1)),0)
*13/3,
0),
IF($E$2="Monthly",
ROUND(
ROUND(((TRUNC($AN750*3/13,0)+0.99)*VLOOKUP((TRUNC($AN750*3/13,0)+0.99),'Tax scales - NAT 3539'!$A$43:$C$69,2,1)-VLOOKUP((TRUNC($AN750*3/13,0)+0.99),'Tax scales - NAT 3539'!$A$43:$C$69,3,1)),0)
*13/3,
0),
""))),
""),
"")</f>
        <v/>
      </c>
      <c r="AW750" s="118" t="str">
        <f>IFERROR(
IF(VLOOKUP($C750,'Employee information'!$B:$M,COLUMNS('Employee information'!$B:$M),0)=33,
IF($E$2="Fortnightly",
ROUND(
ROUND((((TRUNC($AN750/2,0)+0.99))*VLOOKUP((TRUNC($AN750/2,0)+0.99),'Tax scales - NAT 3539'!$A$74:$C$94,2,1)-VLOOKUP((TRUNC($AN750/2,0)+0.99),'Tax scales - NAT 3539'!$A$74:$C$94,3,1)),0)
*2,
0),
IF(AND($E$2="Monthly",ROUND($AN750-TRUNC($AN750),2)=0.33),
ROUND(
ROUND(((TRUNC(($AN750+0.01)*3/13,0)+0.99)*VLOOKUP((TRUNC(($AN750+0.01)*3/13,0)+0.99),'Tax scales - NAT 3539'!$A$74:$C$94,2,1)-VLOOKUP((TRUNC(($AN750+0.01)*3/13,0)+0.99),'Tax scales - NAT 3539'!$A$74:$C$94,3,1)),0)
*13/3,
0),
IF($E$2="Monthly",
ROUND(
ROUND(((TRUNC($AN750*3/13,0)+0.99)*VLOOKUP((TRUNC($AN750*3/13,0)+0.99),'Tax scales - NAT 3539'!$A$74:$C$94,2,1)-VLOOKUP((TRUNC($AN750*3/13,0)+0.99),'Tax scales - NAT 3539'!$A$74:$C$94,3,1)),0)
*13/3,
0),
""))),
""),
"")</f>
        <v/>
      </c>
      <c r="AX750" s="118" t="str">
        <f>IFERROR(
IF(VLOOKUP($C750,'Employee information'!$B:$M,COLUMNS('Employee information'!$B:$M),0)=55,
IF($E$2="Fortnightly",
ROUND(
ROUND((((TRUNC($AN750/2,0)+0.99))*VLOOKUP((TRUNC($AN750/2,0)+0.99),'Tax scales - NAT 3539'!$A$99:$C$123,2,1)-VLOOKUP((TRUNC($AN750/2,0)+0.99),'Tax scales - NAT 3539'!$A$99:$C$123,3,1)),0)
*2,
0),
IF(AND($E$2="Monthly",ROUND($AN750-TRUNC($AN750),2)=0.33),
ROUND(
ROUND(((TRUNC(($AN750+0.01)*3/13,0)+0.99)*VLOOKUP((TRUNC(($AN750+0.01)*3/13,0)+0.99),'Tax scales - NAT 3539'!$A$99:$C$123,2,1)-VLOOKUP((TRUNC(($AN750+0.01)*3/13,0)+0.99),'Tax scales - NAT 3539'!$A$99:$C$123,3,1)),0)
*13/3,
0),
IF($E$2="Monthly",
ROUND(
ROUND(((TRUNC($AN750*3/13,0)+0.99)*VLOOKUP((TRUNC($AN750*3/13,0)+0.99),'Tax scales - NAT 3539'!$A$99:$C$123,2,1)-VLOOKUP((TRUNC($AN750*3/13,0)+0.99),'Tax scales - NAT 3539'!$A$99:$C$123,3,1)),0)
*13/3,
0),
""))),
""),
"")</f>
        <v/>
      </c>
      <c r="AY750" s="118" t="str">
        <f>IFERROR(
IF(VLOOKUP($C750,'Employee information'!$B:$M,COLUMNS('Employee information'!$B:$M),0)=66,
IF($E$2="Fortnightly",
ROUND(
ROUND((((TRUNC($AN750/2,0)+0.99))*VLOOKUP((TRUNC($AN750/2,0)+0.99),'Tax scales - NAT 3539'!$A$127:$C$154,2,1)-VLOOKUP((TRUNC($AN750/2,0)+0.99),'Tax scales - NAT 3539'!$A$127:$C$154,3,1)),0)
*2,
0),
IF(AND($E$2="Monthly",ROUND($AN750-TRUNC($AN750),2)=0.33),
ROUND(
ROUND(((TRUNC(($AN750+0.01)*3/13,0)+0.99)*VLOOKUP((TRUNC(($AN750+0.01)*3/13,0)+0.99),'Tax scales - NAT 3539'!$A$127:$C$154,2,1)-VLOOKUP((TRUNC(($AN750+0.01)*3/13,0)+0.99),'Tax scales - NAT 3539'!$A$127:$C$154,3,1)),0)
*13/3,
0),
IF($E$2="Monthly",
ROUND(
ROUND(((TRUNC($AN750*3/13,0)+0.99)*VLOOKUP((TRUNC($AN750*3/13,0)+0.99),'Tax scales - NAT 3539'!$A$127:$C$154,2,1)-VLOOKUP((TRUNC($AN750*3/13,0)+0.99),'Tax scales - NAT 3539'!$A$127:$C$154,3,1)),0)
*13/3,
0),
""))),
""),
"")</f>
        <v/>
      </c>
      <c r="AZ750" s="118">
        <f>IFERROR(
HLOOKUP(VLOOKUP($C750,'Employee information'!$B:$M,COLUMNS('Employee information'!$B:$M),0),'PAYG worksheet'!$AO$735:$AY$754,COUNTA($C$736:$C750)+1,0),
0)</f>
        <v>0</v>
      </c>
      <c r="BA750" s="118"/>
      <c r="BB750" s="118">
        <f t="shared" si="790"/>
        <v>0</v>
      </c>
      <c r="BC750" s="119">
        <f>IFERROR(
IF(OR($AE750=1,$AE750=""),SUM($P750,$AA750,$AC750,$AK750)*VLOOKUP($C750,'Employee information'!$B:$Q,COLUMNS('Employee information'!$B:$H),0),
IF($AE750=0,SUM($P750,$AA750,$AK750)*VLOOKUP($C750,'Employee information'!$B:$Q,COLUMNS('Employee information'!$B:$H),0),
0)),
0)</f>
        <v>0</v>
      </c>
      <c r="BE750" s="114">
        <f t="shared" si="775"/>
        <v>0</v>
      </c>
      <c r="BF750" s="114">
        <f t="shared" si="776"/>
        <v>0</v>
      </c>
      <c r="BG750" s="114">
        <f t="shared" si="777"/>
        <v>0</v>
      </c>
      <c r="BH750" s="114">
        <f t="shared" si="778"/>
        <v>0</v>
      </c>
      <c r="BI750" s="114">
        <f t="shared" si="779"/>
        <v>0</v>
      </c>
      <c r="BJ750" s="114">
        <f t="shared" si="780"/>
        <v>0</v>
      </c>
      <c r="BK750" s="114">
        <f t="shared" si="781"/>
        <v>0</v>
      </c>
      <c r="BL750" s="114">
        <f t="shared" si="791"/>
        <v>0</v>
      </c>
      <c r="BM750" s="114">
        <f t="shared" si="782"/>
        <v>0</v>
      </c>
    </row>
    <row r="751" spans="1:65" x14ac:dyDescent="0.25">
      <c r="A751" s="228">
        <f t="shared" si="770"/>
        <v>26</v>
      </c>
      <c r="C751" s="278"/>
      <c r="E751" s="103">
        <f>IF($C751="",0,
IF(AND($E$2="Monthly",$A751&gt;12),0,
IF($E$2="Monthly",VLOOKUP($C751,'Employee information'!$B:$AM,COLUMNS('Employee information'!$B:S),0),
IF($E$2="Fortnightly",VLOOKUP($C751,'Employee information'!$B:$AM,COLUMNS('Employee information'!$B:R),0),
0))))</f>
        <v>0</v>
      </c>
      <c r="F751" s="106"/>
      <c r="G751" s="106"/>
      <c r="H751" s="106"/>
      <c r="I751" s="106"/>
      <c r="J751" s="103">
        <f t="shared" si="783"/>
        <v>0</v>
      </c>
      <c r="L751" s="113">
        <f>IF(AND($E$2="Monthly",$A751&gt;12),"",
IFERROR($J751*VLOOKUP($C751,'Employee information'!$B:$AI,COLUMNS('Employee information'!$B:$P),0),0))</f>
        <v>0</v>
      </c>
      <c r="M751" s="114">
        <f t="shared" si="784"/>
        <v>0</v>
      </c>
      <c r="O751" s="103">
        <f t="shared" si="785"/>
        <v>0</v>
      </c>
      <c r="P751" s="113">
        <f>IFERROR(
IF(AND($E$2="Monthly",$A751&gt;12),0,
$O751*VLOOKUP($C751,'Employee information'!$B:$AI,COLUMNS('Employee information'!$B:$P),0)),
0)</f>
        <v>0</v>
      </c>
      <c r="R751" s="114">
        <f t="shared" si="771"/>
        <v>0</v>
      </c>
      <c r="T751" s="103"/>
      <c r="U751" s="103"/>
      <c r="V751" s="282" t="str">
        <f>IF($C751="","",
IF(AND($E$2="Monthly",$A751&gt;12),"",
$T751*VLOOKUP($C751,'Employee information'!$B:$P,COLUMNS('Employee information'!$B:$P),0)))</f>
        <v/>
      </c>
      <c r="W751" s="282" t="str">
        <f>IF($C751="","",
IF(AND($E$2="Monthly",$A751&gt;12),"",
$U751*VLOOKUP($C751,'Employee information'!$B:$P,COLUMNS('Employee information'!$B:$P),0)))</f>
        <v/>
      </c>
      <c r="X751" s="114">
        <f t="shared" si="772"/>
        <v>0</v>
      </c>
      <c r="Y751" s="114">
        <f t="shared" si="773"/>
        <v>0</v>
      </c>
      <c r="AA751" s="118">
        <f>IFERROR(
IF(OR('Basic payroll data'!$D$12="",'Basic payroll data'!$D$12="No"),0,
$T751*VLOOKUP($C751,'Employee information'!$B:$P,COLUMNS('Employee information'!$B:$P),0)*AL_loading_perc),
0)</f>
        <v>0</v>
      </c>
      <c r="AC751" s="118"/>
      <c r="AD751" s="118"/>
      <c r="AE751" s="283" t="str">
        <f t="shared" si="786"/>
        <v/>
      </c>
      <c r="AF751" s="283" t="str">
        <f t="shared" si="787"/>
        <v/>
      </c>
      <c r="AG751" s="118"/>
      <c r="AH751" s="118"/>
      <c r="AI751" s="283" t="str">
        <f t="shared" si="788"/>
        <v/>
      </c>
      <c r="AJ751" s="118"/>
      <c r="AK751" s="118"/>
      <c r="AM751" s="118">
        <f t="shared" si="789"/>
        <v>0</v>
      </c>
      <c r="AN751" s="118">
        <f t="shared" si="774"/>
        <v>0</v>
      </c>
      <c r="AO751" s="118" t="str">
        <f>IFERROR(
IF(VLOOKUP($C751,'Employee information'!$B:$M,COLUMNS('Employee information'!$B:$M),0)=1,
IF($E$2="Fortnightly",
ROUND(
ROUND((((TRUNC($AN751/2,0)+0.99))*VLOOKUP((TRUNC($AN751/2,0)+0.99),'Tax scales - NAT 1004'!$A$12:$C$18,2,1)-VLOOKUP((TRUNC($AN751/2,0)+0.99),'Tax scales - NAT 1004'!$A$12:$C$18,3,1)),0)
*2,
0),
IF(AND($E$2="Monthly",ROUND($AN751-TRUNC($AN751),2)=0.33),
ROUND(
ROUND(((TRUNC(($AN751+0.01)*3/13,0)+0.99)*VLOOKUP((TRUNC(($AN751+0.01)*3/13,0)+0.99),'Tax scales - NAT 1004'!$A$12:$C$18,2,1)-VLOOKUP((TRUNC(($AN751+0.01)*3/13,0)+0.99),'Tax scales - NAT 1004'!$A$12:$C$18,3,1)),0)
*13/3,
0),
IF($E$2="Monthly",
ROUND(
ROUND(((TRUNC($AN751*3/13,0)+0.99)*VLOOKUP((TRUNC($AN751*3/13,0)+0.99),'Tax scales - NAT 1004'!$A$12:$C$18,2,1)-VLOOKUP((TRUNC($AN751*3/13,0)+0.99),'Tax scales - NAT 1004'!$A$12:$C$18,3,1)),0)
*13/3,
0),
""))),
""),
"")</f>
        <v/>
      </c>
      <c r="AP751" s="118" t="str">
        <f>IFERROR(
IF(VLOOKUP($C751,'Employee information'!$B:$M,COLUMNS('Employee information'!$B:$M),0)=2,
IF($E$2="Fortnightly",
ROUND(
ROUND((((TRUNC($AN751/2,0)+0.99))*VLOOKUP((TRUNC($AN751/2,0)+0.99),'Tax scales - NAT 1004'!$A$25:$C$33,2,1)-VLOOKUP((TRUNC($AN751/2,0)+0.99),'Tax scales - NAT 1004'!$A$25:$C$33,3,1)),0)
*2,
0),
IF(AND($E$2="Monthly",ROUND($AN751-TRUNC($AN751),2)=0.33),
ROUND(
ROUND(((TRUNC(($AN751+0.01)*3/13,0)+0.99)*VLOOKUP((TRUNC(($AN751+0.01)*3/13,0)+0.99),'Tax scales - NAT 1004'!$A$25:$C$33,2,1)-VLOOKUP((TRUNC(($AN751+0.01)*3/13,0)+0.99),'Tax scales - NAT 1004'!$A$25:$C$33,3,1)),0)
*13/3,
0),
IF($E$2="Monthly",
ROUND(
ROUND(((TRUNC($AN751*3/13,0)+0.99)*VLOOKUP((TRUNC($AN751*3/13,0)+0.99),'Tax scales - NAT 1004'!$A$25:$C$33,2,1)-VLOOKUP((TRUNC($AN751*3/13,0)+0.99),'Tax scales - NAT 1004'!$A$25:$C$33,3,1)),0)
*13/3,
0),
""))),
""),
"")</f>
        <v/>
      </c>
      <c r="AQ751" s="118" t="str">
        <f>IFERROR(
IF(VLOOKUP($C751,'Employee information'!$B:$M,COLUMNS('Employee information'!$B:$M),0)=3,
IF($E$2="Fortnightly",
ROUND(
ROUND((((TRUNC($AN751/2,0)+0.99))*VLOOKUP((TRUNC($AN751/2,0)+0.99),'Tax scales - NAT 1004'!$A$39:$C$41,2,1)-VLOOKUP((TRUNC($AN751/2,0)+0.99),'Tax scales - NAT 1004'!$A$39:$C$41,3,1)),0)
*2,
0),
IF(AND($E$2="Monthly",ROUND($AN751-TRUNC($AN751),2)=0.33),
ROUND(
ROUND(((TRUNC(($AN751+0.01)*3/13,0)+0.99)*VLOOKUP((TRUNC(($AN751+0.01)*3/13,0)+0.99),'Tax scales - NAT 1004'!$A$39:$C$41,2,1)-VLOOKUP((TRUNC(($AN751+0.01)*3/13,0)+0.99),'Tax scales - NAT 1004'!$A$39:$C$41,3,1)),0)
*13/3,
0),
IF($E$2="Monthly",
ROUND(
ROUND(((TRUNC($AN751*3/13,0)+0.99)*VLOOKUP((TRUNC($AN751*3/13,0)+0.99),'Tax scales - NAT 1004'!$A$39:$C$41,2,1)-VLOOKUP((TRUNC($AN751*3/13,0)+0.99),'Tax scales - NAT 1004'!$A$39:$C$41,3,1)),0)
*13/3,
0),
""))),
""),
"")</f>
        <v/>
      </c>
      <c r="AR751" s="118" t="str">
        <f>IFERROR(
IF(AND(VLOOKUP($C751,'Employee information'!$B:$M,COLUMNS('Employee information'!$B:$M),0)=4,
VLOOKUP($C751,'Employee information'!$B:$J,COLUMNS('Employee information'!$B:$J),0)="Resident"),
TRUNC(TRUNC($AN751)*'Tax scales - NAT 1004'!$B$47),
IF(AND(VLOOKUP($C751,'Employee information'!$B:$M,COLUMNS('Employee information'!$B:$M),0)=4,
VLOOKUP($C751,'Employee information'!$B:$J,COLUMNS('Employee information'!$B:$J),0)="Foreign resident"),
TRUNC(TRUNC($AN751)*'Tax scales - NAT 1004'!$B$48),
"")),
"")</f>
        <v/>
      </c>
      <c r="AS751" s="118" t="str">
        <f>IFERROR(
IF(VLOOKUP($C751,'Employee information'!$B:$M,COLUMNS('Employee information'!$B:$M),0)=5,
IF($E$2="Fortnightly",
ROUND(
ROUND((((TRUNC($AN751/2,0)+0.99))*VLOOKUP((TRUNC($AN751/2,0)+0.99),'Tax scales - NAT 1004'!$A$53:$C$59,2,1)-VLOOKUP((TRUNC($AN751/2,0)+0.99),'Tax scales - NAT 1004'!$A$53:$C$59,3,1)),0)
*2,
0),
IF(AND($E$2="Monthly",ROUND($AN751-TRUNC($AN751),2)=0.33),
ROUND(
ROUND(((TRUNC(($AN751+0.01)*3/13,0)+0.99)*VLOOKUP((TRUNC(($AN751+0.01)*3/13,0)+0.99),'Tax scales - NAT 1004'!$A$53:$C$59,2,1)-VLOOKUP((TRUNC(($AN751+0.01)*3/13,0)+0.99),'Tax scales - NAT 1004'!$A$53:$C$59,3,1)),0)
*13/3,
0),
IF($E$2="Monthly",
ROUND(
ROUND(((TRUNC($AN751*3/13,0)+0.99)*VLOOKUP((TRUNC($AN751*3/13,0)+0.99),'Tax scales - NAT 1004'!$A$53:$C$59,2,1)-VLOOKUP((TRUNC($AN751*3/13,0)+0.99),'Tax scales - NAT 1004'!$A$53:$C$59,3,1)),0)
*13/3,
0),
""))),
""),
"")</f>
        <v/>
      </c>
      <c r="AT751" s="118" t="str">
        <f>IFERROR(
IF(VLOOKUP($C751,'Employee information'!$B:$M,COLUMNS('Employee information'!$B:$M),0)=6,
IF($E$2="Fortnightly",
ROUND(
ROUND((((TRUNC($AN751/2,0)+0.99))*VLOOKUP((TRUNC($AN751/2,0)+0.99),'Tax scales - NAT 1004'!$A$65:$C$73,2,1)-VLOOKUP((TRUNC($AN751/2,0)+0.99),'Tax scales - NAT 1004'!$A$65:$C$73,3,1)),0)
*2,
0),
IF(AND($E$2="Monthly",ROUND($AN751-TRUNC($AN751),2)=0.33),
ROUND(
ROUND(((TRUNC(($AN751+0.01)*3/13,0)+0.99)*VLOOKUP((TRUNC(($AN751+0.01)*3/13,0)+0.99),'Tax scales - NAT 1004'!$A$65:$C$73,2,1)-VLOOKUP((TRUNC(($AN751+0.01)*3/13,0)+0.99),'Tax scales - NAT 1004'!$A$65:$C$73,3,1)),0)
*13/3,
0),
IF($E$2="Monthly",
ROUND(
ROUND(((TRUNC($AN751*3/13,0)+0.99)*VLOOKUP((TRUNC($AN751*3/13,0)+0.99),'Tax scales - NAT 1004'!$A$65:$C$73,2,1)-VLOOKUP((TRUNC($AN751*3/13,0)+0.99),'Tax scales - NAT 1004'!$A$65:$C$73,3,1)),0)
*13/3,
0),
""))),
""),
"")</f>
        <v/>
      </c>
      <c r="AU751" s="118" t="str">
        <f>IFERROR(
IF(VLOOKUP($C751,'Employee information'!$B:$M,COLUMNS('Employee information'!$B:$M),0)=11,
IF($E$2="Fortnightly",
ROUND(
ROUND((((TRUNC($AN751/2,0)+0.99))*VLOOKUP((TRUNC($AN751/2,0)+0.99),'Tax scales - NAT 3539'!$A$14:$C$38,2,1)-VLOOKUP((TRUNC($AN751/2,0)+0.99),'Tax scales - NAT 3539'!$A$14:$C$38,3,1)),0)
*2,
0),
IF(AND($E$2="Monthly",ROUND($AN751-TRUNC($AN751),2)=0.33),
ROUND(
ROUND(((TRUNC(($AN751+0.01)*3/13,0)+0.99)*VLOOKUP((TRUNC(($AN751+0.01)*3/13,0)+0.99),'Tax scales - NAT 3539'!$A$14:$C$38,2,1)-VLOOKUP((TRUNC(($AN751+0.01)*3/13,0)+0.99),'Tax scales - NAT 3539'!$A$14:$C$38,3,1)),0)
*13/3,
0),
IF($E$2="Monthly",
ROUND(
ROUND(((TRUNC($AN751*3/13,0)+0.99)*VLOOKUP((TRUNC($AN751*3/13,0)+0.99),'Tax scales - NAT 3539'!$A$14:$C$38,2,1)-VLOOKUP((TRUNC($AN751*3/13,0)+0.99),'Tax scales - NAT 3539'!$A$14:$C$38,3,1)),0)
*13/3,
0),
""))),
""),
"")</f>
        <v/>
      </c>
      <c r="AV751" s="118" t="str">
        <f>IFERROR(
IF(VLOOKUP($C751,'Employee information'!$B:$M,COLUMNS('Employee information'!$B:$M),0)=22,
IF($E$2="Fortnightly",
ROUND(
ROUND((((TRUNC($AN751/2,0)+0.99))*VLOOKUP((TRUNC($AN751/2,0)+0.99),'Tax scales - NAT 3539'!$A$43:$C$69,2,1)-VLOOKUP((TRUNC($AN751/2,0)+0.99),'Tax scales - NAT 3539'!$A$43:$C$69,3,1)),0)
*2,
0),
IF(AND($E$2="Monthly",ROUND($AN751-TRUNC($AN751),2)=0.33),
ROUND(
ROUND(((TRUNC(($AN751+0.01)*3/13,0)+0.99)*VLOOKUP((TRUNC(($AN751+0.01)*3/13,0)+0.99),'Tax scales - NAT 3539'!$A$43:$C$69,2,1)-VLOOKUP((TRUNC(($AN751+0.01)*3/13,0)+0.99),'Tax scales - NAT 3539'!$A$43:$C$69,3,1)),0)
*13/3,
0),
IF($E$2="Monthly",
ROUND(
ROUND(((TRUNC($AN751*3/13,0)+0.99)*VLOOKUP((TRUNC($AN751*3/13,0)+0.99),'Tax scales - NAT 3539'!$A$43:$C$69,2,1)-VLOOKUP((TRUNC($AN751*3/13,0)+0.99),'Tax scales - NAT 3539'!$A$43:$C$69,3,1)),0)
*13/3,
0),
""))),
""),
"")</f>
        <v/>
      </c>
      <c r="AW751" s="118" t="str">
        <f>IFERROR(
IF(VLOOKUP($C751,'Employee information'!$B:$M,COLUMNS('Employee information'!$B:$M),0)=33,
IF($E$2="Fortnightly",
ROUND(
ROUND((((TRUNC($AN751/2,0)+0.99))*VLOOKUP((TRUNC($AN751/2,0)+0.99),'Tax scales - NAT 3539'!$A$74:$C$94,2,1)-VLOOKUP((TRUNC($AN751/2,0)+0.99),'Tax scales - NAT 3539'!$A$74:$C$94,3,1)),0)
*2,
0),
IF(AND($E$2="Monthly",ROUND($AN751-TRUNC($AN751),2)=0.33),
ROUND(
ROUND(((TRUNC(($AN751+0.01)*3/13,0)+0.99)*VLOOKUP((TRUNC(($AN751+0.01)*3/13,0)+0.99),'Tax scales - NAT 3539'!$A$74:$C$94,2,1)-VLOOKUP((TRUNC(($AN751+0.01)*3/13,0)+0.99),'Tax scales - NAT 3539'!$A$74:$C$94,3,1)),0)
*13/3,
0),
IF($E$2="Monthly",
ROUND(
ROUND(((TRUNC($AN751*3/13,0)+0.99)*VLOOKUP((TRUNC($AN751*3/13,0)+0.99),'Tax scales - NAT 3539'!$A$74:$C$94,2,1)-VLOOKUP((TRUNC($AN751*3/13,0)+0.99),'Tax scales - NAT 3539'!$A$74:$C$94,3,1)),0)
*13/3,
0),
""))),
""),
"")</f>
        <v/>
      </c>
      <c r="AX751" s="118" t="str">
        <f>IFERROR(
IF(VLOOKUP($C751,'Employee information'!$B:$M,COLUMNS('Employee information'!$B:$M),0)=55,
IF($E$2="Fortnightly",
ROUND(
ROUND((((TRUNC($AN751/2,0)+0.99))*VLOOKUP((TRUNC($AN751/2,0)+0.99),'Tax scales - NAT 3539'!$A$99:$C$123,2,1)-VLOOKUP((TRUNC($AN751/2,0)+0.99),'Tax scales - NAT 3539'!$A$99:$C$123,3,1)),0)
*2,
0),
IF(AND($E$2="Monthly",ROUND($AN751-TRUNC($AN751),2)=0.33),
ROUND(
ROUND(((TRUNC(($AN751+0.01)*3/13,0)+0.99)*VLOOKUP((TRUNC(($AN751+0.01)*3/13,0)+0.99),'Tax scales - NAT 3539'!$A$99:$C$123,2,1)-VLOOKUP((TRUNC(($AN751+0.01)*3/13,0)+0.99),'Tax scales - NAT 3539'!$A$99:$C$123,3,1)),0)
*13/3,
0),
IF($E$2="Monthly",
ROUND(
ROUND(((TRUNC($AN751*3/13,0)+0.99)*VLOOKUP((TRUNC($AN751*3/13,0)+0.99),'Tax scales - NAT 3539'!$A$99:$C$123,2,1)-VLOOKUP((TRUNC($AN751*3/13,0)+0.99),'Tax scales - NAT 3539'!$A$99:$C$123,3,1)),0)
*13/3,
0),
""))),
""),
"")</f>
        <v/>
      </c>
      <c r="AY751" s="118" t="str">
        <f>IFERROR(
IF(VLOOKUP($C751,'Employee information'!$B:$M,COLUMNS('Employee information'!$B:$M),0)=66,
IF($E$2="Fortnightly",
ROUND(
ROUND((((TRUNC($AN751/2,0)+0.99))*VLOOKUP((TRUNC($AN751/2,0)+0.99),'Tax scales - NAT 3539'!$A$127:$C$154,2,1)-VLOOKUP((TRUNC($AN751/2,0)+0.99),'Tax scales - NAT 3539'!$A$127:$C$154,3,1)),0)
*2,
0),
IF(AND($E$2="Monthly",ROUND($AN751-TRUNC($AN751),2)=0.33),
ROUND(
ROUND(((TRUNC(($AN751+0.01)*3/13,0)+0.99)*VLOOKUP((TRUNC(($AN751+0.01)*3/13,0)+0.99),'Tax scales - NAT 3539'!$A$127:$C$154,2,1)-VLOOKUP((TRUNC(($AN751+0.01)*3/13,0)+0.99),'Tax scales - NAT 3539'!$A$127:$C$154,3,1)),0)
*13/3,
0),
IF($E$2="Monthly",
ROUND(
ROUND(((TRUNC($AN751*3/13,0)+0.99)*VLOOKUP((TRUNC($AN751*3/13,0)+0.99),'Tax scales - NAT 3539'!$A$127:$C$154,2,1)-VLOOKUP((TRUNC($AN751*3/13,0)+0.99),'Tax scales - NAT 3539'!$A$127:$C$154,3,1)),0)
*13/3,
0),
""))),
""),
"")</f>
        <v/>
      </c>
      <c r="AZ751" s="118">
        <f>IFERROR(
HLOOKUP(VLOOKUP($C751,'Employee information'!$B:$M,COLUMNS('Employee information'!$B:$M),0),'PAYG worksheet'!$AO$735:$AY$754,COUNTA($C$736:$C751)+1,0),
0)</f>
        <v>0</v>
      </c>
      <c r="BA751" s="118"/>
      <c r="BB751" s="118">
        <f t="shared" si="790"/>
        <v>0</v>
      </c>
      <c r="BC751" s="119">
        <f>IFERROR(
IF(OR($AE751=1,$AE751=""),SUM($P751,$AA751,$AC751,$AK751)*VLOOKUP($C751,'Employee information'!$B:$Q,COLUMNS('Employee information'!$B:$H),0),
IF($AE751=0,SUM($P751,$AA751,$AK751)*VLOOKUP($C751,'Employee information'!$B:$Q,COLUMNS('Employee information'!$B:$H),0),
0)),
0)</f>
        <v>0</v>
      </c>
      <c r="BE751" s="114">
        <f t="shared" si="775"/>
        <v>0</v>
      </c>
      <c r="BF751" s="114">
        <f t="shared" si="776"/>
        <v>0</v>
      </c>
      <c r="BG751" s="114">
        <f t="shared" si="777"/>
        <v>0</v>
      </c>
      <c r="BH751" s="114">
        <f t="shared" si="778"/>
        <v>0</v>
      </c>
      <c r="BI751" s="114">
        <f t="shared" si="779"/>
        <v>0</v>
      </c>
      <c r="BJ751" s="114">
        <f t="shared" si="780"/>
        <v>0</v>
      </c>
      <c r="BK751" s="114">
        <f t="shared" si="781"/>
        <v>0</v>
      </c>
      <c r="BL751" s="114">
        <f t="shared" si="791"/>
        <v>0</v>
      </c>
      <c r="BM751" s="114">
        <f t="shared" si="782"/>
        <v>0</v>
      </c>
    </row>
    <row r="752" spans="1:65" x14ac:dyDescent="0.25">
      <c r="A752" s="228">
        <f t="shared" si="770"/>
        <v>26</v>
      </c>
      <c r="C752" s="278"/>
      <c r="E752" s="103">
        <f>IF($C752="",0,
IF(AND($E$2="Monthly",$A752&gt;12),0,
IF($E$2="Monthly",VLOOKUP($C752,'Employee information'!$B:$AM,COLUMNS('Employee information'!$B:S),0),
IF($E$2="Fortnightly",VLOOKUP($C752,'Employee information'!$B:$AM,COLUMNS('Employee information'!$B:R),0),
0))))</f>
        <v>0</v>
      </c>
      <c r="F752" s="106"/>
      <c r="G752" s="106"/>
      <c r="H752" s="106"/>
      <c r="I752" s="106"/>
      <c r="J752" s="103">
        <f t="shared" si="783"/>
        <v>0</v>
      </c>
      <c r="L752" s="113">
        <f>IF(AND($E$2="Monthly",$A752&gt;12),"",
IFERROR($J752*VLOOKUP($C752,'Employee information'!$B:$AI,COLUMNS('Employee information'!$B:$P),0),0))</f>
        <v>0</v>
      </c>
      <c r="M752" s="114">
        <f t="shared" si="784"/>
        <v>0</v>
      </c>
      <c r="O752" s="103">
        <f t="shared" si="785"/>
        <v>0</v>
      </c>
      <c r="P752" s="113">
        <f>IFERROR(
IF(AND($E$2="Monthly",$A752&gt;12),0,
$O752*VLOOKUP($C752,'Employee information'!$B:$AI,COLUMNS('Employee information'!$B:$P),0)),
0)</f>
        <v>0</v>
      </c>
      <c r="R752" s="114">
        <f t="shared" si="771"/>
        <v>0</v>
      </c>
      <c r="T752" s="103"/>
      <c r="U752" s="103"/>
      <c r="V752" s="282" t="str">
        <f>IF($C752="","",
IF(AND($E$2="Monthly",$A752&gt;12),"",
$T752*VLOOKUP($C752,'Employee information'!$B:$P,COLUMNS('Employee information'!$B:$P),0)))</f>
        <v/>
      </c>
      <c r="W752" s="282" t="str">
        <f>IF($C752="","",
IF(AND($E$2="Monthly",$A752&gt;12),"",
$U752*VLOOKUP($C752,'Employee information'!$B:$P,COLUMNS('Employee information'!$B:$P),0)))</f>
        <v/>
      </c>
      <c r="X752" s="114">
        <f t="shared" si="772"/>
        <v>0</v>
      </c>
      <c r="Y752" s="114">
        <f t="shared" si="773"/>
        <v>0</v>
      </c>
      <c r="AA752" s="118">
        <f>IFERROR(
IF(OR('Basic payroll data'!$D$12="",'Basic payroll data'!$D$12="No"),0,
$T752*VLOOKUP($C752,'Employee information'!$B:$P,COLUMNS('Employee information'!$B:$P),0)*AL_loading_perc),
0)</f>
        <v>0</v>
      </c>
      <c r="AC752" s="118"/>
      <c r="AD752" s="118"/>
      <c r="AE752" s="283" t="str">
        <f t="shared" si="786"/>
        <v/>
      </c>
      <c r="AF752" s="283" t="str">
        <f t="shared" si="787"/>
        <v/>
      </c>
      <c r="AG752" s="118"/>
      <c r="AH752" s="118"/>
      <c r="AI752" s="283" t="str">
        <f t="shared" si="788"/>
        <v/>
      </c>
      <c r="AJ752" s="118"/>
      <c r="AK752" s="118"/>
      <c r="AM752" s="118">
        <f t="shared" si="789"/>
        <v>0</v>
      </c>
      <c r="AN752" s="118">
        <f t="shared" si="774"/>
        <v>0</v>
      </c>
      <c r="AO752" s="118" t="str">
        <f>IFERROR(
IF(VLOOKUP($C752,'Employee information'!$B:$M,COLUMNS('Employee information'!$B:$M),0)=1,
IF($E$2="Fortnightly",
ROUND(
ROUND((((TRUNC($AN752/2,0)+0.99))*VLOOKUP((TRUNC($AN752/2,0)+0.99),'Tax scales - NAT 1004'!$A$12:$C$18,2,1)-VLOOKUP((TRUNC($AN752/2,0)+0.99),'Tax scales - NAT 1004'!$A$12:$C$18,3,1)),0)
*2,
0),
IF(AND($E$2="Monthly",ROUND($AN752-TRUNC($AN752),2)=0.33),
ROUND(
ROUND(((TRUNC(($AN752+0.01)*3/13,0)+0.99)*VLOOKUP((TRUNC(($AN752+0.01)*3/13,0)+0.99),'Tax scales - NAT 1004'!$A$12:$C$18,2,1)-VLOOKUP((TRUNC(($AN752+0.01)*3/13,0)+0.99),'Tax scales - NAT 1004'!$A$12:$C$18,3,1)),0)
*13/3,
0),
IF($E$2="Monthly",
ROUND(
ROUND(((TRUNC($AN752*3/13,0)+0.99)*VLOOKUP((TRUNC($AN752*3/13,0)+0.99),'Tax scales - NAT 1004'!$A$12:$C$18,2,1)-VLOOKUP((TRUNC($AN752*3/13,0)+0.99),'Tax scales - NAT 1004'!$A$12:$C$18,3,1)),0)
*13/3,
0),
""))),
""),
"")</f>
        <v/>
      </c>
      <c r="AP752" s="118" t="str">
        <f>IFERROR(
IF(VLOOKUP($C752,'Employee information'!$B:$M,COLUMNS('Employee information'!$B:$M),0)=2,
IF($E$2="Fortnightly",
ROUND(
ROUND((((TRUNC($AN752/2,0)+0.99))*VLOOKUP((TRUNC($AN752/2,0)+0.99),'Tax scales - NAT 1004'!$A$25:$C$33,2,1)-VLOOKUP((TRUNC($AN752/2,0)+0.99),'Tax scales - NAT 1004'!$A$25:$C$33,3,1)),0)
*2,
0),
IF(AND($E$2="Monthly",ROUND($AN752-TRUNC($AN752),2)=0.33),
ROUND(
ROUND(((TRUNC(($AN752+0.01)*3/13,0)+0.99)*VLOOKUP((TRUNC(($AN752+0.01)*3/13,0)+0.99),'Tax scales - NAT 1004'!$A$25:$C$33,2,1)-VLOOKUP((TRUNC(($AN752+0.01)*3/13,0)+0.99),'Tax scales - NAT 1004'!$A$25:$C$33,3,1)),0)
*13/3,
0),
IF($E$2="Monthly",
ROUND(
ROUND(((TRUNC($AN752*3/13,0)+0.99)*VLOOKUP((TRUNC($AN752*3/13,0)+0.99),'Tax scales - NAT 1004'!$A$25:$C$33,2,1)-VLOOKUP((TRUNC($AN752*3/13,0)+0.99),'Tax scales - NAT 1004'!$A$25:$C$33,3,1)),0)
*13/3,
0),
""))),
""),
"")</f>
        <v/>
      </c>
      <c r="AQ752" s="118" t="str">
        <f>IFERROR(
IF(VLOOKUP($C752,'Employee information'!$B:$M,COLUMNS('Employee information'!$B:$M),0)=3,
IF($E$2="Fortnightly",
ROUND(
ROUND((((TRUNC($AN752/2,0)+0.99))*VLOOKUP((TRUNC($AN752/2,0)+0.99),'Tax scales - NAT 1004'!$A$39:$C$41,2,1)-VLOOKUP((TRUNC($AN752/2,0)+0.99),'Tax scales - NAT 1004'!$A$39:$C$41,3,1)),0)
*2,
0),
IF(AND($E$2="Monthly",ROUND($AN752-TRUNC($AN752),2)=0.33),
ROUND(
ROUND(((TRUNC(($AN752+0.01)*3/13,0)+0.99)*VLOOKUP((TRUNC(($AN752+0.01)*3/13,0)+0.99),'Tax scales - NAT 1004'!$A$39:$C$41,2,1)-VLOOKUP((TRUNC(($AN752+0.01)*3/13,0)+0.99),'Tax scales - NAT 1004'!$A$39:$C$41,3,1)),0)
*13/3,
0),
IF($E$2="Monthly",
ROUND(
ROUND(((TRUNC($AN752*3/13,0)+0.99)*VLOOKUP((TRUNC($AN752*3/13,0)+0.99),'Tax scales - NAT 1004'!$A$39:$C$41,2,1)-VLOOKUP((TRUNC($AN752*3/13,0)+0.99),'Tax scales - NAT 1004'!$A$39:$C$41,3,1)),0)
*13/3,
0),
""))),
""),
"")</f>
        <v/>
      </c>
      <c r="AR752" s="118" t="str">
        <f>IFERROR(
IF(AND(VLOOKUP($C752,'Employee information'!$B:$M,COLUMNS('Employee information'!$B:$M),0)=4,
VLOOKUP($C752,'Employee information'!$B:$J,COLUMNS('Employee information'!$B:$J),0)="Resident"),
TRUNC(TRUNC($AN752)*'Tax scales - NAT 1004'!$B$47),
IF(AND(VLOOKUP($C752,'Employee information'!$B:$M,COLUMNS('Employee information'!$B:$M),0)=4,
VLOOKUP($C752,'Employee information'!$B:$J,COLUMNS('Employee information'!$B:$J),0)="Foreign resident"),
TRUNC(TRUNC($AN752)*'Tax scales - NAT 1004'!$B$48),
"")),
"")</f>
        <v/>
      </c>
      <c r="AS752" s="118" t="str">
        <f>IFERROR(
IF(VLOOKUP($C752,'Employee information'!$B:$M,COLUMNS('Employee information'!$B:$M),0)=5,
IF($E$2="Fortnightly",
ROUND(
ROUND((((TRUNC($AN752/2,0)+0.99))*VLOOKUP((TRUNC($AN752/2,0)+0.99),'Tax scales - NAT 1004'!$A$53:$C$59,2,1)-VLOOKUP((TRUNC($AN752/2,0)+0.99),'Tax scales - NAT 1004'!$A$53:$C$59,3,1)),0)
*2,
0),
IF(AND($E$2="Monthly",ROUND($AN752-TRUNC($AN752),2)=0.33),
ROUND(
ROUND(((TRUNC(($AN752+0.01)*3/13,0)+0.99)*VLOOKUP((TRUNC(($AN752+0.01)*3/13,0)+0.99),'Tax scales - NAT 1004'!$A$53:$C$59,2,1)-VLOOKUP((TRUNC(($AN752+0.01)*3/13,0)+0.99),'Tax scales - NAT 1004'!$A$53:$C$59,3,1)),0)
*13/3,
0),
IF($E$2="Monthly",
ROUND(
ROUND(((TRUNC($AN752*3/13,0)+0.99)*VLOOKUP((TRUNC($AN752*3/13,0)+0.99),'Tax scales - NAT 1004'!$A$53:$C$59,2,1)-VLOOKUP((TRUNC($AN752*3/13,0)+0.99),'Tax scales - NAT 1004'!$A$53:$C$59,3,1)),0)
*13/3,
0),
""))),
""),
"")</f>
        <v/>
      </c>
      <c r="AT752" s="118" t="str">
        <f>IFERROR(
IF(VLOOKUP($C752,'Employee information'!$B:$M,COLUMNS('Employee information'!$B:$M),0)=6,
IF($E$2="Fortnightly",
ROUND(
ROUND((((TRUNC($AN752/2,0)+0.99))*VLOOKUP((TRUNC($AN752/2,0)+0.99),'Tax scales - NAT 1004'!$A$65:$C$73,2,1)-VLOOKUP((TRUNC($AN752/2,0)+0.99),'Tax scales - NAT 1004'!$A$65:$C$73,3,1)),0)
*2,
0),
IF(AND($E$2="Monthly",ROUND($AN752-TRUNC($AN752),2)=0.33),
ROUND(
ROUND(((TRUNC(($AN752+0.01)*3/13,0)+0.99)*VLOOKUP((TRUNC(($AN752+0.01)*3/13,0)+0.99),'Tax scales - NAT 1004'!$A$65:$C$73,2,1)-VLOOKUP((TRUNC(($AN752+0.01)*3/13,0)+0.99),'Tax scales - NAT 1004'!$A$65:$C$73,3,1)),0)
*13/3,
0),
IF($E$2="Monthly",
ROUND(
ROUND(((TRUNC($AN752*3/13,0)+0.99)*VLOOKUP((TRUNC($AN752*3/13,0)+0.99),'Tax scales - NAT 1004'!$A$65:$C$73,2,1)-VLOOKUP((TRUNC($AN752*3/13,0)+0.99),'Tax scales - NAT 1004'!$A$65:$C$73,3,1)),0)
*13/3,
0),
""))),
""),
"")</f>
        <v/>
      </c>
      <c r="AU752" s="118" t="str">
        <f>IFERROR(
IF(VLOOKUP($C752,'Employee information'!$B:$M,COLUMNS('Employee information'!$B:$M),0)=11,
IF($E$2="Fortnightly",
ROUND(
ROUND((((TRUNC($AN752/2,0)+0.99))*VLOOKUP((TRUNC($AN752/2,0)+0.99),'Tax scales - NAT 3539'!$A$14:$C$38,2,1)-VLOOKUP((TRUNC($AN752/2,0)+0.99),'Tax scales - NAT 3539'!$A$14:$C$38,3,1)),0)
*2,
0),
IF(AND($E$2="Monthly",ROUND($AN752-TRUNC($AN752),2)=0.33),
ROUND(
ROUND(((TRUNC(($AN752+0.01)*3/13,0)+0.99)*VLOOKUP((TRUNC(($AN752+0.01)*3/13,0)+0.99),'Tax scales - NAT 3539'!$A$14:$C$38,2,1)-VLOOKUP((TRUNC(($AN752+0.01)*3/13,0)+0.99),'Tax scales - NAT 3539'!$A$14:$C$38,3,1)),0)
*13/3,
0),
IF($E$2="Monthly",
ROUND(
ROUND(((TRUNC($AN752*3/13,0)+0.99)*VLOOKUP((TRUNC($AN752*3/13,0)+0.99),'Tax scales - NAT 3539'!$A$14:$C$38,2,1)-VLOOKUP((TRUNC($AN752*3/13,0)+0.99),'Tax scales - NAT 3539'!$A$14:$C$38,3,1)),0)
*13/3,
0),
""))),
""),
"")</f>
        <v/>
      </c>
      <c r="AV752" s="118" t="str">
        <f>IFERROR(
IF(VLOOKUP($C752,'Employee information'!$B:$M,COLUMNS('Employee information'!$B:$M),0)=22,
IF($E$2="Fortnightly",
ROUND(
ROUND((((TRUNC($AN752/2,0)+0.99))*VLOOKUP((TRUNC($AN752/2,0)+0.99),'Tax scales - NAT 3539'!$A$43:$C$69,2,1)-VLOOKUP((TRUNC($AN752/2,0)+0.99),'Tax scales - NAT 3539'!$A$43:$C$69,3,1)),0)
*2,
0),
IF(AND($E$2="Monthly",ROUND($AN752-TRUNC($AN752),2)=0.33),
ROUND(
ROUND(((TRUNC(($AN752+0.01)*3/13,0)+0.99)*VLOOKUP((TRUNC(($AN752+0.01)*3/13,0)+0.99),'Tax scales - NAT 3539'!$A$43:$C$69,2,1)-VLOOKUP((TRUNC(($AN752+0.01)*3/13,0)+0.99),'Tax scales - NAT 3539'!$A$43:$C$69,3,1)),0)
*13/3,
0),
IF($E$2="Monthly",
ROUND(
ROUND(((TRUNC($AN752*3/13,0)+0.99)*VLOOKUP((TRUNC($AN752*3/13,0)+0.99),'Tax scales - NAT 3539'!$A$43:$C$69,2,1)-VLOOKUP((TRUNC($AN752*3/13,0)+0.99),'Tax scales - NAT 3539'!$A$43:$C$69,3,1)),0)
*13/3,
0),
""))),
""),
"")</f>
        <v/>
      </c>
      <c r="AW752" s="118" t="str">
        <f>IFERROR(
IF(VLOOKUP($C752,'Employee information'!$B:$M,COLUMNS('Employee information'!$B:$M),0)=33,
IF($E$2="Fortnightly",
ROUND(
ROUND((((TRUNC($AN752/2,0)+0.99))*VLOOKUP((TRUNC($AN752/2,0)+0.99),'Tax scales - NAT 3539'!$A$74:$C$94,2,1)-VLOOKUP((TRUNC($AN752/2,0)+0.99),'Tax scales - NAT 3539'!$A$74:$C$94,3,1)),0)
*2,
0),
IF(AND($E$2="Monthly",ROUND($AN752-TRUNC($AN752),2)=0.33),
ROUND(
ROUND(((TRUNC(($AN752+0.01)*3/13,0)+0.99)*VLOOKUP((TRUNC(($AN752+0.01)*3/13,0)+0.99),'Tax scales - NAT 3539'!$A$74:$C$94,2,1)-VLOOKUP((TRUNC(($AN752+0.01)*3/13,0)+0.99),'Tax scales - NAT 3539'!$A$74:$C$94,3,1)),0)
*13/3,
0),
IF($E$2="Monthly",
ROUND(
ROUND(((TRUNC($AN752*3/13,0)+0.99)*VLOOKUP((TRUNC($AN752*3/13,0)+0.99),'Tax scales - NAT 3539'!$A$74:$C$94,2,1)-VLOOKUP((TRUNC($AN752*3/13,0)+0.99),'Tax scales - NAT 3539'!$A$74:$C$94,3,1)),0)
*13/3,
0),
""))),
""),
"")</f>
        <v/>
      </c>
      <c r="AX752" s="118" t="str">
        <f>IFERROR(
IF(VLOOKUP($C752,'Employee information'!$B:$M,COLUMNS('Employee information'!$B:$M),0)=55,
IF($E$2="Fortnightly",
ROUND(
ROUND((((TRUNC($AN752/2,0)+0.99))*VLOOKUP((TRUNC($AN752/2,0)+0.99),'Tax scales - NAT 3539'!$A$99:$C$123,2,1)-VLOOKUP((TRUNC($AN752/2,0)+0.99),'Tax scales - NAT 3539'!$A$99:$C$123,3,1)),0)
*2,
0),
IF(AND($E$2="Monthly",ROUND($AN752-TRUNC($AN752),2)=0.33),
ROUND(
ROUND(((TRUNC(($AN752+0.01)*3/13,0)+0.99)*VLOOKUP((TRUNC(($AN752+0.01)*3/13,0)+0.99),'Tax scales - NAT 3539'!$A$99:$C$123,2,1)-VLOOKUP((TRUNC(($AN752+0.01)*3/13,0)+0.99),'Tax scales - NAT 3539'!$A$99:$C$123,3,1)),0)
*13/3,
0),
IF($E$2="Monthly",
ROUND(
ROUND(((TRUNC($AN752*3/13,0)+0.99)*VLOOKUP((TRUNC($AN752*3/13,0)+0.99),'Tax scales - NAT 3539'!$A$99:$C$123,2,1)-VLOOKUP((TRUNC($AN752*3/13,0)+0.99),'Tax scales - NAT 3539'!$A$99:$C$123,3,1)),0)
*13/3,
0),
""))),
""),
"")</f>
        <v/>
      </c>
      <c r="AY752" s="118" t="str">
        <f>IFERROR(
IF(VLOOKUP($C752,'Employee information'!$B:$M,COLUMNS('Employee information'!$B:$M),0)=66,
IF($E$2="Fortnightly",
ROUND(
ROUND((((TRUNC($AN752/2,0)+0.99))*VLOOKUP((TRUNC($AN752/2,0)+0.99),'Tax scales - NAT 3539'!$A$127:$C$154,2,1)-VLOOKUP((TRUNC($AN752/2,0)+0.99),'Tax scales - NAT 3539'!$A$127:$C$154,3,1)),0)
*2,
0),
IF(AND($E$2="Monthly",ROUND($AN752-TRUNC($AN752),2)=0.33),
ROUND(
ROUND(((TRUNC(($AN752+0.01)*3/13,0)+0.99)*VLOOKUP((TRUNC(($AN752+0.01)*3/13,0)+0.99),'Tax scales - NAT 3539'!$A$127:$C$154,2,1)-VLOOKUP((TRUNC(($AN752+0.01)*3/13,0)+0.99),'Tax scales - NAT 3539'!$A$127:$C$154,3,1)),0)
*13/3,
0),
IF($E$2="Monthly",
ROUND(
ROUND(((TRUNC($AN752*3/13,0)+0.99)*VLOOKUP((TRUNC($AN752*3/13,0)+0.99),'Tax scales - NAT 3539'!$A$127:$C$154,2,1)-VLOOKUP((TRUNC($AN752*3/13,0)+0.99),'Tax scales - NAT 3539'!$A$127:$C$154,3,1)),0)
*13/3,
0),
""))),
""),
"")</f>
        <v/>
      </c>
      <c r="AZ752" s="118">
        <f>IFERROR(
HLOOKUP(VLOOKUP($C752,'Employee information'!$B:$M,COLUMNS('Employee information'!$B:$M),0),'PAYG worksheet'!$AO$735:$AY$754,COUNTA($C$736:$C752)+1,0),
0)</f>
        <v>0</v>
      </c>
      <c r="BA752" s="118"/>
      <c r="BB752" s="118">
        <f t="shared" si="790"/>
        <v>0</v>
      </c>
      <c r="BC752" s="119">
        <f>IFERROR(
IF(OR($AE752=1,$AE752=""),SUM($P752,$AA752,$AC752,$AK752)*VLOOKUP($C752,'Employee information'!$B:$Q,COLUMNS('Employee information'!$B:$H),0),
IF($AE752=0,SUM($P752,$AA752,$AK752)*VLOOKUP($C752,'Employee information'!$B:$Q,COLUMNS('Employee information'!$B:$H),0),
0)),
0)</f>
        <v>0</v>
      </c>
      <c r="BE752" s="114">
        <f t="shared" si="775"/>
        <v>0</v>
      </c>
      <c r="BF752" s="114">
        <f t="shared" si="776"/>
        <v>0</v>
      </c>
      <c r="BG752" s="114">
        <f t="shared" si="777"/>
        <v>0</v>
      </c>
      <c r="BH752" s="114">
        <f t="shared" si="778"/>
        <v>0</v>
      </c>
      <c r="BI752" s="114">
        <f t="shared" si="779"/>
        <v>0</v>
      </c>
      <c r="BJ752" s="114">
        <f t="shared" si="780"/>
        <v>0</v>
      </c>
      <c r="BK752" s="114">
        <f t="shared" si="781"/>
        <v>0</v>
      </c>
      <c r="BL752" s="114">
        <f t="shared" si="791"/>
        <v>0</v>
      </c>
      <c r="BM752" s="114">
        <f t="shared" si="782"/>
        <v>0</v>
      </c>
    </row>
    <row r="753" spans="1:65" x14ac:dyDescent="0.25">
      <c r="A753" s="228">
        <f t="shared" si="770"/>
        <v>26</v>
      </c>
      <c r="C753" s="278"/>
      <c r="E753" s="103">
        <f>IF($C753="",0,
IF(AND($E$2="Monthly",$A753&gt;12),0,
IF($E$2="Monthly",VLOOKUP($C753,'Employee information'!$B:$AM,COLUMNS('Employee information'!$B:S),0),
IF($E$2="Fortnightly",VLOOKUP($C753,'Employee information'!$B:$AM,COLUMNS('Employee information'!$B:R),0),
0))))</f>
        <v>0</v>
      </c>
      <c r="F753" s="106"/>
      <c r="G753" s="106"/>
      <c r="H753" s="106"/>
      <c r="I753" s="106"/>
      <c r="J753" s="103">
        <f t="shared" si="783"/>
        <v>0</v>
      </c>
      <c r="L753" s="113">
        <f>IF(AND($E$2="Monthly",$A753&gt;12),"",
IFERROR($J753*VLOOKUP($C753,'Employee information'!$B:$AI,COLUMNS('Employee information'!$B:$P),0),0))</f>
        <v>0</v>
      </c>
      <c r="M753" s="114">
        <f t="shared" si="784"/>
        <v>0</v>
      </c>
      <c r="O753" s="103">
        <f t="shared" si="785"/>
        <v>0</v>
      </c>
      <c r="P753" s="113">
        <f>IFERROR(
IF(AND($E$2="Monthly",$A753&gt;12),0,
$O753*VLOOKUP($C753,'Employee information'!$B:$AI,COLUMNS('Employee information'!$B:$P),0)),
0)</f>
        <v>0</v>
      </c>
      <c r="R753" s="114">
        <f t="shared" si="771"/>
        <v>0</v>
      </c>
      <c r="T753" s="103"/>
      <c r="U753" s="103"/>
      <c r="V753" s="282" t="str">
        <f>IF($C753="","",
IF(AND($E$2="Monthly",$A753&gt;12),"",
$T753*VLOOKUP($C753,'Employee information'!$B:$P,COLUMNS('Employee information'!$B:$P),0)))</f>
        <v/>
      </c>
      <c r="W753" s="282" t="str">
        <f>IF($C753="","",
IF(AND($E$2="Monthly",$A753&gt;12),"",
$U753*VLOOKUP($C753,'Employee information'!$B:$P,COLUMNS('Employee information'!$B:$P),0)))</f>
        <v/>
      </c>
      <c r="X753" s="114">
        <f t="shared" si="772"/>
        <v>0</v>
      </c>
      <c r="Y753" s="114">
        <f t="shared" si="773"/>
        <v>0</v>
      </c>
      <c r="AA753" s="118">
        <f>IFERROR(
IF(OR('Basic payroll data'!$D$12="",'Basic payroll data'!$D$12="No"),0,
$T753*VLOOKUP($C753,'Employee information'!$B:$P,COLUMNS('Employee information'!$B:$P),0)*AL_loading_perc),
0)</f>
        <v>0</v>
      </c>
      <c r="AC753" s="118"/>
      <c r="AD753" s="118"/>
      <c r="AE753" s="283" t="str">
        <f t="shared" si="786"/>
        <v/>
      </c>
      <c r="AF753" s="283" t="str">
        <f t="shared" si="787"/>
        <v/>
      </c>
      <c r="AG753" s="118"/>
      <c r="AH753" s="118"/>
      <c r="AI753" s="283" t="str">
        <f t="shared" si="788"/>
        <v/>
      </c>
      <c r="AJ753" s="118"/>
      <c r="AK753" s="118"/>
      <c r="AM753" s="118">
        <f t="shared" si="789"/>
        <v>0</v>
      </c>
      <c r="AN753" s="118">
        <f t="shared" si="774"/>
        <v>0</v>
      </c>
      <c r="AO753" s="118" t="str">
        <f>IFERROR(
IF(VLOOKUP($C753,'Employee information'!$B:$M,COLUMNS('Employee information'!$B:$M),0)=1,
IF($E$2="Fortnightly",
ROUND(
ROUND((((TRUNC($AN753/2,0)+0.99))*VLOOKUP((TRUNC($AN753/2,0)+0.99),'Tax scales - NAT 1004'!$A$12:$C$18,2,1)-VLOOKUP((TRUNC($AN753/2,0)+0.99),'Tax scales - NAT 1004'!$A$12:$C$18,3,1)),0)
*2,
0),
IF(AND($E$2="Monthly",ROUND($AN753-TRUNC($AN753),2)=0.33),
ROUND(
ROUND(((TRUNC(($AN753+0.01)*3/13,0)+0.99)*VLOOKUP((TRUNC(($AN753+0.01)*3/13,0)+0.99),'Tax scales - NAT 1004'!$A$12:$C$18,2,1)-VLOOKUP((TRUNC(($AN753+0.01)*3/13,0)+0.99),'Tax scales - NAT 1004'!$A$12:$C$18,3,1)),0)
*13/3,
0),
IF($E$2="Monthly",
ROUND(
ROUND(((TRUNC($AN753*3/13,0)+0.99)*VLOOKUP((TRUNC($AN753*3/13,0)+0.99),'Tax scales - NAT 1004'!$A$12:$C$18,2,1)-VLOOKUP((TRUNC($AN753*3/13,0)+0.99),'Tax scales - NAT 1004'!$A$12:$C$18,3,1)),0)
*13/3,
0),
""))),
""),
"")</f>
        <v/>
      </c>
      <c r="AP753" s="118" t="str">
        <f>IFERROR(
IF(VLOOKUP($C753,'Employee information'!$B:$M,COLUMNS('Employee information'!$B:$M),0)=2,
IF($E$2="Fortnightly",
ROUND(
ROUND((((TRUNC($AN753/2,0)+0.99))*VLOOKUP((TRUNC($AN753/2,0)+0.99),'Tax scales - NAT 1004'!$A$25:$C$33,2,1)-VLOOKUP((TRUNC($AN753/2,0)+0.99),'Tax scales - NAT 1004'!$A$25:$C$33,3,1)),0)
*2,
0),
IF(AND($E$2="Monthly",ROUND($AN753-TRUNC($AN753),2)=0.33),
ROUND(
ROUND(((TRUNC(($AN753+0.01)*3/13,0)+0.99)*VLOOKUP((TRUNC(($AN753+0.01)*3/13,0)+0.99),'Tax scales - NAT 1004'!$A$25:$C$33,2,1)-VLOOKUP((TRUNC(($AN753+0.01)*3/13,0)+0.99),'Tax scales - NAT 1004'!$A$25:$C$33,3,1)),0)
*13/3,
0),
IF($E$2="Monthly",
ROUND(
ROUND(((TRUNC($AN753*3/13,0)+0.99)*VLOOKUP((TRUNC($AN753*3/13,0)+0.99),'Tax scales - NAT 1004'!$A$25:$C$33,2,1)-VLOOKUP((TRUNC($AN753*3/13,0)+0.99),'Tax scales - NAT 1004'!$A$25:$C$33,3,1)),0)
*13/3,
0),
""))),
""),
"")</f>
        <v/>
      </c>
      <c r="AQ753" s="118" t="str">
        <f>IFERROR(
IF(VLOOKUP($C753,'Employee information'!$B:$M,COLUMNS('Employee information'!$B:$M),0)=3,
IF($E$2="Fortnightly",
ROUND(
ROUND((((TRUNC($AN753/2,0)+0.99))*VLOOKUP((TRUNC($AN753/2,0)+0.99),'Tax scales - NAT 1004'!$A$39:$C$41,2,1)-VLOOKUP((TRUNC($AN753/2,0)+0.99),'Tax scales - NAT 1004'!$A$39:$C$41,3,1)),0)
*2,
0),
IF(AND($E$2="Monthly",ROUND($AN753-TRUNC($AN753),2)=0.33),
ROUND(
ROUND(((TRUNC(($AN753+0.01)*3/13,0)+0.99)*VLOOKUP((TRUNC(($AN753+0.01)*3/13,0)+0.99),'Tax scales - NAT 1004'!$A$39:$C$41,2,1)-VLOOKUP((TRUNC(($AN753+0.01)*3/13,0)+0.99),'Tax scales - NAT 1004'!$A$39:$C$41,3,1)),0)
*13/3,
0),
IF($E$2="Monthly",
ROUND(
ROUND(((TRUNC($AN753*3/13,0)+0.99)*VLOOKUP((TRUNC($AN753*3/13,0)+0.99),'Tax scales - NAT 1004'!$A$39:$C$41,2,1)-VLOOKUP((TRUNC($AN753*3/13,0)+0.99),'Tax scales - NAT 1004'!$A$39:$C$41,3,1)),0)
*13/3,
0),
""))),
""),
"")</f>
        <v/>
      </c>
      <c r="AR753" s="118" t="str">
        <f>IFERROR(
IF(AND(VLOOKUP($C753,'Employee information'!$B:$M,COLUMNS('Employee information'!$B:$M),0)=4,
VLOOKUP($C753,'Employee information'!$B:$J,COLUMNS('Employee information'!$B:$J),0)="Resident"),
TRUNC(TRUNC($AN753)*'Tax scales - NAT 1004'!$B$47),
IF(AND(VLOOKUP($C753,'Employee information'!$B:$M,COLUMNS('Employee information'!$B:$M),0)=4,
VLOOKUP($C753,'Employee information'!$B:$J,COLUMNS('Employee information'!$B:$J),0)="Foreign resident"),
TRUNC(TRUNC($AN753)*'Tax scales - NAT 1004'!$B$48),
"")),
"")</f>
        <v/>
      </c>
      <c r="AS753" s="118" t="str">
        <f>IFERROR(
IF(VLOOKUP($C753,'Employee information'!$B:$M,COLUMNS('Employee information'!$B:$M),0)=5,
IF($E$2="Fortnightly",
ROUND(
ROUND((((TRUNC($AN753/2,0)+0.99))*VLOOKUP((TRUNC($AN753/2,0)+0.99),'Tax scales - NAT 1004'!$A$53:$C$59,2,1)-VLOOKUP((TRUNC($AN753/2,0)+0.99),'Tax scales - NAT 1004'!$A$53:$C$59,3,1)),0)
*2,
0),
IF(AND($E$2="Monthly",ROUND($AN753-TRUNC($AN753),2)=0.33),
ROUND(
ROUND(((TRUNC(($AN753+0.01)*3/13,0)+0.99)*VLOOKUP((TRUNC(($AN753+0.01)*3/13,0)+0.99),'Tax scales - NAT 1004'!$A$53:$C$59,2,1)-VLOOKUP((TRUNC(($AN753+0.01)*3/13,0)+0.99),'Tax scales - NAT 1004'!$A$53:$C$59,3,1)),0)
*13/3,
0),
IF($E$2="Monthly",
ROUND(
ROUND(((TRUNC($AN753*3/13,0)+0.99)*VLOOKUP((TRUNC($AN753*3/13,0)+0.99),'Tax scales - NAT 1004'!$A$53:$C$59,2,1)-VLOOKUP((TRUNC($AN753*3/13,0)+0.99),'Tax scales - NAT 1004'!$A$53:$C$59,3,1)),0)
*13/3,
0),
""))),
""),
"")</f>
        <v/>
      </c>
      <c r="AT753" s="118" t="str">
        <f>IFERROR(
IF(VLOOKUP($C753,'Employee information'!$B:$M,COLUMNS('Employee information'!$B:$M),0)=6,
IF($E$2="Fortnightly",
ROUND(
ROUND((((TRUNC($AN753/2,0)+0.99))*VLOOKUP((TRUNC($AN753/2,0)+0.99),'Tax scales - NAT 1004'!$A$65:$C$73,2,1)-VLOOKUP((TRUNC($AN753/2,0)+0.99),'Tax scales - NAT 1004'!$A$65:$C$73,3,1)),0)
*2,
0),
IF(AND($E$2="Monthly",ROUND($AN753-TRUNC($AN753),2)=0.33),
ROUND(
ROUND(((TRUNC(($AN753+0.01)*3/13,0)+0.99)*VLOOKUP((TRUNC(($AN753+0.01)*3/13,0)+0.99),'Tax scales - NAT 1004'!$A$65:$C$73,2,1)-VLOOKUP((TRUNC(($AN753+0.01)*3/13,0)+0.99),'Tax scales - NAT 1004'!$A$65:$C$73,3,1)),0)
*13/3,
0),
IF($E$2="Monthly",
ROUND(
ROUND(((TRUNC($AN753*3/13,0)+0.99)*VLOOKUP((TRUNC($AN753*3/13,0)+0.99),'Tax scales - NAT 1004'!$A$65:$C$73,2,1)-VLOOKUP((TRUNC($AN753*3/13,0)+0.99),'Tax scales - NAT 1004'!$A$65:$C$73,3,1)),0)
*13/3,
0),
""))),
""),
"")</f>
        <v/>
      </c>
      <c r="AU753" s="118" t="str">
        <f>IFERROR(
IF(VLOOKUP($C753,'Employee information'!$B:$M,COLUMNS('Employee information'!$B:$M),0)=11,
IF($E$2="Fortnightly",
ROUND(
ROUND((((TRUNC($AN753/2,0)+0.99))*VLOOKUP((TRUNC($AN753/2,0)+0.99),'Tax scales - NAT 3539'!$A$14:$C$38,2,1)-VLOOKUP((TRUNC($AN753/2,0)+0.99),'Tax scales - NAT 3539'!$A$14:$C$38,3,1)),0)
*2,
0),
IF(AND($E$2="Monthly",ROUND($AN753-TRUNC($AN753),2)=0.33),
ROUND(
ROUND(((TRUNC(($AN753+0.01)*3/13,0)+0.99)*VLOOKUP((TRUNC(($AN753+0.01)*3/13,0)+0.99),'Tax scales - NAT 3539'!$A$14:$C$38,2,1)-VLOOKUP((TRUNC(($AN753+0.01)*3/13,0)+0.99),'Tax scales - NAT 3539'!$A$14:$C$38,3,1)),0)
*13/3,
0),
IF($E$2="Monthly",
ROUND(
ROUND(((TRUNC($AN753*3/13,0)+0.99)*VLOOKUP((TRUNC($AN753*3/13,0)+0.99),'Tax scales - NAT 3539'!$A$14:$C$38,2,1)-VLOOKUP((TRUNC($AN753*3/13,0)+0.99),'Tax scales - NAT 3539'!$A$14:$C$38,3,1)),0)
*13/3,
0),
""))),
""),
"")</f>
        <v/>
      </c>
      <c r="AV753" s="118" t="str">
        <f>IFERROR(
IF(VLOOKUP($C753,'Employee information'!$B:$M,COLUMNS('Employee information'!$B:$M),0)=22,
IF($E$2="Fortnightly",
ROUND(
ROUND((((TRUNC($AN753/2,0)+0.99))*VLOOKUP((TRUNC($AN753/2,0)+0.99),'Tax scales - NAT 3539'!$A$43:$C$69,2,1)-VLOOKUP((TRUNC($AN753/2,0)+0.99),'Tax scales - NAT 3539'!$A$43:$C$69,3,1)),0)
*2,
0),
IF(AND($E$2="Monthly",ROUND($AN753-TRUNC($AN753),2)=0.33),
ROUND(
ROUND(((TRUNC(($AN753+0.01)*3/13,0)+0.99)*VLOOKUP((TRUNC(($AN753+0.01)*3/13,0)+0.99),'Tax scales - NAT 3539'!$A$43:$C$69,2,1)-VLOOKUP((TRUNC(($AN753+0.01)*3/13,0)+0.99),'Tax scales - NAT 3539'!$A$43:$C$69,3,1)),0)
*13/3,
0),
IF($E$2="Monthly",
ROUND(
ROUND(((TRUNC($AN753*3/13,0)+0.99)*VLOOKUP((TRUNC($AN753*3/13,0)+0.99),'Tax scales - NAT 3539'!$A$43:$C$69,2,1)-VLOOKUP((TRUNC($AN753*3/13,0)+0.99),'Tax scales - NAT 3539'!$A$43:$C$69,3,1)),0)
*13/3,
0),
""))),
""),
"")</f>
        <v/>
      </c>
      <c r="AW753" s="118" t="str">
        <f>IFERROR(
IF(VLOOKUP($C753,'Employee information'!$B:$M,COLUMNS('Employee information'!$B:$M),0)=33,
IF($E$2="Fortnightly",
ROUND(
ROUND((((TRUNC($AN753/2,0)+0.99))*VLOOKUP((TRUNC($AN753/2,0)+0.99),'Tax scales - NAT 3539'!$A$74:$C$94,2,1)-VLOOKUP((TRUNC($AN753/2,0)+0.99),'Tax scales - NAT 3539'!$A$74:$C$94,3,1)),0)
*2,
0),
IF(AND($E$2="Monthly",ROUND($AN753-TRUNC($AN753),2)=0.33),
ROUND(
ROUND(((TRUNC(($AN753+0.01)*3/13,0)+0.99)*VLOOKUP((TRUNC(($AN753+0.01)*3/13,0)+0.99),'Tax scales - NAT 3539'!$A$74:$C$94,2,1)-VLOOKUP((TRUNC(($AN753+0.01)*3/13,0)+0.99),'Tax scales - NAT 3539'!$A$74:$C$94,3,1)),0)
*13/3,
0),
IF($E$2="Monthly",
ROUND(
ROUND(((TRUNC($AN753*3/13,0)+0.99)*VLOOKUP((TRUNC($AN753*3/13,0)+0.99),'Tax scales - NAT 3539'!$A$74:$C$94,2,1)-VLOOKUP((TRUNC($AN753*3/13,0)+0.99),'Tax scales - NAT 3539'!$A$74:$C$94,3,1)),0)
*13/3,
0),
""))),
""),
"")</f>
        <v/>
      </c>
      <c r="AX753" s="118" t="str">
        <f>IFERROR(
IF(VLOOKUP($C753,'Employee information'!$B:$M,COLUMNS('Employee information'!$B:$M),0)=55,
IF($E$2="Fortnightly",
ROUND(
ROUND((((TRUNC($AN753/2,0)+0.99))*VLOOKUP((TRUNC($AN753/2,0)+0.99),'Tax scales - NAT 3539'!$A$99:$C$123,2,1)-VLOOKUP((TRUNC($AN753/2,0)+0.99),'Tax scales - NAT 3539'!$A$99:$C$123,3,1)),0)
*2,
0),
IF(AND($E$2="Monthly",ROUND($AN753-TRUNC($AN753),2)=0.33),
ROUND(
ROUND(((TRUNC(($AN753+0.01)*3/13,0)+0.99)*VLOOKUP((TRUNC(($AN753+0.01)*3/13,0)+0.99),'Tax scales - NAT 3539'!$A$99:$C$123,2,1)-VLOOKUP((TRUNC(($AN753+0.01)*3/13,0)+0.99),'Tax scales - NAT 3539'!$A$99:$C$123,3,1)),0)
*13/3,
0),
IF($E$2="Monthly",
ROUND(
ROUND(((TRUNC($AN753*3/13,0)+0.99)*VLOOKUP((TRUNC($AN753*3/13,0)+0.99),'Tax scales - NAT 3539'!$A$99:$C$123,2,1)-VLOOKUP((TRUNC($AN753*3/13,0)+0.99),'Tax scales - NAT 3539'!$A$99:$C$123,3,1)),0)
*13/3,
0),
""))),
""),
"")</f>
        <v/>
      </c>
      <c r="AY753" s="118" t="str">
        <f>IFERROR(
IF(VLOOKUP($C753,'Employee information'!$B:$M,COLUMNS('Employee information'!$B:$M),0)=66,
IF($E$2="Fortnightly",
ROUND(
ROUND((((TRUNC($AN753/2,0)+0.99))*VLOOKUP((TRUNC($AN753/2,0)+0.99),'Tax scales - NAT 3539'!$A$127:$C$154,2,1)-VLOOKUP((TRUNC($AN753/2,0)+0.99),'Tax scales - NAT 3539'!$A$127:$C$154,3,1)),0)
*2,
0),
IF(AND($E$2="Monthly",ROUND($AN753-TRUNC($AN753),2)=0.33),
ROUND(
ROUND(((TRUNC(($AN753+0.01)*3/13,0)+0.99)*VLOOKUP((TRUNC(($AN753+0.01)*3/13,0)+0.99),'Tax scales - NAT 3539'!$A$127:$C$154,2,1)-VLOOKUP((TRUNC(($AN753+0.01)*3/13,0)+0.99),'Tax scales - NAT 3539'!$A$127:$C$154,3,1)),0)
*13/3,
0),
IF($E$2="Monthly",
ROUND(
ROUND(((TRUNC($AN753*3/13,0)+0.99)*VLOOKUP((TRUNC($AN753*3/13,0)+0.99),'Tax scales - NAT 3539'!$A$127:$C$154,2,1)-VLOOKUP((TRUNC($AN753*3/13,0)+0.99),'Tax scales - NAT 3539'!$A$127:$C$154,3,1)),0)
*13/3,
0),
""))),
""),
"")</f>
        <v/>
      </c>
      <c r="AZ753" s="118">
        <f>IFERROR(
HLOOKUP(VLOOKUP($C753,'Employee information'!$B:$M,COLUMNS('Employee information'!$B:$M),0),'PAYG worksheet'!$AO$735:$AY$754,COUNTA($C$736:$C753)+1,0),
0)</f>
        <v>0</v>
      </c>
      <c r="BA753" s="118"/>
      <c r="BB753" s="118">
        <f t="shared" si="790"/>
        <v>0</v>
      </c>
      <c r="BC753" s="119">
        <f>IFERROR(
IF(OR($AE753=1,$AE753=""),SUM($P753,$AA753,$AC753,$AK753)*VLOOKUP($C753,'Employee information'!$B:$Q,COLUMNS('Employee information'!$B:$H),0),
IF($AE753=0,SUM($P753,$AA753,$AK753)*VLOOKUP($C753,'Employee information'!$B:$Q,COLUMNS('Employee information'!$B:$H),0),
0)),
0)</f>
        <v>0</v>
      </c>
      <c r="BE753" s="114">
        <f t="shared" si="775"/>
        <v>0</v>
      </c>
      <c r="BF753" s="114">
        <f t="shared" si="776"/>
        <v>0</v>
      </c>
      <c r="BG753" s="114">
        <f t="shared" si="777"/>
        <v>0</v>
      </c>
      <c r="BH753" s="114">
        <f t="shared" si="778"/>
        <v>0</v>
      </c>
      <c r="BI753" s="114">
        <f t="shared" si="779"/>
        <v>0</v>
      </c>
      <c r="BJ753" s="114">
        <f t="shared" si="780"/>
        <v>0</v>
      </c>
      <c r="BK753" s="114">
        <f t="shared" si="781"/>
        <v>0</v>
      </c>
      <c r="BL753" s="114">
        <f t="shared" si="791"/>
        <v>0</v>
      </c>
      <c r="BM753" s="114">
        <f t="shared" si="782"/>
        <v>0</v>
      </c>
    </row>
    <row r="754" spans="1:65" x14ac:dyDescent="0.25">
      <c r="A754" s="228">
        <f t="shared" si="770"/>
        <v>26</v>
      </c>
      <c r="C754" s="278"/>
      <c r="E754" s="103">
        <f>IF($C754="",0,
IF(AND($E$2="Monthly",$A754&gt;12),0,
IF($E$2="Monthly",VLOOKUP($C754,'Employee information'!$B:$AM,COLUMNS('Employee information'!$B:S),0),
IF($E$2="Fortnightly",VLOOKUP($C754,'Employee information'!$B:$AM,COLUMNS('Employee information'!$B:R),0),
0))))</f>
        <v>0</v>
      </c>
      <c r="F754" s="106"/>
      <c r="G754" s="106"/>
      <c r="H754" s="106"/>
      <c r="I754" s="106"/>
      <c r="J754" s="103">
        <f t="shared" si="783"/>
        <v>0</v>
      </c>
      <c r="L754" s="113">
        <f>IF(AND($E$2="Monthly",$A754&gt;12),"",
IFERROR($J754*VLOOKUP($C754,'Employee information'!$B:$AI,COLUMNS('Employee information'!$B:$P),0),0))</f>
        <v>0</v>
      </c>
      <c r="M754" s="114">
        <f t="shared" si="784"/>
        <v>0</v>
      </c>
      <c r="O754" s="103">
        <f t="shared" si="785"/>
        <v>0</v>
      </c>
      <c r="P754" s="113">
        <f>IFERROR(
IF(AND($E$2="Monthly",$A754&gt;12),0,
$O754*VLOOKUP($C754,'Employee information'!$B:$AI,COLUMNS('Employee information'!$B:$P),0)),
0)</f>
        <v>0</v>
      </c>
      <c r="R754" s="114">
        <f t="shared" si="771"/>
        <v>0</v>
      </c>
      <c r="T754" s="103"/>
      <c r="U754" s="103"/>
      <c r="V754" s="282" t="str">
        <f>IF($C754="","",
IF(AND($E$2="Monthly",$A754&gt;12),"",
$T754*VLOOKUP($C754,'Employee information'!$B:$P,COLUMNS('Employee information'!$B:$P),0)))</f>
        <v/>
      </c>
      <c r="W754" s="282" t="str">
        <f>IF($C754="","",
IF(AND($E$2="Monthly",$A754&gt;12),"",
$U754*VLOOKUP($C754,'Employee information'!$B:$P,COLUMNS('Employee information'!$B:$P),0)))</f>
        <v/>
      </c>
      <c r="X754" s="114">
        <f t="shared" si="772"/>
        <v>0</v>
      </c>
      <c r="Y754" s="114">
        <f t="shared" si="773"/>
        <v>0</v>
      </c>
      <c r="AA754" s="118">
        <f>IFERROR(
IF(OR('Basic payroll data'!$D$12="",'Basic payroll data'!$D$12="No"),0,
$T754*VLOOKUP($C754,'Employee information'!$B:$P,COLUMNS('Employee information'!$B:$P),0)*AL_loading_perc),
0)</f>
        <v>0</v>
      </c>
      <c r="AC754" s="118"/>
      <c r="AD754" s="118"/>
      <c r="AE754" s="283" t="str">
        <f t="shared" si="786"/>
        <v/>
      </c>
      <c r="AF754" s="283" t="str">
        <f t="shared" si="787"/>
        <v/>
      </c>
      <c r="AG754" s="118"/>
      <c r="AH754" s="118"/>
      <c r="AI754" s="283" t="str">
        <f t="shared" si="788"/>
        <v/>
      </c>
      <c r="AJ754" s="118"/>
      <c r="AK754" s="118"/>
      <c r="AM754" s="118">
        <f t="shared" si="789"/>
        <v>0</v>
      </c>
      <c r="AN754" s="118">
        <f t="shared" si="774"/>
        <v>0</v>
      </c>
      <c r="AO754" s="118" t="str">
        <f>IFERROR(
IF(VLOOKUP($C754,'Employee information'!$B:$M,COLUMNS('Employee information'!$B:$M),0)=1,
IF($E$2="Fortnightly",
ROUND(
ROUND((((TRUNC($AN754/2,0)+0.99))*VLOOKUP((TRUNC($AN754/2,0)+0.99),'Tax scales - NAT 1004'!$A$12:$C$18,2,1)-VLOOKUP((TRUNC($AN754/2,0)+0.99),'Tax scales - NAT 1004'!$A$12:$C$18,3,1)),0)
*2,
0),
IF(AND($E$2="Monthly",ROUND($AN754-TRUNC($AN754),2)=0.33),
ROUND(
ROUND(((TRUNC(($AN754+0.01)*3/13,0)+0.99)*VLOOKUP((TRUNC(($AN754+0.01)*3/13,0)+0.99),'Tax scales - NAT 1004'!$A$12:$C$18,2,1)-VLOOKUP((TRUNC(($AN754+0.01)*3/13,0)+0.99),'Tax scales - NAT 1004'!$A$12:$C$18,3,1)),0)
*13/3,
0),
IF($E$2="Monthly",
ROUND(
ROUND(((TRUNC($AN754*3/13,0)+0.99)*VLOOKUP((TRUNC($AN754*3/13,0)+0.99),'Tax scales - NAT 1004'!$A$12:$C$18,2,1)-VLOOKUP((TRUNC($AN754*3/13,0)+0.99),'Tax scales - NAT 1004'!$A$12:$C$18,3,1)),0)
*13/3,
0),
""))),
""),
"")</f>
        <v/>
      </c>
      <c r="AP754" s="118" t="str">
        <f>IFERROR(
IF(VLOOKUP($C754,'Employee information'!$B:$M,COLUMNS('Employee information'!$B:$M),0)=2,
IF($E$2="Fortnightly",
ROUND(
ROUND((((TRUNC($AN754/2,0)+0.99))*VLOOKUP((TRUNC($AN754/2,0)+0.99),'Tax scales - NAT 1004'!$A$25:$C$33,2,1)-VLOOKUP((TRUNC($AN754/2,0)+0.99),'Tax scales - NAT 1004'!$A$25:$C$33,3,1)),0)
*2,
0),
IF(AND($E$2="Monthly",ROUND($AN754-TRUNC($AN754),2)=0.33),
ROUND(
ROUND(((TRUNC(($AN754+0.01)*3/13,0)+0.99)*VLOOKUP((TRUNC(($AN754+0.01)*3/13,0)+0.99),'Tax scales - NAT 1004'!$A$25:$C$33,2,1)-VLOOKUP((TRUNC(($AN754+0.01)*3/13,0)+0.99),'Tax scales - NAT 1004'!$A$25:$C$33,3,1)),0)
*13/3,
0),
IF($E$2="Monthly",
ROUND(
ROUND(((TRUNC($AN754*3/13,0)+0.99)*VLOOKUP((TRUNC($AN754*3/13,0)+0.99),'Tax scales - NAT 1004'!$A$25:$C$33,2,1)-VLOOKUP((TRUNC($AN754*3/13,0)+0.99),'Tax scales - NAT 1004'!$A$25:$C$33,3,1)),0)
*13/3,
0),
""))),
""),
"")</f>
        <v/>
      </c>
      <c r="AQ754" s="118" t="str">
        <f>IFERROR(
IF(VLOOKUP($C754,'Employee information'!$B:$M,COLUMNS('Employee information'!$B:$M),0)=3,
IF($E$2="Fortnightly",
ROUND(
ROUND((((TRUNC($AN754/2,0)+0.99))*VLOOKUP((TRUNC($AN754/2,0)+0.99),'Tax scales - NAT 1004'!$A$39:$C$41,2,1)-VLOOKUP((TRUNC($AN754/2,0)+0.99),'Tax scales - NAT 1004'!$A$39:$C$41,3,1)),0)
*2,
0),
IF(AND($E$2="Monthly",ROUND($AN754-TRUNC($AN754),2)=0.33),
ROUND(
ROUND(((TRUNC(($AN754+0.01)*3/13,0)+0.99)*VLOOKUP((TRUNC(($AN754+0.01)*3/13,0)+0.99),'Tax scales - NAT 1004'!$A$39:$C$41,2,1)-VLOOKUP((TRUNC(($AN754+0.01)*3/13,0)+0.99),'Tax scales - NAT 1004'!$A$39:$C$41,3,1)),0)
*13/3,
0),
IF($E$2="Monthly",
ROUND(
ROUND(((TRUNC($AN754*3/13,0)+0.99)*VLOOKUP((TRUNC($AN754*3/13,0)+0.99),'Tax scales - NAT 1004'!$A$39:$C$41,2,1)-VLOOKUP((TRUNC($AN754*3/13,0)+0.99),'Tax scales - NAT 1004'!$A$39:$C$41,3,1)),0)
*13/3,
0),
""))),
""),
"")</f>
        <v/>
      </c>
      <c r="AR754" s="118" t="str">
        <f>IFERROR(
IF(AND(VLOOKUP($C754,'Employee information'!$B:$M,COLUMNS('Employee information'!$B:$M),0)=4,
VLOOKUP($C754,'Employee information'!$B:$J,COLUMNS('Employee information'!$B:$J),0)="Resident"),
TRUNC(TRUNC($AN754)*'Tax scales - NAT 1004'!$B$47),
IF(AND(VLOOKUP($C754,'Employee information'!$B:$M,COLUMNS('Employee information'!$B:$M),0)=4,
VLOOKUP($C754,'Employee information'!$B:$J,COLUMNS('Employee information'!$B:$J),0)="Foreign resident"),
TRUNC(TRUNC($AN754)*'Tax scales - NAT 1004'!$B$48),
"")),
"")</f>
        <v/>
      </c>
      <c r="AS754" s="118" t="str">
        <f>IFERROR(
IF(VLOOKUP($C754,'Employee information'!$B:$M,COLUMNS('Employee information'!$B:$M),0)=5,
IF($E$2="Fortnightly",
ROUND(
ROUND((((TRUNC($AN754/2,0)+0.99))*VLOOKUP((TRUNC($AN754/2,0)+0.99),'Tax scales - NAT 1004'!$A$53:$C$59,2,1)-VLOOKUP((TRUNC($AN754/2,0)+0.99),'Tax scales - NAT 1004'!$A$53:$C$59,3,1)),0)
*2,
0),
IF(AND($E$2="Monthly",ROUND($AN754-TRUNC($AN754),2)=0.33),
ROUND(
ROUND(((TRUNC(($AN754+0.01)*3/13,0)+0.99)*VLOOKUP((TRUNC(($AN754+0.01)*3/13,0)+0.99),'Tax scales - NAT 1004'!$A$53:$C$59,2,1)-VLOOKUP((TRUNC(($AN754+0.01)*3/13,0)+0.99),'Tax scales - NAT 1004'!$A$53:$C$59,3,1)),0)
*13/3,
0),
IF($E$2="Monthly",
ROUND(
ROUND(((TRUNC($AN754*3/13,0)+0.99)*VLOOKUP((TRUNC($AN754*3/13,0)+0.99),'Tax scales - NAT 1004'!$A$53:$C$59,2,1)-VLOOKUP((TRUNC($AN754*3/13,0)+0.99),'Tax scales - NAT 1004'!$A$53:$C$59,3,1)),0)
*13/3,
0),
""))),
""),
"")</f>
        <v/>
      </c>
      <c r="AT754" s="118" t="str">
        <f>IFERROR(
IF(VLOOKUP($C754,'Employee information'!$B:$M,COLUMNS('Employee information'!$B:$M),0)=6,
IF($E$2="Fortnightly",
ROUND(
ROUND((((TRUNC($AN754/2,0)+0.99))*VLOOKUP((TRUNC($AN754/2,0)+0.99),'Tax scales - NAT 1004'!$A$65:$C$73,2,1)-VLOOKUP((TRUNC($AN754/2,0)+0.99),'Tax scales - NAT 1004'!$A$65:$C$73,3,1)),0)
*2,
0),
IF(AND($E$2="Monthly",ROUND($AN754-TRUNC($AN754),2)=0.33),
ROUND(
ROUND(((TRUNC(($AN754+0.01)*3/13,0)+0.99)*VLOOKUP((TRUNC(($AN754+0.01)*3/13,0)+0.99),'Tax scales - NAT 1004'!$A$65:$C$73,2,1)-VLOOKUP((TRUNC(($AN754+0.01)*3/13,0)+0.99),'Tax scales - NAT 1004'!$A$65:$C$73,3,1)),0)
*13/3,
0),
IF($E$2="Monthly",
ROUND(
ROUND(((TRUNC($AN754*3/13,0)+0.99)*VLOOKUP((TRUNC($AN754*3/13,0)+0.99),'Tax scales - NAT 1004'!$A$65:$C$73,2,1)-VLOOKUP((TRUNC($AN754*3/13,0)+0.99),'Tax scales - NAT 1004'!$A$65:$C$73,3,1)),0)
*13/3,
0),
""))),
""),
"")</f>
        <v/>
      </c>
      <c r="AU754" s="118" t="str">
        <f>IFERROR(
IF(VLOOKUP($C754,'Employee information'!$B:$M,COLUMNS('Employee information'!$B:$M),0)=11,
IF($E$2="Fortnightly",
ROUND(
ROUND((((TRUNC($AN754/2,0)+0.99))*VLOOKUP((TRUNC($AN754/2,0)+0.99),'Tax scales - NAT 3539'!$A$14:$C$38,2,1)-VLOOKUP((TRUNC($AN754/2,0)+0.99),'Tax scales - NAT 3539'!$A$14:$C$38,3,1)),0)
*2,
0),
IF(AND($E$2="Monthly",ROUND($AN754-TRUNC($AN754),2)=0.33),
ROUND(
ROUND(((TRUNC(($AN754+0.01)*3/13,0)+0.99)*VLOOKUP((TRUNC(($AN754+0.01)*3/13,0)+0.99),'Tax scales - NAT 3539'!$A$14:$C$38,2,1)-VLOOKUP((TRUNC(($AN754+0.01)*3/13,0)+0.99),'Tax scales - NAT 3539'!$A$14:$C$38,3,1)),0)
*13/3,
0),
IF($E$2="Monthly",
ROUND(
ROUND(((TRUNC($AN754*3/13,0)+0.99)*VLOOKUP((TRUNC($AN754*3/13,0)+0.99),'Tax scales - NAT 3539'!$A$14:$C$38,2,1)-VLOOKUP((TRUNC($AN754*3/13,0)+0.99),'Tax scales - NAT 3539'!$A$14:$C$38,3,1)),0)
*13/3,
0),
""))),
""),
"")</f>
        <v/>
      </c>
      <c r="AV754" s="118" t="str">
        <f>IFERROR(
IF(VLOOKUP($C754,'Employee information'!$B:$M,COLUMNS('Employee information'!$B:$M),0)=22,
IF($E$2="Fortnightly",
ROUND(
ROUND((((TRUNC($AN754/2,0)+0.99))*VLOOKUP((TRUNC($AN754/2,0)+0.99),'Tax scales - NAT 3539'!$A$43:$C$69,2,1)-VLOOKUP((TRUNC($AN754/2,0)+0.99),'Tax scales - NAT 3539'!$A$43:$C$69,3,1)),0)
*2,
0),
IF(AND($E$2="Monthly",ROUND($AN754-TRUNC($AN754),2)=0.33),
ROUND(
ROUND(((TRUNC(($AN754+0.01)*3/13,0)+0.99)*VLOOKUP((TRUNC(($AN754+0.01)*3/13,0)+0.99),'Tax scales - NAT 3539'!$A$43:$C$69,2,1)-VLOOKUP((TRUNC(($AN754+0.01)*3/13,0)+0.99),'Tax scales - NAT 3539'!$A$43:$C$69,3,1)),0)
*13/3,
0),
IF($E$2="Monthly",
ROUND(
ROUND(((TRUNC($AN754*3/13,0)+0.99)*VLOOKUP((TRUNC($AN754*3/13,0)+0.99),'Tax scales - NAT 3539'!$A$43:$C$69,2,1)-VLOOKUP((TRUNC($AN754*3/13,0)+0.99),'Tax scales - NAT 3539'!$A$43:$C$69,3,1)),0)
*13/3,
0),
""))),
""),
"")</f>
        <v/>
      </c>
      <c r="AW754" s="118" t="str">
        <f>IFERROR(
IF(VLOOKUP($C754,'Employee information'!$B:$M,COLUMNS('Employee information'!$B:$M),0)=33,
IF($E$2="Fortnightly",
ROUND(
ROUND((((TRUNC($AN754/2,0)+0.99))*VLOOKUP((TRUNC($AN754/2,0)+0.99),'Tax scales - NAT 3539'!$A$74:$C$94,2,1)-VLOOKUP((TRUNC($AN754/2,0)+0.99),'Tax scales - NAT 3539'!$A$74:$C$94,3,1)),0)
*2,
0),
IF(AND($E$2="Monthly",ROUND($AN754-TRUNC($AN754),2)=0.33),
ROUND(
ROUND(((TRUNC(($AN754+0.01)*3/13,0)+0.99)*VLOOKUP((TRUNC(($AN754+0.01)*3/13,0)+0.99),'Tax scales - NAT 3539'!$A$74:$C$94,2,1)-VLOOKUP((TRUNC(($AN754+0.01)*3/13,0)+0.99),'Tax scales - NAT 3539'!$A$74:$C$94,3,1)),0)
*13/3,
0),
IF($E$2="Monthly",
ROUND(
ROUND(((TRUNC($AN754*3/13,0)+0.99)*VLOOKUP((TRUNC($AN754*3/13,0)+0.99),'Tax scales - NAT 3539'!$A$74:$C$94,2,1)-VLOOKUP((TRUNC($AN754*3/13,0)+0.99),'Tax scales - NAT 3539'!$A$74:$C$94,3,1)),0)
*13/3,
0),
""))),
""),
"")</f>
        <v/>
      </c>
      <c r="AX754" s="118" t="str">
        <f>IFERROR(
IF(VLOOKUP($C754,'Employee information'!$B:$M,COLUMNS('Employee information'!$B:$M),0)=55,
IF($E$2="Fortnightly",
ROUND(
ROUND((((TRUNC($AN754/2,0)+0.99))*VLOOKUP((TRUNC($AN754/2,0)+0.99),'Tax scales - NAT 3539'!$A$99:$C$123,2,1)-VLOOKUP((TRUNC($AN754/2,0)+0.99),'Tax scales - NAT 3539'!$A$99:$C$123,3,1)),0)
*2,
0),
IF(AND($E$2="Monthly",ROUND($AN754-TRUNC($AN754),2)=0.33),
ROUND(
ROUND(((TRUNC(($AN754+0.01)*3/13,0)+0.99)*VLOOKUP((TRUNC(($AN754+0.01)*3/13,0)+0.99),'Tax scales - NAT 3539'!$A$99:$C$123,2,1)-VLOOKUP((TRUNC(($AN754+0.01)*3/13,0)+0.99),'Tax scales - NAT 3539'!$A$99:$C$123,3,1)),0)
*13/3,
0),
IF($E$2="Monthly",
ROUND(
ROUND(((TRUNC($AN754*3/13,0)+0.99)*VLOOKUP((TRUNC($AN754*3/13,0)+0.99),'Tax scales - NAT 3539'!$A$99:$C$123,2,1)-VLOOKUP((TRUNC($AN754*3/13,0)+0.99),'Tax scales - NAT 3539'!$A$99:$C$123,3,1)),0)
*13/3,
0),
""))),
""),
"")</f>
        <v/>
      </c>
      <c r="AY754" s="118" t="str">
        <f>IFERROR(
IF(VLOOKUP($C754,'Employee information'!$B:$M,COLUMNS('Employee information'!$B:$M),0)=66,
IF($E$2="Fortnightly",
ROUND(
ROUND((((TRUNC($AN754/2,0)+0.99))*VLOOKUP((TRUNC($AN754/2,0)+0.99),'Tax scales - NAT 3539'!$A$127:$C$154,2,1)-VLOOKUP((TRUNC($AN754/2,0)+0.99),'Tax scales - NAT 3539'!$A$127:$C$154,3,1)),0)
*2,
0),
IF(AND($E$2="Monthly",ROUND($AN754-TRUNC($AN754),2)=0.33),
ROUND(
ROUND(((TRUNC(($AN754+0.01)*3/13,0)+0.99)*VLOOKUP((TRUNC(($AN754+0.01)*3/13,0)+0.99),'Tax scales - NAT 3539'!$A$127:$C$154,2,1)-VLOOKUP((TRUNC(($AN754+0.01)*3/13,0)+0.99),'Tax scales - NAT 3539'!$A$127:$C$154,3,1)),0)
*13/3,
0),
IF($E$2="Monthly",
ROUND(
ROUND(((TRUNC($AN754*3/13,0)+0.99)*VLOOKUP((TRUNC($AN754*3/13,0)+0.99),'Tax scales - NAT 3539'!$A$127:$C$154,2,1)-VLOOKUP((TRUNC($AN754*3/13,0)+0.99),'Tax scales - NAT 3539'!$A$127:$C$154,3,1)),0)
*13/3,
0),
""))),
""),
"")</f>
        <v/>
      </c>
      <c r="AZ754" s="118">
        <f>IFERROR(
HLOOKUP(VLOOKUP($C754,'Employee information'!$B:$M,COLUMNS('Employee information'!$B:$M),0),'PAYG worksheet'!$AO$735:$AY$754,COUNTA($C$736:$C754)+1,0),
0)</f>
        <v>0</v>
      </c>
      <c r="BA754" s="118"/>
      <c r="BB754" s="118">
        <f t="shared" si="790"/>
        <v>0</v>
      </c>
      <c r="BC754" s="119">
        <f>IFERROR(
IF(OR($AE754=1,$AE754=""),SUM($P754,$AA754,$AC754,$AK754)*VLOOKUP($C754,'Employee information'!$B:$Q,COLUMNS('Employee information'!$B:$H),0),
IF($AE754=0,SUM($P754,$AA754,$AK754)*VLOOKUP($C754,'Employee information'!$B:$Q,COLUMNS('Employee information'!$B:$H),0),
0)),
0)</f>
        <v>0</v>
      </c>
      <c r="BE754" s="114">
        <f t="shared" si="775"/>
        <v>0</v>
      </c>
      <c r="BF754" s="114">
        <f t="shared" si="776"/>
        <v>0</v>
      </c>
      <c r="BG754" s="114">
        <f t="shared" si="777"/>
        <v>0</v>
      </c>
      <c r="BH754" s="114">
        <f t="shared" si="778"/>
        <v>0</v>
      </c>
      <c r="BI754" s="114">
        <f t="shared" si="779"/>
        <v>0</v>
      </c>
      <c r="BJ754" s="114">
        <f t="shared" si="780"/>
        <v>0</v>
      </c>
      <c r="BK754" s="114">
        <f t="shared" si="781"/>
        <v>0</v>
      </c>
      <c r="BL754" s="114">
        <f t="shared" si="791"/>
        <v>0</v>
      </c>
      <c r="BM754" s="114">
        <f t="shared" si="782"/>
        <v>0</v>
      </c>
    </row>
    <row r="755" spans="1:65" x14ac:dyDescent="0.25">
      <c r="C755" s="284" t="s">
        <v>39</v>
      </c>
      <c r="D755" s="223"/>
      <c r="E755" s="111">
        <f>SUM(E736:E754)</f>
        <v>345</v>
      </c>
      <c r="F755" s="112">
        <f t="shared" ref="F755:H755" si="792">SUM(F736:F754)</f>
        <v>0</v>
      </c>
      <c r="G755" s="112">
        <f t="shared" si="792"/>
        <v>0</v>
      </c>
      <c r="H755" s="112">
        <f t="shared" si="792"/>
        <v>0</v>
      </c>
      <c r="I755" s="112"/>
      <c r="J755" s="111">
        <f t="shared" ref="J755" si="793">SUM(J736:J754)</f>
        <v>345</v>
      </c>
      <c r="K755" s="223"/>
      <c r="L755" s="115">
        <f>SUM(L736:L754)</f>
        <v>19122.576396206536</v>
      </c>
      <c r="M755" s="115">
        <f>SUM(M736:M754)</f>
        <v>499702.37091675447</v>
      </c>
      <c r="N755" s="223"/>
      <c r="O755" s="116">
        <f>SUM(O736:O754)</f>
        <v>345</v>
      </c>
      <c r="P755" s="117">
        <f>SUM(P736:P754)</f>
        <v>19122.576396206536</v>
      </c>
      <c r="R755" s="117">
        <f>SUM(R736:R754)</f>
        <v>499702.37091675447</v>
      </c>
      <c r="S755" s="223"/>
      <c r="T755" s="116">
        <f>SUM(T736:T754)</f>
        <v>0</v>
      </c>
      <c r="U755" s="116">
        <f t="shared" ref="U755:Y755" si="794">SUM(U736:U754)</f>
        <v>0</v>
      </c>
      <c r="V755" s="285">
        <f t="shared" si="794"/>
        <v>0</v>
      </c>
      <c r="W755" s="285">
        <f t="shared" si="794"/>
        <v>0</v>
      </c>
      <c r="X755" s="285">
        <f t="shared" si="794"/>
        <v>1538.4615384615386</v>
      </c>
      <c r="Y755" s="285">
        <f t="shared" si="794"/>
        <v>801.28205128205127</v>
      </c>
      <c r="Z755" s="223"/>
      <c r="AA755" s="117">
        <f t="shared" ref="AA755" si="795">SUM(AA736:AA754)</f>
        <v>0</v>
      </c>
      <c r="AC755" s="117">
        <f t="shared" ref="AC755" si="796">SUM(AC736:AC754)</f>
        <v>0</v>
      </c>
      <c r="AD755" s="117"/>
      <c r="AE755" s="117"/>
      <c r="AF755" s="117"/>
      <c r="AG755" s="117">
        <f t="shared" ref="AG755" si="797">SUM(AG736:AG754)</f>
        <v>0</v>
      </c>
      <c r="AH755" s="117"/>
      <c r="AI755" s="117"/>
      <c r="AJ755" s="117">
        <f>SUM(AJ736:AJ754)</f>
        <v>0</v>
      </c>
      <c r="AK755" s="117">
        <f>SUM(AK736:AK754)</f>
        <v>0</v>
      </c>
      <c r="AM755" s="117">
        <f t="shared" ref="AM755:AN755" si="798">SUM(AM736:AM754)</f>
        <v>19122.576396206536</v>
      </c>
      <c r="AN755" s="117">
        <f t="shared" si="798"/>
        <v>19122.576396206536</v>
      </c>
      <c r="AO755" s="117"/>
      <c r="AP755" s="117"/>
      <c r="AQ755" s="117"/>
      <c r="AR755" s="117"/>
      <c r="AS755" s="117"/>
      <c r="AT755" s="117"/>
      <c r="AU755" s="117"/>
      <c r="AV755" s="117"/>
      <c r="AW755" s="117"/>
      <c r="AX755" s="117"/>
      <c r="AY755" s="117"/>
      <c r="AZ755" s="117">
        <f>SUM(AZ736:AZ754)</f>
        <v>7481</v>
      </c>
      <c r="BA755" s="117">
        <f>SUM(BA736:BA754)</f>
        <v>0</v>
      </c>
      <c r="BB755" s="117">
        <f>SUM(BB736:BB754)</f>
        <v>11641.576396206534</v>
      </c>
      <c r="BC755" s="117">
        <f t="shared" ref="BC755" si="799">SUM(BC736:BC754)</f>
        <v>1816.6447576396208</v>
      </c>
      <c r="BD755" s="136"/>
      <c r="BE755" s="117">
        <f t="shared" ref="BE755:BM755" si="800">SUM(BE736:BE754)</f>
        <v>499942.37091675447</v>
      </c>
      <c r="BF755" s="117">
        <f t="shared" si="800"/>
        <v>499802.37091675447</v>
      </c>
      <c r="BG755" s="117">
        <f t="shared" si="800"/>
        <v>0</v>
      </c>
      <c r="BH755" s="117">
        <f t="shared" si="800"/>
        <v>140</v>
      </c>
      <c r="BI755" s="117">
        <f t="shared" si="800"/>
        <v>195320</v>
      </c>
      <c r="BJ755" s="117">
        <f t="shared" si="800"/>
        <v>0</v>
      </c>
      <c r="BK755" s="117">
        <f t="shared" si="800"/>
        <v>0</v>
      </c>
      <c r="BL755" s="117">
        <f t="shared" si="800"/>
        <v>100</v>
      </c>
      <c r="BM755" s="117">
        <f t="shared" si="800"/>
        <v>47481.225237091669</v>
      </c>
    </row>
    <row r="757" spans="1:65" x14ac:dyDescent="0.25">
      <c r="A757" s="120"/>
      <c r="T757" s="120"/>
      <c r="U757" s="120"/>
      <c r="V757" s="120"/>
      <c r="W757" s="120"/>
      <c r="X757" s="120"/>
      <c r="Y757" s="120"/>
    </row>
    <row r="758" spans="1:65" x14ac:dyDescent="0.25">
      <c r="A758" s="120"/>
      <c r="T758" s="120"/>
      <c r="U758" s="120"/>
      <c r="V758" s="120"/>
      <c r="W758" s="120"/>
      <c r="X758" s="120"/>
      <c r="Y758" s="120"/>
    </row>
    <row r="759" spans="1:65" x14ac:dyDescent="0.25">
      <c r="A759" s="120"/>
      <c r="T759" s="120"/>
      <c r="U759" s="120"/>
      <c r="V759" s="120"/>
      <c r="W759" s="120"/>
      <c r="X759" s="120"/>
      <c r="Y759" s="120"/>
    </row>
    <row r="760" spans="1:65" x14ac:dyDescent="0.25">
      <c r="A760" s="120"/>
      <c r="T760" s="120"/>
      <c r="U760" s="120"/>
      <c r="V760" s="120"/>
      <c r="W760" s="120"/>
      <c r="X760" s="120"/>
      <c r="Y760" s="120"/>
    </row>
    <row r="761" spans="1:65" x14ac:dyDescent="0.25">
      <c r="A761" s="120"/>
      <c r="T761" s="120"/>
      <c r="U761" s="120"/>
      <c r="V761" s="120"/>
      <c r="W761" s="120"/>
      <c r="X761" s="120"/>
      <c r="Y761" s="120"/>
    </row>
    <row r="762" spans="1:65" x14ac:dyDescent="0.25">
      <c r="A762" s="120"/>
      <c r="T762" s="120"/>
      <c r="U762" s="120"/>
      <c r="V762" s="120"/>
      <c r="W762" s="120"/>
      <c r="X762" s="120"/>
      <c r="Y762" s="120"/>
    </row>
    <row r="763" spans="1:65" x14ac:dyDescent="0.25">
      <c r="A763" s="120"/>
      <c r="T763" s="120"/>
      <c r="U763" s="120"/>
      <c r="V763" s="120"/>
      <c r="W763" s="120"/>
      <c r="X763" s="120"/>
      <c r="Y763" s="120"/>
    </row>
    <row r="764" spans="1:65" x14ac:dyDescent="0.25">
      <c r="A764" s="120"/>
      <c r="T764" s="120"/>
      <c r="U764" s="120"/>
      <c r="V764" s="120"/>
      <c r="W764" s="120"/>
      <c r="X764" s="120"/>
      <c r="Y764" s="120"/>
    </row>
    <row r="765" spans="1:65" x14ac:dyDescent="0.25">
      <c r="A765" s="120"/>
      <c r="T765" s="120"/>
      <c r="U765" s="120"/>
      <c r="V765" s="120"/>
      <c r="W765" s="120"/>
      <c r="X765" s="120"/>
      <c r="Y765" s="120"/>
    </row>
    <row r="766" spans="1:65" x14ac:dyDescent="0.25">
      <c r="A766" s="120"/>
      <c r="T766" s="120"/>
      <c r="U766" s="120"/>
      <c r="V766" s="120"/>
      <c r="W766" s="120"/>
      <c r="X766" s="120"/>
      <c r="Y766" s="120"/>
    </row>
    <row r="767" spans="1:65" x14ac:dyDescent="0.25">
      <c r="A767" s="120"/>
      <c r="T767" s="120"/>
      <c r="U767" s="120"/>
      <c r="V767" s="120"/>
      <c r="W767" s="120"/>
      <c r="X767" s="120"/>
      <c r="Y767" s="120"/>
    </row>
    <row r="768" spans="1:65" x14ac:dyDescent="0.25">
      <c r="A768" s="120"/>
      <c r="T768" s="120"/>
      <c r="U768" s="120"/>
      <c r="V768" s="120"/>
      <c r="W768" s="120"/>
      <c r="X768" s="120"/>
      <c r="Y768" s="120"/>
    </row>
    <row r="769" spans="1:25" x14ac:dyDescent="0.25">
      <c r="A769" s="120"/>
      <c r="T769" s="120"/>
      <c r="U769" s="120"/>
      <c r="V769" s="120"/>
      <c r="W769" s="120"/>
      <c r="X769" s="120"/>
      <c r="Y769" s="120"/>
    </row>
    <row r="770" spans="1:25" x14ac:dyDescent="0.25">
      <c r="A770" s="120"/>
      <c r="T770" s="120"/>
      <c r="U770" s="120"/>
      <c r="V770" s="120"/>
      <c r="W770" s="120"/>
      <c r="X770" s="120"/>
      <c r="Y770" s="120"/>
    </row>
    <row r="771" spans="1:25" x14ac:dyDescent="0.25">
      <c r="A771" s="120"/>
      <c r="T771" s="120"/>
      <c r="U771" s="120"/>
      <c r="V771" s="120"/>
      <c r="W771" s="120"/>
      <c r="X771" s="120"/>
      <c r="Y771" s="120"/>
    </row>
    <row r="772" spans="1:25" x14ac:dyDescent="0.25">
      <c r="A772" s="120"/>
      <c r="T772" s="120"/>
      <c r="U772" s="120"/>
      <c r="V772" s="120"/>
      <c r="W772" s="120"/>
      <c r="X772" s="120"/>
      <c r="Y772" s="120"/>
    </row>
    <row r="773" spans="1:25" x14ac:dyDescent="0.25">
      <c r="A773" s="120"/>
      <c r="T773" s="120"/>
      <c r="U773" s="120"/>
      <c r="V773" s="120"/>
      <c r="W773" s="120"/>
      <c r="X773" s="120"/>
      <c r="Y773" s="120"/>
    </row>
    <row r="774" spans="1:25" x14ac:dyDescent="0.25">
      <c r="A774" s="120"/>
      <c r="T774" s="120"/>
      <c r="U774" s="120"/>
      <c r="V774" s="120"/>
      <c r="W774" s="120"/>
      <c r="X774" s="120"/>
      <c r="Y774" s="120"/>
    </row>
    <row r="775" spans="1:25" x14ac:dyDescent="0.25">
      <c r="A775" s="120"/>
      <c r="T775" s="120"/>
      <c r="U775" s="120"/>
      <c r="V775" s="120"/>
      <c r="W775" s="120"/>
      <c r="X775" s="120"/>
      <c r="Y775" s="120"/>
    </row>
    <row r="776" spans="1:25" x14ac:dyDescent="0.25">
      <c r="A776" s="120"/>
      <c r="T776" s="120"/>
      <c r="U776" s="120"/>
      <c r="V776" s="120"/>
      <c r="W776" s="120"/>
      <c r="X776" s="120"/>
      <c r="Y776" s="120"/>
    </row>
    <row r="777" spans="1:25" x14ac:dyDescent="0.25">
      <c r="A777" s="120"/>
      <c r="T777" s="120"/>
      <c r="U777" s="120"/>
      <c r="V777" s="120"/>
      <c r="W777" s="120"/>
      <c r="X777" s="120"/>
      <c r="Y777" s="120"/>
    </row>
    <row r="778" spans="1:25" x14ac:dyDescent="0.25">
      <c r="A778" s="120"/>
      <c r="T778" s="120"/>
      <c r="U778" s="120"/>
      <c r="V778" s="120"/>
      <c r="W778" s="120"/>
      <c r="X778" s="120"/>
      <c r="Y778" s="120"/>
    </row>
    <row r="779" spans="1:25" x14ac:dyDescent="0.25">
      <c r="A779" s="120"/>
      <c r="T779" s="120"/>
      <c r="U779" s="120"/>
      <c r="V779" s="120"/>
      <c r="W779" s="120"/>
      <c r="X779" s="120"/>
      <c r="Y779" s="120"/>
    </row>
    <row r="780" spans="1:25" x14ac:dyDescent="0.25">
      <c r="A780" s="120"/>
      <c r="T780" s="120"/>
      <c r="U780" s="120"/>
      <c r="V780" s="120"/>
      <c r="W780" s="120"/>
      <c r="X780" s="120"/>
      <c r="Y780" s="120"/>
    </row>
    <row r="781" spans="1:25" x14ac:dyDescent="0.25">
      <c r="A781" s="120"/>
      <c r="T781" s="120"/>
      <c r="U781" s="120"/>
      <c r="V781" s="120"/>
      <c r="W781" s="120"/>
      <c r="X781" s="120"/>
      <c r="Y781" s="120"/>
    </row>
    <row r="782" spans="1:25" x14ac:dyDescent="0.25">
      <c r="A782" s="120"/>
      <c r="T782" s="120"/>
      <c r="U782" s="120"/>
      <c r="V782" s="120"/>
      <c r="W782" s="120"/>
      <c r="X782" s="120"/>
      <c r="Y782" s="120"/>
    </row>
    <row r="783" spans="1:25" x14ac:dyDescent="0.25">
      <c r="A783" s="120"/>
      <c r="T783" s="120"/>
      <c r="U783" s="120"/>
      <c r="V783" s="120"/>
      <c r="W783" s="120"/>
      <c r="X783" s="120"/>
      <c r="Y783" s="120"/>
    </row>
  </sheetData>
  <sheetProtection algorithmName="SHA-512" hashValue="5IcDPetHNczQI7zu4bn4Ie6zVEF83D6GI7Kq1TWxq543xCnXUNW7+To8wpub8c+j3plYaIzWaFQtzuLFipNpew==" saltValue="+t8MwJkBNGLpJdC+jGhqzA==" spinCount="100000" sheet="1" objects="1" scenarios="1"/>
  <mergeCells count="208">
    <mergeCell ref="AC702:AK702"/>
    <mergeCell ref="L731:M731"/>
    <mergeCell ref="AM731:BC731"/>
    <mergeCell ref="AM528:BC528"/>
    <mergeCell ref="L557:M557"/>
    <mergeCell ref="AM557:BC557"/>
    <mergeCell ref="L586:M586"/>
    <mergeCell ref="AM586:BC586"/>
    <mergeCell ref="L615:M615"/>
    <mergeCell ref="AM615:BC615"/>
    <mergeCell ref="AM644:BC644"/>
    <mergeCell ref="L673:M673"/>
    <mergeCell ref="AM673:BC673"/>
    <mergeCell ref="T557:AA557"/>
    <mergeCell ref="T586:AA586"/>
    <mergeCell ref="T615:AA615"/>
    <mergeCell ref="T644:AA644"/>
    <mergeCell ref="T673:AA673"/>
    <mergeCell ref="T702:AA702"/>
    <mergeCell ref="T731:AA731"/>
    <mergeCell ref="AZ705:BA705"/>
    <mergeCell ref="AC731:AK731"/>
    <mergeCell ref="AM702:BC702"/>
    <mergeCell ref="AZ647:BA647"/>
    <mergeCell ref="AZ676:BA676"/>
    <mergeCell ref="AM383:BC383"/>
    <mergeCell ref="T267:AA267"/>
    <mergeCell ref="T296:AA296"/>
    <mergeCell ref="T325:AA325"/>
    <mergeCell ref="AZ270:BA270"/>
    <mergeCell ref="AZ299:BA299"/>
    <mergeCell ref="AZ328:BA328"/>
    <mergeCell ref="AZ357:BA357"/>
    <mergeCell ref="AM412:BC412"/>
    <mergeCell ref="AZ386:BA386"/>
    <mergeCell ref="AZ415:BA415"/>
    <mergeCell ref="AZ444:BA444"/>
    <mergeCell ref="AZ473:BA473"/>
    <mergeCell ref="AZ502:BA502"/>
    <mergeCell ref="AZ531:BA531"/>
    <mergeCell ref="AZ560:BA560"/>
    <mergeCell ref="AZ589:BA589"/>
    <mergeCell ref="AZ618:BA618"/>
    <mergeCell ref="AM441:BC441"/>
    <mergeCell ref="AM470:BC470"/>
    <mergeCell ref="AM499:BC499"/>
    <mergeCell ref="AC673:AK673"/>
    <mergeCell ref="T151:AA151"/>
    <mergeCell ref="T180:AA180"/>
    <mergeCell ref="T209:AA209"/>
    <mergeCell ref="T238:AA238"/>
    <mergeCell ref="AM267:BC267"/>
    <mergeCell ref="AM296:BC296"/>
    <mergeCell ref="L325:M325"/>
    <mergeCell ref="AM325:BC325"/>
    <mergeCell ref="L354:M354"/>
    <mergeCell ref="AM354:BC354"/>
    <mergeCell ref="BE702:BM702"/>
    <mergeCell ref="BE731:BM731"/>
    <mergeCell ref="BE557:BM557"/>
    <mergeCell ref="BE586:BM586"/>
    <mergeCell ref="BE615:BM615"/>
    <mergeCell ref="BE644:BM644"/>
    <mergeCell ref="BE673:BM673"/>
    <mergeCell ref="BE412:BM412"/>
    <mergeCell ref="BE441:BM441"/>
    <mergeCell ref="BE470:BM470"/>
    <mergeCell ref="BE499:BM499"/>
    <mergeCell ref="BE528:BM528"/>
    <mergeCell ref="BE267:BM267"/>
    <mergeCell ref="BE296:BM296"/>
    <mergeCell ref="BE325:BM325"/>
    <mergeCell ref="BE354:BM354"/>
    <mergeCell ref="BE383:BM383"/>
    <mergeCell ref="BE122:BM122"/>
    <mergeCell ref="BE151:BM151"/>
    <mergeCell ref="BE180:BM180"/>
    <mergeCell ref="BE209:BM209"/>
    <mergeCell ref="BE238:BM238"/>
    <mergeCell ref="BE6:BM6"/>
    <mergeCell ref="L6:M6"/>
    <mergeCell ref="BE35:BM35"/>
    <mergeCell ref="BE64:BM64"/>
    <mergeCell ref="BE93:BM93"/>
    <mergeCell ref="E238:J238"/>
    <mergeCell ref="O238:P238"/>
    <mergeCell ref="AM6:BC6"/>
    <mergeCell ref="O151:P151"/>
    <mergeCell ref="E64:J64"/>
    <mergeCell ref="O64:P64"/>
    <mergeCell ref="E93:J93"/>
    <mergeCell ref="O93:P93"/>
    <mergeCell ref="O180:P180"/>
    <mergeCell ref="E209:J209"/>
    <mergeCell ref="O209:P209"/>
    <mergeCell ref="L35:M35"/>
    <mergeCell ref="AM35:BC35"/>
    <mergeCell ref="AM64:BC64"/>
    <mergeCell ref="L93:M93"/>
    <mergeCell ref="AM93:BC93"/>
    <mergeCell ref="L122:M122"/>
    <mergeCell ref="AM122:BC122"/>
    <mergeCell ref="L151:M151"/>
    <mergeCell ref="E6:J6"/>
    <mergeCell ref="O6:P6"/>
    <mergeCell ref="E35:J35"/>
    <mergeCell ref="O35:P35"/>
    <mergeCell ref="E122:J122"/>
    <mergeCell ref="O122:P122"/>
    <mergeCell ref="T35:AA35"/>
    <mergeCell ref="T64:AA64"/>
    <mergeCell ref="T93:AA93"/>
    <mergeCell ref="T122:AA122"/>
    <mergeCell ref="E151:J151"/>
    <mergeCell ref="E267:J267"/>
    <mergeCell ref="O267:P267"/>
    <mergeCell ref="E180:J180"/>
    <mergeCell ref="L64:M64"/>
    <mergeCell ref="L180:M180"/>
    <mergeCell ref="E296:J296"/>
    <mergeCell ref="O296:P296"/>
    <mergeCell ref="E325:J325"/>
    <mergeCell ref="O325:P325"/>
    <mergeCell ref="L296:M296"/>
    <mergeCell ref="L267:M267"/>
    <mergeCell ref="L209:M209"/>
    <mergeCell ref="L238:M238"/>
    <mergeCell ref="E499:J499"/>
    <mergeCell ref="O499:P499"/>
    <mergeCell ref="E412:J412"/>
    <mergeCell ref="O412:P412"/>
    <mergeCell ref="E441:J441"/>
    <mergeCell ref="O441:P441"/>
    <mergeCell ref="L702:M702"/>
    <mergeCell ref="T354:AA354"/>
    <mergeCell ref="T383:AA383"/>
    <mergeCell ref="T412:AA412"/>
    <mergeCell ref="T441:AA441"/>
    <mergeCell ref="T470:AA470"/>
    <mergeCell ref="T499:AA499"/>
    <mergeCell ref="T528:AA528"/>
    <mergeCell ref="L383:M383"/>
    <mergeCell ref="L441:M441"/>
    <mergeCell ref="L470:M470"/>
    <mergeCell ref="L499:M499"/>
    <mergeCell ref="L412:M412"/>
    <mergeCell ref="O470:P470"/>
    <mergeCell ref="E731:J731"/>
    <mergeCell ref="O731:P731"/>
    <mergeCell ref="E644:J644"/>
    <mergeCell ref="O644:P644"/>
    <mergeCell ref="E673:J673"/>
    <mergeCell ref="O673:P673"/>
    <mergeCell ref="T6:AA6"/>
    <mergeCell ref="E528:J528"/>
    <mergeCell ref="O528:P528"/>
    <mergeCell ref="E557:J557"/>
    <mergeCell ref="O557:P557"/>
    <mergeCell ref="L528:M528"/>
    <mergeCell ref="L644:M644"/>
    <mergeCell ref="E586:J586"/>
    <mergeCell ref="O586:P586"/>
    <mergeCell ref="E615:J615"/>
    <mergeCell ref="O615:P615"/>
    <mergeCell ref="E702:J702"/>
    <mergeCell ref="O702:P702"/>
    <mergeCell ref="E354:J354"/>
    <mergeCell ref="O354:P354"/>
    <mergeCell ref="E383:J383"/>
    <mergeCell ref="O383:P383"/>
    <mergeCell ref="E470:J470"/>
    <mergeCell ref="AZ9:BA9"/>
    <mergeCell ref="AZ38:BA38"/>
    <mergeCell ref="AZ67:BA67"/>
    <mergeCell ref="AZ96:BA96"/>
    <mergeCell ref="AZ125:BA125"/>
    <mergeCell ref="AZ154:BA154"/>
    <mergeCell ref="AZ183:BA183"/>
    <mergeCell ref="AZ212:BA212"/>
    <mergeCell ref="AZ241:BA241"/>
    <mergeCell ref="AM151:BC151"/>
    <mergeCell ref="AM180:BC180"/>
    <mergeCell ref="AM209:BC209"/>
    <mergeCell ref="AM238:BC238"/>
    <mergeCell ref="AZ734:BA734"/>
    <mergeCell ref="AC6:AK6"/>
    <mergeCell ref="AC35:AK35"/>
    <mergeCell ref="AC64:AK64"/>
    <mergeCell ref="AC93:AK93"/>
    <mergeCell ref="AC122:AK122"/>
    <mergeCell ref="AC151:AK151"/>
    <mergeCell ref="AC180:AK180"/>
    <mergeCell ref="AC209:AK209"/>
    <mergeCell ref="AC238:AK238"/>
    <mergeCell ref="AC267:AK267"/>
    <mergeCell ref="AC296:AK296"/>
    <mergeCell ref="AC325:AK325"/>
    <mergeCell ref="AC354:AK354"/>
    <mergeCell ref="AC383:AK383"/>
    <mergeCell ref="AC412:AK412"/>
    <mergeCell ref="AC441:AK441"/>
    <mergeCell ref="AC470:AK470"/>
    <mergeCell ref="AC499:AK499"/>
    <mergeCell ref="AC528:AK528"/>
    <mergeCell ref="AC557:AK557"/>
    <mergeCell ref="AC586:AK586"/>
    <mergeCell ref="AC615:AK615"/>
    <mergeCell ref="AC644:AK644"/>
  </mergeCells>
  <phoneticPr fontId="15" type="noConversion"/>
  <conditionalFormatting sqref="A784:A1048576 A755:A756 A3:A8 A1 A33:A38 B32 A59:A67 B61 A88:A96 B90 A117:A125 B119 A146:A154 B148 A175:A183 B177 A204:A212 B206 A233:A241 B235 A262:A270 B264 A291:A299 B293 A320:A328 B322 A349:A357 B351 A378:A386 B380 A407:A415 B409 A436:A444 B438 A465:A473 B467 A494:A502 B496 A523:A531 B525 A552:A560 B554 A581:A589 B583 A610:A618 B612 A639:A647 B641 A668:A676 B670 A697:A705 B699 A726:A734 B728 C784:P1048576 C1:P1 C63:P63 C34:P34 C92:P92 C730:P730 C121:P121 C150:P150 C179:P179 C208:P208 C237:P237 C266:P266 C295:P295 C324:K324 C353:P353 C382:P382 C411:P411 C440:P440 C469:P469 C498:P498 C527:P527 C556:P556 C585:P585 C614:P614 C643:P643 C672:P672 C701:P701 R6:T6 R701:Z701 R672:Z672 R643:Z643 R614:Z614 R585:Z585 R556:Z556 R527:Z527 R498:Z498 R469:Z469 R440:Z440 R411:Z411 R382:Z382 R353:Z353 W324:Z324 R295:Z295 R266:Z266 R237:Z237 R208:Z208 R179:Z179 R150:Z150 R121:Z121 R730:Z730 R92:Z92 R34:Z34 R63:Z63 R1:Z1 R784:Z1048576 R7:Z8 C5:P5 AM784:XFD1048576 AM5:XFD5 AN3:AY3 A10:A31 AM60:XFD63 R60:Z61 C60:P60 AM89:XFD92 R89:Z90 C89:P89 AM118:XFD121 R118:Z119 C118:P118 AM147:XFD150 R147:Z148 C147:P147 AM176:XFD179 R176:Z177 C176:P176 AM205:XFD208 R205:Z206 C205:P205 AM234:XFD237 R234:Z235 C234:P234 AM263:XFD266 R263:Z264 C263:P263 AM292:XFD295 R292:Z293 C292:P292 AM321:XFD324 R321:Z322 C321:P321 AM350:XFD353 R350:Z351 C350:P350 AM379:XFD382 R379:Z380 C379:P379 AM408:XFD411 R408:Z409 C408:P408 AM437:XFD440 R437:Z438 C437:P437 AM466:XFD469 R466:Z467 C466:P466 AM495:XFD498 R495:Z496 C495:P495 AM524:XFD527 R524:Z525 C524:P524 AM553:XFD556 R553:Z554 C553:P553 AM582:XFD585 R582:Z583 C582:P582 AM611:XFD614 R611:Z612 C611:P611 AM640:XFD643 R640:Z641 C640:P640 AM669:XFD672 R669:Z670 C669:P669 AM698:XFD701 R698:Z699 C698:P698 AM727:XFD730 R727:Z728 C727:P727 AM756:XFD756 R756:Z756 C756:P756 BB2 BD2:XFD2 AM6:AY8 C2:E2 B3:F3 R10:Z32 BM4:XFD4 BD4:BE4 BN6:XFD6 BD6:BE6 C7:P8 C6:K6 N6:P6 BN35:XFD59 BN64:XFD88 BN93:XFD117 BN122:XFD146 BN151:XFD175 BN180:XFD204 BN209:XFD233 BN238:XFD262 BN267:XFD291 BN296:XFD320 BN325:XFD349 BN354:XFD378 BN383:XFD407 BN412:XFD436 BN441:XFD465 BN470:XFD494 BN499:XFD523 BN528:XFD552 BN557:XFD581 BN586:XFD610 BN615:XFD639 BN644:XFD668 BN673:XFD697 BN702:XFD726 BN731:XFD755 R5:Z5 Z2:Z3 AG62:AI62 AJ60:AK63 AG33:AI33 AG91:AI91 AJ89:AK92 AG729:AI729 AJ727:AK730 AG120:AI120 AJ118:AK121 AG149:AI149 AJ147:AK150 AG178:AI178 AJ176:AK179 AG207:AI207 AJ205:AK208 AG236:AI236 AJ234:AK237 AG265:AI265 AJ263:AK266 AG294:AI294 AJ292:AK295 AG323:AI323 AJ321:AK324 AG352:AI352 AJ350:AK353 AG381:AI381 AJ379:AK382 AG410:AI410 AJ408:AK411 AG439:AI439 AJ437:AK440 AG468:AI468 AJ466:AK469 AG497:AI497 AJ495:AK498 AG526:AI526 AJ524:AK527 AG555:AI555 AJ553:AK556 AG584:AI584 AJ582:AK585 AG613:AI613 AJ611:AK614 AG642:AI642 AJ640:AK643 AG671:AI671 AJ669:AK672 AG700:AI700 AJ698:AK701 AC727:AI728 AC698:AI699 AC669:AI670 AC640:AI641 AC611:AI612 AC582:AI583 AC553:AI554 AC524:AI525 AC495:AI496 AC466:AI467 AC437:AI438 AC408:AI409 AC379:AI380 AC350:AI351 AC321:AI322 AC292:AI293 AC263:AI264 AC234:AI235 AC205:AI206 AC176:AI177 AC147:AI148 AC118:AI119 AC89:AI90 AC60:AI61 AC63:AI63 AC34:AI34 AC92:AI92 AC730:AI730 AC121:AI121 AC150:AI150 AC179:AI179 AC208:AI208 AC237:AI237 AC266:AI266 AC295:AI295 AC324:AI324 AC353:AI353 AC382:AI382 AC411:AI411 AC440:AI440 AC469:AI469 AC498:AI498 AC527:AI527 AC556:AI556 AC585:AI585 AC614:AI614 AC643:AI643 AC672:AI672 AC701:AI701 C10:P10 C30:P31 C4:K4 K11:N29 AC756:AK756 AC784:AK1048576 AC5:AK5 AC1:AK1 AC7:AK8 C11:I29 AC10:AI32 P11:P29 AM1:AR2 AX2:AY2 AX1:XFD1 AJ10:AK34 V4:Z4 AC2:AF2 AH2:AK2 BD3:BF3 BI3:XFD3 AD3:AF3 AZ7:XFD8 AM10:XFD34">
    <cfRule type="expression" dxfId="330" priority="1174">
      <formula>_xlfn.ISFORMULA(A1)</formula>
    </cfRule>
  </conditionalFormatting>
  <conditionalFormatting sqref="F2">
    <cfRule type="expression" dxfId="329" priority="1073">
      <formula>_xlfn.ISFORMULA(F2)</formula>
    </cfRule>
  </conditionalFormatting>
  <conditionalFormatting sqref="A39:A58">
    <cfRule type="expression" dxfId="328" priority="1022">
      <formula>_xlfn.ISFORMULA(A39)</formula>
    </cfRule>
  </conditionalFormatting>
  <conditionalFormatting sqref="A68:A87">
    <cfRule type="expression" dxfId="327" priority="1021">
      <formula>_xlfn.ISFORMULA(A68)</formula>
    </cfRule>
  </conditionalFormatting>
  <conditionalFormatting sqref="A97:A116">
    <cfRule type="expression" dxfId="326" priority="1020">
      <formula>_xlfn.ISFORMULA(A97)</formula>
    </cfRule>
  </conditionalFormatting>
  <conditionalFormatting sqref="A126:A145">
    <cfRule type="expression" dxfId="325" priority="1019">
      <formula>_xlfn.ISFORMULA(A126)</formula>
    </cfRule>
  </conditionalFormatting>
  <conditionalFormatting sqref="A155:A174">
    <cfRule type="expression" dxfId="324" priority="1018">
      <formula>_xlfn.ISFORMULA(A155)</formula>
    </cfRule>
  </conditionalFormatting>
  <conditionalFormatting sqref="A184:A203">
    <cfRule type="expression" dxfId="323" priority="1017">
      <formula>_xlfn.ISFORMULA(A184)</formula>
    </cfRule>
  </conditionalFormatting>
  <conditionalFormatting sqref="A213:A232">
    <cfRule type="expression" dxfId="322" priority="1016">
      <formula>_xlfn.ISFORMULA(A213)</formula>
    </cfRule>
  </conditionalFormatting>
  <conditionalFormatting sqref="A242:A261">
    <cfRule type="expression" dxfId="321" priority="1015">
      <formula>_xlfn.ISFORMULA(A242)</formula>
    </cfRule>
  </conditionalFormatting>
  <conditionalFormatting sqref="A271:A290">
    <cfRule type="expression" dxfId="320" priority="1014">
      <formula>_xlfn.ISFORMULA(A271)</formula>
    </cfRule>
  </conditionalFormatting>
  <conditionalFormatting sqref="A300:A319">
    <cfRule type="expression" dxfId="319" priority="1013">
      <formula>_xlfn.ISFORMULA(A300)</formula>
    </cfRule>
  </conditionalFormatting>
  <conditionalFormatting sqref="A329:A348">
    <cfRule type="expression" dxfId="318" priority="1012">
      <formula>_xlfn.ISFORMULA(A329)</formula>
    </cfRule>
  </conditionalFormatting>
  <conditionalFormatting sqref="A358:A377">
    <cfRule type="expression" dxfId="317" priority="1011">
      <formula>_xlfn.ISFORMULA(A358)</formula>
    </cfRule>
  </conditionalFormatting>
  <conditionalFormatting sqref="A387:A406">
    <cfRule type="expression" dxfId="316" priority="1010">
      <formula>_xlfn.ISFORMULA(A387)</formula>
    </cfRule>
  </conditionalFormatting>
  <conditionalFormatting sqref="A416:A435">
    <cfRule type="expression" dxfId="315" priority="1009">
      <formula>_xlfn.ISFORMULA(A416)</formula>
    </cfRule>
  </conditionalFormatting>
  <conditionalFormatting sqref="A445:A464">
    <cfRule type="expression" dxfId="314" priority="1008">
      <formula>_xlfn.ISFORMULA(A445)</formula>
    </cfRule>
  </conditionalFormatting>
  <conditionalFormatting sqref="A474:A493">
    <cfRule type="expression" dxfId="313" priority="1007">
      <formula>_xlfn.ISFORMULA(A474)</formula>
    </cfRule>
  </conditionalFormatting>
  <conditionalFormatting sqref="A503:A522">
    <cfRule type="expression" dxfId="312" priority="1006">
      <formula>_xlfn.ISFORMULA(A503)</formula>
    </cfRule>
  </conditionalFormatting>
  <conditionalFormatting sqref="A532:A551">
    <cfRule type="expression" dxfId="311" priority="1005">
      <formula>_xlfn.ISFORMULA(A532)</formula>
    </cfRule>
  </conditionalFormatting>
  <conditionalFormatting sqref="A561:A580">
    <cfRule type="expression" dxfId="310" priority="1004">
      <formula>_xlfn.ISFORMULA(A561)</formula>
    </cfRule>
  </conditionalFormatting>
  <conditionalFormatting sqref="A590:A609">
    <cfRule type="expression" dxfId="309" priority="1003">
      <formula>_xlfn.ISFORMULA(A590)</formula>
    </cfRule>
  </conditionalFormatting>
  <conditionalFormatting sqref="A619:A638">
    <cfRule type="expression" dxfId="308" priority="1002">
      <formula>_xlfn.ISFORMULA(A619)</formula>
    </cfRule>
  </conditionalFormatting>
  <conditionalFormatting sqref="A648:A667">
    <cfRule type="expression" dxfId="307" priority="1001">
      <formula>_xlfn.ISFORMULA(A648)</formula>
    </cfRule>
  </conditionalFormatting>
  <conditionalFormatting sqref="A677:A696">
    <cfRule type="expression" dxfId="306" priority="1000">
      <formula>_xlfn.ISFORMULA(A677)</formula>
    </cfRule>
  </conditionalFormatting>
  <conditionalFormatting sqref="A706:A725">
    <cfRule type="expression" dxfId="305" priority="999">
      <formula>_xlfn.ISFORMULA(A706)</formula>
    </cfRule>
  </conditionalFormatting>
  <conditionalFormatting sqref="A735:A754">
    <cfRule type="expression" dxfId="304" priority="998">
      <formula>_xlfn.ISFORMULA(A735)</formula>
    </cfRule>
  </conditionalFormatting>
  <conditionalFormatting sqref="C61:F61 C62:N62 R62:Z62">
    <cfRule type="expression" dxfId="303" priority="945">
      <formula>_xlfn.ISFORMULA(C61)</formula>
    </cfRule>
  </conditionalFormatting>
  <conditionalFormatting sqref="C32:F32 C33:N33 R33:Z33">
    <cfRule type="expression" dxfId="302" priority="946">
      <formula>_xlfn.ISFORMULA(C32)</formula>
    </cfRule>
  </conditionalFormatting>
  <conditionalFormatting sqref="C90:D91 R91:Z91 F91:N91 F90">
    <cfRule type="expression" dxfId="301" priority="944">
      <formula>_xlfn.ISFORMULA(C90)</formula>
    </cfRule>
  </conditionalFormatting>
  <conditionalFormatting sqref="C728:F728 C729:N729 R729:Z729">
    <cfRule type="expression" dxfId="300" priority="921">
      <formula>_xlfn.ISFORMULA(C728)</formula>
    </cfRule>
  </conditionalFormatting>
  <conditionalFormatting sqref="C119:D120 R120:Z120 F120:N120 F119">
    <cfRule type="expression" dxfId="299" priority="942">
      <formula>_xlfn.ISFORMULA(C119)</formula>
    </cfRule>
  </conditionalFormatting>
  <conditionalFormatting sqref="C148:D149 R149:Z149 F149:N149 F148">
    <cfRule type="expression" dxfId="298" priority="941">
      <formula>_xlfn.ISFORMULA(C148)</formula>
    </cfRule>
  </conditionalFormatting>
  <conditionalFormatting sqref="C177:D178 R178:Z178 F178:N178 F177">
    <cfRule type="expression" dxfId="297" priority="940">
      <formula>_xlfn.ISFORMULA(C177)</formula>
    </cfRule>
  </conditionalFormatting>
  <conditionalFormatting sqref="C206:D207 R207:Z207 F207:N207 F206">
    <cfRule type="expression" dxfId="296" priority="939">
      <formula>_xlfn.ISFORMULA(C206)</formula>
    </cfRule>
  </conditionalFormatting>
  <conditionalFormatting sqref="C235:D236 R236:Z236 F236:N236 F235">
    <cfRule type="expression" dxfId="295" priority="938">
      <formula>_xlfn.ISFORMULA(C235)</formula>
    </cfRule>
  </conditionalFormatting>
  <conditionalFormatting sqref="C264:D265 R265:Z265 F265:N265 F264">
    <cfRule type="expression" dxfId="294" priority="937">
      <formula>_xlfn.ISFORMULA(C264)</formula>
    </cfRule>
  </conditionalFormatting>
  <conditionalFormatting sqref="C293:D294 R294:Z294 F294:N294 F293">
    <cfRule type="expression" dxfId="293" priority="936">
      <formula>_xlfn.ISFORMULA(C293)</formula>
    </cfRule>
  </conditionalFormatting>
  <conditionalFormatting sqref="C322:D323 W323:Z323 F323:K323 F322">
    <cfRule type="expression" dxfId="292" priority="935">
      <formula>_xlfn.ISFORMULA(C322)</formula>
    </cfRule>
  </conditionalFormatting>
  <conditionalFormatting sqref="C351:F351 C352:N352 R352:Z352">
    <cfRule type="expression" dxfId="291" priority="934">
      <formula>_xlfn.ISFORMULA(C351)</formula>
    </cfRule>
  </conditionalFormatting>
  <conditionalFormatting sqref="C380:F380 C381:N381 R381:Z381">
    <cfRule type="expression" dxfId="290" priority="933">
      <formula>_xlfn.ISFORMULA(C380)</formula>
    </cfRule>
  </conditionalFormatting>
  <conditionalFormatting sqref="C409:F409 C410:N410 R410:Z410">
    <cfRule type="expression" dxfId="289" priority="932">
      <formula>_xlfn.ISFORMULA(C409)</formula>
    </cfRule>
  </conditionalFormatting>
  <conditionalFormatting sqref="C438:F438 C439:N439 R439:Z439">
    <cfRule type="expression" dxfId="288" priority="931">
      <formula>_xlfn.ISFORMULA(C438)</formula>
    </cfRule>
  </conditionalFormatting>
  <conditionalFormatting sqref="C467:F467 C468:N468 R468:Z468">
    <cfRule type="expression" dxfId="287" priority="930">
      <formula>_xlfn.ISFORMULA(C467)</formula>
    </cfRule>
  </conditionalFormatting>
  <conditionalFormatting sqref="C496:F496 C497:N497 R497:Z497">
    <cfRule type="expression" dxfId="286" priority="929">
      <formula>_xlfn.ISFORMULA(C496)</formula>
    </cfRule>
  </conditionalFormatting>
  <conditionalFormatting sqref="C525:F525 C526:N526 R526:Z526">
    <cfRule type="expression" dxfId="285" priority="928">
      <formula>_xlfn.ISFORMULA(C525)</formula>
    </cfRule>
  </conditionalFormatting>
  <conditionalFormatting sqref="C554:F554 C555:N555 R555:Z555">
    <cfRule type="expression" dxfId="284" priority="927">
      <formula>_xlfn.ISFORMULA(C554)</formula>
    </cfRule>
  </conditionalFormatting>
  <conditionalFormatting sqref="C583:F583 C584:N584 R584:Z584">
    <cfRule type="expression" dxfId="283" priority="926">
      <formula>_xlfn.ISFORMULA(C583)</formula>
    </cfRule>
  </conditionalFormatting>
  <conditionalFormatting sqref="C612:F612 C613:N613 R613:Z613">
    <cfRule type="expression" dxfId="282" priority="925">
      <formula>_xlfn.ISFORMULA(C612)</formula>
    </cfRule>
  </conditionalFormatting>
  <conditionalFormatting sqref="C641:F641 C642:N642 R642:Z642">
    <cfRule type="expression" dxfId="281" priority="924">
      <formula>_xlfn.ISFORMULA(C641)</formula>
    </cfRule>
  </conditionalFormatting>
  <conditionalFormatting sqref="C670:F670 C671:N671 R671:Z671">
    <cfRule type="expression" dxfId="280" priority="923">
      <formula>_xlfn.ISFORMULA(C670)</formula>
    </cfRule>
  </conditionalFormatting>
  <conditionalFormatting sqref="C699:F699 C700:N700 R700:Z700">
    <cfRule type="expression" dxfId="279" priority="922">
      <formula>_xlfn.ISFORMULA(C699)</formula>
    </cfRule>
  </conditionalFormatting>
  <conditionalFormatting sqref="L6:M6">
    <cfRule type="expression" dxfId="278" priority="636">
      <formula>_xlfn.ISFORMULA(L6)</formula>
    </cfRule>
  </conditionalFormatting>
  <conditionalFormatting sqref="L64:M64">
    <cfRule type="expression" dxfId="277" priority="429">
      <formula>_xlfn.ISFORMULA(L64)</formula>
    </cfRule>
  </conditionalFormatting>
  <conditionalFormatting sqref="R64:T64 R65:Z66 AM64:AY65 R68:Z88 BD64:BE64 C65:P66 C64:K64 N64:P64 AZ65:BM65 C68:P68 C88:P88 K69:N87 AC65:AK65 C69:I69 AC68:AK87 P69:P87 AM68:BK68 AC88:AJ88 C71:I87 C70:E70 G70:I70 AM88:BK88 AN69:BK87 AM66 BM68:BM88 AO66:BK66 BM66 AC66:AJ66">
    <cfRule type="expression" dxfId="276" priority="430">
      <formula>_xlfn.ISFORMULA(C64)</formula>
    </cfRule>
  </conditionalFormatting>
  <conditionalFormatting sqref="J11:J29">
    <cfRule type="expression" dxfId="275" priority="548">
      <formula>_xlfn.ISFORMULA(J11)</formula>
    </cfRule>
  </conditionalFormatting>
  <conditionalFormatting sqref="E293:E294">
    <cfRule type="expression" dxfId="274" priority="550">
      <formula>_xlfn.ISFORMULA(E293)</formula>
    </cfRule>
  </conditionalFormatting>
  <conditionalFormatting sqref="E322:E323">
    <cfRule type="expression" dxfId="273" priority="549">
      <formula>_xlfn.ISFORMULA(E322)</formula>
    </cfRule>
  </conditionalFormatting>
  <conditionalFormatting sqref="E235:E236">
    <cfRule type="expression" dxfId="272" priority="552">
      <formula>_xlfn.ISFORMULA(E235)</formula>
    </cfRule>
  </conditionalFormatting>
  <conditionalFormatting sqref="E264:E265">
    <cfRule type="expression" dxfId="271" priority="551">
      <formula>_xlfn.ISFORMULA(E264)</formula>
    </cfRule>
  </conditionalFormatting>
  <conditionalFormatting sqref="E177:E178">
    <cfRule type="expression" dxfId="270" priority="554">
      <formula>_xlfn.ISFORMULA(E177)</formula>
    </cfRule>
  </conditionalFormatting>
  <conditionalFormatting sqref="E206:E207">
    <cfRule type="expression" dxfId="269" priority="553">
      <formula>_xlfn.ISFORMULA(E206)</formula>
    </cfRule>
  </conditionalFormatting>
  <conditionalFormatting sqref="E119:E120">
    <cfRule type="expression" dxfId="268" priority="556">
      <formula>_xlfn.ISFORMULA(E119)</formula>
    </cfRule>
  </conditionalFormatting>
  <conditionalFormatting sqref="E148:E149">
    <cfRule type="expression" dxfId="267" priority="555">
      <formula>_xlfn.ISFORMULA(E148)</formula>
    </cfRule>
  </conditionalFormatting>
  <conditionalFormatting sqref="E90:E91">
    <cfRule type="expression" dxfId="266" priority="557">
      <formula>_xlfn.ISFORMULA(E90)</formula>
    </cfRule>
  </conditionalFormatting>
  <conditionalFormatting sqref="R35:T35 R36:Z37 AM35:AY36 R39:Z59 BD35:BE35 C36:P37 C35:K35 N35:P35 AZ36:BM36 C39:P39 C59:P59 K40:N58 AC36:AK36 C40:I40 AC39:AK58 P40:P58 AM39:BK39 AC59:AJ59 C42:I58 C41:E41 G41:I41 AM59:BK59 AN40:BK58 AM37 BM39:BM59 AO37:BK37 BM37 AC37:AJ37">
    <cfRule type="expression" dxfId="265" priority="446">
      <formula>_xlfn.ISFORMULA(C35)</formula>
    </cfRule>
  </conditionalFormatting>
  <conditionalFormatting sqref="L35:M35">
    <cfRule type="expression" dxfId="264" priority="445">
      <formula>_xlfn.ISFORMULA(L35)</formula>
    </cfRule>
  </conditionalFormatting>
  <conditionalFormatting sqref="R702:T702 R703:Z704 AM702:AY703 R706:Z726 BD702:BE702 C703:P704 C702:K702 N702:P702 AZ703:BM703 C706:P706 C726:P726 K707:N725 AC703:AK703 C707:I725 AC706:AK725 P707:P725 AM706:BK706 AC726:AJ726 AM726:BK726 AN707:BK725 AM704 BM706:BM726 AO704:BK704 BM704 AC704:AJ704">
    <cfRule type="expression" dxfId="263" priority="342">
      <formula>_xlfn.ISFORMULA(C702)</formula>
    </cfRule>
  </conditionalFormatting>
  <conditionalFormatting sqref="L702:M702">
    <cfRule type="expression" dxfId="262" priority="341">
      <formula>_xlfn.ISFORMULA(L702)</formula>
    </cfRule>
  </conditionalFormatting>
  <conditionalFormatting sqref="R93:T93 R94:Z95 AM93:AY94 R97:Z117 BD93:BE93 C94:P95 C93:K93 N93:P93 AZ94:BM94 C97:P97 C117:P117 K98:N116 AC94:AK94 C98:I98 AC97:AK116 P98:P116 AM97:BK97 AC117:AJ117 C100:I116 C99:E99 G99:I99 AM117:BK117 AN98:BK116 AM95 BM97:BM117 AO95:BK95 BM95 AC95:AJ95">
    <cfRule type="expression" dxfId="261" priority="426">
      <formula>_xlfn.ISFORMULA(C93)</formula>
    </cfRule>
  </conditionalFormatting>
  <conditionalFormatting sqref="L93:M93">
    <cfRule type="expression" dxfId="260" priority="425">
      <formula>_xlfn.ISFORMULA(L93)</formula>
    </cfRule>
  </conditionalFormatting>
  <conditionalFormatting sqref="R122:T122 R123:Z124 AM122:AY123 R126:Z146 BD122:BE122 C123:P124 C122:K122 N122:P122 AZ123:BM123 C126:P126 C146:P146 K127:N145 AC123:AK123 C127:I127 AC126:AK145 P127:P145 AM126:BK126 AC146:AJ146 C129:I145 C128:E128 G128:I128 AM146:BK146 AN127:BK145 AM124 BM126:BM146 AO124:BK124 BM124 AC124:AJ124">
    <cfRule type="expression" dxfId="259" priority="422">
      <formula>_xlfn.ISFORMULA(C122)</formula>
    </cfRule>
  </conditionalFormatting>
  <conditionalFormatting sqref="L122:M122">
    <cfRule type="expression" dxfId="258" priority="421">
      <formula>_xlfn.ISFORMULA(L122)</formula>
    </cfRule>
  </conditionalFormatting>
  <conditionalFormatting sqref="R151:T151 R152:Z153 AM151:AY152 R155:Z175 BD151:BE151 C152:P153 C151:K151 N151:P151 AZ152:BM152 C155:P155 C175:P175 K156:N174 AC152:AK152 C156:I156 AC155:AK174 P156:P174 AM155:BK155 AC175:AJ175 C158:I174 C157:E157 G157:I157 AM175:BK175 AN156:BK174 AM153 BM155:BM175 AO153:BK153 BM153 AC153:AJ153">
    <cfRule type="expression" dxfId="257" priority="418">
      <formula>_xlfn.ISFORMULA(C151)</formula>
    </cfRule>
  </conditionalFormatting>
  <conditionalFormatting sqref="L151:M151">
    <cfRule type="expression" dxfId="256" priority="417">
      <formula>_xlfn.ISFORMULA(L151)</formula>
    </cfRule>
  </conditionalFormatting>
  <conditionalFormatting sqref="R180:T180 R181:Z182 AM180:AY181 R184:Z204 BD180:BE180 C181:P182 C180:K180 N180:P180 AZ181:BM181 C184:P184 C204:P204 K185:N203 AC181:AK181 C185:I185 AC184:AK203 P185:P203 AM184:BK184 AC204:AJ204 C187:I203 C186:E186 G186:I186 AM204:BK204 AN185:BK203 AM182 BM184:BM204 AO182:BK182 BM182 AC182:AJ182">
    <cfRule type="expression" dxfId="255" priority="414">
      <formula>_xlfn.ISFORMULA(C180)</formula>
    </cfRule>
  </conditionalFormatting>
  <conditionalFormatting sqref="L180:M180">
    <cfRule type="expression" dxfId="254" priority="413">
      <formula>_xlfn.ISFORMULA(L180)</formula>
    </cfRule>
  </conditionalFormatting>
  <conditionalFormatting sqref="R209:T209 R210:Z211 AM209:AY210 R213:Z233 BD209:BE209 C210:P211 C209:K209 N209:P209 AZ210:BM210 C213:P213 C233:P233 K214:N232 AC210:AK210 C214:I214 AC213:AK232 P214:P232 AM213:BK213 AC233:AJ233 C216:I232 C215:E215 G215:I215 AM233:BK233 AN214:BK232 AM211 BM213:BM233 AO211:BK211 BM211 AC211:AJ211">
    <cfRule type="expression" dxfId="253" priority="410">
      <formula>_xlfn.ISFORMULA(C209)</formula>
    </cfRule>
  </conditionalFormatting>
  <conditionalFormatting sqref="L209:M209">
    <cfRule type="expression" dxfId="252" priority="409">
      <formula>_xlfn.ISFORMULA(L209)</formula>
    </cfRule>
  </conditionalFormatting>
  <conditionalFormatting sqref="R238:T238 R239:Z240 AM238:AY239 R242:Z262 BD238:BE238 C239:P240 C238:K238 N238:P238 AZ239:BM239 C242:P242 C262:P262 K243:N261 AC239:AK239 C243:I243 AC242:AK261 P243:P261 AM242:BK242 AC262:AJ262 C245:I261 C244:E244 G244:I244 AM262:BK262 AN243:BK261 AM240 BM242:BM262 AO240:BK240 BM240 AC240:AJ240">
    <cfRule type="expression" dxfId="251" priority="406">
      <formula>_xlfn.ISFORMULA(C238)</formula>
    </cfRule>
  </conditionalFormatting>
  <conditionalFormatting sqref="L238:M238">
    <cfRule type="expression" dxfId="250" priority="405">
      <formula>_xlfn.ISFORMULA(L238)</formula>
    </cfRule>
  </conditionalFormatting>
  <conditionalFormatting sqref="R267:T267 R268:Z269 AM267:AY268 R271:Z291 BD267:BE267 C268:P269 C267:K267 N267:P267 AZ268:BM268 C271:P271 C291:P291 K272:N290 AC268:AK268 C272:I272 AC271:AK290 P272:P290 AM271:BK271 AC291:AJ291 C274:I290 C273:E273 G273:I273 AM291:BK291 AN272:BK290 AM269 BM271:BM291 AO269:BK269 BM269 AC269:AJ269">
    <cfRule type="expression" dxfId="249" priority="402">
      <formula>_xlfn.ISFORMULA(C267)</formula>
    </cfRule>
  </conditionalFormatting>
  <conditionalFormatting sqref="L267:M267">
    <cfRule type="expression" dxfId="248" priority="401">
      <formula>_xlfn.ISFORMULA(L267)</formula>
    </cfRule>
  </conditionalFormatting>
  <conditionalFormatting sqref="R296:T296 R297:Z298 AM296:AY297 R300:Z320 BD296:BE296 C297:P298 C296:K296 N296:P296 AZ297:BM297 C300:P300 C320:P320 K301:N319 AC297:AK297 C301:I301 AC300:AK319 P301:P319 AM300:BK300 AC320:AJ320 C303:I319 C302:E302 G302:I302 AM320:BK320 AN301:BK319 AM298 BM300:BM320 AO298:BK298 BM298 AC298:AJ298">
    <cfRule type="expression" dxfId="247" priority="398">
      <formula>_xlfn.ISFORMULA(C296)</formula>
    </cfRule>
  </conditionalFormatting>
  <conditionalFormatting sqref="L296:M296">
    <cfRule type="expression" dxfId="246" priority="397">
      <formula>_xlfn.ISFORMULA(L296)</formula>
    </cfRule>
  </conditionalFormatting>
  <conditionalFormatting sqref="R325:T325 R326:Z327 AM325:AY326 R329:Z349 BD325:BE325 C326:P327 C325:K325 N325:P325 AZ326:BM326 C329:P329 C349:P349 K330:N348 AC326:AK326 C330:I330 AC329:AK348 P330:P348 AM329:BK329 AM349:BK349 AN330:AY348 BA330:BK348 AC349:AJ349 C332:I348 C331:E331 G331:I331 AM327 BM329:BM349 AO327:BK327 BM327 AC327:AJ327">
    <cfRule type="expression" dxfId="245" priority="394">
      <formula>_xlfn.ISFORMULA(C325)</formula>
    </cfRule>
  </conditionalFormatting>
  <conditionalFormatting sqref="L325:M325">
    <cfRule type="expression" dxfId="244" priority="393">
      <formula>_xlfn.ISFORMULA(L325)</formula>
    </cfRule>
  </conditionalFormatting>
  <conditionalFormatting sqref="R354:T354 R355:Z356 AM354:AY355 R358:Z378 BD354:BE354 C355:P356 C354:K354 N354:P354 AZ355:BM355 C358:P358 C378:P378 K359:N377 AC355:AK355 C359:I377 AC358:AK377 P359:P377 AM358:BK358 AC378:AJ378 AM378:BK378 AN359:BK377 AM356 BM358:BM378 AO356:BK356 BM356 AC356:AJ356">
    <cfRule type="expression" dxfId="243" priority="390">
      <formula>_xlfn.ISFORMULA(C354)</formula>
    </cfRule>
  </conditionalFormatting>
  <conditionalFormatting sqref="L354:M354">
    <cfRule type="expression" dxfId="242" priority="389">
      <formula>_xlfn.ISFORMULA(L354)</formula>
    </cfRule>
  </conditionalFormatting>
  <conditionalFormatting sqref="R383:T383 R384:Z385 AM383:AY384 R387:Z407 BD383:BE383 C384:P385 C383:K383 N383:P383 AZ384:BM384 C387:P387 C407:P407 K388:N406 AC384:AK384 C388:I406 AC387:AK406 P388:P406 AM387:BK387 AC407:AJ407 AM407:BK407 AN388:BK406 AM385 BM387:BM407 AO385:BK385 BM385 AC385:AJ385">
    <cfRule type="expression" dxfId="241" priority="386">
      <formula>_xlfn.ISFORMULA(C383)</formula>
    </cfRule>
  </conditionalFormatting>
  <conditionalFormatting sqref="L383:M383">
    <cfRule type="expression" dxfId="240" priority="385">
      <formula>_xlfn.ISFORMULA(L383)</formula>
    </cfRule>
  </conditionalFormatting>
  <conditionalFormatting sqref="R412:T412 R413:Z414 AM412:AY413 R416:Z436 BD412:BE412 C413:P414 C412:K412 N412:P412 AZ413:BM413 C416:P416 C436:P436 K417:N435 AC413:AK413 C417:I435 AC416:AK435 P417:P435 AM416:BK416 AC436:AJ436 AM436:BK436 AN417:BK435 AM414 BM416:BM436 AO414:BK414 BM414 AC414:AJ414">
    <cfRule type="expression" dxfId="239" priority="382">
      <formula>_xlfn.ISFORMULA(C412)</formula>
    </cfRule>
  </conditionalFormatting>
  <conditionalFormatting sqref="L412:M412">
    <cfRule type="expression" dxfId="238" priority="381">
      <formula>_xlfn.ISFORMULA(L412)</formula>
    </cfRule>
  </conditionalFormatting>
  <conditionalFormatting sqref="R441:T441 R442:Z443 AM441:AY442 R445:Z465 BD441:BE441 C442:P443 C441:K441 N441:P441 AZ442:BM442 C445:P445 C465:P465 K446:N464 AC442:AK442 C446:I464 AC445:AK464 P446:P464 AM445:BK445 AC465:AJ465 AM465:BK465 AN446:BK464 AM443 BM445:BM465 AO443:BK443 BM443 AC443:AJ443">
    <cfRule type="expression" dxfId="237" priority="378">
      <formula>_xlfn.ISFORMULA(C441)</formula>
    </cfRule>
  </conditionalFormatting>
  <conditionalFormatting sqref="L441:M441">
    <cfRule type="expression" dxfId="236" priority="377">
      <formula>_xlfn.ISFORMULA(L441)</formula>
    </cfRule>
  </conditionalFormatting>
  <conditionalFormatting sqref="R470:T470 R471:Z472 AM470:AY471 R474:Z494 BD470:BE470 C471:P472 C470:K470 N470:P470 AZ471:BM471 C474:P474 C494:P494 K475:N493 AC471:AK471 C475:I493 AC474:AK493 P475:P493 AM474:BK474 AC494:AJ494 AM494:BK494 AN475:BK493 AM472 BM474:BM494 AO472:BK472 BM472 AC472:AJ472">
    <cfRule type="expression" dxfId="235" priority="374">
      <formula>_xlfn.ISFORMULA(C470)</formula>
    </cfRule>
  </conditionalFormatting>
  <conditionalFormatting sqref="L470:M470">
    <cfRule type="expression" dxfId="234" priority="373">
      <formula>_xlfn.ISFORMULA(L470)</formula>
    </cfRule>
  </conditionalFormatting>
  <conditionalFormatting sqref="R499:T499 R500:Z501 AM499:AY500 R503:Z523 BD499:BE499 C500:P501 C499:K499 N499:P499 AZ500:BM500 C503:P503 C523:P523 K504:N522 AC500:AK500 C504:I522 AC503:AK522 P504:P522 AM503:BK503 AC523:AJ523 AM523:BK523 AN504:BK522 AM501 BM503:BM523 AO501:BK501 BM501 AC501:AJ501">
    <cfRule type="expression" dxfId="233" priority="370">
      <formula>_xlfn.ISFORMULA(C499)</formula>
    </cfRule>
  </conditionalFormatting>
  <conditionalFormatting sqref="L499:M499">
    <cfRule type="expression" dxfId="232" priority="369">
      <formula>_xlfn.ISFORMULA(L499)</formula>
    </cfRule>
  </conditionalFormatting>
  <conditionalFormatting sqref="R528:T528 R529:Z530 AM528:AY529 R532:Z552 BD528:BE528 C529:P530 C528:K528 N528:P528 AZ529:BM529 C532:P532 C552:P552 K533:N551 AC529:AK529 C533:I551 AC532:AK551 P533:P551 AM532:BK532 AC552:AJ552 AM552:BK552 AN533:BK551 AM530 BM532:BM552 AO530:BK530 BM530 AC530:AJ530">
    <cfRule type="expression" dxfId="231" priority="366">
      <formula>_xlfn.ISFORMULA(C528)</formula>
    </cfRule>
  </conditionalFormatting>
  <conditionalFormatting sqref="L528:M528">
    <cfRule type="expression" dxfId="230" priority="365">
      <formula>_xlfn.ISFORMULA(L528)</formula>
    </cfRule>
  </conditionalFormatting>
  <conditionalFormatting sqref="R557:T557 R558:Z559 AM557:AY558 R561:Z581 BD557:BE557 C558:P559 C557:K557 N557:P557 AZ558:BM558 C561:P561 C581:P581 K562:N580 AC558:AK558 C562:I580 AC561:AK580 P562:P580 AM561:BK561 AC581:AJ581 AM581:BK581 AN562:BK580 AM559 BM561:BM581 AO559:BK559 BM559 AC559:AJ559">
    <cfRule type="expression" dxfId="229" priority="362">
      <formula>_xlfn.ISFORMULA(C557)</formula>
    </cfRule>
  </conditionalFormatting>
  <conditionalFormatting sqref="L557:M557">
    <cfRule type="expression" dxfId="228" priority="361">
      <formula>_xlfn.ISFORMULA(L557)</formula>
    </cfRule>
  </conditionalFormatting>
  <conditionalFormatting sqref="R586:T586 R587:Z588 AM586:AY587 R590:Z610 BD586:BE586 C587:P588 C586:K586 N586:P586 AZ587:BM587 C590:P590 C610:P610 K591:N609 AC587:AK587 C591:I609 AC590:AK609 P591:P609 AM590:BK590 AC610:AJ610 AM610:BK610 AN591:BK609 AM588 BM590:BM610 AO588:BK588 BM588 AC588:AJ588">
    <cfRule type="expression" dxfId="227" priority="358">
      <formula>_xlfn.ISFORMULA(C586)</formula>
    </cfRule>
  </conditionalFormatting>
  <conditionalFormatting sqref="L586:M586">
    <cfRule type="expression" dxfId="226" priority="357">
      <formula>_xlfn.ISFORMULA(L586)</formula>
    </cfRule>
  </conditionalFormatting>
  <conditionalFormatting sqref="R615:T615 R616:Z617 AM615:AY616 R619:Z639 BD615:BE615 C616:P617 C615:K615 N615:P615 AZ616:BM616 C619:P619 C639:P639 K620:N638 AC616:AK616 C620:I638 AC619:AK638 P620:P638 AM619:BK619 AC639:AJ639 AM639:BK639 AN620:BK638 AM617 BM619:BM639 AO617:BK617 BM617 AC617:AJ617">
    <cfRule type="expression" dxfId="225" priority="354">
      <formula>_xlfn.ISFORMULA(C615)</formula>
    </cfRule>
  </conditionalFormatting>
  <conditionalFormatting sqref="L615:M615">
    <cfRule type="expression" dxfId="224" priority="353">
      <formula>_xlfn.ISFORMULA(L615)</formula>
    </cfRule>
  </conditionalFormatting>
  <conditionalFormatting sqref="R644:T644 R645:Z646 AM644:AY645 R648:Z668 BD644:BE644 C645:P646 C644:K644 N644:P644 AZ645:BM645 C648:P648 C668:P668 K649:N667 AC645:AK645 C649:I667 AC648:AK667 P649:P667 AM648:BK648 AC668:AJ668 AM668:BK668 AN649:BK667 AM646 BM648:BM668 AO646:BK646 BM646 AC646:AJ646">
    <cfRule type="expression" dxfId="223" priority="350">
      <formula>_xlfn.ISFORMULA(C644)</formula>
    </cfRule>
  </conditionalFormatting>
  <conditionalFormatting sqref="L644:M644">
    <cfRule type="expression" dxfId="222" priority="349">
      <formula>_xlfn.ISFORMULA(L644)</formula>
    </cfRule>
  </conditionalFormatting>
  <conditionalFormatting sqref="R673:T673 R674:Z675 AM673:AY674 R677:Z697 BD673:BE673 C674:P675 C673:K673 N673:P673 AZ674:BM674 C677:P677 C697:P697 K678:N696 AC674:AK674 C678:I696 AC677:AK696 P678:P696 AM677:BK677 AC697:AJ697 AM697:BK697 AN678:BK696 AM675 BM677:BM697 AO675:BK675 BM675 AC675:AJ675">
    <cfRule type="expression" dxfId="221" priority="346">
      <formula>_xlfn.ISFORMULA(C673)</formula>
    </cfRule>
  </conditionalFormatting>
  <conditionalFormatting sqref="L673:M673">
    <cfRule type="expression" dxfId="220" priority="345">
      <formula>_xlfn.ISFORMULA(L673)</formula>
    </cfRule>
  </conditionalFormatting>
  <conditionalFormatting sqref="R731:T731 R732:Z733 AM731:AY732 R735:Z755 BD731:BE731 C732:P733 C731:K731 N731:P731 AZ732:BM732 C735:P735 C755:P755 K736:N754 AC732:AK732 C736:I754 AC735:AK754 P736:P754 AM735:BK735 AC755:AJ755 AM755:BK755 AN736:BK754 AM733 BM735:BM755 AO733:BK733 BM733 AC733:AJ733">
    <cfRule type="expression" dxfId="219" priority="338">
      <formula>_xlfn.ISFORMULA(C731)</formula>
    </cfRule>
  </conditionalFormatting>
  <conditionalFormatting sqref="L731:M731">
    <cfRule type="expression" dxfId="218" priority="337">
      <formula>_xlfn.ISFORMULA(L731)</formula>
    </cfRule>
  </conditionalFormatting>
  <conditionalFormatting sqref="AZ330:AZ348">
    <cfRule type="expression" dxfId="217" priority="333">
      <formula>_xlfn.ISFORMULA(AZ330)</formula>
    </cfRule>
  </conditionalFormatting>
  <conditionalFormatting sqref="AK59">
    <cfRule type="expression" dxfId="216" priority="332">
      <formula>_xlfn.ISFORMULA(AK59)</formula>
    </cfRule>
  </conditionalFormatting>
  <conditionalFormatting sqref="AK88">
    <cfRule type="expression" dxfId="215" priority="331">
      <formula>_xlfn.ISFORMULA(AK88)</formula>
    </cfRule>
  </conditionalFormatting>
  <conditionalFormatting sqref="AK117">
    <cfRule type="expression" dxfId="214" priority="330">
      <formula>_xlfn.ISFORMULA(AK117)</formula>
    </cfRule>
  </conditionalFormatting>
  <conditionalFormatting sqref="AK146">
    <cfRule type="expression" dxfId="213" priority="329">
      <formula>_xlfn.ISFORMULA(AK146)</formula>
    </cfRule>
  </conditionalFormatting>
  <conditionalFormatting sqref="AK175">
    <cfRule type="expression" dxfId="212" priority="328">
      <formula>_xlfn.ISFORMULA(AK175)</formula>
    </cfRule>
  </conditionalFormatting>
  <conditionalFormatting sqref="AK204">
    <cfRule type="expression" dxfId="211" priority="327">
      <formula>_xlfn.ISFORMULA(AK204)</formula>
    </cfRule>
  </conditionalFormatting>
  <conditionalFormatting sqref="AK233">
    <cfRule type="expression" dxfId="210" priority="326">
      <formula>_xlfn.ISFORMULA(AK233)</formula>
    </cfRule>
  </conditionalFormatting>
  <conditionalFormatting sqref="AK262">
    <cfRule type="expression" dxfId="209" priority="325">
      <formula>_xlfn.ISFORMULA(AK262)</formula>
    </cfRule>
  </conditionalFormatting>
  <conditionalFormatting sqref="AK291">
    <cfRule type="expression" dxfId="208" priority="324">
      <formula>_xlfn.ISFORMULA(AK291)</formula>
    </cfRule>
  </conditionalFormatting>
  <conditionalFormatting sqref="AK320">
    <cfRule type="expression" dxfId="207" priority="323">
      <formula>_xlfn.ISFORMULA(AK320)</formula>
    </cfRule>
  </conditionalFormatting>
  <conditionalFormatting sqref="AK349">
    <cfRule type="expression" dxfId="206" priority="322">
      <formula>_xlfn.ISFORMULA(AK349)</formula>
    </cfRule>
  </conditionalFormatting>
  <conditionalFormatting sqref="AK378">
    <cfRule type="expression" dxfId="205" priority="321">
      <formula>_xlfn.ISFORMULA(AK378)</formula>
    </cfRule>
  </conditionalFormatting>
  <conditionalFormatting sqref="AK407">
    <cfRule type="expression" dxfId="204" priority="320">
      <formula>_xlfn.ISFORMULA(AK407)</formula>
    </cfRule>
  </conditionalFormatting>
  <conditionalFormatting sqref="AK436">
    <cfRule type="expression" dxfId="203" priority="319">
      <formula>_xlfn.ISFORMULA(AK436)</formula>
    </cfRule>
  </conditionalFormatting>
  <conditionalFormatting sqref="AK465">
    <cfRule type="expression" dxfId="202" priority="318">
      <formula>_xlfn.ISFORMULA(AK465)</formula>
    </cfRule>
  </conditionalFormatting>
  <conditionalFormatting sqref="AK494">
    <cfRule type="expression" dxfId="201" priority="317">
      <formula>_xlfn.ISFORMULA(AK494)</formula>
    </cfRule>
  </conditionalFormatting>
  <conditionalFormatting sqref="AK523">
    <cfRule type="expression" dxfId="200" priority="316">
      <formula>_xlfn.ISFORMULA(AK523)</formula>
    </cfRule>
  </conditionalFormatting>
  <conditionalFormatting sqref="AK552">
    <cfRule type="expression" dxfId="199" priority="315">
      <formula>_xlfn.ISFORMULA(AK552)</formula>
    </cfRule>
  </conditionalFormatting>
  <conditionalFormatting sqref="AK581">
    <cfRule type="expression" dxfId="198" priority="314">
      <formula>_xlfn.ISFORMULA(AK581)</formula>
    </cfRule>
  </conditionalFormatting>
  <conditionalFormatting sqref="AK610">
    <cfRule type="expression" dxfId="197" priority="313">
      <formula>_xlfn.ISFORMULA(AK610)</formula>
    </cfRule>
  </conditionalFormatting>
  <conditionalFormatting sqref="AK639">
    <cfRule type="expression" dxfId="196" priority="312">
      <formula>_xlfn.ISFORMULA(AK639)</formula>
    </cfRule>
  </conditionalFormatting>
  <conditionalFormatting sqref="AK668">
    <cfRule type="expression" dxfId="195" priority="311">
      <formula>_xlfn.ISFORMULA(AK668)</formula>
    </cfRule>
  </conditionalFormatting>
  <conditionalFormatting sqref="AK697">
    <cfRule type="expression" dxfId="194" priority="310">
      <formula>_xlfn.ISFORMULA(AK697)</formula>
    </cfRule>
  </conditionalFormatting>
  <conditionalFormatting sqref="AK726">
    <cfRule type="expression" dxfId="193" priority="309">
      <formula>_xlfn.ISFORMULA(AK726)</formula>
    </cfRule>
  </conditionalFormatting>
  <conditionalFormatting sqref="AK755">
    <cfRule type="expression" dxfId="192" priority="308">
      <formula>_xlfn.ISFORMULA(AK755)</formula>
    </cfRule>
  </conditionalFormatting>
  <conditionalFormatting sqref="F41">
    <cfRule type="expression" dxfId="191" priority="307">
      <formula>_xlfn.ISFORMULA(F41)</formula>
    </cfRule>
  </conditionalFormatting>
  <conditionalFormatting sqref="F70">
    <cfRule type="expression" dxfId="190" priority="306">
      <formula>_xlfn.ISFORMULA(F70)</formula>
    </cfRule>
  </conditionalFormatting>
  <conditionalFormatting sqref="F99">
    <cfRule type="expression" dxfId="189" priority="305">
      <formula>_xlfn.ISFORMULA(F99)</formula>
    </cfRule>
  </conditionalFormatting>
  <conditionalFormatting sqref="F128">
    <cfRule type="expression" dxfId="188" priority="304">
      <formula>_xlfn.ISFORMULA(F128)</formula>
    </cfRule>
  </conditionalFormatting>
  <conditionalFormatting sqref="F157">
    <cfRule type="expression" dxfId="187" priority="303">
      <formula>_xlfn.ISFORMULA(F157)</formula>
    </cfRule>
  </conditionalFormatting>
  <conditionalFormatting sqref="F186">
    <cfRule type="expression" dxfId="186" priority="302">
      <formula>_xlfn.ISFORMULA(F186)</formula>
    </cfRule>
  </conditionalFormatting>
  <conditionalFormatting sqref="F215">
    <cfRule type="expression" dxfId="185" priority="301">
      <formula>_xlfn.ISFORMULA(F215)</formula>
    </cfRule>
  </conditionalFormatting>
  <conditionalFormatting sqref="F244">
    <cfRule type="expression" dxfId="184" priority="300">
      <formula>_xlfn.ISFORMULA(F244)</formula>
    </cfRule>
  </conditionalFormatting>
  <conditionalFormatting sqref="F273">
    <cfRule type="expression" dxfId="183" priority="299">
      <formula>_xlfn.ISFORMULA(F273)</formula>
    </cfRule>
  </conditionalFormatting>
  <conditionalFormatting sqref="F302">
    <cfRule type="expression" dxfId="182" priority="298">
      <formula>_xlfn.ISFORMULA(F302)</formula>
    </cfRule>
  </conditionalFormatting>
  <conditionalFormatting sqref="F331">
    <cfRule type="expression" dxfId="181" priority="297">
      <formula>_xlfn.ISFORMULA(F331)</formula>
    </cfRule>
  </conditionalFormatting>
  <conditionalFormatting sqref="J40:J58">
    <cfRule type="expression" dxfId="180" priority="183">
      <formula>_xlfn.ISFORMULA(J40)</formula>
    </cfRule>
  </conditionalFormatting>
  <conditionalFormatting sqref="J69:J87">
    <cfRule type="expression" dxfId="179" priority="182">
      <formula>_xlfn.ISFORMULA(J69)</formula>
    </cfRule>
  </conditionalFormatting>
  <conditionalFormatting sqref="J98:J116">
    <cfRule type="expression" dxfId="178" priority="181">
      <formula>_xlfn.ISFORMULA(J98)</formula>
    </cfRule>
  </conditionalFormatting>
  <conditionalFormatting sqref="J127:J145">
    <cfRule type="expression" dxfId="177" priority="180">
      <formula>_xlfn.ISFORMULA(J127)</formula>
    </cfRule>
  </conditionalFormatting>
  <conditionalFormatting sqref="J156:J174">
    <cfRule type="expression" dxfId="176" priority="179">
      <formula>_xlfn.ISFORMULA(J156)</formula>
    </cfRule>
  </conditionalFormatting>
  <conditionalFormatting sqref="J185:J203">
    <cfRule type="expression" dxfId="175" priority="178">
      <formula>_xlfn.ISFORMULA(J185)</formula>
    </cfRule>
  </conditionalFormatting>
  <conditionalFormatting sqref="J214:J232">
    <cfRule type="expression" dxfId="174" priority="177">
      <formula>_xlfn.ISFORMULA(J214)</formula>
    </cfRule>
  </conditionalFormatting>
  <conditionalFormatting sqref="J243:J261">
    <cfRule type="expression" dxfId="173" priority="176">
      <formula>_xlfn.ISFORMULA(J243)</formula>
    </cfRule>
  </conditionalFormatting>
  <conditionalFormatting sqref="J272:J290">
    <cfRule type="expression" dxfId="172" priority="175">
      <formula>_xlfn.ISFORMULA(J272)</formula>
    </cfRule>
  </conditionalFormatting>
  <conditionalFormatting sqref="J301:J319">
    <cfRule type="expression" dxfId="171" priority="174">
      <formula>_xlfn.ISFORMULA(J301)</formula>
    </cfRule>
  </conditionalFormatting>
  <conditionalFormatting sqref="J330:J348">
    <cfRule type="expression" dxfId="170" priority="173">
      <formula>_xlfn.ISFORMULA(J330)</formula>
    </cfRule>
  </conditionalFormatting>
  <conditionalFormatting sqref="J359:J377">
    <cfRule type="expression" dxfId="169" priority="172">
      <formula>_xlfn.ISFORMULA(J359)</formula>
    </cfRule>
  </conditionalFormatting>
  <conditionalFormatting sqref="J388:J406">
    <cfRule type="expression" dxfId="168" priority="171">
      <formula>_xlfn.ISFORMULA(J388)</formula>
    </cfRule>
  </conditionalFormatting>
  <conditionalFormatting sqref="J417:J435">
    <cfRule type="expression" dxfId="167" priority="170">
      <formula>_xlfn.ISFORMULA(J417)</formula>
    </cfRule>
  </conditionalFormatting>
  <conditionalFormatting sqref="J446:J464">
    <cfRule type="expression" dxfId="166" priority="169">
      <formula>_xlfn.ISFORMULA(J446)</formula>
    </cfRule>
  </conditionalFormatting>
  <conditionalFormatting sqref="J475:J493">
    <cfRule type="expression" dxfId="165" priority="168">
      <formula>_xlfn.ISFORMULA(J475)</formula>
    </cfRule>
  </conditionalFormatting>
  <conditionalFormatting sqref="J504:J522">
    <cfRule type="expression" dxfId="164" priority="167">
      <formula>_xlfn.ISFORMULA(J504)</formula>
    </cfRule>
  </conditionalFormatting>
  <conditionalFormatting sqref="J533:J551">
    <cfRule type="expression" dxfId="163" priority="166">
      <formula>_xlfn.ISFORMULA(J533)</formula>
    </cfRule>
  </conditionalFormatting>
  <conditionalFormatting sqref="J562:J580">
    <cfRule type="expression" dxfId="162" priority="165">
      <formula>_xlfn.ISFORMULA(J562)</formula>
    </cfRule>
  </conditionalFormatting>
  <conditionalFormatting sqref="J591:J609">
    <cfRule type="expression" dxfId="161" priority="164">
      <formula>_xlfn.ISFORMULA(J591)</formula>
    </cfRule>
  </conditionalFormatting>
  <conditionalFormatting sqref="J620:J638">
    <cfRule type="expression" dxfId="160" priority="163">
      <formula>_xlfn.ISFORMULA(J620)</formula>
    </cfRule>
  </conditionalFormatting>
  <conditionalFormatting sqref="J649:J667">
    <cfRule type="expression" dxfId="159" priority="162">
      <formula>_xlfn.ISFORMULA(J649)</formula>
    </cfRule>
  </conditionalFormatting>
  <conditionalFormatting sqref="J678:J696">
    <cfRule type="expression" dxfId="158" priority="161">
      <formula>_xlfn.ISFORMULA(J678)</formula>
    </cfRule>
  </conditionalFormatting>
  <conditionalFormatting sqref="J707:J725">
    <cfRule type="expression" dxfId="157" priority="160">
      <formula>_xlfn.ISFORMULA(J707)</formula>
    </cfRule>
  </conditionalFormatting>
  <conditionalFormatting sqref="J736:J754">
    <cfRule type="expression" dxfId="156" priority="159">
      <formula>_xlfn.ISFORMULA(J736)</formula>
    </cfRule>
  </conditionalFormatting>
  <conditionalFormatting sqref="O11:O29">
    <cfRule type="expression" dxfId="155" priority="158">
      <formula>_xlfn.ISFORMULA(O11)</formula>
    </cfRule>
  </conditionalFormatting>
  <conditionalFormatting sqref="O40:O58">
    <cfRule type="expression" dxfId="154" priority="157">
      <formula>_xlfn.ISFORMULA(O40)</formula>
    </cfRule>
  </conditionalFormatting>
  <conditionalFormatting sqref="O69:O87">
    <cfRule type="expression" dxfId="153" priority="156">
      <formula>_xlfn.ISFORMULA(O69)</formula>
    </cfRule>
  </conditionalFormatting>
  <conditionalFormatting sqref="O98:O116">
    <cfRule type="expression" dxfId="152" priority="155">
      <formula>_xlfn.ISFORMULA(O98)</formula>
    </cfRule>
  </conditionalFormatting>
  <conditionalFormatting sqref="O127:O145">
    <cfRule type="expression" dxfId="151" priority="154">
      <formula>_xlfn.ISFORMULA(O127)</formula>
    </cfRule>
  </conditionalFormatting>
  <conditionalFormatting sqref="O156:O174">
    <cfRule type="expression" dxfId="150" priority="153">
      <formula>_xlfn.ISFORMULA(O156)</formula>
    </cfRule>
  </conditionalFormatting>
  <conditionalFormatting sqref="O185:O203">
    <cfRule type="expression" dxfId="149" priority="152">
      <formula>_xlfn.ISFORMULA(O185)</formula>
    </cfRule>
  </conditionalFormatting>
  <conditionalFormatting sqref="O214:O232">
    <cfRule type="expression" dxfId="148" priority="151">
      <formula>_xlfn.ISFORMULA(O214)</formula>
    </cfRule>
  </conditionalFormatting>
  <conditionalFormatting sqref="O243:O261">
    <cfRule type="expression" dxfId="147" priority="150">
      <formula>_xlfn.ISFORMULA(O243)</formula>
    </cfRule>
  </conditionalFormatting>
  <conditionalFormatting sqref="O272:O290">
    <cfRule type="expression" dxfId="146" priority="149">
      <formula>_xlfn.ISFORMULA(O272)</formula>
    </cfRule>
  </conditionalFormatting>
  <conditionalFormatting sqref="O301:O319">
    <cfRule type="expression" dxfId="145" priority="148">
      <formula>_xlfn.ISFORMULA(O301)</formula>
    </cfRule>
  </conditionalFormatting>
  <conditionalFormatting sqref="O330:O348">
    <cfRule type="expression" dxfId="144" priority="147">
      <formula>_xlfn.ISFORMULA(O330)</formula>
    </cfRule>
  </conditionalFormatting>
  <conditionalFormatting sqref="O359:O377">
    <cfRule type="expression" dxfId="143" priority="146">
      <formula>_xlfn.ISFORMULA(O359)</formula>
    </cfRule>
  </conditionalFormatting>
  <conditionalFormatting sqref="O388:O406">
    <cfRule type="expression" dxfId="142" priority="145">
      <formula>_xlfn.ISFORMULA(O388)</formula>
    </cfRule>
  </conditionalFormatting>
  <conditionalFormatting sqref="O417:O435">
    <cfRule type="expression" dxfId="141" priority="144">
      <formula>_xlfn.ISFORMULA(O417)</formula>
    </cfRule>
  </conditionalFormatting>
  <conditionalFormatting sqref="O446:O464">
    <cfRule type="expression" dxfId="140" priority="143">
      <formula>_xlfn.ISFORMULA(O446)</formula>
    </cfRule>
  </conditionalFormatting>
  <conditionalFormatting sqref="O475:O493">
    <cfRule type="expression" dxfId="139" priority="142">
      <formula>_xlfn.ISFORMULA(O475)</formula>
    </cfRule>
  </conditionalFormatting>
  <conditionalFormatting sqref="O504:O522">
    <cfRule type="expression" dxfId="138" priority="141">
      <formula>_xlfn.ISFORMULA(O504)</formula>
    </cfRule>
  </conditionalFormatting>
  <conditionalFormatting sqref="O533:O551">
    <cfRule type="expression" dxfId="137" priority="140">
      <formula>_xlfn.ISFORMULA(O533)</formula>
    </cfRule>
  </conditionalFormatting>
  <conditionalFormatting sqref="O562:O580">
    <cfRule type="expression" dxfId="136" priority="139">
      <formula>_xlfn.ISFORMULA(O562)</formula>
    </cfRule>
  </conditionalFormatting>
  <conditionalFormatting sqref="O591:O609">
    <cfRule type="expression" dxfId="135" priority="138">
      <formula>_xlfn.ISFORMULA(O591)</formula>
    </cfRule>
  </conditionalFormatting>
  <conditionalFormatting sqref="O620:O638">
    <cfRule type="expression" dxfId="134" priority="137">
      <formula>_xlfn.ISFORMULA(O620)</formula>
    </cfRule>
  </conditionalFormatting>
  <conditionalFormatting sqref="O649:O667">
    <cfRule type="expression" dxfId="133" priority="136">
      <formula>_xlfn.ISFORMULA(O649)</formula>
    </cfRule>
  </conditionalFormatting>
  <conditionalFormatting sqref="O678:O696">
    <cfRule type="expression" dxfId="132" priority="135">
      <formula>_xlfn.ISFORMULA(O678)</formula>
    </cfRule>
  </conditionalFormatting>
  <conditionalFormatting sqref="O707:O725">
    <cfRule type="expression" dxfId="131" priority="134">
      <formula>_xlfn.ISFORMULA(O707)</formula>
    </cfRule>
  </conditionalFormatting>
  <conditionalFormatting sqref="O736:O754">
    <cfRule type="expression" dxfId="130" priority="133">
      <formula>_xlfn.ISFORMULA(O736)</formula>
    </cfRule>
  </conditionalFormatting>
  <conditionalFormatting sqref="AM40:AM58">
    <cfRule type="expression" dxfId="129" priority="132">
      <formula>_xlfn.ISFORMULA(AM40)</formula>
    </cfRule>
  </conditionalFormatting>
  <conditionalFormatting sqref="AM69:AM87">
    <cfRule type="expression" dxfId="128" priority="131">
      <formula>_xlfn.ISFORMULA(AM69)</formula>
    </cfRule>
  </conditionalFormatting>
  <conditionalFormatting sqref="AM98:AM116">
    <cfRule type="expression" dxfId="127" priority="130">
      <formula>_xlfn.ISFORMULA(AM98)</formula>
    </cfRule>
  </conditionalFormatting>
  <conditionalFormatting sqref="AM127:AM145">
    <cfRule type="expression" dxfId="126" priority="129">
      <formula>_xlfn.ISFORMULA(AM127)</formula>
    </cfRule>
  </conditionalFormatting>
  <conditionalFormatting sqref="AM156:AM174">
    <cfRule type="expression" dxfId="125" priority="128">
      <formula>_xlfn.ISFORMULA(AM156)</formula>
    </cfRule>
  </conditionalFormatting>
  <conditionalFormatting sqref="AM185:AM203">
    <cfRule type="expression" dxfId="124" priority="127">
      <formula>_xlfn.ISFORMULA(AM185)</formula>
    </cfRule>
  </conditionalFormatting>
  <conditionalFormatting sqref="AM214:AM232">
    <cfRule type="expression" dxfId="123" priority="126">
      <formula>_xlfn.ISFORMULA(AM214)</formula>
    </cfRule>
  </conditionalFormatting>
  <conditionalFormatting sqref="AM243:AM261">
    <cfRule type="expression" dxfId="122" priority="125">
      <formula>_xlfn.ISFORMULA(AM243)</formula>
    </cfRule>
  </conditionalFormatting>
  <conditionalFormatting sqref="AM272:AM290">
    <cfRule type="expression" dxfId="121" priority="124">
      <formula>_xlfn.ISFORMULA(AM272)</formula>
    </cfRule>
  </conditionalFormatting>
  <conditionalFormatting sqref="AM301:AM319">
    <cfRule type="expression" dxfId="120" priority="123">
      <formula>_xlfn.ISFORMULA(AM301)</formula>
    </cfRule>
  </conditionalFormatting>
  <conditionalFormatting sqref="AM330:AM348">
    <cfRule type="expression" dxfId="119" priority="122">
      <formula>_xlfn.ISFORMULA(AM330)</formula>
    </cfRule>
  </conditionalFormatting>
  <conditionalFormatting sqref="AM359:AM377">
    <cfRule type="expression" dxfId="118" priority="121">
      <formula>_xlfn.ISFORMULA(AM359)</formula>
    </cfRule>
  </conditionalFormatting>
  <conditionalFormatting sqref="AM388:AM406">
    <cfRule type="expression" dxfId="117" priority="120">
      <formula>_xlfn.ISFORMULA(AM388)</formula>
    </cfRule>
  </conditionalFormatting>
  <conditionalFormatting sqref="AM417:AM435">
    <cfRule type="expression" dxfId="116" priority="119">
      <formula>_xlfn.ISFORMULA(AM417)</formula>
    </cfRule>
  </conditionalFormatting>
  <conditionalFormatting sqref="AM446:AM464">
    <cfRule type="expression" dxfId="115" priority="118">
      <formula>_xlfn.ISFORMULA(AM446)</formula>
    </cfRule>
  </conditionalFormatting>
  <conditionalFormatting sqref="AM475:AM493">
    <cfRule type="expression" dxfId="114" priority="117">
      <formula>_xlfn.ISFORMULA(AM475)</formula>
    </cfRule>
  </conditionalFormatting>
  <conditionalFormatting sqref="AM504:AM522">
    <cfRule type="expression" dxfId="113" priority="116">
      <formula>_xlfn.ISFORMULA(AM504)</formula>
    </cfRule>
  </conditionalFormatting>
  <conditionalFormatting sqref="AM533:AM551">
    <cfRule type="expression" dxfId="112" priority="115">
      <formula>_xlfn.ISFORMULA(AM533)</formula>
    </cfRule>
  </conditionalFormatting>
  <conditionalFormatting sqref="AM562:AM580">
    <cfRule type="expression" dxfId="111" priority="114">
      <formula>_xlfn.ISFORMULA(AM562)</formula>
    </cfRule>
  </conditionalFormatting>
  <conditionalFormatting sqref="AM591:AM609">
    <cfRule type="expression" dxfId="110" priority="113">
      <formula>_xlfn.ISFORMULA(AM591)</formula>
    </cfRule>
  </conditionalFormatting>
  <conditionalFormatting sqref="AM620:AM638">
    <cfRule type="expression" dxfId="109" priority="112">
      <formula>_xlfn.ISFORMULA(AM620)</formula>
    </cfRule>
  </conditionalFormatting>
  <conditionalFormatting sqref="AM649:AM667">
    <cfRule type="expression" dxfId="108" priority="111">
      <formula>_xlfn.ISFORMULA(AM649)</formula>
    </cfRule>
  </conditionalFormatting>
  <conditionalFormatting sqref="AM678:AM696">
    <cfRule type="expression" dxfId="107" priority="110">
      <formula>_xlfn.ISFORMULA(AM678)</formula>
    </cfRule>
  </conditionalFormatting>
  <conditionalFormatting sqref="AM707:AM725">
    <cfRule type="expression" dxfId="106" priority="109">
      <formula>_xlfn.ISFORMULA(AM707)</formula>
    </cfRule>
  </conditionalFormatting>
  <conditionalFormatting sqref="AM736:AM754">
    <cfRule type="expression" dxfId="105" priority="108">
      <formula>_xlfn.ISFORMULA(AM736)</formula>
    </cfRule>
  </conditionalFormatting>
  <conditionalFormatting sqref="AN559">
    <cfRule type="expression" dxfId="104" priority="82">
      <formula>_xlfn.ISFORMULA(AN559)</formula>
    </cfRule>
  </conditionalFormatting>
  <conditionalFormatting sqref="AN37">
    <cfRule type="expression" dxfId="103" priority="100">
      <formula>_xlfn.ISFORMULA(AN37)</formula>
    </cfRule>
  </conditionalFormatting>
  <conditionalFormatting sqref="AN66">
    <cfRule type="expression" dxfId="102" priority="99">
      <formula>_xlfn.ISFORMULA(AN66)</formula>
    </cfRule>
  </conditionalFormatting>
  <conditionalFormatting sqref="AN95">
    <cfRule type="expression" dxfId="101" priority="98">
      <formula>_xlfn.ISFORMULA(AN95)</formula>
    </cfRule>
  </conditionalFormatting>
  <conditionalFormatting sqref="AN124">
    <cfRule type="expression" dxfId="100" priority="97">
      <formula>_xlfn.ISFORMULA(AN124)</formula>
    </cfRule>
  </conditionalFormatting>
  <conditionalFormatting sqref="AN153">
    <cfRule type="expression" dxfId="99" priority="96">
      <formula>_xlfn.ISFORMULA(AN153)</formula>
    </cfRule>
  </conditionalFormatting>
  <conditionalFormatting sqref="AN182">
    <cfRule type="expression" dxfId="98" priority="95">
      <formula>_xlfn.ISFORMULA(AN182)</formula>
    </cfRule>
  </conditionalFormatting>
  <conditionalFormatting sqref="AN211">
    <cfRule type="expression" dxfId="97" priority="94">
      <formula>_xlfn.ISFORMULA(AN211)</formula>
    </cfRule>
  </conditionalFormatting>
  <conditionalFormatting sqref="AN240">
    <cfRule type="expression" dxfId="96" priority="93">
      <formula>_xlfn.ISFORMULA(AN240)</formula>
    </cfRule>
  </conditionalFormatting>
  <conditionalFormatting sqref="AN269">
    <cfRule type="expression" dxfId="95" priority="92">
      <formula>_xlfn.ISFORMULA(AN269)</formula>
    </cfRule>
  </conditionalFormatting>
  <conditionalFormatting sqref="AN298">
    <cfRule type="expression" dxfId="94" priority="91">
      <formula>_xlfn.ISFORMULA(AN298)</formula>
    </cfRule>
  </conditionalFormatting>
  <conditionalFormatting sqref="AN327">
    <cfRule type="expression" dxfId="93" priority="90">
      <formula>_xlfn.ISFORMULA(AN327)</formula>
    </cfRule>
  </conditionalFormatting>
  <conditionalFormatting sqref="AN356">
    <cfRule type="expression" dxfId="92" priority="89">
      <formula>_xlfn.ISFORMULA(AN356)</formula>
    </cfRule>
  </conditionalFormatting>
  <conditionalFormatting sqref="AN385">
    <cfRule type="expression" dxfId="91" priority="88">
      <formula>_xlfn.ISFORMULA(AN385)</formula>
    </cfRule>
  </conditionalFormatting>
  <conditionalFormatting sqref="AN414">
    <cfRule type="expression" dxfId="90" priority="87">
      <formula>_xlfn.ISFORMULA(AN414)</formula>
    </cfRule>
  </conditionalFormatting>
  <conditionalFormatting sqref="AN443">
    <cfRule type="expression" dxfId="89" priority="86">
      <formula>_xlfn.ISFORMULA(AN443)</formula>
    </cfRule>
  </conditionalFormatting>
  <conditionalFormatting sqref="AN472">
    <cfRule type="expression" dxfId="88" priority="85">
      <formula>_xlfn.ISFORMULA(AN472)</formula>
    </cfRule>
  </conditionalFormatting>
  <conditionalFormatting sqref="AN501">
    <cfRule type="expression" dxfId="87" priority="84">
      <formula>_xlfn.ISFORMULA(AN501)</formula>
    </cfRule>
  </conditionalFormatting>
  <conditionalFormatting sqref="AN530">
    <cfRule type="expression" dxfId="86" priority="83">
      <formula>_xlfn.ISFORMULA(AN530)</formula>
    </cfRule>
  </conditionalFormatting>
  <conditionalFormatting sqref="AN588">
    <cfRule type="expression" dxfId="85" priority="81">
      <formula>_xlfn.ISFORMULA(AN588)</formula>
    </cfRule>
  </conditionalFormatting>
  <conditionalFormatting sqref="AN617">
    <cfRule type="expression" dxfId="84" priority="80">
      <formula>_xlfn.ISFORMULA(AN617)</formula>
    </cfRule>
  </conditionalFormatting>
  <conditionalFormatting sqref="AN646">
    <cfRule type="expression" dxfId="83" priority="79">
      <formula>_xlfn.ISFORMULA(AN646)</formula>
    </cfRule>
  </conditionalFormatting>
  <conditionalFormatting sqref="AN675">
    <cfRule type="expression" dxfId="82" priority="78">
      <formula>_xlfn.ISFORMULA(AN675)</formula>
    </cfRule>
  </conditionalFormatting>
  <conditionalFormatting sqref="AN704">
    <cfRule type="expression" dxfId="81" priority="77">
      <formula>_xlfn.ISFORMULA(AN704)</formula>
    </cfRule>
  </conditionalFormatting>
  <conditionalFormatting sqref="AN733">
    <cfRule type="expression" dxfId="80" priority="76">
      <formula>_xlfn.ISFORMULA(AN733)</formula>
    </cfRule>
  </conditionalFormatting>
  <conditionalFormatting sqref="BL39:BL59">
    <cfRule type="expression" dxfId="79" priority="75">
      <formula>_xlfn.ISFORMULA(BL39)</formula>
    </cfRule>
  </conditionalFormatting>
  <conditionalFormatting sqref="BL68:BL88">
    <cfRule type="expression" dxfId="78" priority="74">
      <formula>_xlfn.ISFORMULA(BL68)</formula>
    </cfRule>
  </conditionalFormatting>
  <conditionalFormatting sqref="BL97:BL117">
    <cfRule type="expression" dxfId="77" priority="73">
      <formula>_xlfn.ISFORMULA(BL97)</formula>
    </cfRule>
  </conditionalFormatting>
  <conditionalFormatting sqref="BL126:BL146">
    <cfRule type="expression" dxfId="76" priority="72">
      <formula>_xlfn.ISFORMULA(BL126)</formula>
    </cfRule>
  </conditionalFormatting>
  <conditionalFormatting sqref="BL155:BL175">
    <cfRule type="expression" dxfId="75" priority="71">
      <formula>_xlfn.ISFORMULA(BL155)</formula>
    </cfRule>
  </conditionalFormatting>
  <conditionalFormatting sqref="BL184:BL204">
    <cfRule type="expression" dxfId="74" priority="70">
      <formula>_xlfn.ISFORMULA(BL184)</formula>
    </cfRule>
  </conditionalFormatting>
  <conditionalFormatting sqref="BL213:BL233">
    <cfRule type="expression" dxfId="73" priority="69">
      <formula>_xlfn.ISFORMULA(BL213)</formula>
    </cfRule>
  </conditionalFormatting>
  <conditionalFormatting sqref="BL242:BL262">
    <cfRule type="expression" dxfId="72" priority="68">
      <formula>_xlfn.ISFORMULA(BL242)</formula>
    </cfRule>
  </conditionalFormatting>
  <conditionalFormatting sqref="BL271:BL291">
    <cfRule type="expression" dxfId="71" priority="67">
      <formula>_xlfn.ISFORMULA(BL271)</formula>
    </cfRule>
  </conditionalFormatting>
  <conditionalFormatting sqref="BL300:BL320">
    <cfRule type="expression" dxfId="70" priority="66">
      <formula>_xlfn.ISFORMULA(BL300)</formula>
    </cfRule>
  </conditionalFormatting>
  <conditionalFormatting sqref="BL329:BL349">
    <cfRule type="expression" dxfId="69" priority="65">
      <formula>_xlfn.ISFORMULA(BL329)</formula>
    </cfRule>
  </conditionalFormatting>
  <conditionalFormatting sqref="BL358:BL378">
    <cfRule type="expression" dxfId="68" priority="64">
      <formula>_xlfn.ISFORMULA(BL358)</formula>
    </cfRule>
  </conditionalFormatting>
  <conditionalFormatting sqref="BL387:BL407">
    <cfRule type="expression" dxfId="67" priority="63">
      <formula>_xlfn.ISFORMULA(BL387)</formula>
    </cfRule>
  </conditionalFormatting>
  <conditionalFormatting sqref="BL416:BL436">
    <cfRule type="expression" dxfId="66" priority="62">
      <formula>_xlfn.ISFORMULA(BL416)</formula>
    </cfRule>
  </conditionalFormatting>
  <conditionalFormatting sqref="BL445:BL465">
    <cfRule type="expression" dxfId="65" priority="61">
      <formula>_xlfn.ISFORMULA(BL445)</formula>
    </cfRule>
  </conditionalFormatting>
  <conditionalFormatting sqref="BL474:BL494">
    <cfRule type="expression" dxfId="64" priority="60">
      <formula>_xlfn.ISFORMULA(BL474)</formula>
    </cfRule>
  </conditionalFormatting>
  <conditionalFormatting sqref="BL503:BL523">
    <cfRule type="expression" dxfId="63" priority="59">
      <formula>_xlfn.ISFORMULA(BL503)</formula>
    </cfRule>
  </conditionalFormatting>
  <conditionalFormatting sqref="BL532:BL552">
    <cfRule type="expression" dxfId="62" priority="58">
      <formula>_xlfn.ISFORMULA(BL532)</formula>
    </cfRule>
  </conditionalFormatting>
  <conditionalFormatting sqref="BL561:BL581">
    <cfRule type="expression" dxfId="61" priority="57">
      <formula>_xlfn.ISFORMULA(BL561)</formula>
    </cfRule>
  </conditionalFormatting>
  <conditionalFormatting sqref="BL590:BL610">
    <cfRule type="expression" dxfId="60" priority="56">
      <formula>_xlfn.ISFORMULA(BL590)</formula>
    </cfRule>
  </conditionalFormatting>
  <conditionalFormatting sqref="BL619:BL639">
    <cfRule type="expression" dxfId="59" priority="55">
      <formula>_xlfn.ISFORMULA(BL619)</formula>
    </cfRule>
  </conditionalFormatting>
  <conditionalFormatting sqref="BL648:BL668">
    <cfRule type="expression" dxfId="58" priority="54">
      <formula>_xlfn.ISFORMULA(BL648)</formula>
    </cfRule>
  </conditionalFormatting>
  <conditionalFormatting sqref="BL677:BL697">
    <cfRule type="expression" dxfId="57" priority="53">
      <formula>_xlfn.ISFORMULA(BL677)</formula>
    </cfRule>
  </conditionalFormatting>
  <conditionalFormatting sqref="BL706:BL726">
    <cfRule type="expression" dxfId="56" priority="52">
      <formula>_xlfn.ISFORMULA(BL706)</formula>
    </cfRule>
  </conditionalFormatting>
  <conditionalFormatting sqref="BL735:BL755">
    <cfRule type="expression" dxfId="55" priority="51">
      <formula>_xlfn.ISFORMULA(BL735)</formula>
    </cfRule>
  </conditionalFormatting>
  <conditionalFormatting sqref="AK37">
    <cfRule type="expression" dxfId="54" priority="50">
      <formula>_xlfn.ISFORMULA(AK37)</formula>
    </cfRule>
  </conditionalFormatting>
  <conditionalFormatting sqref="AK66">
    <cfRule type="expression" dxfId="53" priority="49">
      <formula>_xlfn.ISFORMULA(AK66)</formula>
    </cfRule>
  </conditionalFormatting>
  <conditionalFormatting sqref="AK95">
    <cfRule type="expression" dxfId="52" priority="48">
      <formula>_xlfn.ISFORMULA(AK95)</formula>
    </cfRule>
  </conditionalFormatting>
  <conditionalFormatting sqref="AK124">
    <cfRule type="expression" dxfId="51" priority="47">
      <formula>_xlfn.ISFORMULA(AK124)</formula>
    </cfRule>
  </conditionalFormatting>
  <conditionalFormatting sqref="AK153">
    <cfRule type="expression" dxfId="50" priority="46">
      <formula>_xlfn.ISFORMULA(AK153)</formula>
    </cfRule>
  </conditionalFormatting>
  <conditionalFormatting sqref="AK182">
    <cfRule type="expression" dxfId="49" priority="45">
      <formula>_xlfn.ISFORMULA(AK182)</formula>
    </cfRule>
  </conditionalFormatting>
  <conditionalFormatting sqref="AK211">
    <cfRule type="expression" dxfId="48" priority="44">
      <formula>_xlfn.ISFORMULA(AK211)</formula>
    </cfRule>
  </conditionalFormatting>
  <conditionalFormatting sqref="AK240">
    <cfRule type="expression" dxfId="47" priority="43">
      <formula>_xlfn.ISFORMULA(AK240)</formula>
    </cfRule>
  </conditionalFormatting>
  <conditionalFormatting sqref="AK269">
    <cfRule type="expression" dxfId="46" priority="42">
      <formula>_xlfn.ISFORMULA(AK269)</formula>
    </cfRule>
  </conditionalFormatting>
  <conditionalFormatting sqref="AK298">
    <cfRule type="expression" dxfId="45" priority="41">
      <formula>_xlfn.ISFORMULA(AK298)</formula>
    </cfRule>
  </conditionalFormatting>
  <conditionalFormatting sqref="AK327">
    <cfRule type="expression" dxfId="44" priority="40">
      <formula>_xlfn.ISFORMULA(AK327)</formula>
    </cfRule>
  </conditionalFormatting>
  <conditionalFormatting sqref="AK356">
    <cfRule type="expression" dxfId="43" priority="39">
      <formula>_xlfn.ISFORMULA(AK356)</formula>
    </cfRule>
  </conditionalFormatting>
  <conditionalFormatting sqref="AK385">
    <cfRule type="expression" dxfId="42" priority="38">
      <formula>_xlfn.ISFORMULA(AK385)</formula>
    </cfRule>
  </conditionalFormatting>
  <conditionalFormatting sqref="AK414">
    <cfRule type="expression" dxfId="41" priority="37">
      <formula>_xlfn.ISFORMULA(AK414)</formula>
    </cfRule>
  </conditionalFormatting>
  <conditionalFormatting sqref="AK443">
    <cfRule type="expression" dxfId="40" priority="36">
      <formula>_xlfn.ISFORMULA(AK443)</formula>
    </cfRule>
  </conditionalFormatting>
  <conditionalFormatting sqref="AK472">
    <cfRule type="expression" dxfId="39" priority="35">
      <formula>_xlfn.ISFORMULA(AK472)</formula>
    </cfRule>
  </conditionalFormatting>
  <conditionalFormatting sqref="AK501">
    <cfRule type="expression" dxfId="38" priority="34">
      <formula>_xlfn.ISFORMULA(AK501)</formula>
    </cfRule>
  </conditionalFormatting>
  <conditionalFormatting sqref="AK530">
    <cfRule type="expression" dxfId="37" priority="33">
      <formula>_xlfn.ISFORMULA(AK530)</formula>
    </cfRule>
  </conditionalFormatting>
  <conditionalFormatting sqref="AK559">
    <cfRule type="expression" dxfId="36" priority="32">
      <formula>_xlfn.ISFORMULA(AK559)</formula>
    </cfRule>
  </conditionalFormatting>
  <conditionalFormatting sqref="AK588">
    <cfRule type="expression" dxfId="35" priority="31">
      <formula>_xlfn.ISFORMULA(AK588)</formula>
    </cfRule>
  </conditionalFormatting>
  <conditionalFormatting sqref="AK617">
    <cfRule type="expression" dxfId="34" priority="30">
      <formula>_xlfn.ISFORMULA(AK617)</formula>
    </cfRule>
  </conditionalFormatting>
  <conditionalFormatting sqref="AK646">
    <cfRule type="expression" dxfId="33" priority="29">
      <formula>_xlfn.ISFORMULA(AK646)</formula>
    </cfRule>
  </conditionalFormatting>
  <conditionalFormatting sqref="AK675">
    <cfRule type="expression" dxfId="32" priority="28">
      <formula>_xlfn.ISFORMULA(AK675)</formula>
    </cfRule>
  </conditionalFormatting>
  <conditionalFormatting sqref="AK704">
    <cfRule type="expression" dxfId="31" priority="27">
      <formula>_xlfn.ISFORMULA(AK704)</formula>
    </cfRule>
  </conditionalFormatting>
  <conditionalFormatting sqref="AK733">
    <cfRule type="expression" dxfId="30" priority="26">
      <formula>_xlfn.ISFORMULA(AK733)</formula>
    </cfRule>
  </conditionalFormatting>
  <conditionalFormatting sqref="BL37">
    <cfRule type="expression" dxfId="29" priority="25">
      <formula>_xlfn.ISFORMULA(BL37)</formula>
    </cfRule>
  </conditionalFormatting>
  <conditionalFormatting sqref="BL66">
    <cfRule type="expression" dxfId="28" priority="24">
      <formula>_xlfn.ISFORMULA(BL66)</formula>
    </cfRule>
  </conditionalFormatting>
  <conditionalFormatting sqref="BL95">
    <cfRule type="expression" dxfId="27" priority="23">
      <formula>_xlfn.ISFORMULA(BL95)</formula>
    </cfRule>
  </conditionalFormatting>
  <conditionalFormatting sqref="BL124">
    <cfRule type="expression" dxfId="26" priority="22">
      <formula>_xlfn.ISFORMULA(BL124)</formula>
    </cfRule>
  </conditionalFormatting>
  <conditionalFormatting sqref="BL153">
    <cfRule type="expression" dxfId="25" priority="21">
      <formula>_xlfn.ISFORMULA(BL153)</formula>
    </cfRule>
  </conditionalFormatting>
  <conditionalFormatting sqref="BL182">
    <cfRule type="expression" dxfId="24" priority="20">
      <formula>_xlfn.ISFORMULA(BL182)</formula>
    </cfRule>
  </conditionalFormatting>
  <conditionalFormatting sqref="BL211">
    <cfRule type="expression" dxfId="23" priority="19">
      <formula>_xlfn.ISFORMULA(BL211)</formula>
    </cfRule>
  </conditionalFormatting>
  <conditionalFormatting sqref="BL240">
    <cfRule type="expression" dxfId="22" priority="18">
      <formula>_xlfn.ISFORMULA(BL240)</formula>
    </cfRule>
  </conditionalFormatting>
  <conditionalFormatting sqref="BL269">
    <cfRule type="expression" dxfId="21" priority="17">
      <formula>_xlfn.ISFORMULA(BL269)</formula>
    </cfRule>
  </conditionalFormatting>
  <conditionalFormatting sqref="BL298">
    <cfRule type="expression" dxfId="20" priority="16">
      <formula>_xlfn.ISFORMULA(BL298)</formula>
    </cfRule>
  </conditionalFormatting>
  <conditionalFormatting sqref="BL327">
    <cfRule type="expression" dxfId="19" priority="15">
      <formula>_xlfn.ISFORMULA(BL327)</formula>
    </cfRule>
  </conditionalFormatting>
  <conditionalFormatting sqref="BL356">
    <cfRule type="expression" dxfId="18" priority="14">
      <formula>_xlfn.ISFORMULA(BL356)</formula>
    </cfRule>
  </conditionalFormatting>
  <conditionalFormatting sqref="BL385">
    <cfRule type="expression" dxfId="17" priority="13">
      <formula>_xlfn.ISFORMULA(BL385)</formula>
    </cfRule>
  </conditionalFormatting>
  <conditionalFormatting sqref="BL414">
    <cfRule type="expression" dxfId="16" priority="12">
      <formula>_xlfn.ISFORMULA(BL414)</formula>
    </cfRule>
  </conditionalFormatting>
  <conditionalFormatting sqref="BL443">
    <cfRule type="expression" dxfId="15" priority="11">
      <formula>_xlfn.ISFORMULA(BL443)</formula>
    </cfRule>
  </conditionalFormatting>
  <conditionalFormatting sqref="BL472">
    <cfRule type="expression" dxfId="14" priority="10">
      <formula>_xlfn.ISFORMULA(BL472)</formula>
    </cfRule>
  </conditionalFormatting>
  <conditionalFormatting sqref="BL501">
    <cfRule type="expression" dxfId="13" priority="9">
      <formula>_xlfn.ISFORMULA(BL501)</formula>
    </cfRule>
  </conditionalFormatting>
  <conditionalFormatting sqref="BL530">
    <cfRule type="expression" dxfId="12" priority="8">
      <formula>_xlfn.ISFORMULA(BL530)</formula>
    </cfRule>
  </conditionalFormatting>
  <conditionalFormatting sqref="BL559">
    <cfRule type="expression" dxfId="11" priority="7">
      <formula>_xlfn.ISFORMULA(BL559)</formula>
    </cfRule>
  </conditionalFormatting>
  <conditionalFormatting sqref="BL588">
    <cfRule type="expression" dxfId="10" priority="6">
      <formula>_xlfn.ISFORMULA(BL588)</formula>
    </cfRule>
  </conditionalFormatting>
  <conditionalFormatting sqref="BL617">
    <cfRule type="expression" dxfId="9" priority="5">
      <formula>_xlfn.ISFORMULA(BL617)</formula>
    </cfRule>
  </conditionalFormatting>
  <conditionalFormatting sqref="BL646">
    <cfRule type="expression" dxfId="8" priority="4">
      <formula>_xlfn.ISFORMULA(BL646)</formula>
    </cfRule>
  </conditionalFormatting>
  <conditionalFormatting sqref="BL675">
    <cfRule type="expression" dxfId="7" priority="3">
      <formula>_xlfn.ISFORMULA(BL675)</formula>
    </cfRule>
  </conditionalFormatting>
  <conditionalFormatting sqref="BL704">
    <cfRule type="expression" dxfId="6" priority="2">
      <formula>_xlfn.ISFORMULA(BL704)</formula>
    </cfRule>
  </conditionalFormatting>
  <conditionalFormatting sqref="BL733">
    <cfRule type="expression" dxfId="5" priority="1">
      <formula>_xlfn.ISFORMULA(BL733)</formula>
    </cfRule>
  </conditionalFormatting>
  <dataValidations count="2">
    <dataValidation allowBlank="1" showInputMessage="1" showErrorMessage="1" error="Select option from dropdown." sqref="E3 E670 E699 E32 E61 E293 E90 E119 E148 E177 E206 E235 E264 E728 E351 E380 E409 E438 E467 E496 E525 E554 E583 E612 E641 E322" xr:uid="{FDC10CDE-1609-48A3-AE82-6BB794104B99}"/>
    <dataValidation allowBlank="1" showInputMessage="1" showErrorMessage="1" promptTitle="Superannuation OTE" prompt="Superannuation for employees os calculated on OTE, which excludes overtime hours." sqref="O590 O532 O561 O10 O619 O648 O677 O706 O39 O97 O68 O126 O155 O184 O213 O242 O271 O300 O329 O358 O387 O416 O445 O474 O503 O8 O617 O646 O675 O704 O37 O95 O66 O124 O153 O182 O211 O240 O269 O298 O327 O356 O385 O414 O443 O472 O501 O530 O559 O588 O735 O733" xr:uid="{CCBB89CD-8064-49D5-B8D3-79AAEFEDFEE1}"/>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Select name from dropdown list." xr:uid="{F3DAF515-AF5B-4A0F-A2B5-A9AD9A5268CB}">
          <x14:formula1>
            <xm:f>'Employee information'!$B$4:$B$33</xm:f>
          </x14:formula1>
          <xm:sqref>C11:C29 C533:C551 C504:C522 C475:C493 C446:C464 C417:C435 C388:C406 C359:C377 C330:C348 C301:C319 C272:C290 C243:C261 C214:C232 C185:C203 C156:C174 C127:C145 C69:C87 C98:C116 C40:C58 C707:C725 C678:C696 C649:C667 C620:C638 C591:C609 C562:C580 C736:C754</xm:sqref>
        </x14:dataValidation>
        <x14:dataValidation type="list" allowBlank="1" showInputMessage="1" showErrorMessage="1" xr:uid="{ADA33490-D4FF-4846-8AFC-BDBB7F65F83F}">
          <x14:formula1>
            <xm:f>'Ref table'!$A$2:$A$4</xm:f>
          </x14:formula1>
          <xm:sqref>E2</xm:sqref>
        </x14:dataValidation>
        <x14:dataValidation type="list" allowBlank="1" showInputMessage="1" showErrorMessage="1" xr:uid="{B6F795E2-EBF3-4849-9C65-206D459D8FA9}">
          <x14:formula1>
            <xm:f>'Ref table'!$F$2:$F$4</xm:f>
          </x14:formula1>
          <xm:sqref>AH11:AH29 AH620:AH638 AH649:AH667 AH678:AH696 AH707:AH725 AH40:AH58 AH98:AH116 AH69:AH87 AH127:AH145 AH156:AH174 AH185:AH203 AH214:AH232 AH243:AH261 AH272:AH290 AH301:AH319 AH330:AH348 AH359:AH377 AH388:AH406 AH417:AH435 AH446:AH464 AH475:AH493 AH504:AH522 AH533:AH551 AH562:AH580 AH591:AH609 AH736:AH754</xm:sqref>
        </x14:dataValidation>
        <x14:dataValidation type="list" allowBlank="1" showInputMessage="1" showErrorMessage="1" xr:uid="{3F8BE7BE-E85C-4914-A4E7-3975D3F39BD9}">
          <x14:formula1>
            <xm:f>'Ref table'!$E$2:$E$6</xm:f>
          </x14:formula1>
          <xm:sqref>AD11:AD29 AD620:AD638 AD649:AD667 AD678:AD696 AD707:AD725 AD40:AD58 AD98:AD116 AD69:AD87 AD127:AD145 AD156:AD174 AD185:AD203 AD214:AD232 AD243:AD261 AD272:AD290 AD301:AD319 AD330:AD348 AD359:AD377 AD388:AD406 AD417:AD435 AD446:AD464 AD475:AD493 AD504:AD522 AD533:AD551 AD562:AD580 AD591:AD609 AD736:AD754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D759-B893-467A-95D6-6C08915DA13A}">
  <dimension ref="A1:V389"/>
  <sheetViews>
    <sheetView showGridLines="0" zoomScale="85" zoomScaleNormal="85" workbookViewId="0">
      <pane xSplit="2" ySplit="6" topLeftCell="C7" activePane="bottomRight" state="frozen"/>
      <selection pane="topRight" activeCell="C1" sqref="C1"/>
      <selection pane="bottomLeft" activeCell="A4" sqref="A4"/>
      <selection pane="bottomRight" activeCell="F14" sqref="F14"/>
    </sheetView>
  </sheetViews>
  <sheetFormatPr defaultRowHeight="15" x14ac:dyDescent="0.25"/>
  <cols>
    <col min="1" max="1" width="20.28515625" style="229" bestFit="1" customWidth="1"/>
    <col min="2" max="3" width="15.28515625" style="229" customWidth="1"/>
    <col min="4" max="20" width="18.140625" style="293" customWidth="1"/>
    <col min="21" max="22" width="20.85546875" style="293" customWidth="1"/>
    <col min="23" max="16384" width="9.140625" style="120"/>
  </cols>
  <sheetData>
    <row r="1" spans="1:22" ht="18.75" x14ac:dyDescent="0.3">
      <c r="A1" s="288" t="s">
        <v>329</v>
      </c>
      <c r="B1" s="289"/>
      <c r="C1" s="229">
        <v>1</v>
      </c>
      <c r="D1" s="290" t="s">
        <v>339</v>
      </c>
      <c r="E1" s="291"/>
      <c r="F1" s="292"/>
      <c r="G1" s="292"/>
      <c r="H1" s="292"/>
      <c r="I1" s="292"/>
      <c r="J1" s="292"/>
      <c r="K1" s="292"/>
      <c r="L1" s="292"/>
      <c r="M1" s="292"/>
      <c r="N1" s="292"/>
      <c r="O1" s="292"/>
      <c r="P1" s="292"/>
      <c r="Q1" s="292"/>
      <c r="R1" s="292"/>
      <c r="S1" s="292"/>
    </row>
    <row r="2" spans="1:22" s="136" customFormat="1" x14ac:dyDescent="0.25">
      <c r="A2" s="294">
        <f>'Business Info'!$C$2</f>
        <v>44377</v>
      </c>
      <c r="B2" s="291"/>
      <c r="C2" s="291">
        <v>2</v>
      </c>
      <c r="D2" s="295" t="s">
        <v>330</v>
      </c>
      <c r="E2" s="291"/>
      <c r="F2" s="296"/>
      <c r="G2" s="296"/>
      <c r="H2" s="296"/>
      <c r="I2" s="296"/>
      <c r="J2" s="296"/>
      <c r="K2" s="296"/>
      <c r="L2" s="296"/>
      <c r="M2" s="296"/>
      <c r="N2" s="296"/>
      <c r="O2" s="296"/>
      <c r="P2" s="296"/>
      <c r="Q2" s="296"/>
      <c r="R2" s="296"/>
      <c r="S2" s="296"/>
      <c r="T2" s="296"/>
      <c r="U2" s="296"/>
      <c r="V2" s="296"/>
    </row>
    <row r="3" spans="1:22" s="136" customFormat="1" x14ac:dyDescent="0.25">
      <c r="B3" s="291"/>
      <c r="C3" s="291">
        <v>3</v>
      </c>
      <c r="D3" s="295" t="s">
        <v>331</v>
      </c>
      <c r="E3" s="291"/>
      <c r="F3" s="296"/>
      <c r="G3" s="296"/>
      <c r="H3" s="296"/>
      <c r="I3" s="296"/>
      <c r="J3" s="296"/>
      <c r="K3" s="296"/>
      <c r="L3" s="296"/>
      <c r="M3" s="296"/>
      <c r="N3" s="296"/>
      <c r="O3" s="296"/>
      <c r="P3" s="296"/>
      <c r="Q3" s="296"/>
      <c r="R3" s="296"/>
      <c r="S3" s="296"/>
      <c r="T3" s="296"/>
      <c r="U3" s="296"/>
      <c r="V3" s="296"/>
    </row>
    <row r="4" spans="1:22" s="136" customFormat="1" x14ac:dyDescent="0.25">
      <c r="B4" s="291"/>
      <c r="C4" s="291">
        <v>4</v>
      </c>
      <c r="D4" s="295" t="s">
        <v>340</v>
      </c>
      <c r="E4" s="296"/>
      <c r="F4" s="296"/>
      <c r="G4" s="296"/>
      <c r="H4" s="296"/>
      <c r="I4" s="296"/>
      <c r="J4" s="296"/>
      <c r="K4" s="296"/>
      <c r="L4" s="296"/>
      <c r="M4" s="296"/>
      <c r="N4" s="296"/>
      <c r="O4" s="296"/>
      <c r="P4" s="296"/>
      <c r="Q4" s="296"/>
      <c r="R4" s="296"/>
      <c r="S4" s="296"/>
      <c r="T4" s="296"/>
      <c r="U4" s="296"/>
      <c r="V4" s="296"/>
    </row>
    <row r="5" spans="1:22" s="136" customFormat="1" ht="12" customHeight="1" x14ac:dyDescent="0.25">
      <c r="B5" s="291"/>
      <c r="C5" s="291"/>
      <c r="D5" s="295"/>
      <c r="E5" s="296"/>
      <c r="F5" s="296"/>
      <c r="G5" s="296"/>
      <c r="H5" s="296"/>
      <c r="I5" s="296"/>
      <c r="J5" s="296"/>
      <c r="K5" s="296"/>
      <c r="L5" s="296"/>
      <c r="M5" s="296"/>
      <c r="N5" s="296"/>
      <c r="O5" s="296"/>
      <c r="P5" s="296"/>
      <c r="Q5" s="296"/>
      <c r="R5" s="296"/>
      <c r="S5" s="296"/>
      <c r="T5" s="296"/>
      <c r="U5" s="296"/>
      <c r="V5" s="296"/>
    </row>
    <row r="6" spans="1:22" s="136" customFormat="1" x14ac:dyDescent="0.25">
      <c r="A6" s="291" t="s">
        <v>334</v>
      </c>
      <c r="B6" s="291" t="s">
        <v>335</v>
      </c>
      <c r="C6" s="291" t="s">
        <v>333</v>
      </c>
      <c r="D6" s="297" t="s">
        <v>14</v>
      </c>
      <c r="E6" s="297"/>
      <c r="F6" s="297"/>
      <c r="G6" s="297"/>
      <c r="H6" s="297"/>
      <c r="I6" s="297"/>
      <c r="J6" s="297"/>
      <c r="K6" s="297"/>
      <c r="L6" s="297"/>
      <c r="M6" s="297"/>
      <c r="N6" s="297"/>
      <c r="O6" s="297"/>
      <c r="P6" s="297"/>
      <c r="Q6" s="297"/>
      <c r="R6" s="297"/>
      <c r="S6" s="297"/>
      <c r="T6" s="297"/>
      <c r="U6" s="297"/>
      <c r="V6" s="297"/>
    </row>
    <row r="7" spans="1:22" x14ac:dyDescent="0.25">
      <c r="A7" s="125">
        <v>44013</v>
      </c>
      <c r="B7" s="125" t="str">
        <f>TEXT(A7,"dddd")</f>
        <v>Wednesday</v>
      </c>
      <c r="C7" s="298">
        <f>WEEKDAY(A7,2)</f>
        <v>3</v>
      </c>
      <c r="D7" s="195">
        <v>7.5</v>
      </c>
      <c r="E7" s="195"/>
      <c r="F7" s="195"/>
      <c r="G7" s="195"/>
      <c r="H7" s="195"/>
      <c r="I7" s="195"/>
      <c r="J7" s="195"/>
      <c r="K7" s="195"/>
      <c r="L7" s="195"/>
      <c r="M7" s="195"/>
      <c r="N7" s="195"/>
      <c r="O7" s="195"/>
      <c r="P7" s="195"/>
      <c r="Q7" s="195"/>
      <c r="R7" s="195"/>
      <c r="S7" s="195"/>
      <c r="T7" s="195"/>
      <c r="U7" s="195"/>
      <c r="V7" s="195"/>
    </row>
    <row r="8" spans="1:22" x14ac:dyDescent="0.25">
      <c r="A8" s="125">
        <v>44014</v>
      </c>
      <c r="B8" s="125" t="str">
        <f t="shared" ref="B8:B71" si="0">TEXT(A8,"dddd")</f>
        <v>Thursday</v>
      </c>
      <c r="C8" s="298">
        <f t="shared" ref="C8:C71" si="1">WEEKDAY(A8,2)</f>
        <v>4</v>
      </c>
      <c r="D8" s="195">
        <v>7.5</v>
      </c>
      <c r="E8" s="195"/>
      <c r="F8" s="195"/>
      <c r="G8" s="195"/>
      <c r="H8" s="195"/>
      <c r="I8" s="195"/>
      <c r="J8" s="195"/>
      <c r="K8" s="195"/>
      <c r="L8" s="195"/>
      <c r="M8" s="195"/>
      <c r="N8" s="195"/>
      <c r="O8" s="195"/>
      <c r="P8" s="195"/>
      <c r="Q8" s="195"/>
      <c r="R8" s="195"/>
      <c r="S8" s="195"/>
      <c r="T8" s="195"/>
      <c r="U8" s="195"/>
      <c r="V8" s="195"/>
    </row>
    <row r="9" spans="1:22" x14ac:dyDescent="0.25">
      <c r="A9" s="125">
        <v>44015</v>
      </c>
      <c r="B9" s="125" t="str">
        <f t="shared" si="0"/>
        <v>Friday</v>
      </c>
      <c r="C9" s="298">
        <f t="shared" si="1"/>
        <v>5</v>
      </c>
      <c r="D9" s="195">
        <v>7.5</v>
      </c>
      <c r="E9" s="195"/>
      <c r="F9" s="195"/>
      <c r="G9" s="195"/>
      <c r="H9" s="195"/>
      <c r="I9" s="195"/>
      <c r="J9" s="195"/>
      <c r="K9" s="195"/>
      <c r="L9" s="195"/>
      <c r="M9" s="195"/>
      <c r="N9" s="195"/>
      <c r="O9" s="195"/>
      <c r="P9" s="195"/>
      <c r="Q9" s="195"/>
      <c r="R9" s="195"/>
      <c r="S9" s="195"/>
      <c r="T9" s="195"/>
      <c r="U9" s="195"/>
      <c r="V9" s="195"/>
    </row>
    <row r="10" spans="1:22" x14ac:dyDescent="0.25">
      <c r="A10" s="125">
        <v>44016</v>
      </c>
      <c r="B10" s="125" t="str">
        <f t="shared" si="0"/>
        <v>Saturday</v>
      </c>
      <c r="C10" s="298">
        <f t="shared" si="1"/>
        <v>6</v>
      </c>
      <c r="D10" s="195"/>
      <c r="E10" s="195"/>
      <c r="F10" s="195"/>
      <c r="G10" s="195"/>
      <c r="H10" s="195"/>
      <c r="I10" s="195"/>
      <c r="J10" s="195"/>
      <c r="K10" s="195"/>
      <c r="L10" s="195"/>
      <c r="M10" s="195"/>
      <c r="N10" s="195"/>
      <c r="O10" s="195"/>
      <c r="P10" s="195"/>
      <c r="Q10" s="195"/>
      <c r="R10" s="195"/>
      <c r="S10" s="195"/>
      <c r="T10" s="195"/>
      <c r="U10" s="195"/>
      <c r="V10" s="195"/>
    </row>
    <row r="11" spans="1:22" x14ac:dyDescent="0.25">
      <c r="A11" s="125">
        <v>44017</v>
      </c>
      <c r="B11" s="125" t="str">
        <f t="shared" si="0"/>
        <v>Sunday</v>
      </c>
      <c r="C11" s="298">
        <f t="shared" si="1"/>
        <v>7</v>
      </c>
      <c r="D11" s="195"/>
      <c r="E11" s="195"/>
      <c r="F11" s="195"/>
      <c r="G11" s="195"/>
      <c r="H11" s="195"/>
      <c r="I11" s="195"/>
      <c r="J11" s="195"/>
      <c r="K11" s="195"/>
      <c r="L11" s="195"/>
      <c r="M11" s="195"/>
      <c r="N11" s="195"/>
      <c r="O11" s="195"/>
      <c r="P11" s="195"/>
      <c r="Q11" s="195"/>
      <c r="R11" s="195"/>
      <c r="S11" s="195"/>
      <c r="T11" s="195"/>
      <c r="U11" s="195"/>
      <c r="V11" s="195"/>
    </row>
    <row r="12" spans="1:22" x14ac:dyDescent="0.25">
      <c r="A12" s="125">
        <v>44018</v>
      </c>
      <c r="B12" s="125" t="str">
        <f t="shared" si="0"/>
        <v>Monday</v>
      </c>
      <c r="C12" s="298">
        <f t="shared" si="1"/>
        <v>1</v>
      </c>
      <c r="D12" s="195">
        <v>7.5</v>
      </c>
      <c r="E12" s="195"/>
      <c r="F12" s="195"/>
      <c r="G12" s="195"/>
      <c r="H12" s="195"/>
      <c r="I12" s="195"/>
      <c r="J12" s="195"/>
      <c r="K12" s="195"/>
      <c r="L12" s="195"/>
      <c r="M12" s="195"/>
      <c r="N12" s="195"/>
      <c r="O12" s="195"/>
      <c r="P12" s="195"/>
      <c r="Q12" s="195"/>
      <c r="R12" s="195"/>
      <c r="S12" s="195"/>
      <c r="T12" s="195"/>
      <c r="U12" s="195"/>
      <c r="V12" s="195"/>
    </row>
    <row r="13" spans="1:22" x14ac:dyDescent="0.25">
      <c r="A13" s="125">
        <v>44019</v>
      </c>
      <c r="B13" s="125" t="str">
        <f t="shared" si="0"/>
        <v>Tuesday</v>
      </c>
      <c r="C13" s="298">
        <f t="shared" si="1"/>
        <v>2</v>
      </c>
      <c r="D13" s="195">
        <v>7.5</v>
      </c>
      <c r="E13" s="195"/>
      <c r="F13" s="195"/>
      <c r="G13" s="195"/>
      <c r="H13" s="195"/>
      <c r="I13" s="195"/>
      <c r="J13" s="195"/>
      <c r="K13" s="195"/>
      <c r="L13" s="195"/>
      <c r="M13" s="195"/>
      <c r="N13" s="195"/>
      <c r="O13" s="195"/>
      <c r="P13" s="195"/>
      <c r="Q13" s="195"/>
      <c r="R13" s="195"/>
      <c r="S13" s="195"/>
      <c r="T13" s="195"/>
      <c r="U13" s="195"/>
      <c r="V13" s="195"/>
    </row>
    <row r="14" spans="1:22" x14ac:dyDescent="0.25">
      <c r="A14" s="125">
        <v>44020</v>
      </c>
      <c r="B14" s="125" t="str">
        <f t="shared" si="0"/>
        <v>Wednesday</v>
      </c>
      <c r="C14" s="298">
        <f t="shared" si="1"/>
        <v>3</v>
      </c>
      <c r="D14" s="195">
        <v>7.5</v>
      </c>
      <c r="E14" s="195"/>
      <c r="F14" s="195"/>
      <c r="G14" s="195"/>
      <c r="H14" s="195"/>
      <c r="I14" s="195"/>
      <c r="J14" s="195"/>
      <c r="K14" s="195"/>
      <c r="L14" s="195"/>
      <c r="M14" s="195"/>
      <c r="N14" s="195"/>
      <c r="O14" s="195"/>
      <c r="P14" s="195"/>
      <c r="Q14" s="195"/>
      <c r="R14" s="195"/>
      <c r="S14" s="195"/>
      <c r="T14" s="195"/>
      <c r="U14" s="195"/>
      <c r="V14" s="195"/>
    </row>
    <row r="15" spans="1:22" x14ac:dyDescent="0.25">
      <c r="A15" s="125">
        <v>44021</v>
      </c>
      <c r="B15" s="125" t="str">
        <f t="shared" si="0"/>
        <v>Thursday</v>
      </c>
      <c r="C15" s="298">
        <f t="shared" si="1"/>
        <v>4</v>
      </c>
      <c r="D15" s="195">
        <v>7.5</v>
      </c>
      <c r="E15" s="195"/>
      <c r="F15" s="195"/>
      <c r="G15" s="195"/>
      <c r="H15" s="195"/>
      <c r="I15" s="195"/>
      <c r="J15" s="195"/>
      <c r="K15" s="195"/>
      <c r="L15" s="195"/>
      <c r="M15" s="195"/>
      <c r="N15" s="195"/>
      <c r="O15" s="195"/>
      <c r="P15" s="195"/>
      <c r="Q15" s="195"/>
      <c r="R15" s="195"/>
      <c r="S15" s="195"/>
      <c r="T15" s="195"/>
      <c r="U15" s="195"/>
      <c r="V15" s="195"/>
    </row>
    <row r="16" spans="1:22" x14ac:dyDescent="0.25">
      <c r="A16" s="125">
        <v>44022</v>
      </c>
      <c r="B16" s="125" t="str">
        <f t="shared" si="0"/>
        <v>Friday</v>
      </c>
      <c r="C16" s="298">
        <f t="shared" si="1"/>
        <v>5</v>
      </c>
      <c r="D16" s="195">
        <v>7.5</v>
      </c>
      <c r="E16" s="195"/>
      <c r="F16" s="195"/>
      <c r="G16" s="195"/>
      <c r="H16" s="195"/>
      <c r="I16" s="195"/>
      <c r="J16" s="195"/>
      <c r="K16" s="195"/>
      <c r="L16" s="195"/>
      <c r="M16" s="195"/>
      <c r="N16" s="195"/>
      <c r="O16" s="195"/>
      <c r="P16" s="195"/>
      <c r="Q16" s="195"/>
      <c r="R16" s="195"/>
      <c r="S16" s="195"/>
      <c r="T16" s="195"/>
      <c r="U16" s="195"/>
      <c r="V16" s="195"/>
    </row>
    <row r="17" spans="1:22" x14ac:dyDescent="0.25">
      <c r="A17" s="125">
        <v>44023</v>
      </c>
      <c r="B17" s="125" t="str">
        <f t="shared" si="0"/>
        <v>Saturday</v>
      </c>
      <c r="C17" s="298">
        <f t="shared" si="1"/>
        <v>6</v>
      </c>
      <c r="D17" s="195"/>
      <c r="E17" s="195"/>
      <c r="F17" s="195"/>
      <c r="G17" s="195"/>
      <c r="H17" s="195"/>
      <c r="I17" s="195"/>
      <c r="J17" s="195"/>
      <c r="K17" s="195"/>
      <c r="L17" s="195"/>
      <c r="M17" s="195"/>
      <c r="N17" s="195"/>
      <c r="O17" s="195"/>
      <c r="P17" s="195"/>
      <c r="Q17" s="195"/>
      <c r="R17" s="195"/>
      <c r="S17" s="195"/>
      <c r="T17" s="195"/>
      <c r="U17" s="195"/>
      <c r="V17" s="195"/>
    </row>
    <row r="18" spans="1:22" x14ac:dyDescent="0.25">
      <c r="A18" s="125">
        <v>44024</v>
      </c>
      <c r="B18" s="125" t="str">
        <f t="shared" si="0"/>
        <v>Sunday</v>
      </c>
      <c r="C18" s="298">
        <f t="shared" si="1"/>
        <v>7</v>
      </c>
      <c r="D18" s="195"/>
      <c r="E18" s="195"/>
      <c r="F18" s="195"/>
      <c r="G18" s="195"/>
      <c r="H18" s="195"/>
      <c r="I18" s="195"/>
      <c r="J18" s="195"/>
      <c r="K18" s="195"/>
      <c r="L18" s="195"/>
      <c r="M18" s="195"/>
      <c r="N18" s="195"/>
      <c r="O18" s="195"/>
      <c r="P18" s="195"/>
      <c r="Q18" s="195"/>
      <c r="R18" s="195"/>
      <c r="S18" s="195"/>
      <c r="T18" s="195"/>
      <c r="U18" s="195"/>
      <c r="V18" s="195"/>
    </row>
    <row r="19" spans="1:22" x14ac:dyDescent="0.25">
      <c r="A19" s="125">
        <v>44025</v>
      </c>
      <c r="B19" s="125" t="str">
        <f t="shared" si="0"/>
        <v>Monday</v>
      </c>
      <c r="C19" s="298">
        <f t="shared" si="1"/>
        <v>1</v>
      </c>
      <c r="D19" s="195">
        <v>7.5</v>
      </c>
      <c r="E19" s="195"/>
      <c r="F19" s="195"/>
      <c r="G19" s="195"/>
      <c r="H19" s="195"/>
      <c r="I19" s="195"/>
      <c r="J19" s="195"/>
      <c r="K19" s="195"/>
      <c r="L19" s="195"/>
      <c r="M19" s="195"/>
      <c r="N19" s="195"/>
      <c r="O19" s="195"/>
      <c r="P19" s="195"/>
      <c r="Q19" s="195"/>
      <c r="R19" s="195"/>
      <c r="S19" s="195"/>
      <c r="T19" s="195"/>
      <c r="U19" s="195"/>
      <c r="V19" s="195"/>
    </row>
    <row r="20" spans="1:22" x14ac:dyDescent="0.25">
      <c r="A20" s="125">
        <v>44026</v>
      </c>
      <c r="B20" s="125" t="str">
        <f t="shared" si="0"/>
        <v>Tuesday</v>
      </c>
      <c r="C20" s="298">
        <f t="shared" si="1"/>
        <v>2</v>
      </c>
      <c r="D20" s="195">
        <v>7.5</v>
      </c>
      <c r="E20" s="195"/>
      <c r="F20" s="195"/>
      <c r="G20" s="195"/>
      <c r="H20" s="195"/>
      <c r="I20" s="195"/>
      <c r="J20" s="195"/>
      <c r="K20" s="195"/>
      <c r="L20" s="195"/>
      <c r="M20" s="195"/>
      <c r="N20" s="195"/>
      <c r="O20" s="195"/>
      <c r="P20" s="195"/>
      <c r="Q20" s="195"/>
      <c r="R20" s="195"/>
      <c r="S20" s="195"/>
      <c r="T20" s="195"/>
      <c r="U20" s="195"/>
      <c r="V20" s="195"/>
    </row>
    <row r="21" spans="1:22" x14ac:dyDescent="0.25">
      <c r="A21" s="125">
        <v>44027</v>
      </c>
      <c r="B21" s="125" t="str">
        <f t="shared" si="0"/>
        <v>Wednesday</v>
      </c>
      <c r="C21" s="298">
        <f t="shared" si="1"/>
        <v>3</v>
      </c>
      <c r="D21" s="195">
        <v>7.5</v>
      </c>
      <c r="E21" s="195"/>
      <c r="F21" s="195"/>
      <c r="G21" s="195"/>
      <c r="H21" s="195"/>
      <c r="I21" s="195"/>
      <c r="J21" s="195"/>
      <c r="K21" s="195"/>
      <c r="L21" s="195"/>
      <c r="M21" s="195"/>
      <c r="N21" s="195"/>
      <c r="O21" s="195"/>
      <c r="P21" s="195"/>
      <c r="Q21" s="195"/>
      <c r="R21" s="195"/>
      <c r="S21" s="195"/>
      <c r="T21" s="195"/>
      <c r="U21" s="195"/>
      <c r="V21" s="195"/>
    </row>
    <row r="22" spans="1:22" x14ac:dyDescent="0.25">
      <c r="A22" s="125">
        <v>44028</v>
      </c>
      <c r="B22" s="125" t="str">
        <f t="shared" si="0"/>
        <v>Thursday</v>
      </c>
      <c r="C22" s="298">
        <f t="shared" si="1"/>
        <v>4</v>
      </c>
      <c r="D22" s="195">
        <v>7.5</v>
      </c>
      <c r="E22" s="195"/>
      <c r="F22" s="195"/>
      <c r="G22" s="195"/>
      <c r="H22" s="195"/>
      <c r="I22" s="195"/>
      <c r="J22" s="195"/>
      <c r="K22" s="195"/>
      <c r="L22" s="195"/>
      <c r="M22" s="195"/>
      <c r="N22" s="195"/>
      <c r="O22" s="195"/>
      <c r="P22" s="195"/>
      <c r="Q22" s="195"/>
      <c r="R22" s="195"/>
      <c r="S22" s="195"/>
      <c r="T22" s="195"/>
      <c r="U22" s="195"/>
      <c r="V22" s="195"/>
    </row>
    <row r="23" spans="1:22" x14ac:dyDescent="0.25">
      <c r="A23" s="125">
        <v>44029</v>
      </c>
      <c r="B23" s="125" t="str">
        <f t="shared" si="0"/>
        <v>Friday</v>
      </c>
      <c r="C23" s="298">
        <f t="shared" si="1"/>
        <v>5</v>
      </c>
      <c r="D23" s="195">
        <v>7.5</v>
      </c>
      <c r="E23" s="195"/>
      <c r="F23" s="195"/>
      <c r="G23" s="195"/>
      <c r="H23" s="195"/>
      <c r="I23" s="195"/>
      <c r="J23" s="195"/>
      <c r="K23" s="195"/>
      <c r="L23" s="195"/>
      <c r="M23" s="195"/>
      <c r="N23" s="195"/>
      <c r="O23" s="195"/>
      <c r="P23" s="195"/>
      <c r="Q23" s="195"/>
      <c r="R23" s="195"/>
      <c r="S23" s="195"/>
      <c r="T23" s="195"/>
      <c r="U23" s="195"/>
      <c r="V23" s="195"/>
    </row>
    <row r="24" spans="1:22" x14ac:dyDescent="0.25">
      <c r="A24" s="125">
        <v>44030</v>
      </c>
      <c r="B24" s="125" t="str">
        <f t="shared" si="0"/>
        <v>Saturday</v>
      </c>
      <c r="C24" s="298">
        <f t="shared" si="1"/>
        <v>6</v>
      </c>
      <c r="D24" s="195"/>
      <c r="E24" s="195"/>
      <c r="F24" s="195"/>
      <c r="G24" s="195"/>
      <c r="H24" s="195"/>
      <c r="I24" s="195"/>
      <c r="J24" s="195"/>
      <c r="K24" s="195"/>
      <c r="L24" s="195"/>
      <c r="M24" s="195"/>
      <c r="N24" s="195"/>
      <c r="O24" s="195"/>
      <c r="P24" s="195"/>
      <c r="Q24" s="195"/>
      <c r="R24" s="195"/>
      <c r="S24" s="195"/>
      <c r="T24" s="195"/>
      <c r="U24" s="195"/>
      <c r="V24" s="195"/>
    </row>
    <row r="25" spans="1:22" x14ac:dyDescent="0.25">
      <c r="A25" s="125">
        <v>44031</v>
      </c>
      <c r="B25" s="125" t="str">
        <f t="shared" si="0"/>
        <v>Sunday</v>
      </c>
      <c r="C25" s="298">
        <f t="shared" si="1"/>
        <v>7</v>
      </c>
      <c r="D25" s="195"/>
      <c r="E25" s="195"/>
      <c r="F25" s="195"/>
      <c r="G25" s="195"/>
      <c r="H25" s="195"/>
      <c r="I25" s="195"/>
      <c r="J25" s="195"/>
      <c r="K25" s="195"/>
      <c r="L25" s="195"/>
      <c r="M25" s="195"/>
      <c r="N25" s="195"/>
      <c r="O25" s="195"/>
      <c r="P25" s="195"/>
      <c r="Q25" s="195"/>
      <c r="R25" s="195"/>
      <c r="S25" s="195"/>
      <c r="T25" s="195"/>
      <c r="U25" s="195"/>
      <c r="V25" s="195"/>
    </row>
    <row r="26" spans="1:22" x14ac:dyDescent="0.25">
      <c r="A26" s="125">
        <v>44032</v>
      </c>
      <c r="B26" s="125" t="str">
        <f t="shared" si="0"/>
        <v>Monday</v>
      </c>
      <c r="C26" s="298">
        <f t="shared" si="1"/>
        <v>1</v>
      </c>
      <c r="D26" s="195">
        <v>7.5</v>
      </c>
      <c r="E26" s="195"/>
      <c r="F26" s="195"/>
      <c r="G26" s="195"/>
      <c r="H26" s="195"/>
      <c r="I26" s="195"/>
      <c r="J26" s="195"/>
      <c r="K26" s="195"/>
      <c r="L26" s="195"/>
      <c r="M26" s="195"/>
      <c r="N26" s="195"/>
      <c r="O26" s="195"/>
      <c r="P26" s="195"/>
      <c r="Q26" s="195"/>
      <c r="R26" s="195"/>
      <c r="S26" s="195"/>
      <c r="T26" s="195"/>
      <c r="U26" s="195"/>
      <c r="V26" s="195"/>
    </row>
    <row r="27" spans="1:22" x14ac:dyDescent="0.25">
      <c r="A27" s="125">
        <v>44033</v>
      </c>
      <c r="B27" s="125" t="str">
        <f t="shared" si="0"/>
        <v>Tuesday</v>
      </c>
      <c r="C27" s="298">
        <f t="shared" si="1"/>
        <v>2</v>
      </c>
      <c r="D27" s="195">
        <v>7.5</v>
      </c>
      <c r="E27" s="195"/>
      <c r="F27" s="195"/>
      <c r="G27" s="195"/>
      <c r="H27" s="195"/>
      <c r="I27" s="195"/>
      <c r="J27" s="195"/>
      <c r="K27" s="195"/>
      <c r="L27" s="195"/>
      <c r="M27" s="195"/>
      <c r="N27" s="195"/>
      <c r="O27" s="195"/>
      <c r="P27" s="195"/>
      <c r="Q27" s="195"/>
      <c r="R27" s="195"/>
      <c r="S27" s="195"/>
      <c r="T27" s="195"/>
      <c r="U27" s="195"/>
      <c r="V27" s="195"/>
    </row>
    <row r="28" spans="1:22" x14ac:dyDescent="0.25">
      <c r="A28" s="125">
        <v>44034</v>
      </c>
      <c r="B28" s="125" t="str">
        <f t="shared" si="0"/>
        <v>Wednesday</v>
      </c>
      <c r="C28" s="298">
        <f t="shared" si="1"/>
        <v>3</v>
      </c>
      <c r="D28" s="195">
        <v>7.5</v>
      </c>
      <c r="E28" s="195"/>
      <c r="F28" s="195"/>
      <c r="G28" s="195"/>
      <c r="H28" s="195"/>
      <c r="I28" s="195"/>
      <c r="J28" s="195"/>
      <c r="K28" s="195"/>
      <c r="L28" s="195"/>
      <c r="M28" s="195"/>
      <c r="N28" s="195"/>
      <c r="O28" s="195"/>
      <c r="P28" s="195"/>
      <c r="Q28" s="195"/>
      <c r="R28" s="195"/>
      <c r="S28" s="195"/>
      <c r="T28" s="195"/>
      <c r="U28" s="195"/>
      <c r="V28" s="195"/>
    </row>
    <row r="29" spans="1:22" x14ac:dyDescent="0.25">
      <c r="A29" s="125">
        <v>44035</v>
      </c>
      <c r="B29" s="125" t="str">
        <f t="shared" si="0"/>
        <v>Thursday</v>
      </c>
      <c r="C29" s="298">
        <f t="shared" si="1"/>
        <v>4</v>
      </c>
      <c r="D29" s="195">
        <v>7.5</v>
      </c>
      <c r="E29" s="195"/>
      <c r="F29" s="195"/>
      <c r="G29" s="195"/>
      <c r="H29" s="195"/>
      <c r="I29" s="195"/>
      <c r="J29" s="195"/>
      <c r="K29" s="195"/>
      <c r="L29" s="195"/>
      <c r="M29" s="195"/>
      <c r="N29" s="195"/>
      <c r="O29" s="195"/>
      <c r="P29" s="195"/>
      <c r="Q29" s="195"/>
      <c r="R29" s="195"/>
      <c r="S29" s="195"/>
      <c r="T29" s="195"/>
      <c r="U29" s="195"/>
      <c r="V29" s="195"/>
    </row>
    <row r="30" spans="1:22" x14ac:dyDescent="0.25">
      <c r="A30" s="125">
        <v>44036</v>
      </c>
      <c r="B30" s="125" t="str">
        <f t="shared" si="0"/>
        <v>Friday</v>
      </c>
      <c r="C30" s="298">
        <f t="shared" si="1"/>
        <v>5</v>
      </c>
      <c r="D30" s="195">
        <v>7.5</v>
      </c>
      <c r="E30" s="195"/>
      <c r="F30" s="195"/>
      <c r="G30" s="195"/>
      <c r="H30" s="195"/>
      <c r="I30" s="195"/>
      <c r="J30" s="195"/>
      <c r="K30" s="195"/>
      <c r="L30" s="195"/>
      <c r="M30" s="195"/>
      <c r="N30" s="195"/>
      <c r="O30" s="195"/>
      <c r="P30" s="195"/>
      <c r="Q30" s="195"/>
      <c r="R30" s="195"/>
      <c r="S30" s="195"/>
      <c r="T30" s="195"/>
      <c r="U30" s="195"/>
      <c r="V30" s="195"/>
    </row>
    <row r="31" spans="1:22" x14ac:dyDescent="0.25">
      <c r="A31" s="125">
        <v>44037</v>
      </c>
      <c r="B31" s="125" t="str">
        <f t="shared" si="0"/>
        <v>Saturday</v>
      </c>
      <c r="C31" s="298">
        <f t="shared" si="1"/>
        <v>6</v>
      </c>
      <c r="D31" s="195"/>
      <c r="E31" s="195"/>
      <c r="F31" s="195"/>
      <c r="G31" s="195"/>
      <c r="H31" s="195"/>
      <c r="I31" s="195"/>
      <c r="J31" s="195"/>
      <c r="K31" s="195"/>
      <c r="L31" s="195"/>
      <c r="M31" s="195"/>
      <c r="N31" s="195"/>
      <c r="O31" s="195"/>
      <c r="P31" s="195"/>
      <c r="Q31" s="195"/>
      <c r="R31" s="195"/>
      <c r="S31" s="195"/>
      <c r="T31" s="195"/>
      <c r="U31" s="195"/>
      <c r="V31" s="195"/>
    </row>
    <row r="32" spans="1:22" x14ac:dyDescent="0.25">
      <c r="A32" s="125">
        <v>44038</v>
      </c>
      <c r="B32" s="125" t="str">
        <f t="shared" si="0"/>
        <v>Sunday</v>
      </c>
      <c r="C32" s="298">
        <f t="shared" si="1"/>
        <v>7</v>
      </c>
      <c r="D32" s="195"/>
      <c r="E32" s="195"/>
      <c r="F32" s="195"/>
      <c r="G32" s="195"/>
      <c r="H32" s="195"/>
      <c r="I32" s="195"/>
      <c r="J32" s="195"/>
      <c r="K32" s="195"/>
      <c r="L32" s="195"/>
      <c r="M32" s="195"/>
      <c r="N32" s="195"/>
      <c r="O32" s="195"/>
      <c r="P32" s="195"/>
      <c r="Q32" s="195"/>
      <c r="R32" s="195"/>
      <c r="S32" s="195"/>
      <c r="T32" s="195"/>
      <c r="U32" s="195"/>
      <c r="V32" s="195"/>
    </row>
    <row r="33" spans="1:22" x14ac:dyDescent="0.25">
      <c r="A33" s="125">
        <v>44039</v>
      </c>
      <c r="B33" s="125" t="str">
        <f t="shared" si="0"/>
        <v>Monday</v>
      </c>
      <c r="C33" s="298">
        <f t="shared" si="1"/>
        <v>1</v>
      </c>
      <c r="D33" s="195">
        <v>7.5</v>
      </c>
      <c r="E33" s="195"/>
      <c r="F33" s="195"/>
      <c r="G33" s="195"/>
      <c r="H33" s="195"/>
      <c r="I33" s="195"/>
      <c r="J33" s="195"/>
      <c r="K33" s="195"/>
      <c r="L33" s="195"/>
      <c r="M33" s="195"/>
      <c r="N33" s="195"/>
      <c r="O33" s="195"/>
      <c r="P33" s="195"/>
      <c r="Q33" s="195"/>
      <c r="R33" s="195"/>
      <c r="S33" s="195"/>
      <c r="T33" s="195"/>
      <c r="U33" s="195"/>
      <c r="V33" s="195"/>
    </row>
    <row r="34" spans="1:22" x14ac:dyDescent="0.25">
      <c r="A34" s="125">
        <v>44040</v>
      </c>
      <c r="B34" s="125" t="str">
        <f t="shared" si="0"/>
        <v>Tuesday</v>
      </c>
      <c r="C34" s="298">
        <f t="shared" si="1"/>
        <v>2</v>
      </c>
      <c r="D34" s="195">
        <v>7.5</v>
      </c>
      <c r="E34" s="195"/>
      <c r="F34" s="195"/>
      <c r="G34" s="195"/>
      <c r="H34" s="195"/>
      <c r="I34" s="195"/>
      <c r="J34" s="195"/>
      <c r="K34" s="195"/>
      <c r="L34" s="195"/>
      <c r="M34" s="195"/>
      <c r="N34" s="195"/>
      <c r="O34" s="195"/>
      <c r="P34" s="195"/>
      <c r="Q34" s="195"/>
      <c r="R34" s="195"/>
      <c r="S34" s="195"/>
      <c r="T34" s="195"/>
      <c r="U34" s="195"/>
      <c r="V34" s="195"/>
    </row>
    <row r="35" spans="1:22" x14ac:dyDescent="0.25">
      <c r="A35" s="125">
        <v>44041</v>
      </c>
      <c r="B35" s="125" t="str">
        <f t="shared" si="0"/>
        <v>Wednesday</v>
      </c>
      <c r="C35" s="298">
        <f t="shared" si="1"/>
        <v>3</v>
      </c>
      <c r="D35" s="195">
        <v>7.5</v>
      </c>
      <c r="E35" s="195"/>
      <c r="F35" s="195"/>
      <c r="G35" s="195"/>
      <c r="H35" s="195"/>
      <c r="I35" s="195"/>
      <c r="J35" s="195"/>
      <c r="K35" s="195"/>
      <c r="L35" s="195"/>
      <c r="M35" s="195"/>
      <c r="N35" s="195"/>
      <c r="O35" s="195"/>
      <c r="P35" s="195"/>
      <c r="Q35" s="195"/>
      <c r="R35" s="195"/>
      <c r="S35" s="195"/>
      <c r="T35" s="195"/>
      <c r="U35" s="195"/>
      <c r="V35" s="195"/>
    </row>
    <row r="36" spans="1:22" x14ac:dyDescent="0.25">
      <c r="A36" s="125">
        <v>44042</v>
      </c>
      <c r="B36" s="125" t="str">
        <f t="shared" si="0"/>
        <v>Thursday</v>
      </c>
      <c r="C36" s="298">
        <f t="shared" si="1"/>
        <v>4</v>
      </c>
      <c r="D36" s="195">
        <v>7.5</v>
      </c>
      <c r="E36" s="195"/>
      <c r="F36" s="195"/>
      <c r="G36" s="195"/>
      <c r="H36" s="195"/>
      <c r="I36" s="195"/>
      <c r="J36" s="195"/>
      <c r="K36" s="195"/>
      <c r="L36" s="195"/>
      <c r="M36" s="195"/>
      <c r="N36" s="195"/>
      <c r="O36" s="195"/>
      <c r="P36" s="195"/>
      <c r="Q36" s="195"/>
      <c r="R36" s="195"/>
      <c r="S36" s="195"/>
      <c r="T36" s="195"/>
      <c r="U36" s="195"/>
      <c r="V36" s="195"/>
    </row>
    <row r="37" spans="1:22" x14ac:dyDescent="0.25">
      <c r="A37" s="125">
        <v>44043</v>
      </c>
      <c r="B37" s="125" t="str">
        <f t="shared" si="0"/>
        <v>Friday</v>
      </c>
      <c r="C37" s="299">
        <f t="shared" si="1"/>
        <v>5</v>
      </c>
      <c r="D37" s="300">
        <v>7.5</v>
      </c>
      <c r="E37" s="300"/>
      <c r="F37" s="300"/>
      <c r="G37" s="300"/>
      <c r="H37" s="300"/>
      <c r="I37" s="300"/>
      <c r="J37" s="300"/>
      <c r="K37" s="300"/>
      <c r="L37" s="300"/>
      <c r="M37" s="300"/>
      <c r="N37" s="300"/>
      <c r="O37" s="300"/>
      <c r="P37" s="300"/>
      <c r="Q37" s="300"/>
      <c r="R37" s="300"/>
      <c r="S37" s="300"/>
      <c r="T37" s="300"/>
      <c r="U37" s="300"/>
      <c r="V37" s="300"/>
    </row>
    <row r="38" spans="1:22" x14ac:dyDescent="0.25">
      <c r="A38" s="301" t="s">
        <v>224</v>
      </c>
      <c r="B38" s="302"/>
      <c r="C38" s="303"/>
      <c r="D38" s="304">
        <f>SUM(D7:D37)</f>
        <v>172.5</v>
      </c>
      <c r="E38" s="304">
        <f t="shared" ref="E38:V38" si="2">SUM(E7:E37)</f>
        <v>0</v>
      </c>
      <c r="F38" s="304">
        <f t="shared" si="2"/>
        <v>0</v>
      </c>
      <c r="G38" s="304">
        <f t="shared" si="2"/>
        <v>0</v>
      </c>
      <c r="H38" s="304">
        <f t="shared" si="2"/>
        <v>0</v>
      </c>
      <c r="I38" s="304">
        <f t="shared" si="2"/>
        <v>0</v>
      </c>
      <c r="J38" s="304">
        <f t="shared" si="2"/>
        <v>0</v>
      </c>
      <c r="K38" s="304">
        <f t="shared" si="2"/>
        <v>0</v>
      </c>
      <c r="L38" s="304">
        <f t="shared" si="2"/>
        <v>0</v>
      </c>
      <c r="M38" s="304">
        <f t="shared" si="2"/>
        <v>0</v>
      </c>
      <c r="N38" s="304">
        <f t="shared" si="2"/>
        <v>0</v>
      </c>
      <c r="O38" s="304">
        <f t="shared" si="2"/>
        <v>0</v>
      </c>
      <c r="P38" s="304">
        <f t="shared" si="2"/>
        <v>0</v>
      </c>
      <c r="Q38" s="304">
        <f t="shared" si="2"/>
        <v>0</v>
      </c>
      <c r="R38" s="304">
        <f t="shared" si="2"/>
        <v>0</v>
      </c>
      <c r="S38" s="304">
        <f t="shared" si="2"/>
        <v>0</v>
      </c>
      <c r="T38" s="304">
        <f t="shared" si="2"/>
        <v>0</v>
      </c>
      <c r="U38" s="304">
        <f t="shared" si="2"/>
        <v>0</v>
      </c>
      <c r="V38" s="304">
        <f t="shared" si="2"/>
        <v>0</v>
      </c>
    </row>
    <row r="39" spans="1:22" x14ac:dyDescent="0.25">
      <c r="A39" s="125">
        <v>44044</v>
      </c>
      <c r="B39" s="125" t="str">
        <f t="shared" si="0"/>
        <v>Saturday</v>
      </c>
      <c r="C39" s="298">
        <f t="shared" si="1"/>
        <v>6</v>
      </c>
      <c r="D39" s="195"/>
      <c r="E39" s="195"/>
      <c r="F39" s="195"/>
      <c r="G39" s="195"/>
      <c r="H39" s="195"/>
      <c r="I39" s="195"/>
      <c r="J39" s="195"/>
      <c r="K39" s="195"/>
      <c r="L39" s="195"/>
      <c r="M39" s="195"/>
      <c r="N39" s="195"/>
      <c r="O39" s="195"/>
      <c r="P39" s="195"/>
      <c r="Q39" s="195"/>
      <c r="R39" s="195"/>
      <c r="S39" s="195"/>
      <c r="T39" s="195"/>
      <c r="U39" s="195"/>
      <c r="V39" s="195"/>
    </row>
    <row r="40" spans="1:22" x14ac:dyDescent="0.25">
      <c r="A40" s="125">
        <v>44045</v>
      </c>
      <c r="B40" s="125" t="str">
        <f t="shared" si="0"/>
        <v>Sunday</v>
      </c>
      <c r="C40" s="298">
        <f t="shared" si="1"/>
        <v>7</v>
      </c>
      <c r="D40" s="195"/>
      <c r="E40" s="195"/>
      <c r="F40" s="195"/>
      <c r="G40" s="195"/>
      <c r="H40" s="195"/>
      <c r="I40" s="195"/>
      <c r="J40" s="195"/>
      <c r="K40" s="195"/>
      <c r="L40" s="195"/>
      <c r="M40" s="195"/>
      <c r="N40" s="195"/>
      <c r="O40" s="195"/>
      <c r="P40" s="195"/>
      <c r="Q40" s="195"/>
      <c r="R40" s="195"/>
      <c r="S40" s="195"/>
      <c r="T40" s="195"/>
      <c r="U40" s="195"/>
      <c r="V40" s="195"/>
    </row>
    <row r="41" spans="1:22" x14ac:dyDescent="0.25">
      <c r="A41" s="125">
        <v>44046</v>
      </c>
      <c r="B41" s="125" t="str">
        <f t="shared" si="0"/>
        <v>Monday</v>
      </c>
      <c r="C41" s="298">
        <f t="shared" si="1"/>
        <v>1</v>
      </c>
      <c r="D41" s="195">
        <v>7.5</v>
      </c>
      <c r="E41" s="195"/>
      <c r="F41" s="195"/>
      <c r="G41" s="195"/>
      <c r="H41" s="195"/>
      <c r="I41" s="195"/>
      <c r="J41" s="195"/>
      <c r="K41" s="195"/>
      <c r="L41" s="195"/>
      <c r="M41" s="195"/>
      <c r="N41" s="195"/>
      <c r="O41" s="195"/>
      <c r="P41" s="195"/>
      <c r="Q41" s="195"/>
      <c r="R41" s="195"/>
      <c r="S41" s="195"/>
      <c r="T41" s="195"/>
      <c r="U41" s="195"/>
      <c r="V41" s="195"/>
    </row>
    <row r="42" spans="1:22" x14ac:dyDescent="0.25">
      <c r="A42" s="125">
        <v>44047</v>
      </c>
      <c r="B42" s="125" t="str">
        <f t="shared" si="0"/>
        <v>Tuesday</v>
      </c>
      <c r="C42" s="298">
        <f t="shared" si="1"/>
        <v>2</v>
      </c>
      <c r="D42" s="195">
        <v>7.5</v>
      </c>
      <c r="E42" s="195"/>
      <c r="F42" s="195"/>
      <c r="G42" s="195"/>
      <c r="H42" s="195"/>
      <c r="I42" s="195"/>
      <c r="J42" s="195"/>
      <c r="K42" s="195"/>
      <c r="L42" s="195"/>
      <c r="M42" s="195"/>
      <c r="N42" s="195"/>
      <c r="O42" s="195"/>
      <c r="P42" s="195"/>
      <c r="Q42" s="195"/>
      <c r="R42" s="195"/>
      <c r="S42" s="195"/>
      <c r="T42" s="195"/>
      <c r="U42" s="195"/>
      <c r="V42" s="195"/>
    </row>
    <row r="43" spans="1:22" x14ac:dyDescent="0.25">
      <c r="A43" s="125">
        <v>44048</v>
      </c>
      <c r="B43" s="125" t="str">
        <f t="shared" si="0"/>
        <v>Wednesday</v>
      </c>
      <c r="C43" s="298">
        <f t="shared" si="1"/>
        <v>3</v>
      </c>
      <c r="D43" s="195">
        <v>7.5</v>
      </c>
      <c r="E43" s="195"/>
      <c r="F43" s="195"/>
      <c r="G43" s="195"/>
      <c r="H43" s="195"/>
      <c r="I43" s="195"/>
      <c r="J43" s="195"/>
      <c r="K43" s="195"/>
      <c r="L43" s="195"/>
      <c r="M43" s="195"/>
      <c r="N43" s="195"/>
      <c r="O43" s="195"/>
      <c r="P43" s="195"/>
      <c r="Q43" s="195"/>
      <c r="R43" s="195"/>
      <c r="S43" s="195"/>
      <c r="T43" s="195"/>
      <c r="U43" s="195"/>
      <c r="V43" s="195"/>
    </row>
    <row r="44" spans="1:22" x14ac:dyDescent="0.25">
      <c r="A44" s="125">
        <v>44049</v>
      </c>
      <c r="B44" s="125" t="str">
        <f t="shared" si="0"/>
        <v>Thursday</v>
      </c>
      <c r="C44" s="298">
        <f t="shared" si="1"/>
        <v>4</v>
      </c>
      <c r="D44" s="195">
        <v>7.5</v>
      </c>
      <c r="E44" s="195"/>
      <c r="F44" s="195"/>
      <c r="G44" s="195"/>
      <c r="H44" s="195"/>
      <c r="I44" s="195"/>
      <c r="J44" s="195"/>
      <c r="K44" s="195"/>
      <c r="L44" s="195"/>
      <c r="M44" s="195"/>
      <c r="N44" s="195"/>
      <c r="O44" s="195"/>
      <c r="P44" s="195"/>
      <c r="Q44" s="195"/>
      <c r="R44" s="195"/>
      <c r="S44" s="195"/>
      <c r="T44" s="195"/>
      <c r="U44" s="195"/>
      <c r="V44" s="195"/>
    </row>
    <row r="45" spans="1:22" x14ac:dyDescent="0.25">
      <c r="A45" s="125">
        <v>44050</v>
      </c>
      <c r="B45" s="125" t="str">
        <f t="shared" si="0"/>
        <v>Friday</v>
      </c>
      <c r="C45" s="298">
        <f t="shared" si="1"/>
        <v>5</v>
      </c>
      <c r="D45" s="195">
        <v>7.5</v>
      </c>
      <c r="E45" s="195"/>
      <c r="F45" s="195"/>
      <c r="G45" s="195"/>
      <c r="H45" s="195"/>
      <c r="I45" s="195"/>
      <c r="J45" s="195"/>
      <c r="K45" s="195"/>
      <c r="L45" s="195"/>
      <c r="M45" s="195"/>
      <c r="N45" s="195"/>
      <c r="O45" s="195"/>
      <c r="P45" s="195"/>
      <c r="Q45" s="195"/>
      <c r="R45" s="195"/>
      <c r="S45" s="195"/>
      <c r="T45" s="195"/>
      <c r="U45" s="195"/>
      <c r="V45" s="195"/>
    </row>
    <row r="46" spans="1:22" x14ac:dyDescent="0.25">
      <c r="A46" s="125">
        <v>44051</v>
      </c>
      <c r="B46" s="125" t="str">
        <f t="shared" si="0"/>
        <v>Saturday</v>
      </c>
      <c r="C46" s="298">
        <f t="shared" si="1"/>
        <v>6</v>
      </c>
      <c r="D46" s="195"/>
      <c r="E46" s="195"/>
      <c r="F46" s="195"/>
      <c r="G46" s="195"/>
      <c r="H46" s="195"/>
      <c r="I46" s="195"/>
      <c r="J46" s="195"/>
      <c r="K46" s="195"/>
      <c r="L46" s="195"/>
      <c r="M46" s="195"/>
      <c r="N46" s="195"/>
      <c r="O46" s="195"/>
      <c r="P46" s="195"/>
      <c r="Q46" s="195"/>
      <c r="R46" s="195"/>
      <c r="S46" s="195"/>
      <c r="T46" s="195"/>
      <c r="U46" s="195"/>
      <c r="V46" s="195"/>
    </row>
    <row r="47" spans="1:22" x14ac:dyDescent="0.25">
      <c r="A47" s="125">
        <v>44052</v>
      </c>
      <c r="B47" s="125" t="str">
        <f t="shared" si="0"/>
        <v>Sunday</v>
      </c>
      <c r="C47" s="298">
        <f t="shared" si="1"/>
        <v>7</v>
      </c>
      <c r="D47" s="195"/>
      <c r="E47" s="195"/>
      <c r="F47" s="195"/>
      <c r="G47" s="195"/>
      <c r="H47" s="195"/>
      <c r="I47" s="195"/>
      <c r="J47" s="195"/>
      <c r="K47" s="195"/>
      <c r="L47" s="195"/>
      <c r="M47" s="195"/>
      <c r="N47" s="195"/>
      <c r="O47" s="195"/>
      <c r="P47" s="195"/>
      <c r="Q47" s="195"/>
      <c r="R47" s="195"/>
      <c r="S47" s="195"/>
      <c r="T47" s="195"/>
      <c r="U47" s="195"/>
      <c r="V47" s="195"/>
    </row>
    <row r="48" spans="1:22" x14ac:dyDescent="0.25">
      <c r="A48" s="125">
        <v>44053</v>
      </c>
      <c r="B48" s="125" t="str">
        <f t="shared" si="0"/>
        <v>Monday</v>
      </c>
      <c r="C48" s="298">
        <f t="shared" si="1"/>
        <v>1</v>
      </c>
      <c r="D48" s="195">
        <v>7.5</v>
      </c>
      <c r="E48" s="195"/>
      <c r="F48" s="195"/>
      <c r="G48" s="195"/>
      <c r="H48" s="195"/>
      <c r="I48" s="195"/>
      <c r="J48" s="195"/>
      <c r="K48" s="195"/>
      <c r="L48" s="195"/>
      <c r="M48" s="195"/>
      <c r="N48" s="195"/>
      <c r="O48" s="195"/>
      <c r="P48" s="195"/>
      <c r="Q48" s="195"/>
      <c r="R48" s="195"/>
      <c r="S48" s="195"/>
      <c r="T48" s="195"/>
      <c r="U48" s="195"/>
      <c r="V48" s="195"/>
    </row>
    <row r="49" spans="1:22" x14ac:dyDescent="0.25">
      <c r="A49" s="125">
        <v>44054</v>
      </c>
      <c r="B49" s="125" t="str">
        <f t="shared" si="0"/>
        <v>Tuesday</v>
      </c>
      <c r="C49" s="298">
        <f t="shared" si="1"/>
        <v>2</v>
      </c>
      <c r="D49" s="195">
        <v>7.5</v>
      </c>
      <c r="E49" s="195"/>
      <c r="F49" s="195"/>
      <c r="G49" s="195"/>
      <c r="H49" s="195"/>
      <c r="I49" s="195"/>
      <c r="J49" s="195"/>
      <c r="K49" s="195"/>
      <c r="L49" s="195"/>
      <c r="M49" s="195"/>
      <c r="N49" s="195"/>
      <c r="O49" s="195"/>
      <c r="P49" s="195"/>
      <c r="Q49" s="195"/>
      <c r="R49" s="195"/>
      <c r="S49" s="195"/>
      <c r="T49" s="195"/>
      <c r="U49" s="195"/>
      <c r="V49" s="195"/>
    </row>
    <row r="50" spans="1:22" x14ac:dyDescent="0.25">
      <c r="A50" s="125">
        <v>44055</v>
      </c>
      <c r="B50" s="125" t="str">
        <f t="shared" si="0"/>
        <v>Wednesday</v>
      </c>
      <c r="C50" s="298">
        <f t="shared" si="1"/>
        <v>3</v>
      </c>
      <c r="D50" s="195">
        <v>7.5</v>
      </c>
      <c r="E50" s="195"/>
      <c r="F50" s="195"/>
      <c r="G50" s="195"/>
      <c r="H50" s="195"/>
      <c r="I50" s="195"/>
      <c r="J50" s="195"/>
      <c r="K50" s="195"/>
      <c r="L50" s="195"/>
      <c r="M50" s="195"/>
      <c r="N50" s="195"/>
      <c r="O50" s="195"/>
      <c r="P50" s="195"/>
      <c r="Q50" s="195"/>
      <c r="R50" s="195"/>
      <c r="S50" s="195"/>
      <c r="T50" s="195"/>
      <c r="U50" s="195"/>
      <c r="V50" s="195"/>
    </row>
    <row r="51" spans="1:22" x14ac:dyDescent="0.25">
      <c r="A51" s="125">
        <v>44056</v>
      </c>
      <c r="B51" s="125" t="str">
        <f t="shared" si="0"/>
        <v>Thursday</v>
      </c>
      <c r="C51" s="298">
        <f t="shared" si="1"/>
        <v>4</v>
      </c>
      <c r="D51" s="195">
        <v>7.5</v>
      </c>
      <c r="E51" s="195"/>
      <c r="F51" s="195"/>
      <c r="G51" s="195"/>
      <c r="H51" s="195"/>
      <c r="I51" s="195"/>
      <c r="J51" s="195"/>
      <c r="K51" s="195"/>
      <c r="L51" s="195"/>
      <c r="M51" s="195"/>
      <c r="N51" s="195"/>
      <c r="O51" s="195"/>
      <c r="P51" s="195"/>
      <c r="Q51" s="195"/>
      <c r="R51" s="195"/>
      <c r="S51" s="195"/>
      <c r="T51" s="195"/>
      <c r="U51" s="195"/>
      <c r="V51" s="195"/>
    </row>
    <row r="52" spans="1:22" x14ac:dyDescent="0.25">
      <c r="A52" s="125">
        <v>44057</v>
      </c>
      <c r="B52" s="125" t="str">
        <f t="shared" si="0"/>
        <v>Friday</v>
      </c>
      <c r="C52" s="298">
        <f t="shared" si="1"/>
        <v>5</v>
      </c>
      <c r="D52" s="195">
        <v>7.5</v>
      </c>
      <c r="E52" s="195"/>
      <c r="F52" s="195"/>
      <c r="G52" s="195"/>
      <c r="H52" s="195"/>
      <c r="I52" s="195"/>
      <c r="J52" s="195"/>
      <c r="K52" s="195"/>
      <c r="L52" s="195"/>
      <c r="M52" s="195"/>
      <c r="N52" s="195"/>
      <c r="O52" s="195"/>
      <c r="P52" s="195"/>
      <c r="Q52" s="195"/>
      <c r="R52" s="195"/>
      <c r="S52" s="195"/>
      <c r="T52" s="195"/>
      <c r="U52" s="195"/>
      <c r="V52" s="195"/>
    </row>
    <row r="53" spans="1:22" x14ac:dyDescent="0.25">
      <c r="A53" s="125">
        <v>44058</v>
      </c>
      <c r="B53" s="125" t="str">
        <f t="shared" si="0"/>
        <v>Saturday</v>
      </c>
      <c r="C53" s="298">
        <f t="shared" si="1"/>
        <v>6</v>
      </c>
      <c r="D53" s="195"/>
      <c r="E53" s="195"/>
      <c r="F53" s="195"/>
      <c r="G53" s="195"/>
      <c r="H53" s="195"/>
      <c r="I53" s="195"/>
      <c r="J53" s="195"/>
      <c r="K53" s="195"/>
      <c r="L53" s="195"/>
      <c r="M53" s="195"/>
      <c r="N53" s="195"/>
      <c r="O53" s="195"/>
      <c r="P53" s="195"/>
      <c r="Q53" s="195"/>
      <c r="R53" s="195"/>
      <c r="S53" s="195"/>
      <c r="T53" s="195"/>
      <c r="U53" s="195"/>
      <c r="V53" s="195"/>
    </row>
    <row r="54" spans="1:22" x14ac:dyDescent="0.25">
      <c r="A54" s="125">
        <v>44059</v>
      </c>
      <c r="B54" s="125" t="str">
        <f t="shared" si="0"/>
        <v>Sunday</v>
      </c>
      <c r="C54" s="298">
        <f t="shared" si="1"/>
        <v>7</v>
      </c>
      <c r="D54" s="195"/>
      <c r="E54" s="195"/>
      <c r="F54" s="195"/>
      <c r="G54" s="195"/>
      <c r="H54" s="195"/>
      <c r="I54" s="195"/>
      <c r="J54" s="195"/>
      <c r="K54" s="195"/>
      <c r="L54" s="195"/>
      <c r="M54" s="195"/>
      <c r="N54" s="195"/>
      <c r="O54" s="195"/>
      <c r="P54" s="195"/>
      <c r="Q54" s="195"/>
      <c r="R54" s="195"/>
      <c r="S54" s="195"/>
      <c r="T54" s="195"/>
      <c r="U54" s="195"/>
      <c r="V54" s="195"/>
    </row>
    <row r="55" spans="1:22" x14ac:dyDescent="0.25">
      <c r="A55" s="125">
        <v>44060</v>
      </c>
      <c r="B55" s="125" t="str">
        <f t="shared" si="0"/>
        <v>Monday</v>
      </c>
      <c r="C55" s="298">
        <f t="shared" si="1"/>
        <v>1</v>
      </c>
      <c r="D55" s="195">
        <v>7.5</v>
      </c>
      <c r="E55" s="195"/>
      <c r="F55" s="195"/>
      <c r="G55" s="195"/>
      <c r="H55" s="195"/>
      <c r="I55" s="195"/>
      <c r="J55" s="195"/>
      <c r="K55" s="195"/>
      <c r="L55" s="195"/>
      <c r="M55" s="195"/>
      <c r="N55" s="195"/>
      <c r="O55" s="195"/>
      <c r="P55" s="195"/>
      <c r="Q55" s="195"/>
      <c r="R55" s="195"/>
      <c r="S55" s="195"/>
      <c r="T55" s="195"/>
      <c r="U55" s="195"/>
      <c r="V55" s="195"/>
    </row>
    <row r="56" spans="1:22" x14ac:dyDescent="0.25">
      <c r="A56" s="125">
        <v>44061</v>
      </c>
      <c r="B56" s="125" t="str">
        <f t="shared" si="0"/>
        <v>Tuesday</v>
      </c>
      <c r="C56" s="298">
        <f t="shared" si="1"/>
        <v>2</v>
      </c>
      <c r="D56" s="195">
        <v>7.5</v>
      </c>
      <c r="E56" s="195"/>
      <c r="F56" s="195"/>
      <c r="G56" s="195"/>
      <c r="H56" s="195"/>
      <c r="I56" s="195"/>
      <c r="J56" s="195"/>
      <c r="K56" s="195"/>
      <c r="L56" s="195"/>
      <c r="M56" s="195"/>
      <c r="N56" s="195"/>
      <c r="O56" s="195"/>
      <c r="P56" s="195"/>
      <c r="Q56" s="195"/>
      <c r="R56" s="195"/>
      <c r="S56" s="195"/>
      <c r="T56" s="195"/>
      <c r="U56" s="195"/>
      <c r="V56" s="195"/>
    </row>
    <row r="57" spans="1:22" x14ac:dyDescent="0.25">
      <c r="A57" s="125">
        <v>44062</v>
      </c>
      <c r="B57" s="125" t="str">
        <f t="shared" si="0"/>
        <v>Wednesday</v>
      </c>
      <c r="C57" s="298">
        <f t="shared" si="1"/>
        <v>3</v>
      </c>
      <c r="D57" s="195">
        <v>7.5</v>
      </c>
      <c r="E57" s="195"/>
      <c r="F57" s="195"/>
      <c r="G57" s="195"/>
      <c r="H57" s="195"/>
      <c r="I57" s="195"/>
      <c r="J57" s="195"/>
      <c r="K57" s="195"/>
      <c r="L57" s="195"/>
      <c r="M57" s="195"/>
      <c r="N57" s="195"/>
      <c r="O57" s="195"/>
      <c r="P57" s="195"/>
      <c r="Q57" s="195"/>
      <c r="R57" s="195"/>
      <c r="S57" s="195"/>
      <c r="T57" s="195"/>
      <c r="U57" s="195"/>
      <c r="V57" s="195"/>
    </row>
    <row r="58" spans="1:22" x14ac:dyDescent="0.25">
      <c r="A58" s="125">
        <v>44063</v>
      </c>
      <c r="B58" s="125" t="str">
        <f t="shared" si="0"/>
        <v>Thursday</v>
      </c>
      <c r="C58" s="298">
        <f t="shared" si="1"/>
        <v>4</v>
      </c>
      <c r="D58" s="195">
        <v>7.5</v>
      </c>
      <c r="E58" s="195"/>
      <c r="F58" s="195"/>
      <c r="G58" s="195"/>
      <c r="H58" s="195"/>
      <c r="I58" s="195"/>
      <c r="J58" s="195"/>
      <c r="K58" s="195"/>
      <c r="L58" s="195"/>
      <c r="M58" s="195"/>
      <c r="N58" s="195"/>
      <c r="O58" s="195"/>
      <c r="P58" s="195"/>
      <c r="Q58" s="195"/>
      <c r="R58" s="195"/>
      <c r="S58" s="195"/>
      <c r="T58" s="195"/>
      <c r="U58" s="195"/>
      <c r="V58" s="195"/>
    </row>
    <row r="59" spans="1:22" x14ac:dyDescent="0.25">
      <c r="A59" s="125">
        <v>44064</v>
      </c>
      <c r="B59" s="125" t="str">
        <f t="shared" si="0"/>
        <v>Friday</v>
      </c>
      <c r="C59" s="298">
        <f t="shared" si="1"/>
        <v>5</v>
      </c>
      <c r="D59" s="195">
        <v>7.5</v>
      </c>
      <c r="E59" s="195"/>
      <c r="F59" s="195"/>
      <c r="G59" s="195"/>
      <c r="H59" s="195"/>
      <c r="I59" s="195"/>
      <c r="J59" s="195"/>
      <c r="K59" s="195"/>
      <c r="L59" s="195"/>
      <c r="M59" s="195"/>
      <c r="N59" s="195"/>
      <c r="O59" s="195"/>
      <c r="P59" s="195"/>
      <c r="Q59" s="195"/>
      <c r="R59" s="195"/>
      <c r="S59" s="195"/>
      <c r="T59" s="195"/>
      <c r="U59" s="195"/>
      <c r="V59" s="195"/>
    </row>
    <row r="60" spans="1:22" x14ac:dyDescent="0.25">
      <c r="A60" s="125">
        <v>44065</v>
      </c>
      <c r="B60" s="125" t="str">
        <f t="shared" si="0"/>
        <v>Saturday</v>
      </c>
      <c r="C60" s="298">
        <f t="shared" si="1"/>
        <v>6</v>
      </c>
      <c r="D60" s="195"/>
      <c r="E60" s="195"/>
      <c r="F60" s="195"/>
      <c r="G60" s="195"/>
      <c r="H60" s="195"/>
      <c r="I60" s="195"/>
      <c r="J60" s="195"/>
      <c r="K60" s="195"/>
      <c r="L60" s="195"/>
      <c r="M60" s="195"/>
      <c r="N60" s="195"/>
      <c r="O60" s="195"/>
      <c r="P60" s="195"/>
      <c r="Q60" s="195"/>
      <c r="R60" s="195"/>
      <c r="S60" s="195"/>
      <c r="T60" s="195"/>
      <c r="U60" s="195"/>
      <c r="V60" s="195"/>
    </row>
    <row r="61" spans="1:22" x14ac:dyDescent="0.25">
      <c r="A61" s="125">
        <v>44066</v>
      </c>
      <c r="B61" s="125" t="str">
        <f t="shared" si="0"/>
        <v>Sunday</v>
      </c>
      <c r="C61" s="298">
        <f t="shared" si="1"/>
        <v>7</v>
      </c>
      <c r="D61" s="195"/>
      <c r="E61" s="195"/>
      <c r="F61" s="195"/>
      <c r="G61" s="195"/>
      <c r="H61" s="195"/>
      <c r="I61" s="195"/>
      <c r="J61" s="195"/>
      <c r="K61" s="195"/>
      <c r="L61" s="195"/>
      <c r="M61" s="195"/>
      <c r="N61" s="195"/>
      <c r="O61" s="195"/>
      <c r="P61" s="195"/>
      <c r="Q61" s="195"/>
      <c r="R61" s="195"/>
      <c r="S61" s="195"/>
      <c r="T61" s="195"/>
      <c r="U61" s="195"/>
      <c r="V61" s="195"/>
    </row>
    <row r="62" spans="1:22" x14ac:dyDescent="0.25">
      <c r="A62" s="125">
        <v>44067</v>
      </c>
      <c r="B62" s="125" t="str">
        <f t="shared" si="0"/>
        <v>Monday</v>
      </c>
      <c r="C62" s="298">
        <f t="shared" si="1"/>
        <v>1</v>
      </c>
      <c r="D62" s="195">
        <v>7.5</v>
      </c>
      <c r="E62" s="195"/>
      <c r="F62" s="195"/>
      <c r="G62" s="195"/>
      <c r="H62" s="195"/>
      <c r="I62" s="195"/>
      <c r="J62" s="195"/>
      <c r="K62" s="195"/>
      <c r="L62" s="195"/>
      <c r="M62" s="195"/>
      <c r="N62" s="195"/>
      <c r="O62" s="195"/>
      <c r="P62" s="195"/>
      <c r="Q62" s="195"/>
      <c r="R62" s="195"/>
      <c r="S62" s="195"/>
      <c r="T62" s="195"/>
      <c r="U62" s="195"/>
      <c r="V62" s="195"/>
    </row>
    <row r="63" spans="1:22" x14ac:dyDescent="0.25">
      <c r="A63" s="125">
        <v>44068</v>
      </c>
      <c r="B63" s="125" t="str">
        <f t="shared" si="0"/>
        <v>Tuesday</v>
      </c>
      <c r="C63" s="298">
        <f t="shared" si="1"/>
        <v>2</v>
      </c>
      <c r="D63" s="195">
        <v>7.5</v>
      </c>
      <c r="E63" s="195"/>
      <c r="F63" s="195"/>
      <c r="G63" s="195"/>
      <c r="H63" s="195"/>
      <c r="I63" s="195"/>
      <c r="J63" s="195"/>
      <c r="K63" s="195"/>
      <c r="L63" s="195"/>
      <c r="M63" s="195"/>
      <c r="N63" s="195"/>
      <c r="O63" s="195"/>
      <c r="P63" s="195"/>
      <c r="Q63" s="195"/>
      <c r="R63" s="195"/>
      <c r="S63" s="195"/>
      <c r="T63" s="195"/>
      <c r="U63" s="195"/>
      <c r="V63" s="195"/>
    </row>
    <row r="64" spans="1:22" x14ac:dyDescent="0.25">
      <c r="A64" s="125">
        <v>44069</v>
      </c>
      <c r="B64" s="125" t="str">
        <f t="shared" si="0"/>
        <v>Wednesday</v>
      </c>
      <c r="C64" s="298">
        <f t="shared" si="1"/>
        <v>3</v>
      </c>
      <c r="D64" s="195">
        <v>7.5</v>
      </c>
      <c r="E64" s="195"/>
      <c r="F64" s="195"/>
      <c r="G64" s="195"/>
      <c r="H64" s="195"/>
      <c r="I64" s="195"/>
      <c r="J64" s="195"/>
      <c r="K64" s="195"/>
      <c r="L64" s="195"/>
      <c r="M64" s="195"/>
      <c r="N64" s="195"/>
      <c r="O64" s="195"/>
      <c r="P64" s="195"/>
      <c r="Q64" s="195"/>
      <c r="R64" s="195"/>
      <c r="S64" s="195"/>
      <c r="T64" s="195"/>
      <c r="U64" s="195"/>
      <c r="V64" s="195"/>
    </row>
    <row r="65" spans="1:22" x14ac:dyDescent="0.25">
      <c r="A65" s="125">
        <v>44070</v>
      </c>
      <c r="B65" s="125" t="str">
        <f t="shared" si="0"/>
        <v>Thursday</v>
      </c>
      <c r="C65" s="298">
        <f t="shared" si="1"/>
        <v>4</v>
      </c>
      <c r="D65" s="195">
        <v>7.5</v>
      </c>
      <c r="E65" s="195"/>
      <c r="F65" s="195"/>
      <c r="G65" s="195"/>
      <c r="H65" s="195"/>
      <c r="I65" s="195"/>
      <c r="J65" s="195"/>
      <c r="K65" s="195"/>
      <c r="L65" s="195"/>
      <c r="M65" s="195"/>
      <c r="N65" s="195"/>
      <c r="O65" s="195"/>
      <c r="P65" s="195"/>
      <c r="Q65" s="195"/>
      <c r="R65" s="195"/>
      <c r="S65" s="195"/>
      <c r="T65" s="195"/>
      <c r="U65" s="195"/>
      <c r="V65" s="195"/>
    </row>
    <row r="66" spans="1:22" x14ac:dyDescent="0.25">
      <c r="A66" s="125">
        <v>44071</v>
      </c>
      <c r="B66" s="125" t="str">
        <f t="shared" si="0"/>
        <v>Friday</v>
      </c>
      <c r="C66" s="298">
        <f t="shared" si="1"/>
        <v>5</v>
      </c>
      <c r="D66" s="195">
        <v>7.5</v>
      </c>
      <c r="E66" s="195"/>
      <c r="F66" s="195"/>
      <c r="G66" s="195"/>
      <c r="H66" s="195"/>
      <c r="I66" s="195"/>
      <c r="J66" s="195"/>
      <c r="K66" s="195"/>
      <c r="L66" s="195"/>
      <c r="M66" s="195"/>
      <c r="N66" s="195"/>
      <c r="O66" s="195"/>
      <c r="P66" s="195"/>
      <c r="Q66" s="195"/>
      <c r="R66" s="195"/>
      <c r="S66" s="195"/>
      <c r="T66" s="195"/>
      <c r="U66" s="195"/>
      <c r="V66" s="195"/>
    </row>
    <row r="67" spans="1:22" x14ac:dyDescent="0.25">
      <c r="A67" s="125">
        <v>44072</v>
      </c>
      <c r="B67" s="125" t="str">
        <f t="shared" si="0"/>
        <v>Saturday</v>
      </c>
      <c r="C67" s="298">
        <f t="shared" si="1"/>
        <v>6</v>
      </c>
      <c r="D67" s="195"/>
      <c r="E67" s="195"/>
      <c r="F67" s="195"/>
      <c r="G67" s="195"/>
      <c r="H67" s="195"/>
      <c r="I67" s="195"/>
      <c r="J67" s="195"/>
      <c r="K67" s="195"/>
      <c r="L67" s="195"/>
      <c r="M67" s="195"/>
      <c r="N67" s="195"/>
      <c r="O67" s="195"/>
      <c r="P67" s="195"/>
      <c r="Q67" s="195"/>
      <c r="R67" s="195"/>
      <c r="S67" s="195"/>
      <c r="T67" s="195"/>
      <c r="U67" s="195"/>
      <c r="V67" s="195"/>
    </row>
    <row r="68" spans="1:22" x14ac:dyDescent="0.25">
      <c r="A68" s="125">
        <v>44073</v>
      </c>
      <c r="B68" s="125" t="str">
        <f t="shared" si="0"/>
        <v>Sunday</v>
      </c>
      <c r="C68" s="298">
        <f t="shared" si="1"/>
        <v>7</v>
      </c>
      <c r="D68" s="195"/>
      <c r="E68" s="195"/>
      <c r="F68" s="195"/>
      <c r="G68" s="195"/>
      <c r="H68" s="195"/>
      <c r="I68" s="195"/>
      <c r="J68" s="195"/>
      <c r="K68" s="195"/>
      <c r="L68" s="195"/>
      <c r="M68" s="195"/>
      <c r="N68" s="195"/>
      <c r="O68" s="195"/>
      <c r="P68" s="195"/>
      <c r="Q68" s="195"/>
      <c r="R68" s="195"/>
      <c r="S68" s="195"/>
      <c r="T68" s="195"/>
      <c r="U68" s="195"/>
      <c r="V68" s="195"/>
    </row>
    <row r="69" spans="1:22" x14ac:dyDescent="0.25">
      <c r="A69" s="125">
        <v>44074</v>
      </c>
      <c r="B69" s="125" t="str">
        <f t="shared" si="0"/>
        <v>Monday</v>
      </c>
      <c r="C69" s="298">
        <f t="shared" si="1"/>
        <v>1</v>
      </c>
      <c r="D69" s="300">
        <v>7.5</v>
      </c>
      <c r="E69" s="300"/>
      <c r="F69" s="300"/>
      <c r="G69" s="300"/>
      <c r="H69" s="300"/>
      <c r="I69" s="300"/>
      <c r="J69" s="300"/>
      <c r="K69" s="300"/>
      <c r="L69" s="300"/>
      <c r="M69" s="300"/>
      <c r="N69" s="300"/>
      <c r="O69" s="300"/>
      <c r="P69" s="300"/>
      <c r="Q69" s="300"/>
      <c r="R69" s="300"/>
      <c r="S69" s="300"/>
      <c r="T69" s="300"/>
      <c r="U69" s="300"/>
      <c r="V69" s="300"/>
    </row>
    <row r="70" spans="1:22" x14ac:dyDescent="0.25">
      <c r="A70" s="301" t="s">
        <v>224</v>
      </c>
      <c r="B70" s="302"/>
      <c r="C70" s="303"/>
      <c r="D70" s="304">
        <f>SUM(D39:D69)</f>
        <v>157.5</v>
      </c>
      <c r="E70" s="304">
        <f t="shared" ref="E70:V70" si="3">SUM(E39:E69)</f>
        <v>0</v>
      </c>
      <c r="F70" s="304">
        <f t="shared" si="3"/>
        <v>0</v>
      </c>
      <c r="G70" s="304">
        <f t="shared" si="3"/>
        <v>0</v>
      </c>
      <c r="H70" s="304">
        <f t="shared" si="3"/>
        <v>0</v>
      </c>
      <c r="I70" s="304">
        <f t="shared" si="3"/>
        <v>0</v>
      </c>
      <c r="J70" s="304">
        <f t="shared" si="3"/>
        <v>0</v>
      </c>
      <c r="K70" s="304">
        <f t="shared" si="3"/>
        <v>0</v>
      </c>
      <c r="L70" s="304">
        <f t="shared" si="3"/>
        <v>0</v>
      </c>
      <c r="M70" s="304">
        <f t="shared" si="3"/>
        <v>0</v>
      </c>
      <c r="N70" s="304">
        <f t="shared" si="3"/>
        <v>0</v>
      </c>
      <c r="O70" s="304">
        <f t="shared" si="3"/>
        <v>0</v>
      </c>
      <c r="P70" s="304">
        <f t="shared" si="3"/>
        <v>0</v>
      </c>
      <c r="Q70" s="304">
        <f t="shared" si="3"/>
        <v>0</v>
      </c>
      <c r="R70" s="304">
        <f t="shared" si="3"/>
        <v>0</v>
      </c>
      <c r="S70" s="304">
        <f t="shared" si="3"/>
        <v>0</v>
      </c>
      <c r="T70" s="304">
        <f t="shared" si="3"/>
        <v>0</v>
      </c>
      <c r="U70" s="304">
        <f t="shared" si="3"/>
        <v>0</v>
      </c>
      <c r="V70" s="304">
        <f t="shared" si="3"/>
        <v>0</v>
      </c>
    </row>
    <row r="71" spans="1:22" x14ac:dyDescent="0.25">
      <c r="A71" s="125">
        <v>44075</v>
      </c>
      <c r="B71" s="125" t="str">
        <f t="shared" si="0"/>
        <v>Tuesday</v>
      </c>
      <c r="C71" s="298">
        <f t="shared" si="1"/>
        <v>2</v>
      </c>
      <c r="D71" s="195">
        <v>7.5</v>
      </c>
      <c r="E71" s="195"/>
      <c r="F71" s="195"/>
      <c r="G71" s="195"/>
      <c r="H71" s="195"/>
      <c r="I71" s="195"/>
      <c r="J71" s="195"/>
      <c r="K71" s="195"/>
      <c r="L71" s="195"/>
      <c r="M71" s="195"/>
      <c r="N71" s="195"/>
      <c r="O71" s="195"/>
      <c r="P71" s="195"/>
      <c r="Q71" s="195"/>
      <c r="R71" s="195"/>
      <c r="S71" s="195"/>
      <c r="T71" s="195"/>
      <c r="U71" s="195"/>
      <c r="V71" s="195"/>
    </row>
    <row r="72" spans="1:22" x14ac:dyDescent="0.25">
      <c r="A72" s="125">
        <v>44076</v>
      </c>
      <c r="B72" s="125" t="str">
        <f t="shared" ref="B72:B135" si="4">TEXT(A72,"dddd")</f>
        <v>Wednesday</v>
      </c>
      <c r="C72" s="298">
        <f t="shared" ref="C72:C135" si="5">WEEKDAY(A72,2)</f>
        <v>3</v>
      </c>
      <c r="D72" s="195">
        <v>7.5</v>
      </c>
      <c r="E72" s="195"/>
      <c r="F72" s="195"/>
      <c r="G72" s="195"/>
      <c r="H72" s="195"/>
      <c r="I72" s="195"/>
      <c r="J72" s="195"/>
      <c r="K72" s="195"/>
      <c r="L72" s="195"/>
      <c r="M72" s="195"/>
      <c r="N72" s="195"/>
      <c r="O72" s="195"/>
      <c r="P72" s="195"/>
      <c r="Q72" s="195"/>
      <c r="R72" s="195"/>
      <c r="S72" s="195"/>
      <c r="T72" s="195"/>
      <c r="U72" s="195"/>
      <c r="V72" s="195"/>
    </row>
    <row r="73" spans="1:22" x14ac:dyDescent="0.25">
      <c r="A73" s="125">
        <v>44077</v>
      </c>
      <c r="B73" s="125" t="str">
        <f t="shared" si="4"/>
        <v>Thursday</v>
      </c>
      <c r="C73" s="298">
        <f t="shared" si="5"/>
        <v>4</v>
      </c>
      <c r="D73" s="195">
        <v>7.5</v>
      </c>
      <c r="E73" s="195"/>
      <c r="F73" s="195"/>
      <c r="G73" s="195"/>
      <c r="H73" s="195"/>
      <c r="I73" s="195"/>
      <c r="J73" s="195"/>
      <c r="K73" s="195"/>
      <c r="L73" s="195"/>
      <c r="M73" s="195"/>
      <c r="N73" s="195"/>
      <c r="O73" s="195"/>
      <c r="P73" s="195"/>
      <c r="Q73" s="195"/>
      <c r="R73" s="195"/>
      <c r="S73" s="195"/>
      <c r="T73" s="195"/>
      <c r="U73" s="195"/>
      <c r="V73" s="195"/>
    </row>
    <row r="74" spans="1:22" x14ac:dyDescent="0.25">
      <c r="A74" s="125">
        <v>44078</v>
      </c>
      <c r="B74" s="125" t="str">
        <f t="shared" si="4"/>
        <v>Friday</v>
      </c>
      <c r="C74" s="298">
        <f t="shared" si="5"/>
        <v>5</v>
      </c>
      <c r="D74" s="195">
        <v>7.5</v>
      </c>
      <c r="E74" s="195"/>
      <c r="F74" s="195"/>
      <c r="G74" s="195"/>
      <c r="H74" s="195"/>
      <c r="I74" s="195"/>
      <c r="J74" s="195"/>
      <c r="K74" s="195"/>
      <c r="L74" s="195"/>
      <c r="M74" s="195"/>
      <c r="N74" s="195"/>
      <c r="O74" s="195"/>
      <c r="P74" s="195"/>
      <c r="Q74" s="195"/>
      <c r="R74" s="195"/>
      <c r="S74" s="195"/>
      <c r="T74" s="195"/>
      <c r="U74" s="195"/>
      <c r="V74" s="195"/>
    </row>
    <row r="75" spans="1:22" x14ac:dyDescent="0.25">
      <c r="A75" s="125">
        <v>44079</v>
      </c>
      <c r="B75" s="125" t="str">
        <f t="shared" si="4"/>
        <v>Saturday</v>
      </c>
      <c r="C75" s="298">
        <f t="shared" si="5"/>
        <v>6</v>
      </c>
      <c r="D75" s="195"/>
      <c r="E75" s="195"/>
      <c r="F75" s="195"/>
      <c r="G75" s="195"/>
      <c r="H75" s="195"/>
      <c r="I75" s="195"/>
      <c r="J75" s="195"/>
      <c r="K75" s="195"/>
      <c r="L75" s="195"/>
      <c r="M75" s="195"/>
      <c r="N75" s="195"/>
      <c r="O75" s="195"/>
      <c r="P75" s="195"/>
      <c r="Q75" s="195"/>
      <c r="R75" s="195"/>
      <c r="S75" s="195"/>
      <c r="T75" s="195"/>
      <c r="U75" s="195"/>
      <c r="V75" s="195"/>
    </row>
    <row r="76" spans="1:22" x14ac:dyDescent="0.25">
      <c r="A76" s="125">
        <v>44080</v>
      </c>
      <c r="B76" s="125" t="str">
        <f t="shared" si="4"/>
        <v>Sunday</v>
      </c>
      <c r="C76" s="298">
        <f t="shared" si="5"/>
        <v>7</v>
      </c>
      <c r="D76" s="195"/>
      <c r="E76" s="195"/>
      <c r="F76" s="195"/>
      <c r="G76" s="195"/>
      <c r="H76" s="195"/>
      <c r="I76" s="195"/>
      <c r="J76" s="195"/>
      <c r="K76" s="195"/>
      <c r="L76" s="195"/>
      <c r="M76" s="195"/>
      <c r="N76" s="195"/>
      <c r="O76" s="195"/>
      <c r="P76" s="195"/>
      <c r="Q76" s="195"/>
      <c r="R76" s="195"/>
      <c r="S76" s="195"/>
      <c r="T76" s="195"/>
      <c r="U76" s="195"/>
      <c r="V76" s="195"/>
    </row>
    <row r="77" spans="1:22" x14ac:dyDescent="0.25">
      <c r="A77" s="125">
        <v>44081</v>
      </c>
      <c r="B77" s="125" t="str">
        <f t="shared" si="4"/>
        <v>Monday</v>
      </c>
      <c r="C77" s="298">
        <f t="shared" si="5"/>
        <v>1</v>
      </c>
      <c r="D77" s="195">
        <v>7.5</v>
      </c>
      <c r="E77" s="195"/>
      <c r="F77" s="195"/>
      <c r="G77" s="195"/>
      <c r="H77" s="195"/>
      <c r="I77" s="195"/>
      <c r="J77" s="195"/>
      <c r="K77" s="195"/>
      <c r="L77" s="195"/>
      <c r="M77" s="195"/>
      <c r="N77" s="195"/>
      <c r="O77" s="195"/>
      <c r="P77" s="195"/>
      <c r="Q77" s="195"/>
      <c r="R77" s="195"/>
      <c r="S77" s="195"/>
      <c r="T77" s="195"/>
      <c r="U77" s="195"/>
      <c r="V77" s="195"/>
    </row>
    <row r="78" spans="1:22" x14ac:dyDescent="0.25">
      <c r="A78" s="125">
        <v>44082</v>
      </c>
      <c r="B78" s="125" t="str">
        <f t="shared" si="4"/>
        <v>Tuesday</v>
      </c>
      <c r="C78" s="298">
        <f t="shared" si="5"/>
        <v>2</v>
      </c>
      <c r="D78" s="195">
        <v>7.5</v>
      </c>
      <c r="E78" s="195"/>
      <c r="F78" s="195"/>
      <c r="G78" s="195"/>
      <c r="H78" s="195"/>
      <c r="I78" s="195"/>
      <c r="J78" s="195"/>
      <c r="K78" s="195"/>
      <c r="L78" s="195"/>
      <c r="M78" s="195"/>
      <c r="N78" s="195"/>
      <c r="O78" s="195"/>
      <c r="P78" s="195"/>
      <c r="Q78" s="195"/>
      <c r="R78" s="195"/>
      <c r="S78" s="195"/>
      <c r="T78" s="195"/>
      <c r="U78" s="195"/>
      <c r="V78" s="195"/>
    </row>
    <row r="79" spans="1:22" x14ac:dyDescent="0.25">
      <c r="A79" s="125">
        <v>44083</v>
      </c>
      <c r="B79" s="125" t="str">
        <f t="shared" si="4"/>
        <v>Wednesday</v>
      </c>
      <c r="C79" s="298">
        <f t="shared" si="5"/>
        <v>3</v>
      </c>
      <c r="D79" s="195">
        <v>7.5</v>
      </c>
      <c r="E79" s="195"/>
      <c r="F79" s="195"/>
      <c r="G79" s="195"/>
      <c r="H79" s="195"/>
      <c r="I79" s="195"/>
      <c r="J79" s="195"/>
      <c r="K79" s="195"/>
      <c r="L79" s="195"/>
      <c r="M79" s="195"/>
      <c r="N79" s="195"/>
      <c r="O79" s="195"/>
      <c r="P79" s="195"/>
      <c r="Q79" s="195"/>
      <c r="R79" s="195"/>
      <c r="S79" s="195"/>
      <c r="T79" s="195"/>
      <c r="U79" s="195"/>
      <c r="V79" s="195"/>
    </row>
    <row r="80" spans="1:22" x14ac:dyDescent="0.25">
      <c r="A80" s="125">
        <v>44084</v>
      </c>
      <c r="B80" s="125" t="str">
        <f t="shared" si="4"/>
        <v>Thursday</v>
      </c>
      <c r="C80" s="298">
        <f t="shared" si="5"/>
        <v>4</v>
      </c>
      <c r="D80" s="195">
        <v>7.5</v>
      </c>
      <c r="E80" s="195"/>
      <c r="F80" s="195"/>
      <c r="G80" s="195"/>
      <c r="H80" s="195"/>
      <c r="I80" s="195"/>
      <c r="J80" s="195"/>
      <c r="K80" s="195"/>
      <c r="L80" s="195"/>
      <c r="M80" s="195"/>
      <c r="N80" s="195"/>
      <c r="O80" s="195"/>
      <c r="P80" s="195"/>
      <c r="Q80" s="195"/>
      <c r="R80" s="195"/>
      <c r="S80" s="195"/>
      <c r="T80" s="195"/>
      <c r="U80" s="195"/>
      <c r="V80" s="195"/>
    </row>
    <row r="81" spans="1:22" x14ac:dyDescent="0.25">
      <c r="A81" s="125">
        <v>44085</v>
      </c>
      <c r="B81" s="125" t="str">
        <f t="shared" si="4"/>
        <v>Friday</v>
      </c>
      <c r="C81" s="298">
        <f t="shared" si="5"/>
        <v>5</v>
      </c>
      <c r="D81" s="195">
        <v>7.5</v>
      </c>
      <c r="E81" s="195"/>
      <c r="F81" s="195"/>
      <c r="G81" s="195"/>
      <c r="H81" s="195"/>
      <c r="I81" s="195"/>
      <c r="J81" s="195"/>
      <c r="K81" s="195"/>
      <c r="L81" s="195"/>
      <c r="M81" s="195"/>
      <c r="N81" s="195"/>
      <c r="O81" s="195"/>
      <c r="P81" s="195"/>
      <c r="Q81" s="195"/>
      <c r="R81" s="195"/>
      <c r="S81" s="195"/>
      <c r="T81" s="195"/>
      <c r="U81" s="195"/>
      <c r="V81" s="195"/>
    </row>
    <row r="82" spans="1:22" x14ac:dyDescent="0.25">
      <c r="A82" s="125">
        <v>44086</v>
      </c>
      <c r="B82" s="125" t="str">
        <f t="shared" si="4"/>
        <v>Saturday</v>
      </c>
      <c r="C82" s="298">
        <f t="shared" si="5"/>
        <v>6</v>
      </c>
      <c r="D82" s="195"/>
      <c r="E82" s="195"/>
      <c r="F82" s="195"/>
      <c r="G82" s="195"/>
      <c r="H82" s="195"/>
      <c r="I82" s="195"/>
      <c r="J82" s="195"/>
      <c r="K82" s="195"/>
      <c r="L82" s="195"/>
      <c r="M82" s="195"/>
      <c r="N82" s="195"/>
      <c r="O82" s="195"/>
      <c r="P82" s="195"/>
      <c r="Q82" s="195"/>
      <c r="R82" s="195"/>
      <c r="S82" s="195"/>
      <c r="T82" s="195"/>
      <c r="U82" s="195"/>
      <c r="V82" s="195"/>
    </row>
    <row r="83" spans="1:22" x14ac:dyDescent="0.25">
      <c r="A83" s="125">
        <v>44087</v>
      </c>
      <c r="B83" s="125" t="str">
        <f t="shared" si="4"/>
        <v>Sunday</v>
      </c>
      <c r="C83" s="298">
        <f t="shared" si="5"/>
        <v>7</v>
      </c>
      <c r="D83" s="195"/>
      <c r="E83" s="195"/>
      <c r="F83" s="195"/>
      <c r="G83" s="195"/>
      <c r="H83" s="195"/>
      <c r="I83" s="195"/>
      <c r="J83" s="195"/>
      <c r="K83" s="195"/>
      <c r="L83" s="195"/>
      <c r="M83" s="195"/>
      <c r="N83" s="195"/>
      <c r="O83" s="195"/>
      <c r="P83" s="195"/>
      <c r="Q83" s="195"/>
      <c r="R83" s="195"/>
      <c r="S83" s="195"/>
      <c r="T83" s="195"/>
      <c r="U83" s="195"/>
      <c r="V83" s="195"/>
    </row>
    <row r="84" spans="1:22" x14ac:dyDescent="0.25">
      <c r="A84" s="125">
        <v>44088</v>
      </c>
      <c r="B84" s="125" t="str">
        <f t="shared" si="4"/>
        <v>Monday</v>
      </c>
      <c r="C84" s="298">
        <f t="shared" si="5"/>
        <v>1</v>
      </c>
      <c r="D84" s="195">
        <v>7.5</v>
      </c>
      <c r="E84" s="195"/>
      <c r="F84" s="195"/>
      <c r="G84" s="195"/>
      <c r="H84" s="195"/>
      <c r="I84" s="195"/>
      <c r="J84" s="195"/>
      <c r="K84" s="195"/>
      <c r="L84" s="195"/>
      <c r="M84" s="195"/>
      <c r="N84" s="195"/>
      <c r="O84" s="195"/>
      <c r="P84" s="195"/>
      <c r="Q84" s="195"/>
      <c r="R84" s="195"/>
      <c r="S84" s="195"/>
      <c r="T84" s="195"/>
      <c r="U84" s="195"/>
      <c r="V84" s="195"/>
    </row>
    <row r="85" spans="1:22" x14ac:dyDescent="0.25">
      <c r="A85" s="125">
        <v>44089</v>
      </c>
      <c r="B85" s="125" t="str">
        <f t="shared" si="4"/>
        <v>Tuesday</v>
      </c>
      <c r="C85" s="298">
        <f t="shared" si="5"/>
        <v>2</v>
      </c>
      <c r="D85" s="195">
        <v>7.5</v>
      </c>
      <c r="E85" s="195"/>
      <c r="F85" s="195"/>
      <c r="G85" s="195"/>
      <c r="H85" s="195"/>
      <c r="I85" s="195"/>
      <c r="J85" s="195"/>
      <c r="K85" s="195"/>
      <c r="L85" s="195"/>
      <c r="M85" s="195"/>
      <c r="N85" s="195"/>
      <c r="O85" s="195"/>
      <c r="P85" s="195"/>
      <c r="Q85" s="195"/>
      <c r="R85" s="195"/>
      <c r="S85" s="195"/>
      <c r="T85" s="195"/>
      <c r="U85" s="195"/>
      <c r="V85" s="195"/>
    </row>
    <row r="86" spans="1:22" x14ac:dyDescent="0.25">
      <c r="A86" s="125">
        <v>44090</v>
      </c>
      <c r="B86" s="125" t="str">
        <f t="shared" si="4"/>
        <v>Wednesday</v>
      </c>
      <c r="C86" s="298">
        <f t="shared" si="5"/>
        <v>3</v>
      </c>
      <c r="D86" s="195">
        <v>7.5</v>
      </c>
      <c r="E86" s="195"/>
      <c r="F86" s="195"/>
      <c r="G86" s="195"/>
      <c r="H86" s="195"/>
      <c r="I86" s="195"/>
      <c r="J86" s="195"/>
      <c r="K86" s="195"/>
      <c r="L86" s="195"/>
      <c r="M86" s="195"/>
      <c r="N86" s="195"/>
      <c r="O86" s="195"/>
      <c r="P86" s="195"/>
      <c r="Q86" s="195"/>
      <c r="R86" s="195"/>
      <c r="S86" s="195"/>
      <c r="T86" s="195"/>
      <c r="U86" s="195"/>
      <c r="V86" s="195"/>
    </row>
    <row r="87" spans="1:22" x14ac:dyDescent="0.25">
      <c r="A87" s="125">
        <v>44091</v>
      </c>
      <c r="B87" s="125" t="str">
        <f t="shared" si="4"/>
        <v>Thursday</v>
      </c>
      <c r="C87" s="298">
        <f t="shared" si="5"/>
        <v>4</v>
      </c>
      <c r="D87" s="195">
        <v>7.5</v>
      </c>
      <c r="E87" s="195"/>
      <c r="F87" s="195"/>
      <c r="G87" s="195"/>
      <c r="H87" s="195"/>
      <c r="I87" s="195"/>
      <c r="J87" s="195"/>
      <c r="K87" s="195"/>
      <c r="L87" s="195"/>
      <c r="M87" s="195"/>
      <c r="N87" s="195"/>
      <c r="O87" s="195"/>
      <c r="P87" s="195"/>
      <c r="Q87" s="195"/>
      <c r="R87" s="195"/>
      <c r="S87" s="195"/>
      <c r="T87" s="195"/>
      <c r="U87" s="195"/>
      <c r="V87" s="195"/>
    </row>
    <row r="88" spans="1:22" x14ac:dyDescent="0.25">
      <c r="A88" s="125">
        <v>44092</v>
      </c>
      <c r="B88" s="125" t="str">
        <f t="shared" si="4"/>
        <v>Friday</v>
      </c>
      <c r="C88" s="298">
        <f t="shared" si="5"/>
        <v>5</v>
      </c>
      <c r="D88" s="195">
        <v>7.5</v>
      </c>
      <c r="E88" s="195"/>
      <c r="F88" s="195"/>
      <c r="G88" s="195"/>
      <c r="H88" s="195"/>
      <c r="I88" s="195"/>
      <c r="J88" s="195"/>
      <c r="K88" s="195"/>
      <c r="L88" s="195"/>
      <c r="M88" s="195"/>
      <c r="N88" s="195"/>
      <c r="O88" s="195"/>
      <c r="P88" s="195"/>
      <c r="Q88" s="195"/>
      <c r="R88" s="195"/>
      <c r="S88" s="195"/>
      <c r="T88" s="195"/>
      <c r="U88" s="195"/>
      <c r="V88" s="195"/>
    </row>
    <row r="89" spans="1:22" x14ac:dyDescent="0.25">
      <c r="A89" s="125">
        <v>44093</v>
      </c>
      <c r="B89" s="125" t="str">
        <f t="shared" si="4"/>
        <v>Saturday</v>
      </c>
      <c r="C89" s="298">
        <f t="shared" si="5"/>
        <v>6</v>
      </c>
      <c r="D89" s="195"/>
      <c r="E89" s="195"/>
      <c r="F89" s="195"/>
      <c r="G89" s="195"/>
      <c r="H89" s="195"/>
      <c r="I89" s="195"/>
      <c r="J89" s="195"/>
      <c r="K89" s="195"/>
      <c r="L89" s="195"/>
      <c r="M89" s="195"/>
      <c r="N89" s="195"/>
      <c r="O89" s="195"/>
      <c r="P89" s="195"/>
      <c r="Q89" s="195"/>
      <c r="R89" s="195"/>
      <c r="S89" s="195"/>
      <c r="T89" s="195"/>
      <c r="U89" s="195"/>
      <c r="V89" s="195"/>
    </row>
    <row r="90" spans="1:22" x14ac:dyDescent="0.25">
      <c r="A90" s="125">
        <v>44094</v>
      </c>
      <c r="B90" s="125" t="str">
        <f t="shared" si="4"/>
        <v>Sunday</v>
      </c>
      <c r="C90" s="298">
        <f t="shared" si="5"/>
        <v>7</v>
      </c>
      <c r="D90" s="195"/>
      <c r="E90" s="195"/>
      <c r="F90" s="195"/>
      <c r="G90" s="195"/>
      <c r="H90" s="195"/>
      <c r="I90" s="195"/>
      <c r="J90" s="195"/>
      <c r="K90" s="195"/>
      <c r="L90" s="195"/>
      <c r="M90" s="195"/>
      <c r="N90" s="195"/>
      <c r="O90" s="195"/>
      <c r="P90" s="195"/>
      <c r="Q90" s="195"/>
      <c r="R90" s="195"/>
      <c r="S90" s="195"/>
      <c r="T90" s="195"/>
      <c r="U90" s="195"/>
      <c r="V90" s="195"/>
    </row>
    <row r="91" spans="1:22" x14ac:dyDescent="0.25">
      <c r="A91" s="125">
        <v>44095</v>
      </c>
      <c r="B91" s="125" t="str">
        <f t="shared" si="4"/>
        <v>Monday</v>
      </c>
      <c r="C91" s="298">
        <f t="shared" si="5"/>
        <v>1</v>
      </c>
      <c r="D91" s="195">
        <v>7.5</v>
      </c>
      <c r="E91" s="195"/>
      <c r="F91" s="195"/>
      <c r="G91" s="195"/>
      <c r="H91" s="195"/>
      <c r="I91" s="195"/>
      <c r="J91" s="195"/>
      <c r="K91" s="195"/>
      <c r="L91" s="195"/>
      <c r="M91" s="195"/>
      <c r="N91" s="195"/>
      <c r="O91" s="195"/>
      <c r="P91" s="195"/>
      <c r="Q91" s="195"/>
      <c r="R91" s="195"/>
      <c r="S91" s="195"/>
      <c r="T91" s="195"/>
      <c r="U91" s="195"/>
      <c r="V91" s="195"/>
    </row>
    <row r="92" spans="1:22" x14ac:dyDescent="0.25">
      <c r="A92" s="125">
        <v>44096</v>
      </c>
      <c r="B92" s="125" t="str">
        <f t="shared" si="4"/>
        <v>Tuesday</v>
      </c>
      <c r="C92" s="298">
        <f t="shared" si="5"/>
        <v>2</v>
      </c>
      <c r="D92" s="195">
        <v>7.5</v>
      </c>
      <c r="E92" s="195"/>
      <c r="F92" s="195"/>
      <c r="G92" s="195"/>
      <c r="H92" s="195"/>
      <c r="I92" s="195"/>
      <c r="J92" s="195"/>
      <c r="K92" s="195"/>
      <c r="L92" s="195"/>
      <c r="M92" s="195"/>
      <c r="N92" s="195"/>
      <c r="O92" s="195"/>
      <c r="P92" s="195"/>
      <c r="Q92" s="195"/>
      <c r="R92" s="195"/>
      <c r="S92" s="195"/>
      <c r="T92" s="195"/>
      <c r="U92" s="195"/>
      <c r="V92" s="195"/>
    </row>
    <row r="93" spans="1:22" x14ac:dyDescent="0.25">
      <c r="A93" s="125">
        <v>44097</v>
      </c>
      <c r="B93" s="125" t="str">
        <f t="shared" si="4"/>
        <v>Wednesday</v>
      </c>
      <c r="C93" s="298">
        <f t="shared" si="5"/>
        <v>3</v>
      </c>
      <c r="D93" s="195">
        <v>7.5</v>
      </c>
      <c r="E93" s="195"/>
      <c r="F93" s="195"/>
      <c r="G93" s="195"/>
      <c r="H93" s="195"/>
      <c r="I93" s="195"/>
      <c r="J93" s="195"/>
      <c r="K93" s="195"/>
      <c r="L93" s="195"/>
      <c r="M93" s="195"/>
      <c r="N93" s="195"/>
      <c r="O93" s="195"/>
      <c r="P93" s="195"/>
      <c r="Q93" s="195"/>
      <c r="R93" s="195"/>
      <c r="S93" s="195"/>
      <c r="T93" s="195"/>
      <c r="U93" s="195"/>
      <c r="V93" s="195"/>
    </row>
    <row r="94" spans="1:22" x14ac:dyDescent="0.25">
      <c r="A94" s="125">
        <v>44098</v>
      </c>
      <c r="B94" s="125" t="str">
        <f t="shared" si="4"/>
        <v>Thursday</v>
      </c>
      <c r="C94" s="298">
        <f t="shared" si="5"/>
        <v>4</v>
      </c>
      <c r="D94" s="195">
        <v>7.5</v>
      </c>
      <c r="E94" s="195"/>
      <c r="F94" s="195"/>
      <c r="G94" s="195"/>
      <c r="H94" s="195"/>
      <c r="I94" s="195"/>
      <c r="J94" s="195"/>
      <c r="K94" s="195"/>
      <c r="L94" s="195"/>
      <c r="M94" s="195"/>
      <c r="N94" s="195"/>
      <c r="O94" s="195"/>
      <c r="P94" s="195"/>
      <c r="Q94" s="195"/>
      <c r="R94" s="195"/>
      <c r="S94" s="195"/>
      <c r="T94" s="195"/>
      <c r="U94" s="195"/>
      <c r="V94" s="195"/>
    </row>
    <row r="95" spans="1:22" x14ac:dyDescent="0.25">
      <c r="A95" s="125">
        <v>44099</v>
      </c>
      <c r="B95" s="125" t="str">
        <f t="shared" si="4"/>
        <v>Friday</v>
      </c>
      <c r="C95" s="298">
        <f t="shared" si="5"/>
        <v>5</v>
      </c>
      <c r="D95" s="195">
        <v>7.5</v>
      </c>
      <c r="E95" s="195"/>
      <c r="F95" s="195"/>
      <c r="G95" s="195"/>
      <c r="H95" s="195"/>
      <c r="I95" s="195"/>
      <c r="J95" s="195"/>
      <c r="K95" s="195"/>
      <c r="L95" s="195"/>
      <c r="M95" s="195"/>
      <c r="N95" s="195"/>
      <c r="O95" s="195"/>
      <c r="P95" s="195"/>
      <c r="Q95" s="195"/>
      <c r="R95" s="195"/>
      <c r="S95" s="195"/>
      <c r="T95" s="195"/>
      <c r="U95" s="195"/>
      <c r="V95" s="195"/>
    </row>
    <row r="96" spans="1:22" x14ac:dyDescent="0.25">
      <c r="A96" s="125">
        <v>44100</v>
      </c>
      <c r="B96" s="125" t="str">
        <f t="shared" si="4"/>
        <v>Saturday</v>
      </c>
      <c r="C96" s="298">
        <f t="shared" si="5"/>
        <v>6</v>
      </c>
      <c r="D96" s="195"/>
      <c r="E96" s="195"/>
      <c r="F96" s="195"/>
      <c r="G96" s="195"/>
      <c r="H96" s="195"/>
      <c r="I96" s="195"/>
      <c r="J96" s="195"/>
      <c r="K96" s="195"/>
      <c r="L96" s="195"/>
      <c r="M96" s="195"/>
      <c r="N96" s="195"/>
      <c r="O96" s="195"/>
      <c r="P96" s="195"/>
      <c r="Q96" s="195"/>
      <c r="R96" s="195"/>
      <c r="S96" s="195"/>
      <c r="T96" s="195"/>
      <c r="U96" s="195"/>
      <c r="V96" s="195"/>
    </row>
    <row r="97" spans="1:22" x14ac:dyDescent="0.25">
      <c r="A97" s="125">
        <v>44101</v>
      </c>
      <c r="B97" s="125" t="str">
        <f t="shared" si="4"/>
        <v>Sunday</v>
      </c>
      <c r="C97" s="298">
        <f t="shared" si="5"/>
        <v>7</v>
      </c>
      <c r="D97" s="195"/>
      <c r="E97" s="195"/>
      <c r="F97" s="195"/>
      <c r="G97" s="195"/>
      <c r="H97" s="195"/>
      <c r="I97" s="195"/>
      <c r="J97" s="195"/>
      <c r="K97" s="195"/>
      <c r="L97" s="195"/>
      <c r="M97" s="195"/>
      <c r="N97" s="195"/>
      <c r="O97" s="195"/>
      <c r="P97" s="195"/>
      <c r="Q97" s="195"/>
      <c r="R97" s="195"/>
      <c r="S97" s="195"/>
      <c r="T97" s="195"/>
      <c r="U97" s="195"/>
      <c r="V97" s="195"/>
    </row>
    <row r="98" spans="1:22" x14ac:dyDescent="0.25">
      <c r="A98" s="125">
        <v>44102</v>
      </c>
      <c r="B98" s="125" t="str">
        <f t="shared" si="4"/>
        <v>Monday</v>
      </c>
      <c r="C98" s="298">
        <f t="shared" si="5"/>
        <v>1</v>
      </c>
      <c r="D98" s="195">
        <v>7.5</v>
      </c>
      <c r="E98" s="195"/>
      <c r="F98" s="195"/>
      <c r="G98" s="195"/>
      <c r="H98" s="195"/>
      <c r="I98" s="195"/>
      <c r="J98" s="195"/>
      <c r="K98" s="195"/>
      <c r="L98" s="195"/>
      <c r="M98" s="195"/>
      <c r="N98" s="195"/>
      <c r="O98" s="195"/>
      <c r="P98" s="195"/>
      <c r="Q98" s="195"/>
      <c r="R98" s="195"/>
      <c r="S98" s="195"/>
      <c r="T98" s="195"/>
      <c r="U98" s="195"/>
      <c r="V98" s="195"/>
    </row>
    <row r="99" spans="1:22" x14ac:dyDescent="0.25">
      <c r="A99" s="125">
        <v>44103</v>
      </c>
      <c r="B99" s="125" t="str">
        <f t="shared" si="4"/>
        <v>Tuesday</v>
      </c>
      <c r="C99" s="298">
        <f t="shared" si="5"/>
        <v>2</v>
      </c>
      <c r="D99" s="195">
        <v>7.5</v>
      </c>
      <c r="E99" s="195"/>
      <c r="F99" s="195"/>
      <c r="G99" s="195"/>
      <c r="H99" s="195"/>
      <c r="I99" s="195"/>
      <c r="J99" s="195"/>
      <c r="K99" s="195"/>
      <c r="L99" s="195"/>
      <c r="M99" s="195"/>
      <c r="N99" s="195"/>
      <c r="O99" s="195"/>
      <c r="P99" s="195"/>
      <c r="Q99" s="195"/>
      <c r="R99" s="195"/>
      <c r="S99" s="195"/>
      <c r="T99" s="195"/>
      <c r="U99" s="195"/>
      <c r="V99" s="195"/>
    </row>
    <row r="100" spans="1:22" x14ac:dyDescent="0.25">
      <c r="A100" s="125">
        <v>44104</v>
      </c>
      <c r="B100" s="125" t="str">
        <f t="shared" si="4"/>
        <v>Wednesday</v>
      </c>
      <c r="C100" s="298">
        <f t="shared" si="5"/>
        <v>3</v>
      </c>
      <c r="D100" s="300">
        <v>7.5</v>
      </c>
      <c r="E100" s="300"/>
      <c r="F100" s="300"/>
      <c r="G100" s="300"/>
      <c r="H100" s="300"/>
      <c r="I100" s="300"/>
      <c r="J100" s="300"/>
      <c r="K100" s="300"/>
      <c r="L100" s="300"/>
      <c r="M100" s="300"/>
      <c r="N100" s="300"/>
      <c r="O100" s="300"/>
      <c r="P100" s="300"/>
      <c r="Q100" s="300"/>
      <c r="R100" s="300"/>
      <c r="S100" s="300"/>
      <c r="T100" s="300"/>
      <c r="U100" s="300"/>
      <c r="V100" s="300"/>
    </row>
    <row r="101" spans="1:22" x14ac:dyDescent="0.25">
      <c r="A101" s="301" t="s">
        <v>224</v>
      </c>
      <c r="B101" s="302"/>
      <c r="C101" s="303"/>
      <c r="D101" s="304">
        <f>SUM(D71:D100)</f>
        <v>165</v>
      </c>
      <c r="E101" s="304">
        <f t="shared" ref="E101:V101" si="6">SUM(E71:E100)</f>
        <v>0</v>
      </c>
      <c r="F101" s="304">
        <f t="shared" si="6"/>
        <v>0</v>
      </c>
      <c r="G101" s="304">
        <f t="shared" si="6"/>
        <v>0</v>
      </c>
      <c r="H101" s="304">
        <f t="shared" si="6"/>
        <v>0</v>
      </c>
      <c r="I101" s="304">
        <f t="shared" si="6"/>
        <v>0</v>
      </c>
      <c r="J101" s="304">
        <f t="shared" si="6"/>
        <v>0</v>
      </c>
      <c r="K101" s="304">
        <f t="shared" si="6"/>
        <v>0</v>
      </c>
      <c r="L101" s="304">
        <f t="shared" si="6"/>
        <v>0</v>
      </c>
      <c r="M101" s="304">
        <f t="shared" si="6"/>
        <v>0</v>
      </c>
      <c r="N101" s="304">
        <f t="shared" si="6"/>
        <v>0</v>
      </c>
      <c r="O101" s="304">
        <f t="shared" si="6"/>
        <v>0</v>
      </c>
      <c r="P101" s="304">
        <f t="shared" si="6"/>
        <v>0</v>
      </c>
      <c r="Q101" s="304">
        <f t="shared" si="6"/>
        <v>0</v>
      </c>
      <c r="R101" s="304">
        <f t="shared" si="6"/>
        <v>0</v>
      </c>
      <c r="S101" s="304">
        <f t="shared" si="6"/>
        <v>0</v>
      </c>
      <c r="T101" s="304">
        <f t="shared" si="6"/>
        <v>0</v>
      </c>
      <c r="U101" s="304">
        <f t="shared" si="6"/>
        <v>0</v>
      </c>
      <c r="V101" s="304">
        <f t="shared" si="6"/>
        <v>0</v>
      </c>
    </row>
    <row r="102" spans="1:22" x14ac:dyDescent="0.25">
      <c r="A102" s="125">
        <v>44105</v>
      </c>
      <c r="B102" s="125" t="str">
        <f t="shared" si="4"/>
        <v>Thursday</v>
      </c>
      <c r="C102" s="298">
        <f t="shared" si="5"/>
        <v>4</v>
      </c>
      <c r="D102" s="195">
        <v>7.5</v>
      </c>
      <c r="E102" s="195"/>
      <c r="F102" s="195"/>
      <c r="G102" s="195"/>
      <c r="H102" s="195"/>
      <c r="I102" s="195"/>
      <c r="J102" s="195"/>
      <c r="K102" s="195"/>
      <c r="L102" s="195"/>
      <c r="M102" s="195"/>
      <c r="N102" s="195"/>
      <c r="O102" s="195"/>
      <c r="P102" s="195"/>
      <c r="Q102" s="195"/>
      <c r="R102" s="195"/>
      <c r="S102" s="195"/>
      <c r="T102" s="195"/>
      <c r="U102" s="195"/>
      <c r="V102" s="195"/>
    </row>
    <row r="103" spans="1:22" x14ac:dyDescent="0.25">
      <c r="A103" s="125">
        <v>44106</v>
      </c>
      <c r="B103" s="125" t="str">
        <f t="shared" si="4"/>
        <v>Friday</v>
      </c>
      <c r="C103" s="298">
        <f t="shared" si="5"/>
        <v>5</v>
      </c>
      <c r="D103" s="195">
        <v>7.5</v>
      </c>
      <c r="E103" s="195"/>
      <c r="F103" s="195"/>
      <c r="G103" s="195"/>
      <c r="H103" s="195"/>
      <c r="I103" s="195"/>
      <c r="J103" s="195"/>
      <c r="K103" s="195"/>
      <c r="L103" s="195"/>
      <c r="M103" s="195"/>
      <c r="N103" s="195"/>
      <c r="O103" s="195"/>
      <c r="P103" s="195"/>
      <c r="Q103" s="195"/>
      <c r="R103" s="195"/>
      <c r="S103" s="195"/>
      <c r="T103" s="195"/>
      <c r="U103" s="195"/>
      <c r="V103" s="195"/>
    </row>
    <row r="104" spans="1:22" x14ac:dyDescent="0.25">
      <c r="A104" s="125">
        <v>44107</v>
      </c>
      <c r="B104" s="125" t="str">
        <f t="shared" si="4"/>
        <v>Saturday</v>
      </c>
      <c r="C104" s="298">
        <f t="shared" si="5"/>
        <v>6</v>
      </c>
      <c r="D104" s="195"/>
      <c r="E104" s="195"/>
      <c r="F104" s="195"/>
      <c r="G104" s="195"/>
      <c r="H104" s="195"/>
      <c r="I104" s="195"/>
      <c r="J104" s="195"/>
      <c r="K104" s="195"/>
      <c r="L104" s="195"/>
      <c r="M104" s="195"/>
      <c r="N104" s="195"/>
      <c r="O104" s="195"/>
      <c r="P104" s="195"/>
      <c r="Q104" s="195"/>
      <c r="R104" s="195"/>
      <c r="S104" s="195"/>
      <c r="T104" s="195"/>
      <c r="U104" s="195"/>
      <c r="V104" s="195"/>
    </row>
    <row r="105" spans="1:22" x14ac:dyDescent="0.25">
      <c r="A105" s="125">
        <v>44108</v>
      </c>
      <c r="B105" s="125" t="str">
        <f t="shared" si="4"/>
        <v>Sunday</v>
      </c>
      <c r="C105" s="298">
        <f t="shared" si="5"/>
        <v>7</v>
      </c>
      <c r="D105" s="195"/>
      <c r="E105" s="195"/>
      <c r="F105" s="195"/>
      <c r="G105" s="195"/>
      <c r="H105" s="195"/>
      <c r="I105" s="195"/>
      <c r="J105" s="195"/>
      <c r="K105" s="195"/>
      <c r="L105" s="195"/>
      <c r="M105" s="195"/>
      <c r="N105" s="195"/>
      <c r="O105" s="195"/>
      <c r="P105" s="195"/>
      <c r="Q105" s="195"/>
      <c r="R105" s="195"/>
      <c r="S105" s="195"/>
      <c r="T105" s="195"/>
      <c r="U105" s="195"/>
      <c r="V105" s="195"/>
    </row>
    <row r="106" spans="1:22" x14ac:dyDescent="0.25">
      <c r="A106" s="125">
        <v>44109</v>
      </c>
      <c r="B106" s="125" t="str">
        <f t="shared" si="4"/>
        <v>Monday</v>
      </c>
      <c r="C106" s="298">
        <f t="shared" si="5"/>
        <v>1</v>
      </c>
      <c r="D106" s="195">
        <v>7.5</v>
      </c>
      <c r="E106" s="195"/>
      <c r="F106" s="195"/>
      <c r="G106" s="195"/>
      <c r="H106" s="195"/>
      <c r="I106" s="195"/>
      <c r="J106" s="195"/>
      <c r="K106" s="195"/>
      <c r="L106" s="195"/>
      <c r="M106" s="195"/>
      <c r="N106" s="195"/>
      <c r="O106" s="195"/>
      <c r="P106" s="195"/>
      <c r="Q106" s="195"/>
      <c r="R106" s="195"/>
      <c r="S106" s="195"/>
      <c r="T106" s="195"/>
      <c r="U106" s="195"/>
      <c r="V106" s="195"/>
    </row>
    <row r="107" spans="1:22" x14ac:dyDescent="0.25">
      <c r="A107" s="125">
        <v>44110</v>
      </c>
      <c r="B107" s="125" t="str">
        <f t="shared" si="4"/>
        <v>Tuesday</v>
      </c>
      <c r="C107" s="298">
        <f t="shared" si="5"/>
        <v>2</v>
      </c>
      <c r="D107" s="195">
        <v>7.5</v>
      </c>
      <c r="E107" s="195"/>
      <c r="F107" s="195"/>
      <c r="G107" s="195"/>
      <c r="H107" s="195"/>
      <c r="I107" s="195"/>
      <c r="J107" s="195"/>
      <c r="K107" s="195"/>
      <c r="L107" s="195"/>
      <c r="M107" s="195"/>
      <c r="N107" s="195"/>
      <c r="O107" s="195"/>
      <c r="P107" s="195"/>
      <c r="Q107" s="195"/>
      <c r="R107" s="195"/>
      <c r="S107" s="195"/>
      <c r="T107" s="195"/>
      <c r="U107" s="195"/>
      <c r="V107" s="195"/>
    </row>
    <row r="108" spans="1:22" x14ac:dyDescent="0.25">
      <c r="A108" s="125">
        <v>44111</v>
      </c>
      <c r="B108" s="125" t="str">
        <f t="shared" si="4"/>
        <v>Wednesday</v>
      </c>
      <c r="C108" s="298">
        <f t="shared" si="5"/>
        <v>3</v>
      </c>
      <c r="D108" s="195">
        <v>7.5</v>
      </c>
      <c r="E108" s="195"/>
      <c r="F108" s="195"/>
      <c r="G108" s="195"/>
      <c r="H108" s="195"/>
      <c r="I108" s="195"/>
      <c r="J108" s="195"/>
      <c r="K108" s="195"/>
      <c r="L108" s="195"/>
      <c r="M108" s="195"/>
      <c r="N108" s="195"/>
      <c r="O108" s="195"/>
      <c r="P108" s="195"/>
      <c r="Q108" s="195"/>
      <c r="R108" s="195"/>
      <c r="S108" s="195"/>
      <c r="T108" s="195"/>
      <c r="U108" s="195"/>
      <c r="V108" s="195"/>
    </row>
    <row r="109" spans="1:22" x14ac:dyDescent="0.25">
      <c r="A109" s="125">
        <v>44112</v>
      </c>
      <c r="B109" s="125" t="str">
        <f t="shared" si="4"/>
        <v>Thursday</v>
      </c>
      <c r="C109" s="298">
        <f t="shared" si="5"/>
        <v>4</v>
      </c>
      <c r="D109" s="195">
        <v>7.5</v>
      </c>
      <c r="E109" s="195"/>
      <c r="F109" s="195"/>
      <c r="G109" s="195"/>
      <c r="H109" s="195"/>
      <c r="I109" s="195"/>
      <c r="J109" s="195"/>
      <c r="K109" s="195"/>
      <c r="L109" s="195"/>
      <c r="M109" s="195"/>
      <c r="N109" s="195"/>
      <c r="O109" s="195"/>
      <c r="P109" s="195"/>
      <c r="Q109" s="195"/>
      <c r="R109" s="195"/>
      <c r="S109" s="195"/>
      <c r="T109" s="195"/>
      <c r="U109" s="195"/>
      <c r="V109" s="195"/>
    </row>
    <row r="110" spans="1:22" x14ac:dyDescent="0.25">
      <c r="A110" s="125">
        <v>44113</v>
      </c>
      <c r="B110" s="125" t="str">
        <f t="shared" si="4"/>
        <v>Friday</v>
      </c>
      <c r="C110" s="298">
        <f t="shared" si="5"/>
        <v>5</v>
      </c>
      <c r="D110" s="195">
        <v>7.5</v>
      </c>
      <c r="E110" s="195"/>
      <c r="F110" s="195"/>
      <c r="G110" s="195"/>
      <c r="H110" s="195"/>
      <c r="I110" s="195"/>
      <c r="J110" s="195"/>
      <c r="K110" s="195"/>
      <c r="L110" s="195"/>
      <c r="M110" s="195"/>
      <c r="N110" s="195"/>
      <c r="O110" s="195"/>
      <c r="P110" s="195"/>
      <c r="Q110" s="195"/>
      <c r="R110" s="195"/>
      <c r="S110" s="195"/>
      <c r="T110" s="195"/>
      <c r="U110" s="195"/>
      <c r="V110" s="195"/>
    </row>
    <row r="111" spans="1:22" x14ac:dyDescent="0.25">
      <c r="A111" s="125">
        <v>44114</v>
      </c>
      <c r="B111" s="125" t="str">
        <f t="shared" si="4"/>
        <v>Saturday</v>
      </c>
      <c r="C111" s="298">
        <f t="shared" si="5"/>
        <v>6</v>
      </c>
      <c r="D111" s="195"/>
      <c r="E111" s="195"/>
      <c r="F111" s="195"/>
      <c r="G111" s="195"/>
      <c r="H111" s="195"/>
      <c r="I111" s="195"/>
      <c r="J111" s="195"/>
      <c r="K111" s="195"/>
      <c r="L111" s="195"/>
      <c r="M111" s="195"/>
      <c r="N111" s="195"/>
      <c r="O111" s="195"/>
      <c r="P111" s="195"/>
      <c r="Q111" s="195"/>
      <c r="R111" s="195"/>
      <c r="S111" s="195"/>
      <c r="T111" s="195"/>
      <c r="U111" s="195"/>
      <c r="V111" s="195"/>
    </row>
    <row r="112" spans="1:22" x14ac:dyDescent="0.25">
      <c r="A112" s="125">
        <v>44115</v>
      </c>
      <c r="B112" s="125" t="str">
        <f t="shared" si="4"/>
        <v>Sunday</v>
      </c>
      <c r="C112" s="298">
        <f t="shared" si="5"/>
        <v>7</v>
      </c>
      <c r="D112" s="195"/>
      <c r="E112" s="195"/>
      <c r="F112" s="195"/>
      <c r="G112" s="195"/>
      <c r="H112" s="195"/>
      <c r="I112" s="195"/>
      <c r="J112" s="195"/>
      <c r="K112" s="195"/>
      <c r="L112" s="195"/>
      <c r="M112" s="195"/>
      <c r="N112" s="195"/>
      <c r="O112" s="195"/>
      <c r="P112" s="195"/>
      <c r="Q112" s="195"/>
      <c r="R112" s="195"/>
      <c r="S112" s="195"/>
      <c r="T112" s="195"/>
      <c r="U112" s="195"/>
      <c r="V112" s="195"/>
    </row>
    <row r="113" spans="1:22" x14ac:dyDescent="0.25">
      <c r="A113" s="125">
        <v>44116</v>
      </c>
      <c r="B113" s="125" t="str">
        <f t="shared" si="4"/>
        <v>Monday</v>
      </c>
      <c r="C113" s="298">
        <f t="shared" si="5"/>
        <v>1</v>
      </c>
      <c r="D113" s="195">
        <v>7.5</v>
      </c>
      <c r="E113" s="195"/>
      <c r="F113" s="195"/>
      <c r="G113" s="195"/>
      <c r="H113" s="195"/>
      <c r="I113" s="195"/>
      <c r="J113" s="195"/>
      <c r="K113" s="195"/>
      <c r="L113" s="195"/>
      <c r="M113" s="195"/>
      <c r="N113" s="195"/>
      <c r="O113" s="195"/>
      <c r="P113" s="195"/>
      <c r="Q113" s="195"/>
      <c r="R113" s="195"/>
      <c r="S113" s="195"/>
      <c r="T113" s="195"/>
      <c r="U113" s="195"/>
      <c r="V113" s="195"/>
    </row>
    <row r="114" spans="1:22" x14ac:dyDescent="0.25">
      <c r="A114" s="125">
        <v>44117</v>
      </c>
      <c r="B114" s="125" t="str">
        <f t="shared" si="4"/>
        <v>Tuesday</v>
      </c>
      <c r="C114" s="298">
        <f t="shared" si="5"/>
        <v>2</v>
      </c>
      <c r="D114" s="195">
        <v>7.5</v>
      </c>
      <c r="E114" s="195"/>
      <c r="F114" s="195"/>
      <c r="G114" s="195"/>
      <c r="H114" s="195"/>
      <c r="I114" s="195"/>
      <c r="J114" s="195"/>
      <c r="K114" s="195"/>
      <c r="L114" s="195"/>
      <c r="M114" s="195"/>
      <c r="N114" s="195"/>
      <c r="O114" s="195"/>
      <c r="P114" s="195"/>
      <c r="Q114" s="195"/>
      <c r="R114" s="195"/>
      <c r="S114" s="195"/>
      <c r="T114" s="195"/>
      <c r="U114" s="195"/>
      <c r="V114" s="195"/>
    </row>
    <row r="115" spans="1:22" x14ac:dyDescent="0.25">
      <c r="A115" s="125">
        <v>44118</v>
      </c>
      <c r="B115" s="125" t="str">
        <f t="shared" si="4"/>
        <v>Wednesday</v>
      </c>
      <c r="C115" s="298">
        <f t="shared" si="5"/>
        <v>3</v>
      </c>
      <c r="D115" s="195">
        <v>7.5</v>
      </c>
      <c r="E115" s="195"/>
      <c r="F115" s="195"/>
      <c r="G115" s="195"/>
      <c r="H115" s="195"/>
      <c r="I115" s="195"/>
      <c r="J115" s="195"/>
      <c r="K115" s="195"/>
      <c r="L115" s="195"/>
      <c r="M115" s="195"/>
      <c r="N115" s="195"/>
      <c r="O115" s="195"/>
      <c r="P115" s="195"/>
      <c r="Q115" s="195"/>
      <c r="R115" s="195"/>
      <c r="S115" s="195"/>
      <c r="T115" s="195"/>
      <c r="U115" s="195"/>
      <c r="V115" s="195"/>
    </row>
    <row r="116" spans="1:22" x14ac:dyDescent="0.25">
      <c r="A116" s="125">
        <v>44119</v>
      </c>
      <c r="B116" s="125" t="str">
        <f t="shared" si="4"/>
        <v>Thursday</v>
      </c>
      <c r="C116" s="298">
        <f t="shared" si="5"/>
        <v>4</v>
      </c>
      <c r="D116" s="195">
        <v>7.5</v>
      </c>
      <c r="E116" s="195"/>
      <c r="F116" s="195"/>
      <c r="G116" s="195"/>
      <c r="H116" s="195"/>
      <c r="I116" s="195"/>
      <c r="J116" s="195"/>
      <c r="K116" s="195"/>
      <c r="L116" s="195"/>
      <c r="M116" s="195"/>
      <c r="N116" s="195"/>
      <c r="O116" s="195"/>
      <c r="P116" s="195"/>
      <c r="Q116" s="195"/>
      <c r="R116" s="195"/>
      <c r="S116" s="195"/>
      <c r="T116" s="195"/>
      <c r="U116" s="195"/>
      <c r="V116" s="195"/>
    </row>
    <row r="117" spans="1:22" x14ac:dyDescent="0.25">
      <c r="A117" s="125">
        <v>44120</v>
      </c>
      <c r="B117" s="125" t="str">
        <f t="shared" si="4"/>
        <v>Friday</v>
      </c>
      <c r="C117" s="298">
        <f t="shared" si="5"/>
        <v>5</v>
      </c>
      <c r="D117" s="195">
        <v>7.5</v>
      </c>
      <c r="E117" s="195"/>
      <c r="F117" s="195"/>
      <c r="G117" s="195"/>
      <c r="H117" s="195"/>
      <c r="I117" s="195"/>
      <c r="J117" s="195"/>
      <c r="K117" s="195"/>
      <c r="L117" s="195"/>
      <c r="M117" s="195"/>
      <c r="N117" s="195"/>
      <c r="O117" s="195"/>
      <c r="P117" s="195"/>
      <c r="Q117" s="195"/>
      <c r="R117" s="195"/>
      <c r="S117" s="195"/>
      <c r="T117" s="195"/>
      <c r="U117" s="195"/>
      <c r="V117" s="195"/>
    </row>
    <row r="118" spans="1:22" x14ac:dyDescent="0.25">
      <c r="A118" s="125">
        <v>44121</v>
      </c>
      <c r="B118" s="125" t="str">
        <f t="shared" si="4"/>
        <v>Saturday</v>
      </c>
      <c r="C118" s="298">
        <f t="shared" si="5"/>
        <v>6</v>
      </c>
      <c r="D118" s="195"/>
      <c r="E118" s="195"/>
      <c r="F118" s="195"/>
      <c r="G118" s="195"/>
      <c r="H118" s="195"/>
      <c r="I118" s="195"/>
      <c r="J118" s="195"/>
      <c r="K118" s="195"/>
      <c r="L118" s="195"/>
      <c r="M118" s="195"/>
      <c r="N118" s="195"/>
      <c r="O118" s="195"/>
      <c r="P118" s="195"/>
      <c r="Q118" s="195"/>
      <c r="R118" s="195"/>
      <c r="S118" s="195"/>
      <c r="T118" s="195"/>
      <c r="U118" s="195"/>
      <c r="V118" s="195"/>
    </row>
    <row r="119" spans="1:22" x14ac:dyDescent="0.25">
      <c r="A119" s="125">
        <v>44122</v>
      </c>
      <c r="B119" s="125" t="str">
        <f t="shared" si="4"/>
        <v>Sunday</v>
      </c>
      <c r="C119" s="298">
        <f t="shared" si="5"/>
        <v>7</v>
      </c>
      <c r="D119" s="195"/>
      <c r="E119" s="195"/>
      <c r="F119" s="195"/>
      <c r="G119" s="195"/>
      <c r="H119" s="195"/>
      <c r="I119" s="195"/>
      <c r="J119" s="195"/>
      <c r="K119" s="195"/>
      <c r="L119" s="195"/>
      <c r="M119" s="195"/>
      <c r="N119" s="195"/>
      <c r="O119" s="195"/>
      <c r="P119" s="195"/>
      <c r="Q119" s="195"/>
      <c r="R119" s="195"/>
      <c r="S119" s="195"/>
      <c r="T119" s="195"/>
      <c r="U119" s="195"/>
      <c r="V119" s="195"/>
    </row>
    <row r="120" spans="1:22" x14ac:dyDescent="0.25">
      <c r="A120" s="125">
        <v>44123</v>
      </c>
      <c r="B120" s="125" t="str">
        <f t="shared" si="4"/>
        <v>Monday</v>
      </c>
      <c r="C120" s="298">
        <f t="shared" si="5"/>
        <v>1</v>
      </c>
      <c r="D120" s="195">
        <v>7.5</v>
      </c>
      <c r="E120" s="195"/>
      <c r="F120" s="195"/>
      <c r="G120" s="195"/>
      <c r="H120" s="195"/>
      <c r="I120" s="195"/>
      <c r="J120" s="195"/>
      <c r="K120" s="195"/>
      <c r="L120" s="195"/>
      <c r="M120" s="195"/>
      <c r="N120" s="195"/>
      <c r="O120" s="195"/>
      <c r="P120" s="195"/>
      <c r="Q120" s="195"/>
      <c r="R120" s="195"/>
      <c r="S120" s="195"/>
      <c r="T120" s="195"/>
      <c r="U120" s="195"/>
      <c r="V120" s="195"/>
    </row>
    <row r="121" spans="1:22" x14ac:dyDescent="0.25">
      <c r="A121" s="125">
        <v>44124</v>
      </c>
      <c r="B121" s="125" t="str">
        <f t="shared" si="4"/>
        <v>Tuesday</v>
      </c>
      <c r="C121" s="298">
        <f t="shared" si="5"/>
        <v>2</v>
      </c>
      <c r="D121" s="195">
        <v>7.5</v>
      </c>
      <c r="E121" s="195"/>
      <c r="F121" s="195"/>
      <c r="G121" s="195"/>
      <c r="H121" s="195"/>
      <c r="I121" s="195"/>
      <c r="J121" s="195"/>
      <c r="K121" s="195"/>
      <c r="L121" s="195"/>
      <c r="M121" s="195"/>
      <c r="N121" s="195"/>
      <c r="O121" s="195"/>
      <c r="P121" s="195"/>
      <c r="Q121" s="195"/>
      <c r="R121" s="195"/>
      <c r="S121" s="195"/>
      <c r="T121" s="195"/>
      <c r="U121" s="195"/>
      <c r="V121" s="195"/>
    </row>
    <row r="122" spans="1:22" x14ac:dyDescent="0.25">
      <c r="A122" s="125">
        <v>44125</v>
      </c>
      <c r="B122" s="125" t="str">
        <f t="shared" si="4"/>
        <v>Wednesday</v>
      </c>
      <c r="C122" s="298">
        <f t="shared" si="5"/>
        <v>3</v>
      </c>
      <c r="D122" s="195">
        <v>7.5</v>
      </c>
      <c r="E122" s="195"/>
      <c r="F122" s="195"/>
      <c r="G122" s="195"/>
      <c r="H122" s="195"/>
      <c r="I122" s="195"/>
      <c r="J122" s="195"/>
      <c r="K122" s="195"/>
      <c r="L122" s="195"/>
      <c r="M122" s="195"/>
      <c r="N122" s="195"/>
      <c r="O122" s="195"/>
      <c r="P122" s="195"/>
      <c r="Q122" s="195"/>
      <c r="R122" s="195"/>
      <c r="S122" s="195"/>
      <c r="T122" s="195"/>
      <c r="U122" s="195"/>
      <c r="V122" s="195"/>
    </row>
    <row r="123" spans="1:22" x14ac:dyDescent="0.25">
      <c r="A123" s="125">
        <v>44126</v>
      </c>
      <c r="B123" s="125" t="str">
        <f t="shared" si="4"/>
        <v>Thursday</v>
      </c>
      <c r="C123" s="298">
        <f t="shared" si="5"/>
        <v>4</v>
      </c>
      <c r="D123" s="195">
        <v>7.5</v>
      </c>
      <c r="E123" s="195"/>
      <c r="F123" s="195"/>
      <c r="G123" s="195"/>
      <c r="H123" s="195"/>
      <c r="I123" s="195"/>
      <c r="J123" s="195"/>
      <c r="K123" s="195"/>
      <c r="L123" s="195"/>
      <c r="M123" s="195"/>
      <c r="N123" s="195"/>
      <c r="O123" s="195"/>
      <c r="P123" s="195"/>
      <c r="Q123" s="195"/>
      <c r="R123" s="195"/>
      <c r="S123" s="195"/>
      <c r="T123" s="195"/>
      <c r="U123" s="195"/>
      <c r="V123" s="195"/>
    </row>
    <row r="124" spans="1:22" x14ac:dyDescent="0.25">
      <c r="A124" s="125">
        <v>44127</v>
      </c>
      <c r="B124" s="125" t="str">
        <f t="shared" si="4"/>
        <v>Friday</v>
      </c>
      <c r="C124" s="298">
        <f t="shared" si="5"/>
        <v>5</v>
      </c>
      <c r="D124" s="195">
        <v>7.5</v>
      </c>
      <c r="E124" s="195"/>
      <c r="F124" s="195"/>
      <c r="G124" s="195"/>
      <c r="H124" s="195"/>
      <c r="I124" s="195"/>
      <c r="J124" s="195"/>
      <c r="K124" s="195"/>
      <c r="L124" s="195"/>
      <c r="M124" s="195"/>
      <c r="N124" s="195"/>
      <c r="O124" s="195"/>
      <c r="P124" s="195"/>
      <c r="Q124" s="195"/>
      <c r="R124" s="195"/>
      <c r="S124" s="195"/>
      <c r="T124" s="195"/>
      <c r="U124" s="195"/>
      <c r="V124" s="195"/>
    </row>
    <row r="125" spans="1:22" x14ac:dyDescent="0.25">
      <c r="A125" s="125">
        <v>44128</v>
      </c>
      <c r="B125" s="125" t="str">
        <f t="shared" si="4"/>
        <v>Saturday</v>
      </c>
      <c r="C125" s="298">
        <f t="shared" si="5"/>
        <v>6</v>
      </c>
      <c r="D125" s="195"/>
      <c r="E125" s="195"/>
      <c r="F125" s="195"/>
      <c r="G125" s="195"/>
      <c r="H125" s="195"/>
      <c r="I125" s="195"/>
      <c r="J125" s="195"/>
      <c r="K125" s="195"/>
      <c r="L125" s="195"/>
      <c r="M125" s="195"/>
      <c r="N125" s="195"/>
      <c r="O125" s="195"/>
      <c r="P125" s="195"/>
      <c r="Q125" s="195"/>
      <c r="R125" s="195"/>
      <c r="S125" s="195"/>
      <c r="T125" s="195"/>
      <c r="U125" s="195"/>
      <c r="V125" s="195"/>
    </row>
    <row r="126" spans="1:22" x14ac:dyDescent="0.25">
      <c r="A126" s="125">
        <v>44129</v>
      </c>
      <c r="B126" s="125" t="str">
        <f t="shared" si="4"/>
        <v>Sunday</v>
      </c>
      <c r="C126" s="298">
        <f t="shared" si="5"/>
        <v>7</v>
      </c>
      <c r="D126" s="195"/>
      <c r="E126" s="195"/>
      <c r="F126" s="195"/>
      <c r="G126" s="195"/>
      <c r="H126" s="195"/>
      <c r="I126" s="195"/>
      <c r="J126" s="195"/>
      <c r="K126" s="195"/>
      <c r="L126" s="195"/>
      <c r="M126" s="195"/>
      <c r="N126" s="195"/>
      <c r="O126" s="195"/>
      <c r="P126" s="195"/>
      <c r="Q126" s="195"/>
      <c r="R126" s="195"/>
      <c r="S126" s="195"/>
      <c r="T126" s="195"/>
      <c r="U126" s="195"/>
      <c r="V126" s="195"/>
    </row>
    <row r="127" spans="1:22" x14ac:dyDescent="0.25">
      <c r="A127" s="125">
        <v>44130</v>
      </c>
      <c r="B127" s="125" t="str">
        <f t="shared" si="4"/>
        <v>Monday</v>
      </c>
      <c r="C127" s="298">
        <f t="shared" si="5"/>
        <v>1</v>
      </c>
      <c r="D127" s="195">
        <v>7.5</v>
      </c>
      <c r="E127" s="195"/>
      <c r="F127" s="195"/>
      <c r="G127" s="195"/>
      <c r="H127" s="195"/>
      <c r="I127" s="195"/>
      <c r="J127" s="195"/>
      <c r="K127" s="195"/>
      <c r="L127" s="195"/>
      <c r="M127" s="195"/>
      <c r="N127" s="195"/>
      <c r="O127" s="195"/>
      <c r="P127" s="195"/>
      <c r="Q127" s="195"/>
      <c r="R127" s="195"/>
      <c r="S127" s="195"/>
      <c r="T127" s="195"/>
      <c r="U127" s="195"/>
      <c r="V127" s="195"/>
    </row>
    <row r="128" spans="1:22" x14ac:dyDescent="0.25">
      <c r="A128" s="125">
        <v>44131</v>
      </c>
      <c r="B128" s="125" t="str">
        <f t="shared" si="4"/>
        <v>Tuesday</v>
      </c>
      <c r="C128" s="298">
        <f t="shared" si="5"/>
        <v>2</v>
      </c>
      <c r="D128" s="195">
        <v>7.5</v>
      </c>
      <c r="E128" s="195"/>
      <c r="F128" s="195"/>
      <c r="G128" s="195"/>
      <c r="H128" s="195"/>
      <c r="I128" s="195"/>
      <c r="J128" s="195"/>
      <c r="K128" s="195"/>
      <c r="L128" s="195"/>
      <c r="M128" s="195"/>
      <c r="N128" s="195"/>
      <c r="O128" s="195"/>
      <c r="P128" s="195"/>
      <c r="Q128" s="195"/>
      <c r="R128" s="195"/>
      <c r="S128" s="195"/>
      <c r="T128" s="195"/>
      <c r="U128" s="195"/>
      <c r="V128" s="195"/>
    </row>
    <row r="129" spans="1:22" x14ac:dyDescent="0.25">
      <c r="A129" s="125">
        <v>44132</v>
      </c>
      <c r="B129" s="125" t="str">
        <f t="shared" si="4"/>
        <v>Wednesday</v>
      </c>
      <c r="C129" s="298">
        <f t="shared" si="5"/>
        <v>3</v>
      </c>
      <c r="D129" s="195">
        <v>7.5</v>
      </c>
      <c r="E129" s="195"/>
      <c r="F129" s="195"/>
      <c r="G129" s="195"/>
      <c r="H129" s="195"/>
      <c r="I129" s="195"/>
      <c r="J129" s="195"/>
      <c r="K129" s="195"/>
      <c r="L129" s="195"/>
      <c r="M129" s="195"/>
      <c r="N129" s="195"/>
      <c r="O129" s="195"/>
      <c r="P129" s="195"/>
      <c r="Q129" s="195"/>
      <c r="R129" s="195"/>
      <c r="S129" s="195"/>
      <c r="T129" s="195"/>
      <c r="U129" s="195"/>
      <c r="V129" s="195"/>
    </row>
    <row r="130" spans="1:22" x14ac:dyDescent="0.25">
      <c r="A130" s="125">
        <v>44133</v>
      </c>
      <c r="B130" s="125" t="str">
        <f t="shared" si="4"/>
        <v>Thursday</v>
      </c>
      <c r="C130" s="298">
        <f t="shared" si="5"/>
        <v>4</v>
      </c>
      <c r="D130" s="195">
        <v>7.5</v>
      </c>
      <c r="E130" s="195"/>
      <c r="F130" s="195"/>
      <c r="G130" s="195"/>
      <c r="H130" s="195"/>
      <c r="I130" s="195"/>
      <c r="J130" s="195"/>
      <c r="K130" s="195"/>
      <c r="L130" s="195"/>
      <c r="M130" s="195"/>
      <c r="N130" s="195"/>
      <c r="O130" s="195"/>
      <c r="P130" s="195"/>
      <c r="Q130" s="195"/>
      <c r="R130" s="195"/>
      <c r="S130" s="195"/>
      <c r="T130" s="195"/>
      <c r="U130" s="195"/>
      <c r="V130" s="195"/>
    </row>
    <row r="131" spans="1:22" x14ac:dyDescent="0.25">
      <c r="A131" s="125">
        <v>44134</v>
      </c>
      <c r="B131" s="125" t="str">
        <f t="shared" si="4"/>
        <v>Friday</v>
      </c>
      <c r="C131" s="298">
        <f t="shared" si="5"/>
        <v>5</v>
      </c>
      <c r="D131" s="195">
        <v>7.5</v>
      </c>
      <c r="E131" s="195"/>
      <c r="F131" s="195"/>
      <c r="G131" s="195"/>
      <c r="H131" s="195"/>
      <c r="I131" s="195"/>
      <c r="J131" s="195"/>
      <c r="K131" s="195"/>
      <c r="L131" s="195"/>
      <c r="M131" s="195"/>
      <c r="N131" s="195"/>
      <c r="O131" s="195"/>
      <c r="P131" s="195"/>
      <c r="Q131" s="195"/>
      <c r="R131" s="195"/>
      <c r="S131" s="195"/>
      <c r="T131" s="195"/>
      <c r="U131" s="195"/>
      <c r="V131" s="195"/>
    </row>
    <row r="132" spans="1:22" x14ac:dyDescent="0.25">
      <c r="A132" s="125">
        <v>44135</v>
      </c>
      <c r="B132" s="125" t="str">
        <f t="shared" si="4"/>
        <v>Saturday</v>
      </c>
      <c r="C132" s="298">
        <f t="shared" si="5"/>
        <v>6</v>
      </c>
      <c r="D132" s="300"/>
      <c r="E132" s="300"/>
      <c r="F132" s="300"/>
      <c r="G132" s="300"/>
      <c r="H132" s="300"/>
      <c r="I132" s="300"/>
      <c r="J132" s="300"/>
      <c r="K132" s="300"/>
      <c r="L132" s="300"/>
      <c r="M132" s="300"/>
      <c r="N132" s="300"/>
      <c r="O132" s="300"/>
      <c r="P132" s="300"/>
      <c r="Q132" s="300"/>
      <c r="R132" s="300"/>
      <c r="S132" s="300"/>
      <c r="T132" s="300"/>
      <c r="U132" s="300"/>
      <c r="V132" s="300"/>
    </row>
    <row r="133" spans="1:22" x14ac:dyDescent="0.25">
      <c r="A133" s="301" t="s">
        <v>224</v>
      </c>
      <c r="B133" s="302"/>
      <c r="C133" s="303"/>
      <c r="D133" s="304">
        <f>SUM(D102:D132)</f>
        <v>165</v>
      </c>
      <c r="E133" s="304">
        <f t="shared" ref="E133:V133" si="7">SUM(E102:E132)</f>
        <v>0</v>
      </c>
      <c r="F133" s="304">
        <f t="shared" si="7"/>
        <v>0</v>
      </c>
      <c r="G133" s="304">
        <f t="shared" si="7"/>
        <v>0</v>
      </c>
      <c r="H133" s="304">
        <f t="shared" si="7"/>
        <v>0</v>
      </c>
      <c r="I133" s="304">
        <f t="shared" si="7"/>
        <v>0</v>
      </c>
      <c r="J133" s="304">
        <f t="shared" si="7"/>
        <v>0</v>
      </c>
      <c r="K133" s="304">
        <f t="shared" si="7"/>
        <v>0</v>
      </c>
      <c r="L133" s="304">
        <f t="shared" si="7"/>
        <v>0</v>
      </c>
      <c r="M133" s="304">
        <f t="shared" si="7"/>
        <v>0</v>
      </c>
      <c r="N133" s="304">
        <f t="shared" si="7"/>
        <v>0</v>
      </c>
      <c r="O133" s="304">
        <f t="shared" si="7"/>
        <v>0</v>
      </c>
      <c r="P133" s="304">
        <f t="shared" si="7"/>
        <v>0</v>
      </c>
      <c r="Q133" s="304">
        <f t="shared" si="7"/>
        <v>0</v>
      </c>
      <c r="R133" s="304">
        <f t="shared" si="7"/>
        <v>0</v>
      </c>
      <c r="S133" s="304">
        <f t="shared" si="7"/>
        <v>0</v>
      </c>
      <c r="T133" s="304">
        <f t="shared" si="7"/>
        <v>0</v>
      </c>
      <c r="U133" s="304">
        <f t="shared" si="7"/>
        <v>0</v>
      </c>
      <c r="V133" s="304">
        <f t="shared" si="7"/>
        <v>0</v>
      </c>
    </row>
    <row r="134" spans="1:22" x14ac:dyDescent="0.25">
      <c r="A134" s="125">
        <v>44136</v>
      </c>
      <c r="B134" s="125" t="str">
        <f t="shared" si="4"/>
        <v>Sunday</v>
      </c>
      <c r="C134" s="298">
        <f t="shared" si="5"/>
        <v>7</v>
      </c>
      <c r="D134" s="195"/>
      <c r="E134" s="195"/>
      <c r="F134" s="195"/>
      <c r="G134" s="195"/>
      <c r="H134" s="195"/>
      <c r="I134" s="195"/>
      <c r="J134" s="195"/>
      <c r="K134" s="195"/>
      <c r="L134" s="195"/>
      <c r="M134" s="195"/>
      <c r="N134" s="195"/>
      <c r="O134" s="195"/>
      <c r="P134" s="195"/>
      <c r="Q134" s="195"/>
      <c r="R134" s="195"/>
      <c r="S134" s="195"/>
      <c r="T134" s="195"/>
      <c r="U134" s="195"/>
      <c r="V134" s="195"/>
    </row>
    <row r="135" spans="1:22" x14ac:dyDescent="0.25">
      <c r="A135" s="125">
        <v>44137</v>
      </c>
      <c r="B135" s="125" t="str">
        <f t="shared" si="4"/>
        <v>Monday</v>
      </c>
      <c r="C135" s="298">
        <f t="shared" si="5"/>
        <v>1</v>
      </c>
      <c r="D135" s="195">
        <v>7.5</v>
      </c>
      <c r="E135" s="195"/>
      <c r="F135" s="195"/>
      <c r="G135" s="195"/>
      <c r="H135" s="195"/>
      <c r="I135" s="195"/>
      <c r="J135" s="195"/>
      <c r="K135" s="195"/>
      <c r="L135" s="195"/>
      <c r="M135" s="195"/>
      <c r="N135" s="195"/>
      <c r="O135" s="195"/>
      <c r="P135" s="195"/>
      <c r="Q135" s="195"/>
      <c r="R135" s="195"/>
      <c r="S135" s="195"/>
      <c r="T135" s="195"/>
      <c r="U135" s="195"/>
      <c r="V135" s="195"/>
    </row>
    <row r="136" spans="1:22" x14ac:dyDescent="0.25">
      <c r="A136" s="125">
        <v>44138</v>
      </c>
      <c r="B136" s="125" t="str">
        <f t="shared" ref="B136:B199" si="8">TEXT(A136,"dddd")</f>
        <v>Tuesday</v>
      </c>
      <c r="C136" s="298">
        <f t="shared" ref="C136:C199" si="9">WEEKDAY(A136,2)</f>
        <v>2</v>
      </c>
      <c r="D136" s="195">
        <v>7.5</v>
      </c>
      <c r="E136" s="195"/>
      <c r="F136" s="195"/>
      <c r="G136" s="195"/>
      <c r="H136" s="195"/>
      <c r="I136" s="195"/>
      <c r="J136" s="195"/>
      <c r="K136" s="195"/>
      <c r="L136" s="195"/>
      <c r="M136" s="195"/>
      <c r="N136" s="195"/>
      <c r="O136" s="195"/>
      <c r="P136" s="195"/>
      <c r="Q136" s="195"/>
      <c r="R136" s="195"/>
      <c r="S136" s="195"/>
      <c r="T136" s="195"/>
      <c r="U136" s="195"/>
      <c r="V136" s="195"/>
    </row>
    <row r="137" spans="1:22" x14ac:dyDescent="0.25">
      <c r="A137" s="125">
        <v>44139</v>
      </c>
      <c r="B137" s="125" t="str">
        <f t="shared" si="8"/>
        <v>Wednesday</v>
      </c>
      <c r="C137" s="298">
        <f t="shared" si="9"/>
        <v>3</v>
      </c>
      <c r="D137" s="195">
        <v>7.5</v>
      </c>
      <c r="E137" s="195"/>
      <c r="F137" s="195"/>
      <c r="G137" s="195"/>
      <c r="H137" s="195"/>
      <c r="I137" s="195"/>
      <c r="J137" s="195"/>
      <c r="K137" s="195"/>
      <c r="L137" s="195"/>
      <c r="M137" s="195"/>
      <c r="N137" s="195"/>
      <c r="O137" s="195"/>
      <c r="P137" s="195"/>
      <c r="Q137" s="195"/>
      <c r="R137" s="195"/>
      <c r="S137" s="195"/>
      <c r="T137" s="195"/>
      <c r="U137" s="195"/>
      <c r="V137" s="195"/>
    </row>
    <row r="138" spans="1:22" x14ac:dyDescent="0.25">
      <c r="A138" s="125">
        <v>44140</v>
      </c>
      <c r="B138" s="125" t="str">
        <f t="shared" si="8"/>
        <v>Thursday</v>
      </c>
      <c r="C138" s="298">
        <f t="shared" si="9"/>
        <v>4</v>
      </c>
      <c r="D138" s="195">
        <v>7.5</v>
      </c>
      <c r="E138" s="195"/>
      <c r="F138" s="195"/>
      <c r="G138" s="195"/>
      <c r="H138" s="195"/>
      <c r="I138" s="195"/>
      <c r="J138" s="195"/>
      <c r="K138" s="195"/>
      <c r="L138" s="195"/>
      <c r="M138" s="195"/>
      <c r="N138" s="195"/>
      <c r="O138" s="195"/>
      <c r="P138" s="195"/>
      <c r="Q138" s="195"/>
      <c r="R138" s="195"/>
      <c r="S138" s="195"/>
      <c r="T138" s="195"/>
      <c r="U138" s="195"/>
      <c r="V138" s="195"/>
    </row>
    <row r="139" spans="1:22" x14ac:dyDescent="0.25">
      <c r="A139" s="125">
        <v>44141</v>
      </c>
      <c r="B139" s="125" t="str">
        <f t="shared" si="8"/>
        <v>Friday</v>
      </c>
      <c r="C139" s="298">
        <f t="shared" si="9"/>
        <v>5</v>
      </c>
      <c r="D139" s="195">
        <v>7.5</v>
      </c>
      <c r="E139" s="195"/>
      <c r="F139" s="195"/>
      <c r="G139" s="195"/>
      <c r="H139" s="195"/>
      <c r="I139" s="195"/>
      <c r="J139" s="195"/>
      <c r="K139" s="195"/>
      <c r="L139" s="195"/>
      <c r="M139" s="195"/>
      <c r="N139" s="195"/>
      <c r="O139" s="195"/>
      <c r="P139" s="195"/>
      <c r="Q139" s="195"/>
      <c r="R139" s="195"/>
      <c r="S139" s="195"/>
      <c r="T139" s="195"/>
      <c r="U139" s="195"/>
      <c r="V139" s="195"/>
    </row>
    <row r="140" spans="1:22" x14ac:dyDescent="0.25">
      <c r="A140" s="125">
        <v>44142</v>
      </c>
      <c r="B140" s="125" t="str">
        <f t="shared" si="8"/>
        <v>Saturday</v>
      </c>
      <c r="C140" s="298">
        <f t="shared" si="9"/>
        <v>6</v>
      </c>
      <c r="D140" s="195"/>
      <c r="E140" s="195"/>
      <c r="F140" s="195"/>
      <c r="G140" s="195"/>
      <c r="H140" s="195"/>
      <c r="I140" s="195"/>
      <c r="J140" s="195"/>
      <c r="K140" s="195"/>
      <c r="L140" s="195"/>
      <c r="M140" s="195"/>
      <c r="N140" s="195"/>
      <c r="O140" s="195"/>
      <c r="P140" s="195"/>
      <c r="Q140" s="195"/>
      <c r="R140" s="195"/>
      <c r="S140" s="195"/>
      <c r="T140" s="195"/>
      <c r="U140" s="195"/>
      <c r="V140" s="195"/>
    </row>
    <row r="141" spans="1:22" x14ac:dyDescent="0.25">
      <c r="A141" s="125">
        <v>44143</v>
      </c>
      <c r="B141" s="125" t="str">
        <f t="shared" si="8"/>
        <v>Sunday</v>
      </c>
      <c r="C141" s="298">
        <f t="shared" si="9"/>
        <v>7</v>
      </c>
      <c r="D141" s="195"/>
      <c r="E141" s="195"/>
      <c r="F141" s="195"/>
      <c r="G141" s="195"/>
      <c r="H141" s="195"/>
      <c r="I141" s="195"/>
      <c r="J141" s="195"/>
      <c r="K141" s="195"/>
      <c r="L141" s="195"/>
      <c r="M141" s="195"/>
      <c r="N141" s="195"/>
      <c r="O141" s="195"/>
      <c r="P141" s="195"/>
      <c r="Q141" s="195"/>
      <c r="R141" s="195"/>
      <c r="S141" s="195"/>
      <c r="T141" s="195"/>
      <c r="U141" s="195"/>
      <c r="V141" s="195"/>
    </row>
    <row r="142" spans="1:22" x14ac:dyDescent="0.25">
      <c r="A142" s="125">
        <v>44144</v>
      </c>
      <c r="B142" s="125" t="str">
        <f t="shared" si="8"/>
        <v>Monday</v>
      </c>
      <c r="C142" s="298">
        <f t="shared" si="9"/>
        <v>1</v>
      </c>
      <c r="D142" s="195">
        <v>7.5</v>
      </c>
      <c r="E142" s="195"/>
      <c r="F142" s="195"/>
      <c r="G142" s="195"/>
      <c r="H142" s="195"/>
      <c r="I142" s="195"/>
      <c r="J142" s="195"/>
      <c r="K142" s="195"/>
      <c r="L142" s="195"/>
      <c r="M142" s="195"/>
      <c r="N142" s="195"/>
      <c r="O142" s="195"/>
      <c r="P142" s="195"/>
      <c r="Q142" s="195"/>
      <c r="R142" s="195"/>
      <c r="S142" s="195"/>
      <c r="T142" s="195"/>
      <c r="U142" s="195"/>
      <c r="V142" s="195"/>
    </row>
    <row r="143" spans="1:22" x14ac:dyDescent="0.25">
      <c r="A143" s="125">
        <v>44145</v>
      </c>
      <c r="B143" s="125" t="str">
        <f t="shared" si="8"/>
        <v>Tuesday</v>
      </c>
      <c r="C143" s="298">
        <f t="shared" si="9"/>
        <v>2</v>
      </c>
      <c r="D143" s="195">
        <v>7.5</v>
      </c>
      <c r="E143" s="195"/>
      <c r="F143" s="195"/>
      <c r="G143" s="195"/>
      <c r="H143" s="195"/>
      <c r="I143" s="195"/>
      <c r="J143" s="195"/>
      <c r="K143" s="195"/>
      <c r="L143" s="195"/>
      <c r="M143" s="195"/>
      <c r="N143" s="195"/>
      <c r="O143" s="195"/>
      <c r="P143" s="195"/>
      <c r="Q143" s="195"/>
      <c r="R143" s="195"/>
      <c r="S143" s="195"/>
      <c r="T143" s="195"/>
      <c r="U143" s="195"/>
      <c r="V143" s="195"/>
    </row>
    <row r="144" spans="1:22" x14ac:dyDescent="0.25">
      <c r="A144" s="125">
        <v>44146</v>
      </c>
      <c r="B144" s="125" t="str">
        <f t="shared" si="8"/>
        <v>Wednesday</v>
      </c>
      <c r="C144" s="298">
        <f t="shared" si="9"/>
        <v>3</v>
      </c>
      <c r="D144" s="195">
        <v>7.5</v>
      </c>
      <c r="E144" s="195"/>
      <c r="F144" s="195"/>
      <c r="G144" s="195"/>
      <c r="H144" s="195"/>
      <c r="I144" s="195"/>
      <c r="J144" s="195"/>
      <c r="K144" s="195"/>
      <c r="L144" s="195"/>
      <c r="M144" s="195"/>
      <c r="N144" s="195"/>
      <c r="O144" s="195"/>
      <c r="P144" s="195"/>
      <c r="Q144" s="195"/>
      <c r="R144" s="195"/>
      <c r="S144" s="195"/>
      <c r="T144" s="195"/>
      <c r="U144" s="195"/>
      <c r="V144" s="195"/>
    </row>
    <row r="145" spans="1:22" x14ac:dyDescent="0.25">
      <c r="A145" s="125">
        <v>44147</v>
      </c>
      <c r="B145" s="125" t="str">
        <f t="shared" si="8"/>
        <v>Thursday</v>
      </c>
      <c r="C145" s="298">
        <f t="shared" si="9"/>
        <v>4</v>
      </c>
      <c r="D145" s="195">
        <v>7.5</v>
      </c>
      <c r="E145" s="195"/>
      <c r="F145" s="195"/>
      <c r="G145" s="195"/>
      <c r="H145" s="195"/>
      <c r="I145" s="195"/>
      <c r="J145" s="195"/>
      <c r="K145" s="195"/>
      <c r="L145" s="195"/>
      <c r="M145" s="195"/>
      <c r="N145" s="195"/>
      <c r="O145" s="195"/>
      <c r="P145" s="195"/>
      <c r="Q145" s="195"/>
      <c r="R145" s="195"/>
      <c r="S145" s="195"/>
      <c r="T145" s="195"/>
      <c r="U145" s="195"/>
      <c r="V145" s="195"/>
    </row>
    <row r="146" spans="1:22" x14ac:dyDescent="0.25">
      <c r="A146" s="125">
        <v>44148</v>
      </c>
      <c r="B146" s="125" t="str">
        <f t="shared" si="8"/>
        <v>Friday</v>
      </c>
      <c r="C146" s="298">
        <f t="shared" si="9"/>
        <v>5</v>
      </c>
      <c r="D146" s="195">
        <v>7.5</v>
      </c>
      <c r="E146" s="195"/>
      <c r="F146" s="195"/>
      <c r="G146" s="195"/>
      <c r="H146" s="195"/>
      <c r="I146" s="195"/>
      <c r="J146" s="195"/>
      <c r="K146" s="195"/>
      <c r="L146" s="195"/>
      <c r="M146" s="195"/>
      <c r="N146" s="195"/>
      <c r="O146" s="195"/>
      <c r="P146" s="195"/>
      <c r="Q146" s="195"/>
      <c r="R146" s="195"/>
      <c r="S146" s="195"/>
      <c r="T146" s="195"/>
      <c r="U146" s="195"/>
      <c r="V146" s="195"/>
    </row>
    <row r="147" spans="1:22" x14ac:dyDescent="0.25">
      <c r="A147" s="125">
        <v>44149</v>
      </c>
      <c r="B147" s="125" t="str">
        <f t="shared" si="8"/>
        <v>Saturday</v>
      </c>
      <c r="C147" s="298">
        <f t="shared" si="9"/>
        <v>6</v>
      </c>
      <c r="D147" s="195"/>
      <c r="E147" s="195"/>
      <c r="F147" s="195"/>
      <c r="G147" s="195"/>
      <c r="H147" s="195"/>
      <c r="I147" s="195"/>
      <c r="J147" s="195"/>
      <c r="K147" s="195"/>
      <c r="L147" s="195"/>
      <c r="M147" s="195"/>
      <c r="N147" s="195"/>
      <c r="O147" s="195"/>
      <c r="P147" s="195"/>
      <c r="Q147" s="195"/>
      <c r="R147" s="195"/>
      <c r="S147" s="195"/>
      <c r="T147" s="195"/>
      <c r="U147" s="195"/>
      <c r="V147" s="195"/>
    </row>
    <row r="148" spans="1:22" x14ac:dyDescent="0.25">
      <c r="A148" s="125">
        <v>44150</v>
      </c>
      <c r="B148" s="125" t="str">
        <f t="shared" si="8"/>
        <v>Sunday</v>
      </c>
      <c r="C148" s="298">
        <f t="shared" si="9"/>
        <v>7</v>
      </c>
      <c r="D148" s="195"/>
      <c r="E148" s="195"/>
      <c r="F148" s="195"/>
      <c r="G148" s="195"/>
      <c r="H148" s="195"/>
      <c r="I148" s="195"/>
      <c r="J148" s="195"/>
      <c r="K148" s="195"/>
      <c r="L148" s="195"/>
      <c r="M148" s="195"/>
      <c r="N148" s="195"/>
      <c r="O148" s="195"/>
      <c r="P148" s="195"/>
      <c r="Q148" s="195"/>
      <c r="R148" s="195"/>
      <c r="S148" s="195"/>
      <c r="T148" s="195"/>
      <c r="U148" s="195"/>
      <c r="V148" s="195"/>
    </row>
    <row r="149" spans="1:22" x14ac:dyDescent="0.25">
      <c r="A149" s="125">
        <v>44151</v>
      </c>
      <c r="B149" s="125" t="str">
        <f t="shared" si="8"/>
        <v>Monday</v>
      </c>
      <c r="C149" s="298">
        <f t="shared" si="9"/>
        <v>1</v>
      </c>
      <c r="D149" s="195">
        <v>7.5</v>
      </c>
      <c r="E149" s="195"/>
      <c r="F149" s="195"/>
      <c r="G149" s="195"/>
      <c r="H149" s="195"/>
      <c r="I149" s="195"/>
      <c r="J149" s="195"/>
      <c r="K149" s="195"/>
      <c r="L149" s="195"/>
      <c r="M149" s="195"/>
      <c r="N149" s="195"/>
      <c r="O149" s="195"/>
      <c r="P149" s="195"/>
      <c r="Q149" s="195"/>
      <c r="R149" s="195"/>
      <c r="S149" s="195"/>
      <c r="T149" s="195"/>
      <c r="U149" s="195"/>
      <c r="V149" s="195"/>
    </row>
    <row r="150" spans="1:22" x14ac:dyDescent="0.25">
      <c r="A150" s="125">
        <v>44152</v>
      </c>
      <c r="B150" s="125" t="str">
        <f t="shared" si="8"/>
        <v>Tuesday</v>
      </c>
      <c r="C150" s="298">
        <f t="shared" si="9"/>
        <v>2</v>
      </c>
      <c r="D150" s="195">
        <v>7.5</v>
      </c>
      <c r="E150" s="195"/>
      <c r="F150" s="195"/>
      <c r="G150" s="195"/>
      <c r="H150" s="195"/>
      <c r="I150" s="195"/>
      <c r="J150" s="195"/>
      <c r="K150" s="195"/>
      <c r="L150" s="195"/>
      <c r="M150" s="195"/>
      <c r="N150" s="195"/>
      <c r="O150" s="195"/>
      <c r="P150" s="195"/>
      <c r="Q150" s="195"/>
      <c r="R150" s="195"/>
      <c r="S150" s="195"/>
      <c r="T150" s="195"/>
      <c r="U150" s="195"/>
      <c r="V150" s="195"/>
    </row>
    <row r="151" spans="1:22" x14ac:dyDescent="0.25">
      <c r="A151" s="125">
        <v>44153</v>
      </c>
      <c r="B151" s="125" t="str">
        <f t="shared" si="8"/>
        <v>Wednesday</v>
      </c>
      <c r="C151" s="298">
        <f t="shared" si="9"/>
        <v>3</v>
      </c>
      <c r="D151" s="195">
        <v>7.5</v>
      </c>
      <c r="E151" s="195"/>
      <c r="F151" s="195"/>
      <c r="G151" s="195"/>
      <c r="H151" s="195"/>
      <c r="I151" s="195"/>
      <c r="J151" s="195"/>
      <c r="K151" s="195"/>
      <c r="L151" s="195"/>
      <c r="M151" s="195"/>
      <c r="N151" s="195"/>
      <c r="O151" s="195"/>
      <c r="P151" s="195"/>
      <c r="Q151" s="195"/>
      <c r="R151" s="195"/>
      <c r="S151" s="195"/>
      <c r="T151" s="195"/>
      <c r="U151" s="195"/>
      <c r="V151" s="195"/>
    </row>
    <row r="152" spans="1:22" x14ac:dyDescent="0.25">
      <c r="A152" s="125">
        <v>44154</v>
      </c>
      <c r="B152" s="125" t="str">
        <f t="shared" si="8"/>
        <v>Thursday</v>
      </c>
      <c r="C152" s="298">
        <f t="shared" si="9"/>
        <v>4</v>
      </c>
      <c r="D152" s="195">
        <v>7.5</v>
      </c>
      <c r="E152" s="195"/>
      <c r="F152" s="195"/>
      <c r="G152" s="195"/>
      <c r="H152" s="195"/>
      <c r="I152" s="195"/>
      <c r="J152" s="195"/>
      <c r="K152" s="195"/>
      <c r="L152" s="195"/>
      <c r="M152" s="195"/>
      <c r="N152" s="195"/>
      <c r="O152" s="195"/>
      <c r="P152" s="195"/>
      <c r="Q152" s="195"/>
      <c r="R152" s="195"/>
      <c r="S152" s="195"/>
      <c r="T152" s="195"/>
      <c r="U152" s="195"/>
      <c r="V152" s="195"/>
    </row>
    <row r="153" spans="1:22" x14ac:dyDescent="0.25">
      <c r="A153" s="125">
        <v>44155</v>
      </c>
      <c r="B153" s="125" t="str">
        <f t="shared" si="8"/>
        <v>Friday</v>
      </c>
      <c r="C153" s="298">
        <f t="shared" si="9"/>
        <v>5</v>
      </c>
      <c r="D153" s="195">
        <v>7.5</v>
      </c>
      <c r="E153" s="195"/>
      <c r="F153" s="195"/>
      <c r="G153" s="195"/>
      <c r="H153" s="195"/>
      <c r="I153" s="195"/>
      <c r="J153" s="195"/>
      <c r="K153" s="195"/>
      <c r="L153" s="195"/>
      <c r="M153" s="195"/>
      <c r="N153" s="195"/>
      <c r="O153" s="195"/>
      <c r="P153" s="195"/>
      <c r="Q153" s="195"/>
      <c r="R153" s="195"/>
      <c r="S153" s="195"/>
      <c r="T153" s="195"/>
      <c r="U153" s="195"/>
      <c r="V153" s="195"/>
    </row>
    <row r="154" spans="1:22" x14ac:dyDescent="0.25">
      <c r="A154" s="125">
        <v>44156</v>
      </c>
      <c r="B154" s="125" t="str">
        <f t="shared" si="8"/>
        <v>Saturday</v>
      </c>
      <c r="C154" s="298">
        <f t="shared" si="9"/>
        <v>6</v>
      </c>
      <c r="D154" s="195"/>
      <c r="E154" s="195"/>
      <c r="F154" s="195"/>
      <c r="G154" s="195"/>
      <c r="H154" s="195"/>
      <c r="I154" s="195"/>
      <c r="J154" s="195"/>
      <c r="K154" s="195"/>
      <c r="L154" s="195"/>
      <c r="M154" s="195"/>
      <c r="N154" s="195"/>
      <c r="O154" s="195"/>
      <c r="P154" s="195"/>
      <c r="Q154" s="195"/>
      <c r="R154" s="195"/>
      <c r="S154" s="195"/>
      <c r="T154" s="195"/>
      <c r="U154" s="195"/>
      <c r="V154" s="195"/>
    </row>
    <row r="155" spans="1:22" x14ac:dyDescent="0.25">
      <c r="A155" s="125">
        <v>44157</v>
      </c>
      <c r="B155" s="125" t="str">
        <f t="shared" si="8"/>
        <v>Sunday</v>
      </c>
      <c r="C155" s="298">
        <f t="shared" si="9"/>
        <v>7</v>
      </c>
      <c r="D155" s="195"/>
      <c r="E155" s="195"/>
      <c r="F155" s="195"/>
      <c r="G155" s="195"/>
      <c r="H155" s="195"/>
      <c r="I155" s="195"/>
      <c r="J155" s="195"/>
      <c r="K155" s="195"/>
      <c r="L155" s="195"/>
      <c r="M155" s="195"/>
      <c r="N155" s="195"/>
      <c r="O155" s="195"/>
      <c r="P155" s="195"/>
      <c r="Q155" s="195"/>
      <c r="R155" s="195"/>
      <c r="S155" s="195"/>
      <c r="T155" s="195"/>
      <c r="U155" s="195"/>
      <c r="V155" s="195"/>
    </row>
    <row r="156" spans="1:22" x14ac:dyDescent="0.25">
      <c r="A156" s="125">
        <v>44158</v>
      </c>
      <c r="B156" s="125" t="str">
        <f t="shared" si="8"/>
        <v>Monday</v>
      </c>
      <c r="C156" s="298">
        <f t="shared" si="9"/>
        <v>1</v>
      </c>
      <c r="D156" s="195">
        <v>7.5</v>
      </c>
      <c r="E156" s="195"/>
      <c r="F156" s="195"/>
      <c r="G156" s="195"/>
      <c r="H156" s="195"/>
      <c r="I156" s="195"/>
      <c r="J156" s="195"/>
      <c r="K156" s="195"/>
      <c r="L156" s="195"/>
      <c r="M156" s="195"/>
      <c r="N156" s="195"/>
      <c r="O156" s="195"/>
      <c r="P156" s="195"/>
      <c r="Q156" s="195"/>
      <c r="R156" s="195"/>
      <c r="S156" s="195"/>
      <c r="T156" s="195"/>
      <c r="U156" s="195"/>
      <c r="V156" s="195"/>
    </row>
    <row r="157" spans="1:22" x14ac:dyDescent="0.25">
      <c r="A157" s="125">
        <v>44159</v>
      </c>
      <c r="B157" s="125" t="str">
        <f t="shared" si="8"/>
        <v>Tuesday</v>
      </c>
      <c r="C157" s="298">
        <f t="shared" si="9"/>
        <v>2</v>
      </c>
      <c r="D157" s="195">
        <v>7.5</v>
      </c>
      <c r="E157" s="195"/>
      <c r="F157" s="195"/>
      <c r="G157" s="195"/>
      <c r="H157" s="195"/>
      <c r="I157" s="195"/>
      <c r="J157" s="195"/>
      <c r="K157" s="195"/>
      <c r="L157" s="195"/>
      <c r="M157" s="195"/>
      <c r="N157" s="195"/>
      <c r="O157" s="195"/>
      <c r="P157" s="195"/>
      <c r="Q157" s="195"/>
      <c r="R157" s="195"/>
      <c r="S157" s="195"/>
      <c r="T157" s="195"/>
      <c r="U157" s="195"/>
      <c r="V157" s="195"/>
    </row>
    <row r="158" spans="1:22" x14ac:dyDescent="0.25">
      <c r="A158" s="125">
        <v>44160</v>
      </c>
      <c r="B158" s="125" t="str">
        <f t="shared" si="8"/>
        <v>Wednesday</v>
      </c>
      <c r="C158" s="298">
        <f t="shared" si="9"/>
        <v>3</v>
      </c>
      <c r="D158" s="195">
        <v>7.5</v>
      </c>
      <c r="E158" s="195"/>
      <c r="F158" s="195"/>
      <c r="G158" s="195"/>
      <c r="H158" s="195"/>
      <c r="I158" s="195"/>
      <c r="J158" s="195"/>
      <c r="K158" s="195"/>
      <c r="L158" s="195"/>
      <c r="M158" s="195"/>
      <c r="N158" s="195"/>
      <c r="O158" s="195"/>
      <c r="P158" s="195"/>
      <c r="Q158" s="195"/>
      <c r="R158" s="195"/>
      <c r="S158" s="195"/>
      <c r="T158" s="195"/>
      <c r="U158" s="195"/>
      <c r="V158" s="195"/>
    </row>
    <row r="159" spans="1:22" x14ac:dyDescent="0.25">
      <c r="A159" s="125">
        <v>44161</v>
      </c>
      <c r="B159" s="125" t="str">
        <f t="shared" si="8"/>
        <v>Thursday</v>
      </c>
      <c r="C159" s="298">
        <f t="shared" si="9"/>
        <v>4</v>
      </c>
      <c r="D159" s="195">
        <v>7.5</v>
      </c>
      <c r="E159" s="195"/>
      <c r="F159" s="195"/>
      <c r="G159" s="195"/>
      <c r="H159" s="195"/>
      <c r="I159" s="195"/>
      <c r="J159" s="195"/>
      <c r="K159" s="195"/>
      <c r="L159" s="195"/>
      <c r="M159" s="195"/>
      <c r="N159" s="195"/>
      <c r="O159" s="195"/>
      <c r="P159" s="195"/>
      <c r="Q159" s="195"/>
      <c r="R159" s="195"/>
      <c r="S159" s="195"/>
      <c r="T159" s="195"/>
      <c r="U159" s="195"/>
      <c r="V159" s="195"/>
    </row>
    <row r="160" spans="1:22" x14ac:dyDescent="0.25">
      <c r="A160" s="125">
        <v>44162</v>
      </c>
      <c r="B160" s="125" t="str">
        <f t="shared" si="8"/>
        <v>Friday</v>
      </c>
      <c r="C160" s="298">
        <f t="shared" si="9"/>
        <v>5</v>
      </c>
      <c r="D160" s="195">
        <v>7.5</v>
      </c>
      <c r="E160" s="195"/>
      <c r="F160" s="195"/>
      <c r="G160" s="195"/>
      <c r="H160" s="195"/>
      <c r="I160" s="195"/>
      <c r="J160" s="195"/>
      <c r="K160" s="195"/>
      <c r="L160" s="195"/>
      <c r="M160" s="195"/>
      <c r="N160" s="195"/>
      <c r="O160" s="195"/>
      <c r="P160" s="195"/>
      <c r="Q160" s="195"/>
      <c r="R160" s="195"/>
      <c r="S160" s="195"/>
      <c r="T160" s="195"/>
      <c r="U160" s="195"/>
      <c r="V160" s="195"/>
    </row>
    <row r="161" spans="1:22" x14ac:dyDescent="0.25">
      <c r="A161" s="125">
        <v>44163</v>
      </c>
      <c r="B161" s="125" t="str">
        <f t="shared" si="8"/>
        <v>Saturday</v>
      </c>
      <c r="C161" s="298">
        <f t="shared" si="9"/>
        <v>6</v>
      </c>
      <c r="D161" s="195"/>
      <c r="E161" s="195"/>
      <c r="F161" s="195"/>
      <c r="G161" s="195"/>
      <c r="H161" s="195"/>
      <c r="I161" s="195"/>
      <c r="J161" s="195"/>
      <c r="K161" s="195"/>
      <c r="L161" s="195"/>
      <c r="M161" s="195"/>
      <c r="N161" s="195"/>
      <c r="O161" s="195"/>
      <c r="P161" s="195"/>
      <c r="Q161" s="195"/>
      <c r="R161" s="195"/>
      <c r="S161" s="195"/>
      <c r="T161" s="195"/>
      <c r="U161" s="195"/>
      <c r="V161" s="195"/>
    </row>
    <row r="162" spans="1:22" x14ac:dyDescent="0.25">
      <c r="A162" s="125">
        <v>44164</v>
      </c>
      <c r="B162" s="125" t="str">
        <f t="shared" si="8"/>
        <v>Sunday</v>
      </c>
      <c r="C162" s="298">
        <f t="shared" si="9"/>
        <v>7</v>
      </c>
      <c r="D162" s="195"/>
      <c r="E162" s="195"/>
      <c r="F162" s="195"/>
      <c r="G162" s="195"/>
      <c r="H162" s="195"/>
      <c r="I162" s="195"/>
      <c r="J162" s="195"/>
      <c r="K162" s="195"/>
      <c r="L162" s="195"/>
      <c r="M162" s="195"/>
      <c r="N162" s="195"/>
      <c r="O162" s="195"/>
      <c r="P162" s="195"/>
      <c r="Q162" s="195"/>
      <c r="R162" s="195"/>
      <c r="S162" s="195"/>
      <c r="T162" s="195"/>
      <c r="U162" s="195"/>
      <c r="V162" s="195"/>
    </row>
    <row r="163" spans="1:22" x14ac:dyDescent="0.25">
      <c r="A163" s="125">
        <v>44165</v>
      </c>
      <c r="B163" s="125" t="str">
        <f t="shared" si="8"/>
        <v>Monday</v>
      </c>
      <c r="C163" s="298">
        <f t="shared" si="9"/>
        <v>1</v>
      </c>
      <c r="D163" s="300">
        <v>7.5</v>
      </c>
      <c r="E163" s="300"/>
      <c r="F163" s="300"/>
      <c r="G163" s="300"/>
      <c r="H163" s="300"/>
      <c r="I163" s="300"/>
      <c r="J163" s="300"/>
      <c r="K163" s="300"/>
      <c r="L163" s="300"/>
      <c r="M163" s="300"/>
      <c r="N163" s="300"/>
      <c r="O163" s="300"/>
      <c r="P163" s="300"/>
      <c r="Q163" s="300"/>
      <c r="R163" s="300"/>
      <c r="S163" s="300"/>
      <c r="T163" s="300"/>
      <c r="U163" s="300"/>
      <c r="V163" s="300"/>
    </row>
    <row r="164" spans="1:22" x14ac:dyDescent="0.25">
      <c r="A164" s="301" t="s">
        <v>224</v>
      </c>
      <c r="B164" s="302"/>
      <c r="C164" s="303"/>
      <c r="D164" s="304">
        <f>SUM(D134:D163)</f>
        <v>157.5</v>
      </c>
      <c r="E164" s="304">
        <f t="shared" ref="E164:V164" si="10">SUM(E134:E163)</f>
        <v>0</v>
      </c>
      <c r="F164" s="304">
        <f t="shared" si="10"/>
        <v>0</v>
      </c>
      <c r="G164" s="304">
        <f t="shared" si="10"/>
        <v>0</v>
      </c>
      <c r="H164" s="304">
        <f t="shared" si="10"/>
        <v>0</v>
      </c>
      <c r="I164" s="304">
        <f t="shared" si="10"/>
        <v>0</v>
      </c>
      <c r="J164" s="304">
        <f t="shared" si="10"/>
        <v>0</v>
      </c>
      <c r="K164" s="304">
        <f t="shared" si="10"/>
        <v>0</v>
      </c>
      <c r="L164" s="304">
        <f t="shared" si="10"/>
        <v>0</v>
      </c>
      <c r="M164" s="304">
        <f t="shared" si="10"/>
        <v>0</v>
      </c>
      <c r="N164" s="304">
        <f t="shared" si="10"/>
        <v>0</v>
      </c>
      <c r="O164" s="304">
        <f t="shared" si="10"/>
        <v>0</v>
      </c>
      <c r="P164" s="304">
        <f t="shared" si="10"/>
        <v>0</v>
      </c>
      <c r="Q164" s="304">
        <f t="shared" si="10"/>
        <v>0</v>
      </c>
      <c r="R164" s="304">
        <f t="shared" si="10"/>
        <v>0</v>
      </c>
      <c r="S164" s="304">
        <f t="shared" si="10"/>
        <v>0</v>
      </c>
      <c r="T164" s="304">
        <f t="shared" si="10"/>
        <v>0</v>
      </c>
      <c r="U164" s="304">
        <f t="shared" si="10"/>
        <v>0</v>
      </c>
      <c r="V164" s="304">
        <f t="shared" si="10"/>
        <v>0</v>
      </c>
    </row>
    <row r="165" spans="1:22" x14ac:dyDescent="0.25">
      <c r="A165" s="125">
        <v>44166</v>
      </c>
      <c r="B165" s="125" t="str">
        <f t="shared" si="8"/>
        <v>Tuesday</v>
      </c>
      <c r="C165" s="298">
        <f t="shared" si="9"/>
        <v>2</v>
      </c>
      <c r="D165" s="195">
        <v>7.5</v>
      </c>
      <c r="E165" s="195"/>
      <c r="F165" s="195"/>
      <c r="G165" s="195"/>
      <c r="H165" s="195"/>
      <c r="I165" s="195"/>
      <c r="J165" s="195"/>
      <c r="K165" s="195"/>
      <c r="L165" s="195"/>
      <c r="M165" s="195"/>
      <c r="N165" s="195"/>
      <c r="O165" s="195"/>
      <c r="P165" s="195"/>
      <c r="Q165" s="195"/>
      <c r="R165" s="195"/>
      <c r="S165" s="195"/>
      <c r="T165" s="195"/>
      <c r="U165" s="195"/>
      <c r="V165" s="195"/>
    </row>
    <row r="166" spans="1:22" x14ac:dyDescent="0.25">
      <c r="A166" s="125">
        <v>44167</v>
      </c>
      <c r="B166" s="125" t="str">
        <f t="shared" si="8"/>
        <v>Wednesday</v>
      </c>
      <c r="C166" s="298">
        <f t="shared" si="9"/>
        <v>3</v>
      </c>
      <c r="D166" s="195">
        <v>7.5</v>
      </c>
      <c r="E166" s="195"/>
      <c r="F166" s="195"/>
      <c r="G166" s="195"/>
      <c r="H166" s="195"/>
      <c r="I166" s="195"/>
      <c r="J166" s="195"/>
      <c r="K166" s="195"/>
      <c r="L166" s="195"/>
      <c r="M166" s="195"/>
      <c r="N166" s="195"/>
      <c r="O166" s="195"/>
      <c r="P166" s="195"/>
      <c r="Q166" s="195"/>
      <c r="R166" s="195"/>
      <c r="S166" s="195"/>
      <c r="T166" s="195"/>
      <c r="U166" s="195"/>
      <c r="V166" s="195"/>
    </row>
    <row r="167" spans="1:22" x14ac:dyDescent="0.25">
      <c r="A167" s="125">
        <v>44168</v>
      </c>
      <c r="B167" s="125" t="str">
        <f t="shared" si="8"/>
        <v>Thursday</v>
      </c>
      <c r="C167" s="298">
        <f t="shared" si="9"/>
        <v>4</v>
      </c>
      <c r="D167" s="195">
        <v>7.5</v>
      </c>
      <c r="E167" s="195"/>
      <c r="F167" s="195"/>
      <c r="G167" s="195"/>
      <c r="H167" s="195"/>
      <c r="I167" s="195"/>
      <c r="J167" s="195"/>
      <c r="K167" s="195"/>
      <c r="L167" s="195"/>
      <c r="M167" s="195"/>
      <c r="N167" s="195"/>
      <c r="O167" s="195"/>
      <c r="P167" s="195"/>
      <c r="Q167" s="195"/>
      <c r="R167" s="195"/>
      <c r="S167" s="195"/>
      <c r="T167" s="195"/>
      <c r="U167" s="195"/>
      <c r="V167" s="195"/>
    </row>
    <row r="168" spans="1:22" x14ac:dyDescent="0.25">
      <c r="A168" s="125">
        <v>44169</v>
      </c>
      <c r="B168" s="125" t="str">
        <f t="shared" si="8"/>
        <v>Friday</v>
      </c>
      <c r="C168" s="298">
        <f t="shared" si="9"/>
        <v>5</v>
      </c>
      <c r="D168" s="195">
        <v>7.5</v>
      </c>
      <c r="E168" s="195"/>
      <c r="F168" s="195"/>
      <c r="G168" s="195"/>
      <c r="H168" s="195"/>
      <c r="I168" s="195"/>
      <c r="J168" s="195"/>
      <c r="K168" s="195"/>
      <c r="L168" s="195"/>
      <c r="M168" s="195"/>
      <c r="N168" s="195"/>
      <c r="O168" s="195"/>
      <c r="P168" s="195"/>
      <c r="Q168" s="195"/>
      <c r="R168" s="195"/>
      <c r="S168" s="195"/>
      <c r="T168" s="195"/>
      <c r="U168" s="195"/>
      <c r="V168" s="195"/>
    </row>
    <row r="169" spans="1:22" x14ac:dyDescent="0.25">
      <c r="A169" s="125">
        <v>44170</v>
      </c>
      <c r="B169" s="125" t="str">
        <f t="shared" si="8"/>
        <v>Saturday</v>
      </c>
      <c r="C169" s="298">
        <f t="shared" si="9"/>
        <v>6</v>
      </c>
      <c r="D169" s="195"/>
      <c r="E169" s="195"/>
      <c r="F169" s="195"/>
      <c r="G169" s="195"/>
      <c r="H169" s="195"/>
      <c r="I169" s="195"/>
      <c r="J169" s="195"/>
      <c r="K169" s="195"/>
      <c r="L169" s="195"/>
      <c r="M169" s="195"/>
      <c r="N169" s="195"/>
      <c r="O169" s="195"/>
      <c r="P169" s="195"/>
      <c r="Q169" s="195"/>
      <c r="R169" s="195"/>
      <c r="S169" s="195"/>
      <c r="T169" s="195"/>
      <c r="U169" s="195"/>
      <c r="V169" s="195"/>
    </row>
    <row r="170" spans="1:22" x14ac:dyDescent="0.25">
      <c r="A170" s="125">
        <v>44171</v>
      </c>
      <c r="B170" s="125" t="str">
        <f t="shared" si="8"/>
        <v>Sunday</v>
      </c>
      <c r="C170" s="298">
        <f t="shared" si="9"/>
        <v>7</v>
      </c>
      <c r="D170" s="195"/>
      <c r="E170" s="195"/>
      <c r="F170" s="195"/>
      <c r="G170" s="195"/>
      <c r="H170" s="195"/>
      <c r="I170" s="195"/>
      <c r="J170" s="195"/>
      <c r="K170" s="195"/>
      <c r="L170" s="195"/>
      <c r="M170" s="195"/>
      <c r="N170" s="195"/>
      <c r="O170" s="195"/>
      <c r="P170" s="195"/>
      <c r="Q170" s="195"/>
      <c r="R170" s="195"/>
      <c r="S170" s="195"/>
      <c r="T170" s="195"/>
      <c r="U170" s="195"/>
      <c r="V170" s="195"/>
    </row>
    <row r="171" spans="1:22" x14ac:dyDescent="0.25">
      <c r="A171" s="125">
        <v>44172</v>
      </c>
      <c r="B171" s="125" t="str">
        <f t="shared" si="8"/>
        <v>Monday</v>
      </c>
      <c r="C171" s="298">
        <f t="shared" si="9"/>
        <v>1</v>
      </c>
      <c r="D171" s="195">
        <v>7.5</v>
      </c>
      <c r="E171" s="195"/>
      <c r="F171" s="195"/>
      <c r="G171" s="195"/>
      <c r="H171" s="195"/>
      <c r="I171" s="195"/>
      <c r="J171" s="195"/>
      <c r="K171" s="195"/>
      <c r="L171" s="195"/>
      <c r="M171" s="195"/>
      <c r="N171" s="195"/>
      <c r="O171" s="195"/>
      <c r="P171" s="195"/>
      <c r="Q171" s="195"/>
      <c r="R171" s="195"/>
      <c r="S171" s="195"/>
      <c r="T171" s="195"/>
      <c r="U171" s="195"/>
      <c r="V171" s="195"/>
    </row>
    <row r="172" spans="1:22" x14ac:dyDescent="0.25">
      <c r="A172" s="125">
        <v>44173</v>
      </c>
      <c r="B172" s="125" t="str">
        <f t="shared" si="8"/>
        <v>Tuesday</v>
      </c>
      <c r="C172" s="298">
        <f t="shared" si="9"/>
        <v>2</v>
      </c>
      <c r="D172" s="195">
        <v>7.5</v>
      </c>
      <c r="E172" s="195"/>
      <c r="F172" s="195"/>
      <c r="G172" s="195"/>
      <c r="H172" s="195"/>
      <c r="I172" s="195"/>
      <c r="J172" s="195"/>
      <c r="K172" s="195"/>
      <c r="L172" s="195"/>
      <c r="M172" s="195"/>
      <c r="N172" s="195"/>
      <c r="O172" s="195"/>
      <c r="P172" s="195"/>
      <c r="Q172" s="195"/>
      <c r="R172" s="195"/>
      <c r="S172" s="195"/>
      <c r="T172" s="195"/>
      <c r="U172" s="195"/>
      <c r="V172" s="195"/>
    </row>
    <row r="173" spans="1:22" x14ac:dyDescent="0.25">
      <c r="A173" s="125">
        <v>44174</v>
      </c>
      <c r="B173" s="125" t="str">
        <f t="shared" si="8"/>
        <v>Wednesday</v>
      </c>
      <c r="C173" s="298">
        <f t="shared" si="9"/>
        <v>3</v>
      </c>
      <c r="D173" s="195">
        <v>7.5</v>
      </c>
      <c r="E173" s="195"/>
      <c r="F173" s="195"/>
      <c r="G173" s="195"/>
      <c r="H173" s="195"/>
      <c r="I173" s="195"/>
      <c r="J173" s="195"/>
      <c r="K173" s="195"/>
      <c r="L173" s="195"/>
      <c r="M173" s="195"/>
      <c r="N173" s="195"/>
      <c r="O173" s="195"/>
      <c r="P173" s="195"/>
      <c r="Q173" s="195"/>
      <c r="R173" s="195"/>
      <c r="S173" s="195"/>
      <c r="T173" s="195"/>
      <c r="U173" s="195"/>
      <c r="V173" s="195"/>
    </row>
    <row r="174" spans="1:22" x14ac:dyDescent="0.25">
      <c r="A174" s="125">
        <v>44175</v>
      </c>
      <c r="B174" s="125" t="str">
        <f t="shared" si="8"/>
        <v>Thursday</v>
      </c>
      <c r="C174" s="298">
        <f t="shared" si="9"/>
        <v>4</v>
      </c>
      <c r="D174" s="195">
        <v>7.5</v>
      </c>
      <c r="E174" s="195"/>
      <c r="F174" s="195"/>
      <c r="G174" s="195"/>
      <c r="H174" s="195"/>
      <c r="I174" s="195"/>
      <c r="J174" s="195"/>
      <c r="K174" s="195"/>
      <c r="L174" s="195"/>
      <c r="M174" s="195"/>
      <c r="N174" s="195"/>
      <c r="O174" s="195"/>
      <c r="P174" s="195"/>
      <c r="Q174" s="195"/>
      <c r="R174" s="195"/>
      <c r="S174" s="195"/>
      <c r="T174" s="195"/>
      <c r="U174" s="195"/>
      <c r="V174" s="195"/>
    </row>
    <row r="175" spans="1:22" x14ac:dyDescent="0.25">
      <c r="A175" s="125">
        <v>44176</v>
      </c>
      <c r="B175" s="125" t="str">
        <f t="shared" si="8"/>
        <v>Friday</v>
      </c>
      <c r="C175" s="298">
        <f t="shared" si="9"/>
        <v>5</v>
      </c>
      <c r="D175" s="195">
        <v>7.5</v>
      </c>
      <c r="E175" s="195"/>
      <c r="F175" s="195"/>
      <c r="G175" s="195"/>
      <c r="H175" s="195"/>
      <c r="I175" s="195"/>
      <c r="J175" s="195"/>
      <c r="K175" s="195"/>
      <c r="L175" s="195"/>
      <c r="M175" s="195"/>
      <c r="N175" s="195"/>
      <c r="O175" s="195"/>
      <c r="P175" s="195"/>
      <c r="Q175" s="195"/>
      <c r="R175" s="195"/>
      <c r="S175" s="195"/>
      <c r="T175" s="195"/>
      <c r="U175" s="195"/>
      <c r="V175" s="195"/>
    </row>
    <row r="176" spans="1:22" x14ac:dyDescent="0.25">
      <c r="A176" s="125">
        <v>44177</v>
      </c>
      <c r="B176" s="125" t="str">
        <f t="shared" si="8"/>
        <v>Saturday</v>
      </c>
      <c r="C176" s="298">
        <f t="shared" si="9"/>
        <v>6</v>
      </c>
      <c r="D176" s="195"/>
      <c r="E176" s="195"/>
      <c r="F176" s="195"/>
      <c r="G176" s="195"/>
      <c r="H176" s="195"/>
      <c r="I176" s="195"/>
      <c r="J176" s="195"/>
      <c r="K176" s="195"/>
      <c r="L176" s="195"/>
      <c r="M176" s="195"/>
      <c r="N176" s="195"/>
      <c r="O176" s="195"/>
      <c r="P176" s="195"/>
      <c r="Q176" s="195"/>
      <c r="R176" s="195"/>
      <c r="S176" s="195"/>
      <c r="T176" s="195"/>
      <c r="U176" s="195"/>
      <c r="V176" s="195"/>
    </row>
    <row r="177" spans="1:22" x14ac:dyDescent="0.25">
      <c r="A177" s="125">
        <v>44178</v>
      </c>
      <c r="B177" s="125" t="str">
        <f t="shared" si="8"/>
        <v>Sunday</v>
      </c>
      <c r="C177" s="298">
        <f t="shared" si="9"/>
        <v>7</v>
      </c>
      <c r="D177" s="195"/>
      <c r="E177" s="195"/>
      <c r="F177" s="195"/>
      <c r="G177" s="195"/>
      <c r="H177" s="195"/>
      <c r="I177" s="195"/>
      <c r="J177" s="195"/>
      <c r="K177" s="195"/>
      <c r="L177" s="195"/>
      <c r="M177" s="195"/>
      <c r="N177" s="195"/>
      <c r="O177" s="195"/>
      <c r="P177" s="195"/>
      <c r="Q177" s="195"/>
      <c r="R177" s="195"/>
      <c r="S177" s="195"/>
      <c r="T177" s="195"/>
      <c r="U177" s="195"/>
      <c r="V177" s="195"/>
    </row>
    <row r="178" spans="1:22" x14ac:dyDescent="0.25">
      <c r="A178" s="125">
        <v>44179</v>
      </c>
      <c r="B178" s="125" t="str">
        <f t="shared" si="8"/>
        <v>Monday</v>
      </c>
      <c r="C178" s="298">
        <f t="shared" si="9"/>
        <v>1</v>
      </c>
      <c r="D178" s="195">
        <v>7.5</v>
      </c>
      <c r="E178" s="195"/>
      <c r="F178" s="195"/>
      <c r="G178" s="195"/>
      <c r="H178" s="195"/>
      <c r="I178" s="195"/>
      <c r="J178" s="195"/>
      <c r="K178" s="195"/>
      <c r="L178" s="195"/>
      <c r="M178" s="195"/>
      <c r="N178" s="195"/>
      <c r="O178" s="195"/>
      <c r="P178" s="195"/>
      <c r="Q178" s="195"/>
      <c r="R178" s="195"/>
      <c r="S178" s="195"/>
      <c r="T178" s="195"/>
      <c r="U178" s="195"/>
      <c r="V178" s="195"/>
    </row>
    <row r="179" spans="1:22" x14ac:dyDescent="0.25">
      <c r="A179" s="125">
        <v>44180</v>
      </c>
      <c r="B179" s="125" t="str">
        <f t="shared" si="8"/>
        <v>Tuesday</v>
      </c>
      <c r="C179" s="298">
        <f t="shared" si="9"/>
        <v>2</v>
      </c>
      <c r="D179" s="195">
        <v>7.5</v>
      </c>
      <c r="E179" s="195"/>
      <c r="F179" s="195"/>
      <c r="G179" s="195"/>
      <c r="H179" s="195"/>
      <c r="I179" s="195"/>
      <c r="J179" s="195"/>
      <c r="K179" s="195"/>
      <c r="L179" s="195"/>
      <c r="M179" s="195"/>
      <c r="N179" s="195"/>
      <c r="O179" s="195"/>
      <c r="P179" s="195"/>
      <c r="Q179" s="195"/>
      <c r="R179" s="195"/>
      <c r="S179" s="195"/>
      <c r="T179" s="195"/>
      <c r="U179" s="195"/>
      <c r="V179" s="195"/>
    </row>
    <row r="180" spans="1:22" x14ac:dyDescent="0.25">
      <c r="A180" s="125">
        <v>44181</v>
      </c>
      <c r="B180" s="125" t="str">
        <f t="shared" si="8"/>
        <v>Wednesday</v>
      </c>
      <c r="C180" s="298">
        <f t="shared" si="9"/>
        <v>3</v>
      </c>
      <c r="D180" s="195">
        <v>7.5</v>
      </c>
      <c r="E180" s="195"/>
      <c r="F180" s="195"/>
      <c r="G180" s="195"/>
      <c r="H180" s="195"/>
      <c r="I180" s="195"/>
      <c r="J180" s="195"/>
      <c r="K180" s="195"/>
      <c r="L180" s="195"/>
      <c r="M180" s="195"/>
      <c r="N180" s="195"/>
      <c r="O180" s="195"/>
      <c r="P180" s="195"/>
      <c r="Q180" s="195"/>
      <c r="R180" s="195"/>
      <c r="S180" s="195"/>
      <c r="T180" s="195"/>
      <c r="U180" s="195"/>
      <c r="V180" s="195"/>
    </row>
    <row r="181" spans="1:22" x14ac:dyDescent="0.25">
      <c r="A181" s="125">
        <v>44182</v>
      </c>
      <c r="B181" s="125" t="str">
        <f t="shared" si="8"/>
        <v>Thursday</v>
      </c>
      <c r="C181" s="298">
        <f t="shared" si="9"/>
        <v>4</v>
      </c>
      <c r="D181" s="195">
        <v>7.5</v>
      </c>
      <c r="E181" s="195"/>
      <c r="F181" s="195"/>
      <c r="G181" s="195"/>
      <c r="H181" s="195"/>
      <c r="I181" s="195"/>
      <c r="J181" s="195"/>
      <c r="K181" s="195"/>
      <c r="L181" s="195"/>
      <c r="M181" s="195"/>
      <c r="N181" s="195"/>
      <c r="O181" s="195"/>
      <c r="P181" s="195"/>
      <c r="Q181" s="195"/>
      <c r="R181" s="195"/>
      <c r="S181" s="195"/>
      <c r="T181" s="195"/>
      <c r="U181" s="195"/>
      <c r="V181" s="195"/>
    </row>
    <row r="182" spans="1:22" x14ac:dyDescent="0.25">
      <c r="A182" s="125">
        <v>44183</v>
      </c>
      <c r="B182" s="125" t="str">
        <f t="shared" si="8"/>
        <v>Friday</v>
      </c>
      <c r="C182" s="298">
        <f t="shared" si="9"/>
        <v>5</v>
      </c>
      <c r="D182" s="195">
        <v>7.5</v>
      </c>
      <c r="E182" s="195"/>
      <c r="F182" s="195"/>
      <c r="G182" s="195"/>
      <c r="H182" s="195"/>
      <c r="I182" s="195"/>
      <c r="J182" s="195"/>
      <c r="K182" s="195"/>
      <c r="L182" s="195"/>
      <c r="M182" s="195"/>
      <c r="N182" s="195"/>
      <c r="O182" s="195"/>
      <c r="P182" s="195"/>
      <c r="Q182" s="195"/>
      <c r="R182" s="195"/>
      <c r="S182" s="195"/>
      <c r="T182" s="195"/>
      <c r="U182" s="195"/>
      <c r="V182" s="195"/>
    </row>
    <row r="183" spans="1:22" x14ac:dyDescent="0.25">
      <c r="A183" s="125">
        <v>44184</v>
      </c>
      <c r="B183" s="125" t="str">
        <f t="shared" si="8"/>
        <v>Saturday</v>
      </c>
      <c r="C183" s="298">
        <f t="shared" si="9"/>
        <v>6</v>
      </c>
      <c r="D183" s="195"/>
      <c r="E183" s="195"/>
      <c r="F183" s="195"/>
      <c r="G183" s="195"/>
      <c r="H183" s="195"/>
      <c r="I183" s="195"/>
      <c r="J183" s="195"/>
      <c r="K183" s="195"/>
      <c r="L183" s="195"/>
      <c r="M183" s="195"/>
      <c r="N183" s="195"/>
      <c r="O183" s="195"/>
      <c r="P183" s="195"/>
      <c r="Q183" s="195"/>
      <c r="R183" s="195"/>
      <c r="S183" s="195"/>
      <c r="T183" s="195"/>
      <c r="U183" s="195"/>
      <c r="V183" s="195"/>
    </row>
    <row r="184" spans="1:22" x14ac:dyDescent="0.25">
      <c r="A184" s="125">
        <v>44185</v>
      </c>
      <c r="B184" s="125" t="str">
        <f t="shared" si="8"/>
        <v>Sunday</v>
      </c>
      <c r="C184" s="298">
        <f t="shared" si="9"/>
        <v>7</v>
      </c>
      <c r="D184" s="195"/>
      <c r="E184" s="195"/>
      <c r="F184" s="195"/>
      <c r="G184" s="195"/>
      <c r="H184" s="195"/>
      <c r="I184" s="195"/>
      <c r="J184" s="195"/>
      <c r="K184" s="195"/>
      <c r="L184" s="195"/>
      <c r="M184" s="195"/>
      <c r="N184" s="195"/>
      <c r="O184" s="195"/>
      <c r="P184" s="195"/>
      <c r="Q184" s="195"/>
      <c r="R184" s="195"/>
      <c r="S184" s="195"/>
      <c r="T184" s="195"/>
      <c r="U184" s="195"/>
      <c r="V184" s="195"/>
    </row>
    <row r="185" spans="1:22" x14ac:dyDescent="0.25">
      <c r="A185" s="125">
        <v>44186</v>
      </c>
      <c r="B185" s="125" t="str">
        <f t="shared" si="8"/>
        <v>Monday</v>
      </c>
      <c r="C185" s="298">
        <f t="shared" si="9"/>
        <v>1</v>
      </c>
      <c r="D185" s="195">
        <v>7.5</v>
      </c>
      <c r="E185" s="195"/>
      <c r="F185" s="195"/>
      <c r="G185" s="195"/>
      <c r="H185" s="195"/>
      <c r="I185" s="195"/>
      <c r="J185" s="195"/>
      <c r="K185" s="195"/>
      <c r="L185" s="195"/>
      <c r="M185" s="195"/>
      <c r="N185" s="195"/>
      <c r="O185" s="195"/>
      <c r="P185" s="195"/>
      <c r="Q185" s="195"/>
      <c r="R185" s="195"/>
      <c r="S185" s="195"/>
      <c r="T185" s="195"/>
      <c r="U185" s="195"/>
      <c r="V185" s="195"/>
    </row>
    <row r="186" spans="1:22" x14ac:dyDescent="0.25">
      <c r="A186" s="125">
        <v>44187</v>
      </c>
      <c r="B186" s="125" t="str">
        <f t="shared" si="8"/>
        <v>Tuesday</v>
      </c>
      <c r="C186" s="298">
        <f t="shared" si="9"/>
        <v>2</v>
      </c>
      <c r="D186" s="195">
        <v>7.5</v>
      </c>
      <c r="E186" s="195"/>
      <c r="F186" s="195"/>
      <c r="G186" s="195"/>
      <c r="H186" s="195"/>
      <c r="I186" s="195"/>
      <c r="J186" s="195"/>
      <c r="K186" s="195"/>
      <c r="L186" s="195"/>
      <c r="M186" s="195"/>
      <c r="N186" s="195"/>
      <c r="O186" s="195"/>
      <c r="P186" s="195"/>
      <c r="Q186" s="195"/>
      <c r="R186" s="195"/>
      <c r="S186" s="195"/>
      <c r="T186" s="195"/>
      <c r="U186" s="195"/>
      <c r="V186" s="195"/>
    </row>
    <row r="187" spans="1:22" x14ac:dyDescent="0.25">
      <c r="A187" s="125">
        <v>44188</v>
      </c>
      <c r="B187" s="125" t="str">
        <f t="shared" si="8"/>
        <v>Wednesday</v>
      </c>
      <c r="C187" s="298">
        <f t="shared" si="9"/>
        <v>3</v>
      </c>
      <c r="D187" s="195">
        <v>7.5</v>
      </c>
      <c r="E187" s="195"/>
      <c r="F187" s="195"/>
      <c r="G187" s="195"/>
      <c r="H187" s="195"/>
      <c r="I187" s="195"/>
      <c r="J187" s="195"/>
      <c r="K187" s="195"/>
      <c r="L187" s="195"/>
      <c r="M187" s="195"/>
      <c r="N187" s="195"/>
      <c r="O187" s="195"/>
      <c r="P187" s="195"/>
      <c r="Q187" s="195"/>
      <c r="R187" s="195"/>
      <c r="S187" s="195"/>
      <c r="T187" s="195"/>
      <c r="U187" s="195"/>
      <c r="V187" s="195"/>
    </row>
    <row r="188" spans="1:22" x14ac:dyDescent="0.25">
      <c r="A188" s="125">
        <v>44189</v>
      </c>
      <c r="B188" s="125" t="str">
        <f t="shared" si="8"/>
        <v>Thursday</v>
      </c>
      <c r="C188" s="298">
        <f t="shared" si="9"/>
        <v>4</v>
      </c>
      <c r="D188" s="195">
        <v>7.5</v>
      </c>
      <c r="E188" s="195"/>
      <c r="F188" s="195"/>
      <c r="G188" s="195"/>
      <c r="H188" s="195"/>
      <c r="I188" s="195"/>
      <c r="J188" s="195"/>
      <c r="K188" s="195"/>
      <c r="L188" s="195"/>
      <c r="M188" s="195"/>
      <c r="N188" s="195"/>
      <c r="O188" s="195"/>
      <c r="P188" s="195"/>
      <c r="Q188" s="195"/>
      <c r="R188" s="195"/>
      <c r="S188" s="195"/>
      <c r="T188" s="195"/>
      <c r="U188" s="195"/>
      <c r="V188" s="195"/>
    </row>
    <row r="189" spans="1:22" x14ac:dyDescent="0.25">
      <c r="A189" s="125">
        <v>44190</v>
      </c>
      <c r="B189" s="125" t="str">
        <f t="shared" si="8"/>
        <v>Friday</v>
      </c>
      <c r="C189" s="298">
        <f t="shared" si="9"/>
        <v>5</v>
      </c>
      <c r="D189" s="195">
        <v>7.5</v>
      </c>
      <c r="E189" s="195"/>
      <c r="F189" s="195"/>
      <c r="G189" s="195"/>
      <c r="H189" s="195"/>
      <c r="I189" s="195"/>
      <c r="J189" s="195"/>
      <c r="K189" s="195"/>
      <c r="L189" s="195"/>
      <c r="M189" s="195"/>
      <c r="N189" s="195"/>
      <c r="O189" s="195"/>
      <c r="P189" s="195"/>
      <c r="Q189" s="195"/>
      <c r="R189" s="195"/>
      <c r="S189" s="195"/>
      <c r="T189" s="195"/>
      <c r="U189" s="195"/>
      <c r="V189" s="195"/>
    </row>
    <row r="190" spans="1:22" x14ac:dyDescent="0.25">
      <c r="A190" s="125">
        <v>44191</v>
      </c>
      <c r="B190" s="125" t="str">
        <f t="shared" si="8"/>
        <v>Saturday</v>
      </c>
      <c r="C190" s="298">
        <f t="shared" si="9"/>
        <v>6</v>
      </c>
      <c r="D190" s="195"/>
      <c r="E190" s="195"/>
      <c r="F190" s="195"/>
      <c r="G190" s="195"/>
      <c r="H190" s="195"/>
      <c r="I190" s="195"/>
      <c r="J190" s="195"/>
      <c r="K190" s="195"/>
      <c r="L190" s="195"/>
      <c r="M190" s="195"/>
      <c r="N190" s="195"/>
      <c r="O190" s="195"/>
      <c r="P190" s="195"/>
      <c r="Q190" s="195"/>
      <c r="R190" s="195"/>
      <c r="S190" s="195"/>
      <c r="T190" s="195"/>
      <c r="U190" s="195"/>
      <c r="V190" s="195"/>
    </row>
    <row r="191" spans="1:22" x14ac:dyDescent="0.25">
      <c r="A191" s="125">
        <v>44192</v>
      </c>
      <c r="B191" s="125" t="str">
        <f t="shared" si="8"/>
        <v>Sunday</v>
      </c>
      <c r="C191" s="298">
        <f t="shared" si="9"/>
        <v>7</v>
      </c>
      <c r="D191" s="195"/>
      <c r="E191" s="195"/>
      <c r="F191" s="195"/>
      <c r="G191" s="195"/>
      <c r="H191" s="195"/>
      <c r="I191" s="195"/>
      <c r="J191" s="195"/>
      <c r="K191" s="195"/>
      <c r="L191" s="195"/>
      <c r="M191" s="195"/>
      <c r="N191" s="195"/>
      <c r="O191" s="195"/>
      <c r="P191" s="195"/>
      <c r="Q191" s="195"/>
      <c r="R191" s="195"/>
      <c r="S191" s="195"/>
      <c r="T191" s="195"/>
      <c r="U191" s="195"/>
      <c r="V191" s="195"/>
    </row>
    <row r="192" spans="1:22" x14ac:dyDescent="0.25">
      <c r="A192" s="125">
        <v>44193</v>
      </c>
      <c r="B192" s="125" t="str">
        <f t="shared" si="8"/>
        <v>Monday</v>
      </c>
      <c r="C192" s="298">
        <f t="shared" si="9"/>
        <v>1</v>
      </c>
      <c r="D192" s="195">
        <v>7.5</v>
      </c>
      <c r="E192" s="195"/>
      <c r="F192" s="195"/>
      <c r="G192" s="195"/>
      <c r="H192" s="195"/>
      <c r="I192" s="195"/>
      <c r="J192" s="195"/>
      <c r="K192" s="195"/>
      <c r="L192" s="195"/>
      <c r="M192" s="195"/>
      <c r="N192" s="195"/>
      <c r="O192" s="195"/>
      <c r="P192" s="195"/>
      <c r="Q192" s="195"/>
      <c r="R192" s="195"/>
      <c r="S192" s="195"/>
      <c r="T192" s="195"/>
      <c r="U192" s="195"/>
      <c r="V192" s="195"/>
    </row>
    <row r="193" spans="1:22" x14ac:dyDescent="0.25">
      <c r="A193" s="125">
        <v>44194</v>
      </c>
      <c r="B193" s="125" t="str">
        <f t="shared" si="8"/>
        <v>Tuesday</v>
      </c>
      <c r="C193" s="298">
        <f t="shared" si="9"/>
        <v>2</v>
      </c>
      <c r="D193" s="195">
        <v>7.5</v>
      </c>
      <c r="E193" s="195"/>
      <c r="F193" s="195"/>
      <c r="G193" s="195"/>
      <c r="H193" s="195"/>
      <c r="I193" s="195"/>
      <c r="J193" s="195"/>
      <c r="K193" s="195"/>
      <c r="L193" s="195"/>
      <c r="M193" s="195"/>
      <c r="N193" s="195"/>
      <c r="O193" s="195"/>
      <c r="P193" s="195"/>
      <c r="Q193" s="195"/>
      <c r="R193" s="195"/>
      <c r="S193" s="195"/>
      <c r="T193" s="195"/>
      <c r="U193" s="195"/>
      <c r="V193" s="195"/>
    </row>
    <row r="194" spans="1:22" x14ac:dyDescent="0.25">
      <c r="A194" s="125">
        <v>44195</v>
      </c>
      <c r="B194" s="125" t="str">
        <f t="shared" si="8"/>
        <v>Wednesday</v>
      </c>
      <c r="C194" s="298">
        <f t="shared" si="9"/>
        <v>3</v>
      </c>
      <c r="D194" s="195">
        <v>7.5</v>
      </c>
      <c r="E194" s="195"/>
      <c r="F194" s="195"/>
      <c r="G194" s="195"/>
      <c r="H194" s="195"/>
      <c r="I194" s="195"/>
      <c r="J194" s="195"/>
      <c r="K194" s="195"/>
      <c r="L194" s="195"/>
      <c r="M194" s="195"/>
      <c r="N194" s="195"/>
      <c r="O194" s="195"/>
      <c r="P194" s="195"/>
      <c r="Q194" s="195"/>
      <c r="R194" s="195"/>
      <c r="S194" s="195"/>
      <c r="T194" s="195"/>
      <c r="U194" s="195"/>
      <c r="V194" s="195"/>
    </row>
    <row r="195" spans="1:22" x14ac:dyDescent="0.25">
      <c r="A195" s="125">
        <v>44196</v>
      </c>
      <c r="B195" s="125" t="str">
        <f t="shared" si="8"/>
        <v>Thursday</v>
      </c>
      <c r="C195" s="298">
        <f t="shared" si="9"/>
        <v>4</v>
      </c>
      <c r="D195" s="300">
        <v>7.5</v>
      </c>
      <c r="E195" s="300"/>
      <c r="F195" s="300"/>
      <c r="G195" s="300"/>
      <c r="H195" s="300"/>
      <c r="I195" s="300"/>
      <c r="J195" s="300"/>
      <c r="K195" s="300"/>
      <c r="L195" s="300"/>
      <c r="M195" s="300"/>
      <c r="N195" s="300"/>
      <c r="O195" s="300"/>
      <c r="P195" s="300"/>
      <c r="Q195" s="300"/>
      <c r="R195" s="300"/>
      <c r="S195" s="300"/>
      <c r="T195" s="300"/>
      <c r="U195" s="300"/>
      <c r="V195" s="300"/>
    </row>
    <row r="196" spans="1:22" x14ac:dyDescent="0.25">
      <c r="A196" s="301" t="s">
        <v>224</v>
      </c>
      <c r="B196" s="302"/>
      <c r="C196" s="303"/>
      <c r="D196" s="304">
        <f>SUM(D165:D195)</f>
        <v>172.5</v>
      </c>
      <c r="E196" s="304">
        <f t="shared" ref="E196:V196" si="11">SUM(E165:E195)</f>
        <v>0</v>
      </c>
      <c r="F196" s="304">
        <f t="shared" si="11"/>
        <v>0</v>
      </c>
      <c r="G196" s="304">
        <f t="shared" si="11"/>
        <v>0</v>
      </c>
      <c r="H196" s="304">
        <f t="shared" si="11"/>
        <v>0</v>
      </c>
      <c r="I196" s="304">
        <f t="shared" si="11"/>
        <v>0</v>
      </c>
      <c r="J196" s="304">
        <f t="shared" si="11"/>
        <v>0</v>
      </c>
      <c r="K196" s="304">
        <f t="shared" si="11"/>
        <v>0</v>
      </c>
      <c r="L196" s="304">
        <f t="shared" si="11"/>
        <v>0</v>
      </c>
      <c r="M196" s="304">
        <f t="shared" si="11"/>
        <v>0</v>
      </c>
      <c r="N196" s="304">
        <f t="shared" si="11"/>
        <v>0</v>
      </c>
      <c r="O196" s="304">
        <f t="shared" si="11"/>
        <v>0</v>
      </c>
      <c r="P196" s="304">
        <f t="shared" si="11"/>
        <v>0</v>
      </c>
      <c r="Q196" s="304">
        <f t="shared" si="11"/>
        <v>0</v>
      </c>
      <c r="R196" s="304">
        <f t="shared" si="11"/>
        <v>0</v>
      </c>
      <c r="S196" s="304">
        <f t="shared" si="11"/>
        <v>0</v>
      </c>
      <c r="T196" s="304">
        <f t="shared" si="11"/>
        <v>0</v>
      </c>
      <c r="U196" s="304">
        <f t="shared" si="11"/>
        <v>0</v>
      </c>
      <c r="V196" s="304">
        <f t="shared" si="11"/>
        <v>0</v>
      </c>
    </row>
    <row r="197" spans="1:22" x14ac:dyDescent="0.25">
      <c r="A197" s="125">
        <v>44197</v>
      </c>
      <c r="B197" s="125" t="str">
        <f t="shared" si="8"/>
        <v>Friday</v>
      </c>
      <c r="C197" s="298">
        <f t="shared" si="9"/>
        <v>5</v>
      </c>
      <c r="D197" s="195">
        <v>7.5</v>
      </c>
      <c r="E197" s="195"/>
      <c r="F197" s="195"/>
      <c r="G197" s="195"/>
      <c r="H197" s="195"/>
      <c r="I197" s="195"/>
      <c r="J197" s="195"/>
      <c r="K197" s="195"/>
      <c r="L197" s="195"/>
      <c r="M197" s="195"/>
      <c r="N197" s="195"/>
      <c r="O197" s="195"/>
      <c r="P197" s="195"/>
      <c r="Q197" s="195"/>
      <c r="R197" s="195"/>
      <c r="S197" s="195"/>
      <c r="T197" s="195"/>
      <c r="U197" s="195"/>
      <c r="V197" s="195"/>
    </row>
    <row r="198" spans="1:22" x14ac:dyDescent="0.25">
      <c r="A198" s="125">
        <v>44198</v>
      </c>
      <c r="B198" s="125" t="str">
        <f t="shared" si="8"/>
        <v>Saturday</v>
      </c>
      <c r="C198" s="298">
        <f t="shared" si="9"/>
        <v>6</v>
      </c>
      <c r="D198" s="195"/>
      <c r="E198" s="195"/>
      <c r="F198" s="195"/>
      <c r="G198" s="195"/>
      <c r="H198" s="195"/>
      <c r="I198" s="195"/>
      <c r="J198" s="195"/>
      <c r="K198" s="195"/>
      <c r="L198" s="195"/>
      <c r="M198" s="195"/>
      <c r="N198" s="195"/>
      <c r="O198" s="195"/>
      <c r="P198" s="195"/>
      <c r="Q198" s="195"/>
      <c r="R198" s="195"/>
      <c r="S198" s="195"/>
      <c r="T198" s="195"/>
      <c r="U198" s="195"/>
      <c r="V198" s="195"/>
    </row>
    <row r="199" spans="1:22" x14ac:dyDescent="0.25">
      <c r="A199" s="125">
        <v>44199</v>
      </c>
      <c r="B199" s="125" t="str">
        <f t="shared" si="8"/>
        <v>Sunday</v>
      </c>
      <c r="C199" s="298">
        <f t="shared" si="9"/>
        <v>7</v>
      </c>
      <c r="D199" s="195"/>
      <c r="E199" s="195"/>
      <c r="F199" s="195"/>
      <c r="G199" s="195"/>
      <c r="H199" s="195"/>
      <c r="I199" s="195"/>
      <c r="J199" s="195"/>
      <c r="K199" s="195"/>
      <c r="L199" s="195"/>
      <c r="M199" s="195"/>
      <c r="N199" s="195"/>
      <c r="O199" s="195"/>
      <c r="P199" s="195"/>
      <c r="Q199" s="195"/>
      <c r="R199" s="195"/>
      <c r="S199" s="195"/>
      <c r="T199" s="195"/>
      <c r="U199" s="195"/>
      <c r="V199" s="195"/>
    </row>
    <row r="200" spans="1:22" x14ac:dyDescent="0.25">
      <c r="A200" s="125">
        <v>44200</v>
      </c>
      <c r="B200" s="125" t="str">
        <f t="shared" ref="B200:B263" si="12">TEXT(A200,"dddd")</f>
        <v>Monday</v>
      </c>
      <c r="C200" s="298">
        <f t="shared" ref="C200:C263" si="13">WEEKDAY(A200,2)</f>
        <v>1</v>
      </c>
      <c r="D200" s="195">
        <v>7.5</v>
      </c>
      <c r="E200" s="195"/>
      <c r="F200" s="195"/>
      <c r="G200" s="195"/>
      <c r="H200" s="195"/>
      <c r="I200" s="195"/>
      <c r="J200" s="195"/>
      <c r="K200" s="195"/>
      <c r="L200" s="195"/>
      <c r="M200" s="195"/>
      <c r="N200" s="195"/>
      <c r="O200" s="195"/>
      <c r="P200" s="195"/>
      <c r="Q200" s="195"/>
      <c r="R200" s="195"/>
      <c r="S200" s="195"/>
      <c r="T200" s="195"/>
      <c r="U200" s="195"/>
      <c r="V200" s="195"/>
    </row>
    <row r="201" spans="1:22" x14ac:dyDescent="0.25">
      <c r="A201" s="125">
        <v>44201</v>
      </c>
      <c r="B201" s="125" t="str">
        <f t="shared" si="12"/>
        <v>Tuesday</v>
      </c>
      <c r="C201" s="298">
        <f t="shared" si="13"/>
        <v>2</v>
      </c>
      <c r="D201" s="195">
        <v>7.5</v>
      </c>
      <c r="E201" s="195"/>
      <c r="F201" s="195"/>
      <c r="G201" s="195"/>
      <c r="H201" s="195"/>
      <c r="I201" s="195"/>
      <c r="J201" s="195"/>
      <c r="K201" s="195"/>
      <c r="L201" s="195"/>
      <c r="M201" s="195"/>
      <c r="N201" s="195"/>
      <c r="O201" s="195"/>
      <c r="P201" s="195"/>
      <c r="Q201" s="195"/>
      <c r="R201" s="195"/>
      <c r="S201" s="195"/>
      <c r="T201" s="195"/>
      <c r="U201" s="195"/>
      <c r="V201" s="195"/>
    </row>
    <row r="202" spans="1:22" x14ac:dyDescent="0.25">
      <c r="A202" s="125">
        <v>44202</v>
      </c>
      <c r="B202" s="125" t="str">
        <f t="shared" si="12"/>
        <v>Wednesday</v>
      </c>
      <c r="C202" s="298">
        <f t="shared" si="13"/>
        <v>3</v>
      </c>
      <c r="D202" s="195">
        <v>7.5</v>
      </c>
      <c r="E202" s="195"/>
      <c r="F202" s="195"/>
      <c r="G202" s="195"/>
      <c r="H202" s="195"/>
      <c r="I202" s="195"/>
      <c r="J202" s="195"/>
      <c r="K202" s="195"/>
      <c r="L202" s="195"/>
      <c r="M202" s="195"/>
      <c r="N202" s="195"/>
      <c r="O202" s="195"/>
      <c r="P202" s="195"/>
      <c r="Q202" s="195"/>
      <c r="R202" s="195"/>
      <c r="S202" s="195"/>
      <c r="T202" s="195"/>
      <c r="U202" s="195"/>
      <c r="V202" s="195"/>
    </row>
    <row r="203" spans="1:22" x14ac:dyDescent="0.25">
      <c r="A203" s="125">
        <v>44203</v>
      </c>
      <c r="B203" s="125" t="str">
        <f t="shared" si="12"/>
        <v>Thursday</v>
      </c>
      <c r="C203" s="298">
        <f t="shared" si="13"/>
        <v>4</v>
      </c>
      <c r="D203" s="195">
        <v>7.5</v>
      </c>
      <c r="E203" s="195"/>
      <c r="F203" s="195"/>
      <c r="G203" s="195"/>
      <c r="H203" s="195"/>
      <c r="I203" s="195"/>
      <c r="J203" s="195"/>
      <c r="K203" s="195"/>
      <c r="L203" s="195"/>
      <c r="M203" s="195"/>
      <c r="N203" s="195"/>
      <c r="O203" s="195"/>
      <c r="P203" s="195"/>
      <c r="Q203" s="195"/>
      <c r="R203" s="195"/>
      <c r="S203" s="195"/>
      <c r="T203" s="195"/>
      <c r="U203" s="195"/>
      <c r="V203" s="195"/>
    </row>
    <row r="204" spans="1:22" x14ac:dyDescent="0.25">
      <c r="A204" s="125">
        <v>44204</v>
      </c>
      <c r="B204" s="125" t="str">
        <f t="shared" si="12"/>
        <v>Friday</v>
      </c>
      <c r="C204" s="298">
        <f t="shared" si="13"/>
        <v>5</v>
      </c>
      <c r="D204" s="195">
        <v>7.5</v>
      </c>
      <c r="E204" s="195"/>
      <c r="F204" s="195"/>
      <c r="G204" s="195"/>
      <c r="H204" s="195"/>
      <c r="I204" s="195"/>
      <c r="J204" s="195"/>
      <c r="K204" s="195"/>
      <c r="L204" s="195"/>
      <c r="M204" s="195"/>
      <c r="N204" s="195"/>
      <c r="O204" s="195"/>
      <c r="P204" s="195"/>
      <c r="Q204" s="195"/>
      <c r="R204" s="195"/>
      <c r="S204" s="195"/>
      <c r="T204" s="195"/>
      <c r="U204" s="195"/>
      <c r="V204" s="195"/>
    </row>
    <row r="205" spans="1:22" x14ac:dyDescent="0.25">
      <c r="A205" s="125">
        <v>44205</v>
      </c>
      <c r="B205" s="125" t="str">
        <f t="shared" si="12"/>
        <v>Saturday</v>
      </c>
      <c r="C205" s="298">
        <f t="shared" si="13"/>
        <v>6</v>
      </c>
      <c r="D205" s="195"/>
      <c r="E205" s="195"/>
      <c r="F205" s="195"/>
      <c r="G205" s="195"/>
      <c r="H205" s="195"/>
      <c r="I205" s="195"/>
      <c r="J205" s="195"/>
      <c r="K205" s="195"/>
      <c r="L205" s="195"/>
      <c r="M205" s="195"/>
      <c r="N205" s="195"/>
      <c r="O205" s="195"/>
      <c r="P205" s="195"/>
      <c r="Q205" s="195"/>
      <c r="R205" s="195"/>
      <c r="S205" s="195"/>
      <c r="T205" s="195"/>
      <c r="U205" s="195"/>
      <c r="V205" s="195"/>
    </row>
    <row r="206" spans="1:22" x14ac:dyDescent="0.25">
      <c r="A206" s="125">
        <v>44206</v>
      </c>
      <c r="B206" s="125" t="str">
        <f t="shared" si="12"/>
        <v>Sunday</v>
      </c>
      <c r="C206" s="298">
        <f t="shared" si="13"/>
        <v>7</v>
      </c>
      <c r="D206" s="195"/>
      <c r="E206" s="195"/>
      <c r="F206" s="195"/>
      <c r="G206" s="195"/>
      <c r="H206" s="195"/>
      <c r="I206" s="195"/>
      <c r="J206" s="195"/>
      <c r="K206" s="195"/>
      <c r="L206" s="195"/>
      <c r="M206" s="195"/>
      <c r="N206" s="195"/>
      <c r="O206" s="195"/>
      <c r="P206" s="195"/>
      <c r="Q206" s="195"/>
      <c r="R206" s="195"/>
      <c r="S206" s="195"/>
      <c r="T206" s="195"/>
      <c r="U206" s="195"/>
      <c r="V206" s="195"/>
    </row>
    <row r="207" spans="1:22" x14ac:dyDescent="0.25">
      <c r="A207" s="125">
        <v>44207</v>
      </c>
      <c r="B207" s="125" t="str">
        <f t="shared" si="12"/>
        <v>Monday</v>
      </c>
      <c r="C207" s="298">
        <f t="shared" si="13"/>
        <v>1</v>
      </c>
      <c r="D207" s="195">
        <v>7.5</v>
      </c>
      <c r="E207" s="195"/>
      <c r="F207" s="195"/>
      <c r="G207" s="195"/>
      <c r="H207" s="195"/>
      <c r="I207" s="195"/>
      <c r="J207" s="195"/>
      <c r="K207" s="195"/>
      <c r="L207" s="195"/>
      <c r="M207" s="195"/>
      <c r="N207" s="195"/>
      <c r="O207" s="195"/>
      <c r="P207" s="195"/>
      <c r="Q207" s="195"/>
      <c r="R207" s="195"/>
      <c r="S207" s="195"/>
      <c r="T207" s="195"/>
      <c r="U207" s="195"/>
      <c r="V207" s="195"/>
    </row>
    <row r="208" spans="1:22" x14ac:dyDescent="0.25">
      <c r="A208" s="125">
        <v>44208</v>
      </c>
      <c r="B208" s="125" t="str">
        <f t="shared" si="12"/>
        <v>Tuesday</v>
      </c>
      <c r="C208" s="298">
        <f t="shared" si="13"/>
        <v>2</v>
      </c>
      <c r="D208" s="195">
        <v>7.5</v>
      </c>
      <c r="E208" s="195"/>
      <c r="F208" s="195"/>
      <c r="G208" s="195"/>
      <c r="H208" s="195"/>
      <c r="I208" s="195"/>
      <c r="J208" s="195"/>
      <c r="K208" s="195"/>
      <c r="L208" s="195"/>
      <c r="M208" s="195"/>
      <c r="N208" s="195"/>
      <c r="O208" s="195"/>
      <c r="P208" s="195"/>
      <c r="Q208" s="195"/>
      <c r="R208" s="195"/>
      <c r="S208" s="195"/>
      <c r="T208" s="195"/>
      <c r="U208" s="195"/>
      <c r="V208" s="195"/>
    </row>
    <row r="209" spans="1:22" x14ac:dyDescent="0.25">
      <c r="A209" s="125">
        <v>44209</v>
      </c>
      <c r="B209" s="125" t="str">
        <f t="shared" si="12"/>
        <v>Wednesday</v>
      </c>
      <c r="C209" s="298">
        <f t="shared" si="13"/>
        <v>3</v>
      </c>
      <c r="D209" s="195">
        <v>7.5</v>
      </c>
      <c r="E209" s="195"/>
      <c r="F209" s="195"/>
      <c r="G209" s="195"/>
      <c r="H209" s="195"/>
      <c r="I209" s="195"/>
      <c r="J209" s="195"/>
      <c r="K209" s="195"/>
      <c r="L209" s="195"/>
      <c r="M209" s="195"/>
      <c r="N209" s="195"/>
      <c r="O209" s="195"/>
      <c r="P209" s="195"/>
      <c r="Q209" s="195"/>
      <c r="R209" s="195"/>
      <c r="S209" s="195"/>
      <c r="T209" s="195"/>
      <c r="U209" s="195"/>
      <c r="V209" s="195"/>
    </row>
    <row r="210" spans="1:22" x14ac:dyDescent="0.25">
      <c r="A210" s="125">
        <v>44210</v>
      </c>
      <c r="B210" s="125" t="str">
        <f t="shared" si="12"/>
        <v>Thursday</v>
      </c>
      <c r="C210" s="298">
        <f t="shared" si="13"/>
        <v>4</v>
      </c>
      <c r="D210" s="195">
        <v>7.5</v>
      </c>
      <c r="E210" s="195"/>
      <c r="F210" s="195"/>
      <c r="G210" s="195"/>
      <c r="H210" s="195"/>
      <c r="I210" s="195"/>
      <c r="J210" s="195"/>
      <c r="K210" s="195"/>
      <c r="L210" s="195"/>
      <c r="M210" s="195"/>
      <c r="N210" s="195"/>
      <c r="O210" s="195"/>
      <c r="P210" s="195"/>
      <c r="Q210" s="195"/>
      <c r="R210" s="195"/>
      <c r="S210" s="195"/>
      <c r="T210" s="195"/>
      <c r="U210" s="195"/>
      <c r="V210" s="195"/>
    </row>
    <row r="211" spans="1:22" x14ac:dyDescent="0.25">
      <c r="A211" s="125">
        <v>44211</v>
      </c>
      <c r="B211" s="125" t="str">
        <f t="shared" si="12"/>
        <v>Friday</v>
      </c>
      <c r="C211" s="298">
        <f t="shared" si="13"/>
        <v>5</v>
      </c>
      <c r="D211" s="195">
        <v>7.5</v>
      </c>
      <c r="E211" s="195"/>
      <c r="F211" s="195"/>
      <c r="G211" s="195"/>
      <c r="H211" s="195"/>
      <c r="I211" s="195"/>
      <c r="J211" s="195"/>
      <c r="K211" s="195"/>
      <c r="L211" s="195"/>
      <c r="M211" s="195"/>
      <c r="N211" s="195"/>
      <c r="O211" s="195"/>
      <c r="P211" s="195"/>
      <c r="Q211" s="195"/>
      <c r="R211" s="195"/>
      <c r="S211" s="195"/>
      <c r="T211" s="195"/>
      <c r="U211" s="195"/>
      <c r="V211" s="195"/>
    </row>
    <row r="212" spans="1:22" x14ac:dyDescent="0.25">
      <c r="A212" s="125">
        <v>44212</v>
      </c>
      <c r="B212" s="125" t="str">
        <f t="shared" si="12"/>
        <v>Saturday</v>
      </c>
      <c r="C212" s="298">
        <f t="shared" si="13"/>
        <v>6</v>
      </c>
      <c r="D212" s="195"/>
      <c r="E212" s="195"/>
      <c r="F212" s="195"/>
      <c r="G212" s="195"/>
      <c r="H212" s="195"/>
      <c r="I212" s="195"/>
      <c r="J212" s="195"/>
      <c r="K212" s="195"/>
      <c r="L212" s="195"/>
      <c r="M212" s="195"/>
      <c r="N212" s="195"/>
      <c r="O212" s="195"/>
      <c r="P212" s="195"/>
      <c r="Q212" s="195"/>
      <c r="R212" s="195"/>
      <c r="S212" s="195"/>
      <c r="T212" s="195"/>
      <c r="U212" s="195"/>
      <c r="V212" s="195"/>
    </row>
    <row r="213" spans="1:22" x14ac:dyDescent="0.25">
      <c r="A213" s="125">
        <v>44213</v>
      </c>
      <c r="B213" s="125" t="str">
        <f t="shared" si="12"/>
        <v>Sunday</v>
      </c>
      <c r="C213" s="298">
        <f t="shared" si="13"/>
        <v>7</v>
      </c>
      <c r="D213" s="195"/>
      <c r="E213" s="195"/>
      <c r="F213" s="195"/>
      <c r="G213" s="195"/>
      <c r="H213" s="195"/>
      <c r="I213" s="195"/>
      <c r="J213" s="195"/>
      <c r="K213" s="195"/>
      <c r="L213" s="195"/>
      <c r="M213" s="195"/>
      <c r="N213" s="195"/>
      <c r="O213" s="195"/>
      <c r="P213" s="195"/>
      <c r="Q213" s="195"/>
      <c r="R213" s="195"/>
      <c r="S213" s="195"/>
      <c r="T213" s="195"/>
      <c r="U213" s="195"/>
      <c r="V213" s="195"/>
    </row>
    <row r="214" spans="1:22" x14ac:dyDescent="0.25">
      <c r="A214" s="125">
        <v>44214</v>
      </c>
      <c r="B214" s="125" t="str">
        <f t="shared" si="12"/>
        <v>Monday</v>
      </c>
      <c r="C214" s="298">
        <f t="shared" si="13"/>
        <v>1</v>
      </c>
      <c r="D214" s="195">
        <v>7.5</v>
      </c>
      <c r="E214" s="195"/>
      <c r="F214" s="195"/>
      <c r="G214" s="195"/>
      <c r="H214" s="195"/>
      <c r="I214" s="195"/>
      <c r="J214" s="195"/>
      <c r="K214" s="195"/>
      <c r="L214" s="195"/>
      <c r="M214" s="195"/>
      <c r="N214" s="195"/>
      <c r="O214" s="195"/>
      <c r="P214" s="195"/>
      <c r="Q214" s="195"/>
      <c r="R214" s="195"/>
      <c r="S214" s="195"/>
      <c r="T214" s="195"/>
      <c r="U214" s="195"/>
      <c r="V214" s="195"/>
    </row>
    <row r="215" spans="1:22" x14ac:dyDescent="0.25">
      <c r="A215" s="125">
        <v>44215</v>
      </c>
      <c r="B215" s="125" t="str">
        <f t="shared" si="12"/>
        <v>Tuesday</v>
      </c>
      <c r="C215" s="298">
        <f t="shared" si="13"/>
        <v>2</v>
      </c>
      <c r="D215" s="195">
        <v>7.5</v>
      </c>
      <c r="E215" s="195"/>
      <c r="F215" s="195"/>
      <c r="G215" s="195"/>
      <c r="H215" s="195"/>
      <c r="I215" s="195"/>
      <c r="J215" s="195"/>
      <c r="K215" s="195"/>
      <c r="L215" s="195"/>
      <c r="M215" s="195"/>
      <c r="N215" s="195"/>
      <c r="O215" s="195"/>
      <c r="P215" s="195"/>
      <c r="Q215" s="195"/>
      <c r="R215" s="195"/>
      <c r="S215" s="195"/>
      <c r="T215" s="195"/>
      <c r="U215" s="195"/>
      <c r="V215" s="195"/>
    </row>
    <row r="216" spans="1:22" x14ac:dyDescent="0.25">
      <c r="A216" s="125">
        <v>44216</v>
      </c>
      <c r="B216" s="125" t="str">
        <f t="shared" si="12"/>
        <v>Wednesday</v>
      </c>
      <c r="C216" s="298">
        <f t="shared" si="13"/>
        <v>3</v>
      </c>
      <c r="D216" s="195">
        <v>7.5</v>
      </c>
      <c r="E216" s="195"/>
      <c r="F216" s="195"/>
      <c r="G216" s="195"/>
      <c r="H216" s="195"/>
      <c r="I216" s="195"/>
      <c r="J216" s="195"/>
      <c r="K216" s="195"/>
      <c r="L216" s="195"/>
      <c r="M216" s="195"/>
      <c r="N216" s="195"/>
      <c r="O216" s="195"/>
      <c r="P216" s="195"/>
      <c r="Q216" s="195"/>
      <c r="R216" s="195"/>
      <c r="S216" s="195"/>
      <c r="T216" s="195"/>
      <c r="U216" s="195"/>
      <c r="V216" s="195"/>
    </row>
    <row r="217" spans="1:22" x14ac:dyDescent="0.25">
      <c r="A217" s="125">
        <v>44217</v>
      </c>
      <c r="B217" s="125" t="str">
        <f t="shared" si="12"/>
        <v>Thursday</v>
      </c>
      <c r="C217" s="298">
        <f t="shared" si="13"/>
        <v>4</v>
      </c>
      <c r="D217" s="195">
        <v>7.5</v>
      </c>
      <c r="E217" s="195"/>
      <c r="F217" s="195"/>
      <c r="G217" s="195"/>
      <c r="H217" s="195"/>
      <c r="I217" s="195"/>
      <c r="J217" s="195"/>
      <c r="K217" s="195"/>
      <c r="L217" s="195"/>
      <c r="M217" s="195"/>
      <c r="N217" s="195"/>
      <c r="O217" s="195"/>
      <c r="P217" s="195"/>
      <c r="Q217" s="195"/>
      <c r="R217" s="195"/>
      <c r="S217" s="195"/>
      <c r="T217" s="195"/>
      <c r="U217" s="195"/>
      <c r="V217" s="195"/>
    </row>
    <row r="218" spans="1:22" x14ac:dyDescent="0.25">
      <c r="A218" s="125">
        <v>44218</v>
      </c>
      <c r="B218" s="125" t="str">
        <f t="shared" si="12"/>
        <v>Friday</v>
      </c>
      <c r="C218" s="298">
        <f t="shared" si="13"/>
        <v>5</v>
      </c>
      <c r="D218" s="195">
        <v>7.5</v>
      </c>
      <c r="E218" s="195"/>
      <c r="F218" s="195"/>
      <c r="G218" s="195"/>
      <c r="H218" s="195"/>
      <c r="I218" s="195"/>
      <c r="J218" s="195"/>
      <c r="K218" s="195"/>
      <c r="L218" s="195"/>
      <c r="M218" s="195"/>
      <c r="N218" s="195"/>
      <c r="O218" s="195"/>
      <c r="P218" s="195"/>
      <c r="Q218" s="195"/>
      <c r="R218" s="195"/>
      <c r="S218" s="195"/>
      <c r="T218" s="195"/>
      <c r="U218" s="195"/>
      <c r="V218" s="195"/>
    </row>
    <row r="219" spans="1:22" x14ac:dyDescent="0.25">
      <c r="A219" s="125">
        <v>44219</v>
      </c>
      <c r="B219" s="125" t="str">
        <f t="shared" si="12"/>
        <v>Saturday</v>
      </c>
      <c r="C219" s="298">
        <f t="shared" si="13"/>
        <v>6</v>
      </c>
      <c r="D219" s="195"/>
      <c r="E219" s="195"/>
      <c r="F219" s="195"/>
      <c r="G219" s="195"/>
      <c r="H219" s="195"/>
      <c r="I219" s="195"/>
      <c r="J219" s="195"/>
      <c r="K219" s="195"/>
      <c r="L219" s="195"/>
      <c r="M219" s="195"/>
      <c r="N219" s="195"/>
      <c r="O219" s="195"/>
      <c r="P219" s="195"/>
      <c r="Q219" s="195"/>
      <c r="R219" s="195"/>
      <c r="S219" s="195"/>
      <c r="T219" s="195"/>
      <c r="U219" s="195"/>
      <c r="V219" s="195"/>
    </row>
    <row r="220" spans="1:22" x14ac:dyDescent="0.25">
      <c r="A220" s="125">
        <v>44220</v>
      </c>
      <c r="B220" s="125" t="str">
        <f t="shared" si="12"/>
        <v>Sunday</v>
      </c>
      <c r="C220" s="298">
        <f t="shared" si="13"/>
        <v>7</v>
      </c>
      <c r="D220" s="195"/>
      <c r="E220" s="195"/>
      <c r="F220" s="195"/>
      <c r="G220" s="195"/>
      <c r="H220" s="195"/>
      <c r="I220" s="195"/>
      <c r="J220" s="195"/>
      <c r="K220" s="195"/>
      <c r="L220" s="195"/>
      <c r="M220" s="195"/>
      <c r="N220" s="195"/>
      <c r="O220" s="195"/>
      <c r="P220" s="195"/>
      <c r="Q220" s="195"/>
      <c r="R220" s="195"/>
      <c r="S220" s="195"/>
      <c r="T220" s="195"/>
      <c r="U220" s="195"/>
      <c r="V220" s="195"/>
    </row>
    <row r="221" spans="1:22" x14ac:dyDescent="0.25">
      <c r="A221" s="125">
        <v>44221</v>
      </c>
      <c r="B221" s="125" t="str">
        <f t="shared" si="12"/>
        <v>Monday</v>
      </c>
      <c r="C221" s="298">
        <f t="shared" si="13"/>
        <v>1</v>
      </c>
      <c r="D221" s="195">
        <v>7.5</v>
      </c>
      <c r="E221" s="195"/>
      <c r="F221" s="195"/>
      <c r="G221" s="195"/>
      <c r="H221" s="195"/>
      <c r="I221" s="195"/>
      <c r="J221" s="195"/>
      <c r="K221" s="195"/>
      <c r="L221" s="195"/>
      <c r="M221" s="195"/>
      <c r="N221" s="195"/>
      <c r="O221" s="195"/>
      <c r="P221" s="195"/>
      <c r="Q221" s="195"/>
      <c r="R221" s="195"/>
      <c r="S221" s="195"/>
      <c r="T221" s="195"/>
      <c r="U221" s="195"/>
      <c r="V221" s="195"/>
    </row>
    <row r="222" spans="1:22" x14ac:dyDescent="0.25">
      <c r="A222" s="125">
        <v>44222</v>
      </c>
      <c r="B222" s="125" t="str">
        <f t="shared" si="12"/>
        <v>Tuesday</v>
      </c>
      <c r="C222" s="298">
        <f t="shared" si="13"/>
        <v>2</v>
      </c>
      <c r="D222" s="195">
        <v>7.5</v>
      </c>
      <c r="E222" s="195"/>
      <c r="F222" s="195"/>
      <c r="G222" s="195"/>
      <c r="H222" s="195"/>
      <c r="I222" s="195"/>
      <c r="J222" s="195"/>
      <c r="K222" s="195"/>
      <c r="L222" s="195"/>
      <c r="M222" s="195"/>
      <c r="N222" s="195"/>
      <c r="O222" s="195"/>
      <c r="P222" s="195"/>
      <c r="Q222" s="195"/>
      <c r="R222" s="195"/>
      <c r="S222" s="195"/>
      <c r="T222" s="195"/>
      <c r="U222" s="195"/>
      <c r="V222" s="195"/>
    </row>
    <row r="223" spans="1:22" x14ac:dyDescent="0.25">
      <c r="A223" s="125">
        <v>44223</v>
      </c>
      <c r="B223" s="125" t="str">
        <f t="shared" si="12"/>
        <v>Wednesday</v>
      </c>
      <c r="C223" s="298">
        <f t="shared" si="13"/>
        <v>3</v>
      </c>
      <c r="D223" s="195">
        <v>7.5</v>
      </c>
      <c r="E223" s="195"/>
      <c r="F223" s="195"/>
      <c r="G223" s="195"/>
      <c r="H223" s="195"/>
      <c r="I223" s="195"/>
      <c r="J223" s="195"/>
      <c r="K223" s="195"/>
      <c r="L223" s="195"/>
      <c r="M223" s="195"/>
      <c r="N223" s="195"/>
      <c r="O223" s="195"/>
      <c r="P223" s="195"/>
      <c r="Q223" s="195"/>
      <c r="R223" s="195"/>
      <c r="S223" s="195"/>
      <c r="T223" s="195"/>
      <c r="U223" s="195"/>
      <c r="V223" s="195"/>
    </row>
    <row r="224" spans="1:22" x14ac:dyDescent="0.25">
      <c r="A224" s="125">
        <v>44224</v>
      </c>
      <c r="B224" s="125" t="str">
        <f t="shared" si="12"/>
        <v>Thursday</v>
      </c>
      <c r="C224" s="298">
        <f t="shared" si="13"/>
        <v>4</v>
      </c>
      <c r="D224" s="195">
        <v>7.5</v>
      </c>
      <c r="E224" s="195"/>
      <c r="F224" s="195"/>
      <c r="G224" s="195"/>
      <c r="H224" s="195"/>
      <c r="I224" s="195"/>
      <c r="J224" s="195"/>
      <c r="K224" s="195"/>
      <c r="L224" s="195"/>
      <c r="M224" s="195"/>
      <c r="N224" s="195"/>
      <c r="O224" s="195"/>
      <c r="P224" s="195"/>
      <c r="Q224" s="195"/>
      <c r="R224" s="195"/>
      <c r="S224" s="195"/>
      <c r="T224" s="195"/>
      <c r="U224" s="195"/>
      <c r="V224" s="195"/>
    </row>
    <row r="225" spans="1:22" x14ac:dyDescent="0.25">
      <c r="A225" s="125">
        <v>44225</v>
      </c>
      <c r="B225" s="125" t="str">
        <f t="shared" si="12"/>
        <v>Friday</v>
      </c>
      <c r="C225" s="298">
        <f t="shared" si="13"/>
        <v>5</v>
      </c>
      <c r="D225" s="195">
        <v>7.5</v>
      </c>
      <c r="E225" s="195"/>
      <c r="F225" s="195"/>
      <c r="G225" s="195"/>
      <c r="H225" s="195"/>
      <c r="I225" s="195"/>
      <c r="J225" s="195"/>
      <c r="K225" s="195"/>
      <c r="L225" s="195"/>
      <c r="M225" s="195"/>
      <c r="N225" s="195"/>
      <c r="O225" s="195"/>
      <c r="P225" s="195"/>
      <c r="Q225" s="195"/>
      <c r="R225" s="195"/>
      <c r="S225" s="195"/>
      <c r="T225" s="195"/>
      <c r="U225" s="195"/>
      <c r="V225" s="195"/>
    </row>
    <row r="226" spans="1:22" x14ac:dyDescent="0.25">
      <c r="A226" s="125">
        <v>44226</v>
      </c>
      <c r="B226" s="125" t="str">
        <f t="shared" si="12"/>
        <v>Saturday</v>
      </c>
      <c r="C226" s="298">
        <f t="shared" si="13"/>
        <v>6</v>
      </c>
      <c r="D226" s="195"/>
      <c r="E226" s="195"/>
      <c r="F226" s="195"/>
      <c r="G226" s="195"/>
      <c r="H226" s="195"/>
      <c r="I226" s="195"/>
      <c r="J226" s="195"/>
      <c r="K226" s="195"/>
      <c r="L226" s="195"/>
      <c r="M226" s="195"/>
      <c r="N226" s="195"/>
      <c r="O226" s="195"/>
      <c r="P226" s="195"/>
      <c r="Q226" s="195"/>
      <c r="R226" s="195"/>
      <c r="S226" s="195"/>
      <c r="T226" s="195"/>
      <c r="U226" s="195"/>
      <c r="V226" s="195"/>
    </row>
    <row r="227" spans="1:22" x14ac:dyDescent="0.25">
      <c r="A227" s="125">
        <v>44227</v>
      </c>
      <c r="B227" s="125" t="str">
        <f t="shared" si="12"/>
        <v>Sunday</v>
      </c>
      <c r="C227" s="298">
        <f t="shared" si="13"/>
        <v>7</v>
      </c>
      <c r="D227" s="300"/>
      <c r="E227" s="300"/>
      <c r="F227" s="300"/>
      <c r="G227" s="300"/>
      <c r="H227" s="300"/>
      <c r="I227" s="300"/>
      <c r="J227" s="300"/>
      <c r="K227" s="300"/>
      <c r="L227" s="300"/>
      <c r="M227" s="300"/>
      <c r="N227" s="300"/>
      <c r="O227" s="300"/>
      <c r="P227" s="300"/>
      <c r="Q227" s="300"/>
      <c r="R227" s="300"/>
      <c r="S227" s="300"/>
      <c r="T227" s="300"/>
      <c r="U227" s="300"/>
      <c r="V227" s="300"/>
    </row>
    <row r="228" spans="1:22" x14ac:dyDescent="0.25">
      <c r="A228" s="301" t="s">
        <v>224</v>
      </c>
      <c r="B228" s="302"/>
      <c r="C228" s="303"/>
      <c r="D228" s="304">
        <f>SUM(D197:D227)</f>
        <v>157.5</v>
      </c>
      <c r="E228" s="304">
        <f t="shared" ref="E228:V228" si="14">SUM(E197:E227)</f>
        <v>0</v>
      </c>
      <c r="F228" s="304">
        <f t="shared" si="14"/>
        <v>0</v>
      </c>
      <c r="G228" s="304">
        <f t="shared" si="14"/>
        <v>0</v>
      </c>
      <c r="H228" s="304">
        <f t="shared" si="14"/>
        <v>0</v>
      </c>
      <c r="I228" s="304">
        <f t="shared" si="14"/>
        <v>0</v>
      </c>
      <c r="J228" s="304">
        <f t="shared" si="14"/>
        <v>0</v>
      </c>
      <c r="K228" s="304">
        <f t="shared" si="14"/>
        <v>0</v>
      </c>
      <c r="L228" s="304">
        <f t="shared" si="14"/>
        <v>0</v>
      </c>
      <c r="M228" s="304">
        <f t="shared" si="14"/>
        <v>0</v>
      </c>
      <c r="N228" s="304">
        <f t="shared" si="14"/>
        <v>0</v>
      </c>
      <c r="O228" s="304">
        <f t="shared" si="14"/>
        <v>0</v>
      </c>
      <c r="P228" s="304">
        <f t="shared" si="14"/>
        <v>0</v>
      </c>
      <c r="Q228" s="304">
        <f t="shared" si="14"/>
        <v>0</v>
      </c>
      <c r="R228" s="304">
        <f t="shared" si="14"/>
        <v>0</v>
      </c>
      <c r="S228" s="304">
        <f t="shared" si="14"/>
        <v>0</v>
      </c>
      <c r="T228" s="304">
        <f t="shared" si="14"/>
        <v>0</v>
      </c>
      <c r="U228" s="304">
        <f t="shared" si="14"/>
        <v>0</v>
      </c>
      <c r="V228" s="304">
        <f t="shared" si="14"/>
        <v>0</v>
      </c>
    </row>
    <row r="229" spans="1:22" x14ac:dyDescent="0.25">
      <c r="A229" s="125">
        <v>44228</v>
      </c>
      <c r="B229" s="125" t="str">
        <f t="shared" si="12"/>
        <v>Monday</v>
      </c>
      <c r="C229" s="298">
        <f t="shared" si="13"/>
        <v>1</v>
      </c>
      <c r="D229" s="195">
        <v>7.5</v>
      </c>
      <c r="E229" s="195"/>
      <c r="F229" s="195"/>
      <c r="G229" s="195"/>
      <c r="H229" s="195"/>
      <c r="I229" s="195"/>
      <c r="J229" s="195"/>
      <c r="K229" s="195"/>
      <c r="L229" s="195"/>
      <c r="M229" s="195"/>
      <c r="N229" s="195"/>
      <c r="O229" s="195"/>
      <c r="P229" s="195"/>
      <c r="Q229" s="195"/>
      <c r="R229" s="195"/>
      <c r="S229" s="195"/>
      <c r="T229" s="195"/>
      <c r="U229" s="195"/>
      <c r="V229" s="195"/>
    </row>
    <row r="230" spans="1:22" x14ac:dyDescent="0.25">
      <c r="A230" s="125">
        <v>44229</v>
      </c>
      <c r="B230" s="125" t="str">
        <f t="shared" si="12"/>
        <v>Tuesday</v>
      </c>
      <c r="C230" s="298">
        <f t="shared" si="13"/>
        <v>2</v>
      </c>
      <c r="D230" s="195">
        <v>7.5</v>
      </c>
      <c r="E230" s="195"/>
      <c r="F230" s="195"/>
      <c r="G230" s="195"/>
      <c r="H230" s="195"/>
      <c r="I230" s="195"/>
      <c r="J230" s="195"/>
      <c r="K230" s="195"/>
      <c r="L230" s="195"/>
      <c r="M230" s="195"/>
      <c r="N230" s="195"/>
      <c r="O230" s="195"/>
      <c r="P230" s="195"/>
      <c r="Q230" s="195"/>
      <c r="R230" s="195"/>
      <c r="S230" s="195"/>
      <c r="T230" s="195"/>
      <c r="U230" s="195"/>
      <c r="V230" s="195"/>
    </row>
    <row r="231" spans="1:22" x14ac:dyDescent="0.25">
      <c r="A231" s="125">
        <v>44230</v>
      </c>
      <c r="B231" s="125" t="str">
        <f t="shared" si="12"/>
        <v>Wednesday</v>
      </c>
      <c r="C231" s="298">
        <f t="shared" si="13"/>
        <v>3</v>
      </c>
      <c r="D231" s="195">
        <v>7.5</v>
      </c>
      <c r="E231" s="195"/>
      <c r="F231" s="195"/>
      <c r="G231" s="195"/>
      <c r="H231" s="195"/>
      <c r="I231" s="195"/>
      <c r="J231" s="195"/>
      <c r="K231" s="195"/>
      <c r="L231" s="195"/>
      <c r="M231" s="195"/>
      <c r="N231" s="195"/>
      <c r="O231" s="195"/>
      <c r="P231" s="195"/>
      <c r="Q231" s="195"/>
      <c r="R231" s="195"/>
      <c r="S231" s="195"/>
      <c r="T231" s="195"/>
      <c r="U231" s="195"/>
      <c r="V231" s="195"/>
    </row>
    <row r="232" spans="1:22" x14ac:dyDescent="0.25">
      <c r="A232" s="125">
        <v>44231</v>
      </c>
      <c r="B232" s="125" t="str">
        <f t="shared" si="12"/>
        <v>Thursday</v>
      </c>
      <c r="C232" s="298">
        <f t="shared" si="13"/>
        <v>4</v>
      </c>
      <c r="D232" s="195">
        <v>7.5</v>
      </c>
      <c r="E232" s="195"/>
      <c r="F232" s="195"/>
      <c r="G232" s="195"/>
      <c r="H232" s="195"/>
      <c r="I232" s="195"/>
      <c r="J232" s="195"/>
      <c r="K232" s="195"/>
      <c r="L232" s="195"/>
      <c r="M232" s="195"/>
      <c r="N232" s="195"/>
      <c r="O232" s="195"/>
      <c r="P232" s="195"/>
      <c r="Q232" s="195"/>
      <c r="R232" s="195"/>
      <c r="S232" s="195"/>
      <c r="T232" s="195"/>
      <c r="U232" s="195"/>
      <c r="V232" s="195"/>
    </row>
    <row r="233" spans="1:22" x14ac:dyDescent="0.25">
      <c r="A233" s="125">
        <v>44232</v>
      </c>
      <c r="B233" s="125" t="str">
        <f t="shared" si="12"/>
        <v>Friday</v>
      </c>
      <c r="C233" s="298">
        <f t="shared" si="13"/>
        <v>5</v>
      </c>
      <c r="D233" s="195">
        <v>7.5</v>
      </c>
      <c r="E233" s="195"/>
      <c r="F233" s="195"/>
      <c r="G233" s="195"/>
      <c r="H233" s="195"/>
      <c r="I233" s="195"/>
      <c r="J233" s="195"/>
      <c r="K233" s="195"/>
      <c r="L233" s="195"/>
      <c r="M233" s="195"/>
      <c r="N233" s="195"/>
      <c r="O233" s="195"/>
      <c r="P233" s="195"/>
      <c r="Q233" s="195"/>
      <c r="R233" s="195"/>
      <c r="S233" s="195"/>
      <c r="T233" s="195"/>
      <c r="U233" s="195"/>
      <c r="V233" s="195"/>
    </row>
    <row r="234" spans="1:22" x14ac:dyDescent="0.25">
      <c r="A234" s="125">
        <v>44233</v>
      </c>
      <c r="B234" s="125" t="str">
        <f t="shared" si="12"/>
        <v>Saturday</v>
      </c>
      <c r="C234" s="298">
        <f t="shared" si="13"/>
        <v>6</v>
      </c>
      <c r="D234" s="195"/>
      <c r="E234" s="195"/>
      <c r="F234" s="195"/>
      <c r="G234" s="195"/>
      <c r="H234" s="195"/>
      <c r="I234" s="195"/>
      <c r="J234" s="195"/>
      <c r="K234" s="195"/>
      <c r="L234" s="195"/>
      <c r="M234" s="195"/>
      <c r="N234" s="195"/>
      <c r="O234" s="195"/>
      <c r="P234" s="195"/>
      <c r="Q234" s="195"/>
      <c r="R234" s="195"/>
      <c r="S234" s="195"/>
      <c r="T234" s="195"/>
      <c r="U234" s="195"/>
      <c r="V234" s="195"/>
    </row>
    <row r="235" spans="1:22" x14ac:dyDescent="0.25">
      <c r="A235" s="125">
        <v>44234</v>
      </c>
      <c r="B235" s="125" t="str">
        <f t="shared" si="12"/>
        <v>Sunday</v>
      </c>
      <c r="C235" s="298">
        <f t="shared" si="13"/>
        <v>7</v>
      </c>
      <c r="D235" s="195"/>
      <c r="E235" s="195"/>
      <c r="F235" s="195"/>
      <c r="G235" s="195"/>
      <c r="H235" s="195"/>
      <c r="I235" s="195"/>
      <c r="J235" s="195"/>
      <c r="K235" s="195"/>
      <c r="L235" s="195"/>
      <c r="M235" s="195"/>
      <c r="N235" s="195"/>
      <c r="O235" s="195"/>
      <c r="P235" s="195"/>
      <c r="Q235" s="195"/>
      <c r="R235" s="195"/>
      <c r="S235" s="195"/>
      <c r="T235" s="195"/>
      <c r="U235" s="195"/>
      <c r="V235" s="195"/>
    </row>
    <row r="236" spans="1:22" x14ac:dyDescent="0.25">
      <c r="A236" s="125">
        <v>44235</v>
      </c>
      <c r="B236" s="125" t="str">
        <f t="shared" si="12"/>
        <v>Monday</v>
      </c>
      <c r="C236" s="298">
        <f t="shared" si="13"/>
        <v>1</v>
      </c>
      <c r="D236" s="195">
        <v>7.5</v>
      </c>
      <c r="E236" s="195"/>
      <c r="F236" s="195"/>
      <c r="G236" s="195"/>
      <c r="H236" s="195"/>
      <c r="I236" s="195"/>
      <c r="J236" s="195"/>
      <c r="K236" s="195"/>
      <c r="L236" s="195"/>
      <c r="M236" s="195"/>
      <c r="N236" s="195"/>
      <c r="O236" s="195"/>
      <c r="P236" s="195"/>
      <c r="Q236" s="195"/>
      <c r="R236" s="195"/>
      <c r="S236" s="195"/>
      <c r="T236" s="195"/>
      <c r="U236" s="195"/>
      <c r="V236" s="195"/>
    </row>
    <row r="237" spans="1:22" x14ac:dyDescent="0.25">
      <c r="A237" s="125">
        <v>44236</v>
      </c>
      <c r="B237" s="125" t="str">
        <f t="shared" si="12"/>
        <v>Tuesday</v>
      </c>
      <c r="C237" s="298">
        <f t="shared" si="13"/>
        <v>2</v>
      </c>
      <c r="D237" s="195">
        <v>7.5</v>
      </c>
      <c r="E237" s="195"/>
      <c r="F237" s="195"/>
      <c r="G237" s="195"/>
      <c r="H237" s="195"/>
      <c r="I237" s="195"/>
      <c r="J237" s="195"/>
      <c r="K237" s="195"/>
      <c r="L237" s="195"/>
      <c r="M237" s="195"/>
      <c r="N237" s="195"/>
      <c r="O237" s="195"/>
      <c r="P237" s="195"/>
      <c r="Q237" s="195"/>
      <c r="R237" s="195"/>
      <c r="S237" s="195"/>
      <c r="T237" s="195"/>
      <c r="U237" s="195"/>
      <c r="V237" s="195"/>
    </row>
    <row r="238" spans="1:22" x14ac:dyDescent="0.25">
      <c r="A238" s="125">
        <v>44237</v>
      </c>
      <c r="B238" s="125" t="str">
        <f t="shared" si="12"/>
        <v>Wednesday</v>
      </c>
      <c r="C238" s="298">
        <f t="shared" si="13"/>
        <v>3</v>
      </c>
      <c r="D238" s="195">
        <v>7.5</v>
      </c>
      <c r="E238" s="195"/>
      <c r="F238" s="195"/>
      <c r="G238" s="195"/>
      <c r="H238" s="195"/>
      <c r="I238" s="195"/>
      <c r="J238" s="195"/>
      <c r="K238" s="195"/>
      <c r="L238" s="195"/>
      <c r="M238" s="195"/>
      <c r="N238" s="195"/>
      <c r="O238" s="195"/>
      <c r="P238" s="195"/>
      <c r="Q238" s="195"/>
      <c r="R238" s="195"/>
      <c r="S238" s="195"/>
      <c r="T238" s="195"/>
      <c r="U238" s="195"/>
      <c r="V238" s="195"/>
    </row>
    <row r="239" spans="1:22" x14ac:dyDescent="0.25">
      <c r="A239" s="125">
        <v>44238</v>
      </c>
      <c r="B239" s="125" t="str">
        <f t="shared" si="12"/>
        <v>Thursday</v>
      </c>
      <c r="C239" s="298">
        <f t="shared" si="13"/>
        <v>4</v>
      </c>
      <c r="D239" s="195">
        <v>7.5</v>
      </c>
      <c r="E239" s="195"/>
      <c r="F239" s="195"/>
      <c r="G239" s="195"/>
      <c r="H239" s="195"/>
      <c r="I239" s="195"/>
      <c r="J239" s="195"/>
      <c r="K239" s="195"/>
      <c r="L239" s="195"/>
      <c r="M239" s="195"/>
      <c r="N239" s="195"/>
      <c r="O239" s="195"/>
      <c r="P239" s="195"/>
      <c r="Q239" s="195"/>
      <c r="R239" s="195"/>
      <c r="S239" s="195"/>
      <c r="T239" s="195"/>
      <c r="U239" s="195"/>
      <c r="V239" s="195"/>
    </row>
    <row r="240" spans="1:22" x14ac:dyDescent="0.25">
      <c r="A240" s="125">
        <v>44239</v>
      </c>
      <c r="B240" s="125" t="str">
        <f t="shared" si="12"/>
        <v>Friday</v>
      </c>
      <c r="C240" s="298">
        <f t="shared" si="13"/>
        <v>5</v>
      </c>
      <c r="D240" s="195">
        <v>7.5</v>
      </c>
      <c r="E240" s="195"/>
      <c r="F240" s="195"/>
      <c r="G240" s="195"/>
      <c r="H240" s="195"/>
      <c r="I240" s="195"/>
      <c r="J240" s="195"/>
      <c r="K240" s="195"/>
      <c r="L240" s="195"/>
      <c r="M240" s="195"/>
      <c r="N240" s="195"/>
      <c r="O240" s="195"/>
      <c r="P240" s="195"/>
      <c r="Q240" s="195"/>
      <c r="R240" s="195"/>
      <c r="S240" s="195"/>
      <c r="T240" s="195"/>
      <c r="U240" s="195"/>
      <c r="V240" s="195"/>
    </row>
    <row r="241" spans="1:22" x14ac:dyDescent="0.25">
      <c r="A241" s="125">
        <v>44240</v>
      </c>
      <c r="B241" s="125" t="str">
        <f t="shared" si="12"/>
        <v>Saturday</v>
      </c>
      <c r="C241" s="298">
        <f t="shared" si="13"/>
        <v>6</v>
      </c>
      <c r="D241" s="195"/>
      <c r="E241" s="195"/>
      <c r="F241" s="195"/>
      <c r="G241" s="195"/>
      <c r="H241" s="195"/>
      <c r="I241" s="195"/>
      <c r="J241" s="195"/>
      <c r="K241" s="195"/>
      <c r="L241" s="195"/>
      <c r="M241" s="195"/>
      <c r="N241" s="195"/>
      <c r="O241" s="195"/>
      <c r="P241" s="195"/>
      <c r="Q241" s="195"/>
      <c r="R241" s="195"/>
      <c r="S241" s="195"/>
      <c r="T241" s="195"/>
      <c r="U241" s="195"/>
      <c r="V241" s="195"/>
    </row>
    <row r="242" spans="1:22" x14ac:dyDescent="0.25">
      <c r="A242" s="125">
        <v>44241</v>
      </c>
      <c r="B242" s="125" t="str">
        <f t="shared" si="12"/>
        <v>Sunday</v>
      </c>
      <c r="C242" s="298">
        <f t="shared" si="13"/>
        <v>7</v>
      </c>
      <c r="D242" s="195"/>
      <c r="E242" s="195"/>
      <c r="F242" s="195"/>
      <c r="G242" s="195"/>
      <c r="H242" s="195"/>
      <c r="I242" s="195"/>
      <c r="J242" s="195"/>
      <c r="K242" s="195"/>
      <c r="L242" s="195"/>
      <c r="M242" s="195"/>
      <c r="N242" s="195"/>
      <c r="O242" s="195"/>
      <c r="P242" s="195"/>
      <c r="Q242" s="195"/>
      <c r="R242" s="195"/>
      <c r="S242" s="195"/>
      <c r="T242" s="195"/>
      <c r="U242" s="195"/>
      <c r="V242" s="195"/>
    </row>
    <row r="243" spans="1:22" x14ac:dyDescent="0.25">
      <c r="A243" s="125">
        <v>44242</v>
      </c>
      <c r="B243" s="125" t="str">
        <f t="shared" si="12"/>
        <v>Monday</v>
      </c>
      <c r="C243" s="298">
        <f t="shared" si="13"/>
        <v>1</v>
      </c>
      <c r="D243" s="195">
        <v>7.5</v>
      </c>
      <c r="E243" s="195"/>
      <c r="F243" s="195"/>
      <c r="G243" s="195"/>
      <c r="H243" s="195"/>
      <c r="I243" s="195"/>
      <c r="J243" s="195"/>
      <c r="K243" s="195"/>
      <c r="L243" s="195"/>
      <c r="M243" s="195"/>
      <c r="N243" s="195"/>
      <c r="O243" s="195"/>
      <c r="P243" s="195"/>
      <c r="Q243" s="195"/>
      <c r="R243" s="195"/>
      <c r="S243" s="195"/>
      <c r="T243" s="195"/>
      <c r="U243" s="195"/>
      <c r="V243" s="195"/>
    </row>
    <row r="244" spans="1:22" x14ac:dyDescent="0.25">
      <c r="A244" s="125">
        <v>44243</v>
      </c>
      <c r="B244" s="125" t="str">
        <f t="shared" si="12"/>
        <v>Tuesday</v>
      </c>
      <c r="C244" s="298">
        <f t="shared" si="13"/>
        <v>2</v>
      </c>
      <c r="D244" s="195">
        <v>7.5</v>
      </c>
      <c r="E244" s="195"/>
      <c r="F244" s="195"/>
      <c r="G244" s="195"/>
      <c r="H244" s="195"/>
      <c r="I244" s="195"/>
      <c r="J244" s="195"/>
      <c r="K244" s="195"/>
      <c r="L244" s="195"/>
      <c r="M244" s="195"/>
      <c r="N244" s="195"/>
      <c r="O244" s="195"/>
      <c r="P244" s="195"/>
      <c r="Q244" s="195"/>
      <c r="R244" s="195"/>
      <c r="S244" s="195"/>
      <c r="T244" s="195"/>
      <c r="U244" s="195"/>
      <c r="V244" s="195"/>
    </row>
    <row r="245" spans="1:22" x14ac:dyDescent="0.25">
      <c r="A245" s="125">
        <v>44244</v>
      </c>
      <c r="B245" s="125" t="str">
        <f t="shared" si="12"/>
        <v>Wednesday</v>
      </c>
      <c r="C245" s="298">
        <f t="shared" si="13"/>
        <v>3</v>
      </c>
      <c r="D245" s="195">
        <v>7.5</v>
      </c>
      <c r="E245" s="195"/>
      <c r="F245" s="195"/>
      <c r="G245" s="195"/>
      <c r="H245" s="195"/>
      <c r="I245" s="195"/>
      <c r="J245" s="195"/>
      <c r="K245" s="195"/>
      <c r="L245" s="195"/>
      <c r="M245" s="195"/>
      <c r="N245" s="195"/>
      <c r="O245" s="195"/>
      <c r="P245" s="195"/>
      <c r="Q245" s="195"/>
      <c r="R245" s="195"/>
      <c r="S245" s="195"/>
      <c r="T245" s="195"/>
      <c r="U245" s="195"/>
      <c r="V245" s="195"/>
    </row>
    <row r="246" spans="1:22" x14ac:dyDescent="0.25">
      <c r="A246" s="125">
        <v>44245</v>
      </c>
      <c r="B246" s="125" t="str">
        <f t="shared" si="12"/>
        <v>Thursday</v>
      </c>
      <c r="C246" s="298">
        <f t="shared" si="13"/>
        <v>4</v>
      </c>
      <c r="D246" s="195">
        <v>7.5</v>
      </c>
      <c r="E246" s="195"/>
      <c r="F246" s="195"/>
      <c r="G246" s="195"/>
      <c r="H246" s="195"/>
      <c r="I246" s="195"/>
      <c r="J246" s="195"/>
      <c r="K246" s="195"/>
      <c r="L246" s="195"/>
      <c r="M246" s="195"/>
      <c r="N246" s="195"/>
      <c r="O246" s="195"/>
      <c r="P246" s="195"/>
      <c r="Q246" s="195"/>
      <c r="R246" s="195"/>
      <c r="S246" s="195"/>
      <c r="T246" s="195"/>
      <c r="U246" s="195"/>
      <c r="V246" s="195"/>
    </row>
    <row r="247" spans="1:22" x14ac:dyDescent="0.25">
      <c r="A247" s="125">
        <v>44246</v>
      </c>
      <c r="B247" s="125" t="str">
        <f t="shared" si="12"/>
        <v>Friday</v>
      </c>
      <c r="C247" s="298">
        <f t="shared" si="13"/>
        <v>5</v>
      </c>
      <c r="D247" s="195">
        <v>7.5</v>
      </c>
      <c r="E247" s="195"/>
      <c r="F247" s="195"/>
      <c r="G247" s="195"/>
      <c r="H247" s="195"/>
      <c r="I247" s="195"/>
      <c r="J247" s="195"/>
      <c r="K247" s="195"/>
      <c r="L247" s="195"/>
      <c r="M247" s="195"/>
      <c r="N247" s="195"/>
      <c r="O247" s="195"/>
      <c r="P247" s="195"/>
      <c r="Q247" s="195"/>
      <c r="R247" s="195"/>
      <c r="S247" s="195"/>
      <c r="T247" s="195"/>
      <c r="U247" s="195"/>
      <c r="V247" s="195"/>
    </row>
    <row r="248" spans="1:22" x14ac:dyDescent="0.25">
      <c r="A248" s="125">
        <v>44247</v>
      </c>
      <c r="B248" s="125" t="str">
        <f t="shared" si="12"/>
        <v>Saturday</v>
      </c>
      <c r="C248" s="298">
        <f t="shared" si="13"/>
        <v>6</v>
      </c>
      <c r="D248" s="195"/>
      <c r="E248" s="195"/>
      <c r="F248" s="195"/>
      <c r="G248" s="195"/>
      <c r="H248" s="195"/>
      <c r="I248" s="195"/>
      <c r="J248" s="195"/>
      <c r="K248" s="195"/>
      <c r="L248" s="195"/>
      <c r="M248" s="195"/>
      <c r="N248" s="195"/>
      <c r="O248" s="195"/>
      <c r="P248" s="195"/>
      <c r="Q248" s="195"/>
      <c r="R248" s="195"/>
      <c r="S248" s="195"/>
      <c r="T248" s="195"/>
      <c r="U248" s="195"/>
      <c r="V248" s="195"/>
    </row>
    <row r="249" spans="1:22" x14ac:dyDescent="0.25">
      <c r="A249" s="125">
        <v>44248</v>
      </c>
      <c r="B249" s="125" t="str">
        <f t="shared" si="12"/>
        <v>Sunday</v>
      </c>
      <c r="C249" s="298">
        <f t="shared" si="13"/>
        <v>7</v>
      </c>
      <c r="D249" s="195"/>
      <c r="E249" s="195"/>
      <c r="F249" s="195"/>
      <c r="G249" s="195"/>
      <c r="H249" s="195"/>
      <c r="I249" s="195"/>
      <c r="J249" s="195"/>
      <c r="K249" s="195"/>
      <c r="L249" s="195"/>
      <c r="M249" s="195"/>
      <c r="N249" s="195"/>
      <c r="O249" s="195"/>
      <c r="P249" s="195"/>
      <c r="Q249" s="195"/>
      <c r="R249" s="195"/>
      <c r="S249" s="195"/>
      <c r="T249" s="195"/>
      <c r="U249" s="195"/>
      <c r="V249" s="195"/>
    </row>
    <row r="250" spans="1:22" x14ac:dyDescent="0.25">
      <c r="A250" s="125">
        <v>44249</v>
      </c>
      <c r="B250" s="125" t="str">
        <f t="shared" si="12"/>
        <v>Monday</v>
      </c>
      <c r="C250" s="298">
        <f t="shared" si="13"/>
        <v>1</v>
      </c>
      <c r="D250" s="195">
        <v>7.5</v>
      </c>
      <c r="E250" s="195"/>
      <c r="F250" s="195"/>
      <c r="G250" s="195"/>
      <c r="H250" s="195"/>
      <c r="I250" s="195"/>
      <c r="J250" s="195"/>
      <c r="K250" s="195"/>
      <c r="L250" s="195"/>
      <c r="M250" s="195"/>
      <c r="N250" s="195"/>
      <c r="O250" s="195"/>
      <c r="P250" s="195"/>
      <c r="Q250" s="195"/>
      <c r="R250" s="195"/>
      <c r="S250" s="195"/>
      <c r="T250" s="195"/>
      <c r="U250" s="195"/>
      <c r="V250" s="195"/>
    </row>
    <row r="251" spans="1:22" x14ac:dyDescent="0.25">
      <c r="A251" s="125">
        <v>44250</v>
      </c>
      <c r="B251" s="125" t="str">
        <f t="shared" si="12"/>
        <v>Tuesday</v>
      </c>
      <c r="C251" s="298">
        <f t="shared" si="13"/>
        <v>2</v>
      </c>
      <c r="D251" s="195">
        <v>7.5</v>
      </c>
      <c r="E251" s="195"/>
      <c r="F251" s="195"/>
      <c r="G251" s="195"/>
      <c r="H251" s="195"/>
      <c r="I251" s="195"/>
      <c r="J251" s="195"/>
      <c r="K251" s="195"/>
      <c r="L251" s="195"/>
      <c r="M251" s="195"/>
      <c r="N251" s="195"/>
      <c r="O251" s="195"/>
      <c r="P251" s="195"/>
      <c r="Q251" s="195"/>
      <c r="R251" s="195"/>
      <c r="S251" s="195"/>
      <c r="T251" s="195"/>
      <c r="U251" s="195"/>
      <c r="V251" s="195"/>
    </row>
    <row r="252" spans="1:22" x14ac:dyDescent="0.25">
      <c r="A252" s="125">
        <v>44251</v>
      </c>
      <c r="B252" s="125" t="str">
        <f t="shared" si="12"/>
        <v>Wednesday</v>
      </c>
      <c r="C252" s="298">
        <f t="shared" si="13"/>
        <v>3</v>
      </c>
      <c r="D252" s="195">
        <v>7.5</v>
      </c>
      <c r="E252" s="195"/>
      <c r="F252" s="195"/>
      <c r="G252" s="195"/>
      <c r="H252" s="195"/>
      <c r="I252" s="195"/>
      <c r="J252" s="195"/>
      <c r="K252" s="195"/>
      <c r="L252" s="195"/>
      <c r="M252" s="195"/>
      <c r="N252" s="195"/>
      <c r="O252" s="195"/>
      <c r="P252" s="195"/>
      <c r="Q252" s="195"/>
      <c r="R252" s="195"/>
      <c r="S252" s="195"/>
      <c r="T252" s="195"/>
      <c r="U252" s="195"/>
      <c r="V252" s="195"/>
    </row>
    <row r="253" spans="1:22" x14ac:dyDescent="0.25">
      <c r="A253" s="125">
        <v>44252</v>
      </c>
      <c r="B253" s="125" t="str">
        <f t="shared" si="12"/>
        <v>Thursday</v>
      </c>
      <c r="C253" s="298">
        <f t="shared" si="13"/>
        <v>4</v>
      </c>
      <c r="D253" s="195">
        <v>7.5</v>
      </c>
      <c r="E253" s="195"/>
      <c r="F253" s="195"/>
      <c r="G253" s="195"/>
      <c r="H253" s="195"/>
      <c r="I253" s="195"/>
      <c r="J253" s="195"/>
      <c r="K253" s="195"/>
      <c r="L253" s="195"/>
      <c r="M253" s="195"/>
      <c r="N253" s="195"/>
      <c r="O253" s="195"/>
      <c r="P253" s="195"/>
      <c r="Q253" s="195"/>
      <c r="R253" s="195"/>
      <c r="S253" s="195"/>
      <c r="T253" s="195"/>
      <c r="U253" s="195"/>
      <c r="V253" s="195"/>
    </row>
    <row r="254" spans="1:22" x14ac:dyDescent="0.25">
      <c r="A254" s="125">
        <v>44253</v>
      </c>
      <c r="B254" s="125" t="str">
        <f t="shared" si="12"/>
        <v>Friday</v>
      </c>
      <c r="C254" s="298">
        <f t="shared" si="13"/>
        <v>5</v>
      </c>
      <c r="D254" s="195">
        <v>7.5</v>
      </c>
      <c r="E254" s="195"/>
      <c r="F254" s="195"/>
      <c r="G254" s="195"/>
      <c r="H254" s="195"/>
      <c r="I254" s="195"/>
      <c r="J254" s="195"/>
      <c r="K254" s="195"/>
      <c r="L254" s="195"/>
      <c r="M254" s="195"/>
      <c r="N254" s="195"/>
      <c r="O254" s="195"/>
      <c r="P254" s="195"/>
      <c r="Q254" s="195"/>
      <c r="R254" s="195"/>
      <c r="S254" s="195"/>
      <c r="T254" s="195"/>
      <c r="U254" s="195"/>
      <c r="V254" s="195"/>
    </row>
    <row r="255" spans="1:22" x14ac:dyDescent="0.25">
      <c r="A255" s="125">
        <v>44254</v>
      </c>
      <c r="B255" s="125" t="str">
        <f t="shared" si="12"/>
        <v>Saturday</v>
      </c>
      <c r="C255" s="298">
        <f t="shared" si="13"/>
        <v>6</v>
      </c>
      <c r="D255" s="195"/>
      <c r="E255" s="195"/>
      <c r="F255" s="195"/>
      <c r="G255" s="195"/>
      <c r="H255" s="195"/>
      <c r="I255" s="195"/>
      <c r="J255" s="195"/>
      <c r="K255" s="195"/>
      <c r="L255" s="195"/>
      <c r="M255" s="195"/>
      <c r="N255" s="195"/>
      <c r="O255" s="195"/>
      <c r="P255" s="195"/>
      <c r="Q255" s="195"/>
      <c r="R255" s="195"/>
      <c r="S255" s="195"/>
      <c r="T255" s="195"/>
      <c r="U255" s="195"/>
      <c r="V255" s="195"/>
    </row>
    <row r="256" spans="1:22" x14ac:dyDescent="0.25">
      <c r="A256" s="125">
        <v>44255</v>
      </c>
      <c r="B256" s="125" t="str">
        <f t="shared" si="12"/>
        <v>Sunday</v>
      </c>
      <c r="C256" s="298">
        <f t="shared" si="13"/>
        <v>7</v>
      </c>
      <c r="D256" s="300"/>
      <c r="E256" s="300"/>
      <c r="F256" s="300"/>
      <c r="G256" s="300"/>
      <c r="H256" s="300"/>
      <c r="I256" s="300"/>
      <c r="J256" s="300"/>
      <c r="K256" s="300"/>
      <c r="L256" s="300"/>
      <c r="M256" s="300"/>
      <c r="N256" s="300"/>
      <c r="O256" s="300"/>
      <c r="P256" s="300"/>
      <c r="Q256" s="300"/>
      <c r="R256" s="300"/>
      <c r="S256" s="300"/>
      <c r="T256" s="300"/>
      <c r="U256" s="300"/>
      <c r="V256" s="300"/>
    </row>
    <row r="257" spans="1:22" x14ac:dyDescent="0.25">
      <c r="A257" s="301" t="s">
        <v>224</v>
      </c>
      <c r="B257" s="302"/>
      <c r="C257" s="303"/>
      <c r="D257" s="304">
        <f>SUM(D229:D256)</f>
        <v>150</v>
      </c>
      <c r="E257" s="304">
        <f t="shared" ref="E257:V257" si="15">SUM(E229:E256)</f>
        <v>0</v>
      </c>
      <c r="F257" s="304">
        <f t="shared" si="15"/>
        <v>0</v>
      </c>
      <c r="G257" s="304">
        <f t="shared" si="15"/>
        <v>0</v>
      </c>
      <c r="H257" s="304">
        <f t="shared" si="15"/>
        <v>0</v>
      </c>
      <c r="I257" s="304">
        <f t="shared" si="15"/>
        <v>0</v>
      </c>
      <c r="J257" s="304">
        <f t="shared" si="15"/>
        <v>0</v>
      </c>
      <c r="K257" s="304">
        <f t="shared" si="15"/>
        <v>0</v>
      </c>
      <c r="L257" s="304">
        <f t="shared" si="15"/>
        <v>0</v>
      </c>
      <c r="M257" s="304">
        <f t="shared" si="15"/>
        <v>0</v>
      </c>
      <c r="N257" s="304">
        <f t="shared" si="15"/>
        <v>0</v>
      </c>
      <c r="O257" s="304">
        <f t="shared" si="15"/>
        <v>0</v>
      </c>
      <c r="P257" s="304">
        <f t="shared" si="15"/>
        <v>0</v>
      </c>
      <c r="Q257" s="304">
        <f t="shared" si="15"/>
        <v>0</v>
      </c>
      <c r="R257" s="304">
        <f t="shared" si="15"/>
        <v>0</v>
      </c>
      <c r="S257" s="304">
        <f t="shared" si="15"/>
        <v>0</v>
      </c>
      <c r="T257" s="304">
        <f t="shared" si="15"/>
        <v>0</v>
      </c>
      <c r="U257" s="304">
        <f t="shared" si="15"/>
        <v>0</v>
      </c>
      <c r="V257" s="304">
        <f t="shared" si="15"/>
        <v>0</v>
      </c>
    </row>
    <row r="258" spans="1:22" x14ac:dyDescent="0.25">
      <c r="A258" s="125">
        <v>44256</v>
      </c>
      <c r="B258" s="125" t="str">
        <f t="shared" si="12"/>
        <v>Monday</v>
      </c>
      <c r="C258" s="298">
        <f t="shared" si="13"/>
        <v>1</v>
      </c>
      <c r="D258" s="195">
        <v>7.5</v>
      </c>
      <c r="E258" s="195"/>
      <c r="F258" s="195"/>
      <c r="G258" s="195"/>
      <c r="H258" s="195"/>
      <c r="I258" s="195"/>
      <c r="J258" s="195"/>
      <c r="K258" s="195"/>
      <c r="L258" s="195"/>
      <c r="M258" s="195"/>
      <c r="N258" s="195"/>
      <c r="O258" s="195"/>
      <c r="P258" s="195"/>
      <c r="Q258" s="195"/>
      <c r="R258" s="195"/>
      <c r="S258" s="195"/>
      <c r="T258" s="195"/>
      <c r="U258" s="195"/>
      <c r="V258" s="195"/>
    </row>
    <row r="259" spans="1:22" x14ac:dyDescent="0.25">
      <c r="A259" s="125">
        <v>44257</v>
      </c>
      <c r="B259" s="125" t="str">
        <f t="shared" si="12"/>
        <v>Tuesday</v>
      </c>
      <c r="C259" s="298">
        <f t="shared" si="13"/>
        <v>2</v>
      </c>
      <c r="D259" s="195">
        <v>7.5</v>
      </c>
      <c r="E259" s="195"/>
      <c r="F259" s="195"/>
      <c r="G259" s="195"/>
      <c r="H259" s="195"/>
      <c r="I259" s="195"/>
      <c r="J259" s="195"/>
      <c r="K259" s="195"/>
      <c r="L259" s="195"/>
      <c r="M259" s="195"/>
      <c r="N259" s="195"/>
      <c r="O259" s="195"/>
      <c r="P259" s="195"/>
      <c r="Q259" s="195"/>
      <c r="R259" s="195"/>
      <c r="S259" s="195"/>
      <c r="T259" s="195"/>
      <c r="U259" s="195"/>
      <c r="V259" s="195"/>
    </row>
    <row r="260" spans="1:22" x14ac:dyDescent="0.25">
      <c r="A260" s="125">
        <v>44258</v>
      </c>
      <c r="B260" s="125" t="str">
        <f t="shared" si="12"/>
        <v>Wednesday</v>
      </c>
      <c r="C260" s="298">
        <f t="shared" si="13"/>
        <v>3</v>
      </c>
      <c r="D260" s="195">
        <v>7.5</v>
      </c>
      <c r="E260" s="195"/>
      <c r="F260" s="195"/>
      <c r="G260" s="195"/>
      <c r="H260" s="195"/>
      <c r="I260" s="195"/>
      <c r="J260" s="195"/>
      <c r="K260" s="195"/>
      <c r="L260" s="195"/>
      <c r="M260" s="195"/>
      <c r="N260" s="195"/>
      <c r="O260" s="195"/>
      <c r="P260" s="195"/>
      <c r="Q260" s="195"/>
      <c r="R260" s="195"/>
      <c r="S260" s="195"/>
      <c r="T260" s="195"/>
      <c r="U260" s="195"/>
      <c r="V260" s="195"/>
    </row>
    <row r="261" spans="1:22" x14ac:dyDescent="0.25">
      <c r="A261" s="125">
        <v>44259</v>
      </c>
      <c r="B261" s="125" t="str">
        <f t="shared" si="12"/>
        <v>Thursday</v>
      </c>
      <c r="C261" s="298">
        <f t="shared" si="13"/>
        <v>4</v>
      </c>
      <c r="D261" s="195">
        <v>7.5</v>
      </c>
      <c r="E261" s="195"/>
      <c r="F261" s="195"/>
      <c r="G261" s="195"/>
      <c r="H261" s="195"/>
      <c r="I261" s="195"/>
      <c r="J261" s="195"/>
      <c r="K261" s="195"/>
      <c r="L261" s="195"/>
      <c r="M261" s="195"/>
      <c r="N261" s="195"/>
      <c r="O261" s="195"/>
      <c r="P261" s="195"/>
      <c r="Q261" s="195"/>
      <c r="R261" s="195"/>
      <c r="S261" s="195"/>
      <c r="T261" s="195"/>
      <c r="U261" s="195"/>
      <c r="V261" s="195"/>
    </row>
    <row r="262" spans="1:22" x14ac:dyDescent="0.25">
      <c r="A262" s="125">
        <v>44260</v>
      </c>
      <c r="B262" s="125" t="str">
        <f t="shared" si="12"/>
        <v>Friday</v>
      </c>
      <c r="C262" s="298">
        <f t="shared" si="13"/>
        <v>5</v>
      </c>
      <c r="D262" s="195">
        <v>7.5</v>
      </c>
      <c r="E262" s="195"/>
      <c r="F262" s="195"/>
      <c r="G262" s="195"/>
      <c r="H262" s="195"/>
      <c r="I262" s="195"/>
      <c r="J262" s="195"/>
      <c r="K262" s="195"/>
      <c r="L262" s="195"/>
      <c r="M262" s="195"/>
      <c r="N262" s="195"/>
      <c r="O262" s="195"/>
      <c r="P262" s="195"/>
      <c r="Q262" s="195"/>
      <c r="R262" s="195"/>
      <c r="S262" s="195"/>
      <c r="T262" s="195"/>
      <c r="U262" s="195"/>
      <c r="V262" s="195"/>
    </row>
    <row r="263" spans="1:22" x14ac:dyDescent="0.25">
      <c r="A263" s="125">
        <v>44261</v>
      </c>
      <c r="B263" s="125" t="str">
        <f t="shared" si="12"/>
        <v>Saturday</v>
      </c>
      <c r="C263" s="298">
        <f t="shared" si="13"/>
        <v>6</v>
      </c>
      <c r="D263" s="195"/>
      <c r="E263" s="195"/>
      <c r="F263" s="195"/>
      <c r="G263" s="195"/>
      <c r="H263" s="195"/>
      <c r="I263" s="195"/>
      <c r="J263" s="195"/>
      <c r="K263" s="195"/>
      <c r="L263" s="195"/>
      <c r="M263" s="195"/>
      <c r="N263" s="195"/>
      <c r="O263" s="195"/>
      <c r="P263" s="195"/>
      <c r="Q263" s="195"/>
      <c r="R263" s="195"/>
      <c r="S263" s="195"/>
      <c r="T263" s="195"/>
      <c r="U263" s="195"/>
      <c r="V263" s="195"/>
    </row>
    <row r="264" spans="1:22" x14ac:dyDescent="0.25">
      <c r="A264" s="125">
        <v>44262</v>
      </c>
      <c r="B264" s="125" t="str">
        <f t="shared" ref="B264:B327" si="16">TEXT(A264,"dddd")</f>
        <v>Sunday</v>
      </c>
      <c r="C264" s="298">
        <f t="shared" ref="C264:C327" si="17">WEEKDAY(A264,2)</f>
        <v>7</v>
      </c>
      <c r="D264" s="195"/>
      <c r="E264" s="195"/>
      <c r="F264" s="195"/>
      <c r="G264" s="195"/>
      <c r="H264" s="195"/>
      <c r="I264" s="195"/>
      <c r="J264" s="195"/>
      <c r="K264" s="195"/>
      <c r="L264" s="195"/>
      <c r="M264" s="195"/>
      <c r="N264" s="195"/>
      <c r="O264" s="195"/>
      <c r="P264" s="195"/>
      <c r="Q264" s="195"/>
      <c r="R264" s="195"/>
      <c r="S264" s="195"/>
      <c r="T264" s="195"/>
      <c r="U264" s="195"/>
      <c r="V264" s="195"/>
    </row>
    <row r="265" spans="1:22" x14ac:dyDescent="0.25">
      <c r="A265" s="125">
        <v>44263</v>
      </c>
      <c r="B265" s="125" t="str">
        <f t="shared" si="16"/>
        <v>Monday</v>
      </c>
      <c r="C265" s="298">
        <f t="shared" si="17"/>
        <v>1</v>
      </c>
      <c r="D265" s="195">
        <v>7.5</v>
      </c>
      <c r="E265" s="195"/>
      <c r="F265" s="195"/>
      <c r="G265" s="195"/>
      <c r="H265" s="195"/>
      <c r="I265" s="195"/>
      <c r="J265" s="195"/>
      <c r="K265" s="195"/>
      <c r="L265" s="195"/>
      <c r="M265" s="195"/>
      <c r="N265" s="195"/>
      <c r="O265" s="195"/>
      <c r="P265" s="195"/>
      <c r="Q265" s="195"/>
      <c r="R265" s="195"/>
      <c r="S265" s="195"/>
      <c r="T265" s="195"/>
      <c r="U265" s="195"/>
      <c r="V265" s="195"/>
    </row>
    <row r="266" spans="1:22" x14ac:dyDescent="0.25">
      <c r="A266" s="125">
        <v>44264</v>
      </c>
      <c r="B266" s="125" t="str">
        <f t="shared" si="16"/>
        <v>Tuesday</v>
      </c>
      <c r="C266" s="298">
        <f t="shared" si="17"/>
        <v>2</v>
      </c>
      <c r="D266" s="195">
        <v>7.5</v>
      </c>
      <c r="E266" s="195"/>
      <c r="F266" s="195"/>
      <c r="G266" s="195"/>
      <c r="H266" s="195"/>
      <c r="I266" s="195"/>
      <c r="J266" s="195"/>
      <c r="K266" s="195"/>
      <c r="L266" s="195"/>
      <c r="M266" s="195"/>
      <c r="N266" s="195"/>
      <c r="O266" s="195"/>
      <c r="P266" s="195"/>
      <c r="Q266" s="195"/>
      <c r="R266" s="195"/>
      <c r="S266" s="195"/>
      <c r="T266" s="195"/>
      <c r="U266" s="195"/>
      <c r="V266" s="195"/>
    </row>
    <row r="267" spans="1:22" x14ac:dyDescent="0.25">
      <c r="A267" s="125">
        <v>44265</v>
      </c>
      <c r="B267" s="125" t="str">
        <f t="shared" si="16"/>
        <v>Wednesday</v>
      </c>
      <c r="C267" s="298">
        <f t="shared" si="17"/>
        <v>3</v>
      </c>
      <c r="D267" s="195">
        <v>7.5</v>
      </c>
      <c r="E267" s="195"/>
      <c r="F267" s="195"/>
      <c r="G267" s="195"/>
      <c r="H267" s="195"/>
      <c r="I267" s="195"/>
      <c r="J267" s="195"/>
      <c r="K267" s="195"/>
      <c r="L267" s="195"/>
      <c r="M267" s="195"/>
      <c r="N267" s="195"/>
      <c r="O267" s="195"/>
      <c r="P267" s="195"/>
      <c r="Q267" s="195"/>
      <c r="R267" s="195"/>
      <c r="S267" s="195"/>
      <c r="T267" s="195"/>
      <c r="U267" s="195"/>
      <c r="V267" s="195"/>
    </row>
    <row r="268" spans="1:22" x14ac:dyDescent="0.25">
      <c r="A268" s="125">
        <v>44266</v>
      </c>
      <c r="B268" s="125" t="str">
        <f t="shared" si="16"/>
        <v>Thursday</v>
      </c>
      <c r="C268" s="298">
        <f t="shared" si="17"/>
        <v>4</v>
      </c>
      <c r="D268" s="195">
        <v>7.5</v>
      </c>
      <c r="E268" s="195"/>
      <c r="F268" s="195"/>
      <c r="G268" s="195"/>
      <c r="H268" s="195"/>
      <c r="I268" s="195"/>
      <c r="J268" s="195"/>
      <c r="K268" s="195"/>
      <c r="L268" s="195"/>
      <c r="M268" s="195"/>
      <c r="N268" s="195"/>
      <c r="O268" s="195"/>
      <c r="P268" s="195"/>
      <c r="Q268" s="195"/>
      <c r="R268" s="195"/>
      <c r="S268" s="195"/>
      <c r="T268" s="195"/>
      <c r="U268" s="195"/>
      <c r="V268" s="195"/>
    </row>
    <row r="269" spans="1:22" x14ac:dyDescent="0.25">
      <c r="A269" s="125">
        <v>44267</v>
      </c>
      <c r="B269" s="125" t="str">
        <f t="shared" si="16"/>
        <v>Friday</v>
      </c>
      <c r="C269" s="298">
        <f t="shared" si="17"/>
        <v>5</v>
      </c>
      <c r="D269" s="195">
        <v>7.5</v>
      </c>
      <c r="E269" s="195"/>
      <c r="F269" s="195"/>
      <c r="G269" s="195"/>
      <c r="H269" s="195"/>
      <c r="I269" s="195"/>
      <c r="J269" s="195"/>
      <c r="K269" s="195"/>
      <c r="L269" s="195"/>
      <c r="M269" s="195"/>
      <c r="N269" s="195"/>
      <c r="O269" s="195"/>
      <c r="P269" s="195"/>
      <c r="Q269" s="195"/>
      <c r="R269" s="195"/>
      <c r="S269" s="195"/>
      <c r="T269" s="195"/>
      <c r="U269" s="195"/>
      <c r="V269" s="195"/>
    </row>
    <row r="270" spans="1:22" x14ac:dyDescent="0.25">
      <c r="A270" s="125">
        <v>44268</v>
      </c>
      <c r="B270" s="125" t="str">
        <f t="shared" si="16"/>
        <v>Saturday</v>
      </c>
      <c r="C270" s="298">
        <f t="shared" si="17"/>
        <v>6</v>
      </c>
      <c r="D270" s="195"/>
      <c r="E270" s="195"/>
      <c r="F270" s="195"/>
      <c r="G270" s="195"/>
      <c r="H270" s="195"/>
      <c r="I270" s="195"/>
      <c r="J270" s="195"/>
      <c r="K270" s="195"/>
      <c r="L270" s="195"/>
      <c r="M270" s="195"/>
      <c r="N270" s="195"/>
      <c r="O270" s="195"/>
      <c r="P270" s="195"/>
      <c r="Q270" s="195"/>
      <c r="R270" s="195"/>
      <c r="S270" s="195"/>
      <c r="T270" s="195"/>
      <c r="U270" s="195"/>
      <c r="V270" s="195"/>
    </row>
    <row r="271" spans="1:22" x14ac:dyDescent="0.25">
      <c r="A271" s="125">
        <v>44269</v>
      </c>
      <c r="B271" s="125" t="str">
        <f t="shared" si="16"/>
        <v>Sunday</v>
      </c>
      <c r="C271" s="298">
        <f t="shared" si="17"/>
        <v>7</v>
      </c>
      <c r="D271" s="195"/>
      <c r="E271" s="195"/>
      <c r="F271" s="195"/>
      <c r="G271" s="195"/>
      <c r="H271" s="195"/>
      <c r="I271" s="195"/>
      <c r="J271" s="195"/>
      <c r="K271" s="195"/>
      <c r="L271" s="195"/>
      <c r="M271" s="195"/>
      <c r="N271" s="195"/>
      <c r="O271" s="195"/>
      <c r="P271" s="195"/>
      <c r="Q271" s="195"/>
      <c r="R271" s="195"/>
      <c r="S271" s="195"/>
      <c r="T271" s="195"/>
      <c r="U271" s="195"/>
      <c r="V271" s="195"/>
    </row>
    <row r="272" spans="1:22" x14ac:dyDescent="0.25">
      <c r="A272" s="125">
        <v>44270</v>
      </c>
      <c r="B272" s="125" t="str">
        <f t="shared" si="16"/>
        <v>Monday</v>
      </c>
      <c r="C272" s="298">
        <f t="shared" si="17"/>
        <v>1</v>
      </c>
      <c r="D272" s="195">
        <v>7.5</v>
      </c>
      <c r="E272" s="195"/>
      <c r="F272" s="195"/>
      <c r="G272" s="195"/>
      <c r="H272" s="195"/>
      <c r="I272" s="195"/>
      <c r="J272" s="195"/>
      <c r="K272" s="195"/>
      <c r="L272" s="195"/>
      <c r="M272" s="195"/>
      <c r="N272" s="195"/>
      <c r="O272" s="195"/>
      <c r="P272" s="195"/>
      <c r="Q272" s="195"/>
      <c r="R272" s="195"/>
      <c r="S272" s="195"/>
      <c r="T272" s="195"/>
      <c r="U272" s="195"/>
      <c r="V272" s="195"/>
    </row>
    <row r="273" spans="1:22" x14ac:dyDescent="0.25">
      <c r="A273" s="125">
        <v>44271</v>
      </c>
      <c r="B273" s="125" t="str">
        <f t="shared" si="16"/>
        <v>Tuesday</v>
      </c>
      <c r="C273" s="298">
        <f t="shared" si="17"/>
        <v>2</v>
      </c>
      <c r="D273" s="195">
        <v>7.5</v>
      </c>
      <c r="E273" s="195"/>
      <c r="F273" s="195"/>
      <c r="G273" s="195"/>
      <c r="H273" s="195"/>
      <c r="I273" s="195"/>
      <c r="J273" s="195"/>
      <c r="K273" s="195"/>
      <c r="L273" s="195"/>
      <c r="M273" s="195"/>
      <c r="N273" s="195"/>
      <c r="O273" s="195"/>
      <c r="P273" s="195"/>
      <c r="Q273" s="195"/>
      <c r="R273" s="195"/>
      <c r="S273" s="195"/>
      <c r="T273" s="195"/>
      <c r="U273" s="195"/>
      <c r="V273" s="195"/>
    </row>
    <row r="274" spans="1:22" x14ac:dyDescent="0.25">
      <c r="A274" s="125">
        <v>44272</v>
      </c>
      <c r="B274" s="125" t="str">
        <f t="shared" si="16"/>
        <v>Wednesday</v>
      </c>
      <c r="C274" s="298">
        <f t="shared" si="17"/>
        <v>3</v>
      </c>
      <c r="D274" s="195">
        <v>7.5</v>
      </c>
      <c r="E274" s="195"/>
      <c r="F274" s="195"/>
      <c r="G274" s="195"/>
      <c r="H274" s="195"/>
      <c r="I274" s="195"/>
      <c r="J274" s="195"/>
      <c r="K274" s="195"/>
      <c r="L274" s="195"/>
      <c r="M274" s="195"/>
      <c r="N274" s="195"/>
      <c r="O274" s="195"/>
      <c r="P274" s="195"/>
      <c r="Q274" s="195"/>
      <c r="R274" s="195"/>
      <c r="S274" s="195"/>
      <c r="T274" s="195"/>
      <c r="U274" s="195"/>
      <c r="V274" s="195"/>
    </row>
    <row r="275" spans="1:22" x14ac:dyDescent="0.25">
      <c r="A275" s="125">
        <v>44273</v>
      </c>
      <c r="B275" s="125" t="str">
        <f t="shared" si="16"/>
        <v>Thursday</v>
      </c>
      <c r="C275" s="298">
        <f t="shared" si="17"/>
        <v>4</v>
      </c>
      <c r="D275" s="195">
        <v>7.5</v>
      </c>
      <c r="E275" s="195"/>
      <c r="F275" s="195"/>
      <c r="G275" s="195"/>
      <c r="H275" s="195"/>
      <c r="I275" s="195"/>
      <c r="J275" s="195"/>
      <c r="K275" s="195"/>
      <c r="L275" s="195"/>
      <c r="M275" s="195"/>
      <c r="N275" s="195"/>
      <c r="O275" s="195"/>
      <c r="P275" s="195"/>
      <c r="Q275" s="195"/>
      <c r="R275" s="195"/>
      <c r="S275" s="195"/>
      <c r="T275" s="195"/>
      <c r="U275" s="195"/>
      <c r="V275" s="195"/>
    </row>
    <row r="276" spans="1:22" x14ac:dyDescent="0.25">
      <c r="A276" s="125">
        <v>44274</v>
      </c>
      <c r="B276" s="125" t="str">
        <f t="shared" si="16"/>
        <v>Friday</v>
      </c>
      <c r="C276" s="298">
        <f t="shared" si="17"/>
        <v>5</v>
      </c>
      <c r="D276" s="195">
        <v>7.5</v>
      </c>
      <c r="E276" s="195"/>
      <c r="F276" s="195"/>
      <c r="G276" s="195"/>
      <c r="H276" s="195"/>
      <c r="I276" s="195"/>
      <c r="J276" s="195"/>
      <c r="K276" s="195"/>
      <c r="L276" s="195"/>
      <c r="M276" s="195"/>
      <c r="N276" s="195"/>
      <c r="O276" s="195"/>
      <c r="P276" s="195"/>
      <c r="Q276" s="195"/>
      <c r="R276" s="195"/>
      <c r="S276" s="195"/>
      <c r="T276" s="195"/>
      <c r="U276" s="195"/>
      <c r="V276" s="195"/>
    </row>
    <row r="277" spans="1:22" x14ac:dyDescent="0.25">
      <c r="A277" s="125">
        <v>44275</v>
      </c>
      <c r="B277" s="125" t="str">
        <f t="shared" si="16"/>
        <v>Saturday</v>
      </c>
      <c r="C277" s="298">
        <f t="shared" si="17"/>
        <v>6</v>
      </c>
      <c r="D277" s="195"/>
      <c r="E277" s="195"/>
      <c r="F277" s="195"/>
      <c r="G277" s="195"/>
      <c r="H277" s="195"/>
      <c r="I277" s="195"/>
      <c r="J277" s="195"/>
      <c r="K277" s="195"/>
      <c r="L277" s="195"/>
      <c r="M277" s="195"/>
      <c r="N277" s="195"/>
      <c r="O277" s="195"/>
      <c r="P277" s="195"/>
      <c r="Q277" s="195"/>
      <c r="R277" s="195"/>
      <c r="S277" s="195"/>
      <c r="T277" s="195"/>
      <c r="U277" s="195"/>
      <c r="V277" s="195"/>
    </row>
    <row r="278" spans="1:22" x14ac:dyDescent="0.25">
      <c r="A278" s="125">
        <v>44276</v>
      </c>
      <c r="B278" s="125" t="str">
        <f t="shared" si="16"/>
        <v>Sunday</v>
      </c>
      <c r="C278" s="298">
        <f t="shared" si="17"/>
        <v>7</v>
      </c>
      <c r="D278" s="195"/>
      <c r="E278" s="195"/>
      <c r="F278" s="195"/>
      <c r="G278" s="195"/>
      <c r="H278" s="195"/>
      <c r="I278" s="195"/>
      <c r="J278" s="195"/>
      <c r="K278" s="195"/>
      <c r="L278" s="195"/>
      <c r="M278" s="195"/>
      <c r="N278" s="195"/>
      <c r="O278" s="195"/>
      <c r="P278" s="195"/>
      <c r="Q278" s="195"/>
      <c r="R278" s="195"/>
      <c r="S278" s="195"/>
      <c r="T278" s="195"/>
      <c r="U278" s="195"/>
      <c r="V278" s="195"/>
    </row>
    <row r="279" spans="1:22" x14ac:dyDescent="0.25">
      <c r="A279" s="125">
        <v>44277</v>
      </c>
      <c r="B279" s="125" t="str">
        <f t="shared" si="16"/>
        <v>Monday</v>
      </c>
      <c r="C279" s="298">
        <f t="shared" si="17"/>
        <v>1</v>
      </c>
      <c r="D279" s="195">
        <v>7.5</v>
      </c>
      <c r="E279" s="195"/>
      <c r="F279" s="195"/>
      <c r="G279" s="195"/>
      <c r="H279" s="195"/>
      <c r="I279" s="195"/>
      <c r="J279" s="195"/>
      <c r="K279" s="195"/>
      <c r="L279" s="195"/>
      <c r="M279" s="195"/>
      <c r="N279" s="195"/>
      <c r="O279" s="195"/>
      <c r="P279" s="195"/>
      <c r="Q279" s="195"/>
      <c r="R279" s="195"/>
      <c r="S279" s="195"/>
      <c r="T279" s="195"/>
      <c r="U279" s="195"/>
      <c r="V279" s="195"/>
    </row>
    <row r="280" spans="1:22" x14ac:dyDescent="0.25">
      <c r="A280" s="125">
        <v>44278</v>
      </c>
      <c r="B280" s="125" t="str">
        <f t="shared" si="16"/>
        <v>Tuesday</v>
      </c>
      <c r="C280" s="298">
        <f t="shared" si="17"/>
        <v>2</v>
      </c>
      <c r="D280" s="195">
        <v>7.5</v>
      </c>
      <c r="E280" s="195"/>
      <c r="F280" s="195"/>
      <c r="G280" s="195"/>
      <c r="H280" s="195"/>
      <c r="I280" s="195"/>
      <c r="J280" s="195"/>
      <c r="K280" s="195"/>
      <c r="L280" s="195"/>
      <c r="M280" s="195"/>
      <c r="N280" s="195"/>
      <c r="O280" s="195"/>
      <c r="P280" s="195"/>
      <c r="Q280" s="195"/>
      <c r="R280" s="195"/>
      <c r="S280" s="195"/>
      <c r="T280" s="195"/>
      <c r="U280" s="195"/>
      <c r="V280" s="195"/>
    </row>
    <row r="281" spans="1:22" x14ac:dyDescent="0.25">
      <c r="A281" s="125">
        <v>44279</v>
      </c>
      <c r="B281" s="125" t="str">
        <f t="shared" si="16"/>
        <v>Wednesday</v>
      </c>
      <c r="C281" s="298">
        <f t="shared" si="17"/>
        <v>3</v>
      </c>
      <c r="D281" s="195">
        <v>7.5</v>
      </c>
      <c r="E281" s="195"/>
      <c r="F281" s="195"/>
      <c r="G281" s="195"/>
      <c r="H281" s="195"/>
      <c r="I281" s="195"/>
      <c r="J281" s="195"/>
      <c r="K281" s="195"/>
      <c r="L281" s="195"/>
      <c r="M281" s="195"/>
      <c r="N281" s="195"/>
      <c r="O281" s="195"/>
      <c r="P281" s="195"/>
      <c r="Q281" s="195"/>
      <c r="R281" s="195"/>
      <c r="S281" s="195"/>
      <c r="T281" s="195"/>
      <c r="U281" s="195"/>
      <c r="V281" s="195"/>
    </row>
    <row r="282" spans="1:22" x14ac:dyDescent="0.25">
      <c r="A282" s="125">
        <v>44280</v>
      </c>
      <c r="B282" s="125" t="str">
        <f t="shared" si="16"/>
        <v>Thursday</v>
      </c>
      <c r="C282" s="298">
        <f t="shared" si="17"/>
        <v>4</v>
      </c>
      <c r="D282" s="195">
        <v>7.5</v>
      </c>
      <c r="E282" s="195"/>
      <c r="F282" s="195"/>
      <c r="G282" s="195"/>
      <c r="H282" s="195"/>
      <c r="I282" s="195"/>
      <c r="J282" s="195"/>
      <c r="K282" s="195"/>
      <c r="L282" s="195"/>
      <c r="M282" s="195"/>
      <c r="N282" s="195"/>
      <c r="O282" s="195"/>
      <c r="P282" s="195"/>
      <c r="Q282" s="195"/>
      <c r="R282" s="195"/>
      <c r="S282" s="195"/>
      <c r="T282" s="195"/>
      <c r="U282" s="195"/>
      <c r="V282" s="195"/>
    </row>
    <row r="283" spans="1:22" x14ac:dyDescent="0.25">
      <c r="A283" s="125">
        <v>44281</v>
      </c>
      <c r="B283" s="125" t="str">
        <f t="shared" si="16"/>
        <v>Friday</v>
      </c>
      <c r="C283" s="298">
        <f t="shared" si="17"/>
        <v>5</v>
      </c>
      <c r="D283" s="195">
        <v>7.5</v>
      </c>
      <c r="E283" s="195"/>
      <c r="F283" s="195"/>
      <c r="G283" s="195"/>
      <c r="H283" s="195"/>
      <c r="I283" s="195"/>
      <c r="J283" s="195"/>
      <c r="K283" s="195"/>
      <c r="L283" s="195"/>
      <c r="M283" s="195"/>
      <c r="N283" s="195"/>
      <c r="O283" s="195"/>
      <c r="P283" s="195"/>
      <c r="Q283" s="195"/>
      <c r="R283" s="195"/>
      <c r="S283" s="195"/>
      <c r="T283" s="195"/>
      <c r="U283" s="195"/>
      <c r="V283" s="195"/>
    </row>
    <row r="284" spans="1:22" x14ac:dyDescent="0.25">
      <c r="A284" s="125">
        <v>44282</v>
      </c>
      <c r="B284" s="125" t="str">
        <f t="shared" si="16"/>
        <v>Saturday</v>
      </c>
      <c r="C284" s="298">
        <f t="shared" si="17"/>
        <v>6</v>
      </c>
      <c r="D284" s="195"/>
      <c r="E284" s="195"/>
      <c r="F284" s="195"/>
      <c r="G284" s="195"/>
      <c r="H284" s="195"/>
      <c r="I284" s="195"/>
      <c r="J284" s="195"/>
      <c r="K284" s="195"/>
      <c r="L284" s="195"/>
      <c r="M284" s="195"/>
      <c r="N284" s="195"/>
      <c r="O284" s="195"/>
      <c r="P284" s="195"/>
      <c r="Q284" s="195"/>
      <c r="R284" s="195"/>
      <c r="S284" s="195"/>
      <c r="T284" s="195"/>
      <c r="U284" s="195"/>
      <c r="V284" s="195"/>
    </row>
    <row r="285" spans="1:22" x14ac:dyDescent="0.25">
      <c r="A285" s="125">
        <v>44283</v>
      </c>
      <c r="B285" s="125" t="str">
        <f t="shared" si="16"/>
        <v>Sunday</v>
      </c>
      <c r="C285" s="298">
        <f t="shared" si="17"/>
        <v>7</v>
      </c>
      <c r="D285" s="195"/>
      <c r="E285" s="195"/>
      <c r="F285" s="195"/>
      <c r="G285" s="195"/>
      <c r="H285" s="195"/>
      <c r="I285" s="195"/>
      <c r="J285" s="195"/>
      <c r="K285" s="195"/>
      <c r="L285" s="195"/>
      <c r="M285" s="195"/>
      <c r="N285" s="195"/>
      <c r="O285" s="195"/>
      <c r="P285" s="195"/>
      <c r="Q285" s="195"/>
      <c r="R285" s="195"/>
      <c r="S285" s="195"/>
      <c r="T285" s="195"/>
      <c r="U285" s="195"/>
      <c r="V285" s="195"/>
    </row>
    <row r="286" spans="1:22" x14ac:dyDescent="0.25">
      <c r="A286" s="125">
        <v>44284</v>
      </c>
      <c r="B286" s="125" t="str">
        <f t="shared" si="16"/>
        <v>Monday</v>
      </c>
      <c r="C286" s="298">
        <f t="shared" si="17"/>
        <v>1</v>
      </c>
      <c r="D286" s="195">
        <v>7.5</v>
      </c>
      <c r="E286" s="195"/>
      <c r="F286" s="195"/>
      <c r="G286" s="195"/>
      <c r="H286" s="195"/>
      <c r="I286" s="195"/>
      <c r="J286" s="195"/>
      <c r="K286" s="195"/>
      <c r="L286" s="195"/>
      <c r="M286" s="195"/>
      <c r="N286" s="195"/>
      <c r="O286" s="195"/>
      <c r="P286" s="195"/>
      <c r="Q286" s="195"/>
      <c r="R286" s="195"/>
      <c r="S286" s="195"/>
      <c r="T286" s="195"/>
      <c r="U286" s="195"/>
      <c r="V286" s="195"/>
    </row>
    <row r="287" spans="1:22" x14ac:dyDescent="0.25">
      <c r="A287" s="125">
        <v>44285</v>
      </c>
      <c r="B287" s="125" t="str">
        <f t="shared" si="16"/>
        <v>Tuesday</v>
      </c>
      <c r="C287" s="298">
        <f t="shared" si="17"/>
        <v>2</v>
      </c>
      <c r="D287" s="195">
        <v>7.5</v>
      </c>
      <c r="E287" s="195"/>
      <c r="F287" s="195"/>
      <c r="G287" s="195"/>
      <c r="H287" s="195"/>
      <c r="I287" s="195"/>
      <c r="J287" s="195"/>
      <c r="K287" s="195"/>
      <c r="L287" s="195"/>
      <c r="M287" s="195"/>
      <c r="N287" s="195"/>
      <c r="O287" s="195"/>
      <c r="P287" s="195"/>
      <c r="Q287" s="195"/>
      <c r="R287" s="195"/>
      <c r="S287" s="195"/>
      <c r="T287" s="195"/>
      <c r="U287" s="195"/>
      <c r="V287" s="195"/>
    </row>
    <row r="288" spans="1:22" x14ac:dyDescent="0.25">
      <c r="A288" s="125">
        <v>44286</v>
      </c>
      <c r="B288" s="125" t="str">
        <f t="shared" si="16"/>
        <v>Wednesday</v>
      </c>
      <c r="C288" s="298">
        <f t="shared" si="17"/>
        <v>3</v>
      </c>
      <c r="D288" s="300">
        <v>7.5</v>
      </c>
      <c r="E288" s="300"/>
      <c r="F288" s="300"/>
      <c r="G288" s="300"/>
      <c r="H288" s="300"/>
      <c r="I288" s="300"/>
      <c r="J288" s="300"/>
      <c r="K288" s="300"/>
      <c r="L288" s="300"/>
      <c r="M288" s="300"/>
      <c r="N288" s="300"/>
      <c r="O288" s="300"/>
      <c r="P288" s="300"/>
      <c r="Q288" s="300"/>
      <c r="R288" s="300"/>
      <c r="S288" s="300"/>
      <c r="T288" s="300"/>
      <c r="U288" s="300"/>
      <c r="V288" s="300"/>
    </row>
    <row r="289" spans="1:22" x14ac:dyDescent="0.25">
      <c r="A289" s="301" t="s">
        <v>224</v>
      </c>
      <c r="B289" s="302"/>
      <c r="C289" s="303"/>
      <c r="D289" s="304">
        <f>SUM(D258:D288)</f>
        <v>172.5</v>
      </c>
      <c r="E289" s="304">
        <f t="shared" ref="E289:V289" si="18">SUM(E258:E288)</f>
        <v>0</v>
      </c>
      <c r="F289" s="304">
        <f t="shared" si="18"/>
        <v>0</v>
      </c>
      <c r="G289" s="304">
        <f t="shared" si="18"/>
        <v>0</v>
      </c>
      <c r="H289" s="304">
        <f t="shared" si="18"/>
        <v>0</v>
      </c>
      <c r="I289" s="304">
        <f t="shared" si="18"/>
        <v>0</v>
      </c>
      <c r="J289" s="304">
        <f t="shared" si="18"/>
        <v>0</v>
      </c>
      <c r="K289" s="304">
        <f t="shared" si="18"/>
        <v>0</v>
      </c>
      <c r="L289" s="304">
        <f t="shared" si="18"/>
        <v>0</v>
      </c>
      <c r="M289" s="304">
        <f t="shared" si="18"/>
        <v>0</v>
      </c>
      <c r="N289" s="304">
        <f t="shared" si="18"/>
        <v>0</v>
      </c>
      <c r="O289" s="304">
        <f t="shared" si="18"/>
        <v>0</v>
      </c>
      <c r="P289" s="304">
        <f t="shared" si="18"/>
        <v>0</v>
      </c>
      <c r="Q289" s="304">
        <f t="shared" si="18"/>
        <v>0</v>
      </c>
      <c r="R289" s="304">
        <f t="shared" si="18"/>
        <v>0</v>
      </c>
      <c r="S289" s="304">
        <f t="shared" si="18"/>
        <v>0</v>
      </c>
      <c r="T289" s="304">
        <f t="shared" si="18"/>
        <v>0</v>
      </c>
      <c r="U289" s="304">
        <f t="shared" si="18"/>
        <v>0</v>
      </c>
      <c r="V289" s="304">
        <f t="shared" si="18"/>
        <v>0</v>
      </c>
    </row>
    <row r="290" spans="1:22" x14ac:dyDescent="0.25">
      <c r="A290" s="125">
        <v>44287</v>
      </c>
      <c r="B290" s="125" t="str">
        <f t="shared" si="16"/>
        <v>Thursday</v>
      </c>
      <c r="C290" s="298">
        <f t="shared" si="17"/>
        <v>4</v>
      </c>
      <c r="D290" s="195">
        <v>7.5</v>
      </c>
      <c r="E290" s="195"/>
      <c r="F290" s="195"/>
      <c r="G290" s="195"/>
      <c r="H290" s="195"/>
      <c r="I290" s="195"/>
      <c r="J290" s="195"/>
      <c r="K290" s="195"/>
      <c r="L290" s="195"/>
      <c r="M290" s="195"/>
      <c r="N290" s="195"/>
      <c r="O290" s="195"/>
      <c r="P290" s="195"/>
      <c r="Q290" s="195"/>
      <c r="R290" s="195"/>
      <c r="S290" s="195"/>
      <c r="T290" s="195"/>
      <c r="U290" s="195"/>
      <c r="V290" s="195"/>
    </row>
    <row r="291" spans="1:22" x14ac:dyDescent="0.25">
      <c r="A291" s="125">
        <v>44288</v>
      </c>
      <c r="B291" s="125" t="str">
        <f t="shared" si="16"/>
        <v>Friday</v>
      </c>
      <c r="C291" s="298">
        <f t="shared" si="17"/>
        <v>5</v>
      </c>
      <c r="D291" s="195">
        <v>7.5</v>
      </c>
      <c r="E291" s="195"/>
      <c r="F291" s="195"/>
      <c r="G291" s="195"/>
      <c r="H291" s="195"/>
      <c r="I291" s="195"/>
      <c r="J291" s="195"/>
      <c r="K291" s="195"/>
      <c r="L291" s="195"/>
      <c r="M291" s="195"/>
      <c r="N291" s="195"/>
      <c r="O291" s="195"/>
      <c r="P291" s="195"/>
      <c r="Q291" s="195"/>
      <c r="R291" s="195"/>
      <c r="S291" s="195"/>
      <c r="T291" s="195"/>
      <c r="U291" s="195"/>
      <c r="V291" s="195"/>
    </row>
    <row r="292" spans="1:22" x14ac:dyDescent="0.25">
      <c r="A292" s="125">
        <v>44289</v>
      </c>
      <c r="B292" s="125" t="str">
        <f t="shared" si="16"/>
        <v>Saturday</v>
      </c>
      <c r="C292" s="298">
        <f t="shared" si="17"/>
        <v>6</v>
      </c>
      <c r="D292" s="195"/>
      <c r="E292" s="195"/>
      <c r="F292" s="195"/>
      <c r="G292" s="195"/>
      <c r="H292" s="195"/>
      <c r="I292" s="195"/>
      <c r="J292" s="195"/>
      <c r="K292" s="195"/>
      <c r="L292" s="195"/>
      <c r="M292" s="195"/>
      <c r="N292" s="195"/>
      <c r="O292" s="195"/>
      <c r="P292" s="195"/>
      <c r="Q292" s="195"/>
      <c r="R292" s="195"/>
      <c r="S292" s="195"/>
      <c r="T292" s="195"/>
      <c r="U292" s="195"/>
      <c r="V292" s="195"/>
    </row>
    <row r="293" spans="1:22" x14ac:dyDescent="0.25">
      <c r="A293" s="125">
        <v>44290</v>
      </c>
      <c r="B293" s="125" t="str">
        <f t="shared" si="16"/>
        <v>Sunday</v>
      </c>
      <c r="C293" s="298">
        <f t="shared" si="17"/>
        <v>7</v>
      </c>
      <c r="D293" s="195"/>
      <c r="E293" s="195"/>
      <c r="F293" s="195"/>
      <c r="G293" s="195"/>
      <c r="H293" s="195"/>
      <c r="I293" s="195"/>
      <c r="J293" s="195"/>
      <c r="K293" s="195"/>
      <c r="L293" s="195"/>
      <c r="M293" s="195"/>
      <c r="N293" s="195"/>
      <c r="O293" s="195"/>
      <c r="P293" s="195"/>
      <c r="Q293" s="195"/>
      <c r="R293" s="195"/>
      <c r="S293" s="195"/>
      <c r="T293" s="195"/>
      <c r="U293" s="195"/>
      <c r="V293" s="195"/>
    </row>
    <row r="294" spans="1:22" x14ac:dyDescent="0.25">
      <c r="A294" s="125">
        <v>44291</v>
      </c>
      <c r="B294" s="125" t="str">
        <f t="shared" si="16"/>
        <v>Monday</v>
      </c>
      <c r="C294" s="298">
        <f t="shared" si="17"/>
        <v>1</v>
      </c>
      <c r="D294" s="195">
        <v>7.5</v>
      </c>
      <c r="E294" s="195"/>
      <c r="F294" s="195"/>
      <c r="G294" s="195"/>
      <c r="H294" s="195"/>
      <c r="I294" s="195"/>
      <c r="J294" s="195"/>
      <c r="K294" s="195"/>
      <c r="L294" s="195"/>
      <c r="M294" s="195"/>
      <c r="N294" s="195"/>
      <c r="O294" s="195"/>
      <c r="P294" s="195"/>
      <c r="Q294" s="195"/>
      <c r="R294" s="195"/>
      <c r="S294" s="195"/>
      <c r="T294" s="195"/>
      <c r="U294" s="195"/>
      <c r="V294" s="195"/>
    </row>
    <row r="295" spans="1:22" x14ac:dyDescent="0.25">
      <c r="A295" s="125">
        <v>44292</v>
      </c>
      <c r="B295" s="125" t="str">
        <f t="shared" si="16"/>
        <v>Tuesday</v>
      </c>
      <c r="C295" s="298">
        <f t="shared" si="17"/>
        <v>2</v>
      </c>
      <c r="D295" s="195">
        <v>7.5</v>
      </c>
      <c r="E295" s="195"/>
      <c r="F295" s="195"/>
      <c r="G295" s="195"/>
      <c r="H295" s="195"/>
      <c r="I295" s="195"/>
      <c r="J295" s="195"/>
      <c r="K295" s="195"/>
      <c r="L295" s="195"/>
      <c r="M295" s="195"/>
      <c r="N295" s="195"/>
      <c r="O295" s="195"/>
      <c r="P295" s="195"/>
      <c r="Q295" s="195"/>
      <c r="R295" s="195"/>
      <c r="S295" s="195"/>
      <c r="T295" s="195"/>
      <c r="U295" s="195"/>
      <c r="V295" s="195"/>
    </row>
    <row r="296" spans="1:22" x14ac:dyDescent="0.25">
      <c r="A296" s="125">
        <v>44293</v>
      </c>
      <c r="B296" s="125" t="str">
        <f t="shared" si="16"/>
        <v>Wednesday</v>
      </c>
      <c r="C296" s="298">
        <f t="shared" si="17"/>
        <v>3</v>
      </c>
      <c r="D296" s="195">
        <v>7.5</v>
      </c>
      <c r="E296" s="195"/>
      <c r="F296" s="195"/>
      <c r="G296" s="195"/>
      <c r="H296" s="195"/>
      <c r="I296" s="195"/>
      <c r="J296" s="195"/>
      <c r="K296" s="195"/>
      <c r="L296" s="195"/>
      <c r="M296" s="195"/>
      <c r="N296" s="195"/>
      <c r="O296" s="195"/>
      <c r="P296" s="195"/>
      <c r="Q296" s="195"/>
      <c r="R296" s="195"/>
      <c r="S296" s="195"/>
      <c r="T296" s="195"/>
      <c r="U296" s="195"/>
      <c r="V296" s="195"/>
    </row>
    <row r="297" spans="1:22" x14ac:dyDescent="0.25">
      <c r="A297" s="125">
        <v>44294</v>
      </c>
      <c r="B297" s="125" t="str">
        <f t="shared" si="16"/>
        <v>Thursday</v>
      </c>
      <c r="C297" s="298">
        <f t="shared" si="17"/>
        <v>4</v>
      </c>
      <c r="D297" s="195">
        <v>7.5</v>
      </c>
      <c r="E297" s="195"/>
      <c r="F297" s="195"/>
      <c r="G297" s="195"/>
      <c r="H297" s="195"/>
      <c r="I297" s="195"/>
      <c r="J297" s="195"/>
      <c r="K297" s="195"/>
      <c r="L297" s="195"/>
      <c r="M297" s="195"/>
      <c r="N297" s="195"/>
      <c r="O297" s="195"/>
      <c r="P297" s="195"/>
      <c r="Q297" s="195"/>
      <c r="R297" s="195"/>
      <c r="S297" s="195"/>
      <c r="T297" s="195"/>
      <c r="U297" s="195"/>
      <c r="V297" s="195"/>
    </row>
    <row r="298" spans="1:22" x14ac:dyDescent="0.25">
      <c r="A298" s="125">
        <v>44295</v>
      </c>
      <c r="B298" s="125" t="str">
        <f t="shared" si="16"/>
        <v>Friday</v>
      </c>
      <c r="C298" s="298">
        <f t="shared" si="17"/>
        <v>5</v>
      </c>
      <c r="D298" s="195">
        <v>7.5</v>
      </c>
      <c r="E298" s="195"/>
      <c r="F298" s="195"/>
      <c r="G298" s="195"/>
      <c r="H298" s="195"/>
      <c r="I298" s="195"/>
      <c r="J298" s="195"/>
      <c r="K298" s="195"/>
      <c r="L298" s="195"/>
      <c r="M298" s="195"/>
      <c r="N298" s="195"/>
      <c r="O298" s="195"/>
      <c r="P298" s="195"/>
      <c r="Q298" s="195"/>
      <c r="R298" s="195"/>
      <c r="S298" s="195"/>
      <c r="T298" s="195"/>
      <c r="U298" s="195"/>
      <c r="V298" s="195"/>
    </row>
    <row r="299" spans="1:22" x14ac:dyDescent="0.25">
      <c r="A299" s="125">
        <v>44296</v>
      </c>
      <c r="B299" s="125" t="str">
        <f t="shared" si="16"/>
        <v>Saturday</v>
      </c>
      <c r="C299" s="298">
        <f t="shared" si="17"/>
        <v>6</v>
      </c>
      <c r="D299" s="195"/>
      <c r="E299" s="195"/>
      <c r="F299" s="195"/>
      <c r="G299" s="195"/>
      <c r="H299" s="195"/>
      <c r="I299" s="195"/>
      <c r="J299" s="195"/>
      <c r="K299" s="195"/>
      <c r="L299" s="195"/>
      <c r="M299" s="195"/>
      <c r="N299" s="195"/>
      <c r="O299" s="195"/>
      <c r="P299" s="195"/>
      <c r="Q299" s="195"/>
      <c r="R299" s="195"/>
      <c r="S299" s="195"/>
      <c r="T299" s="195"/>
      <c r="U299" s="195"/>
      <c r="V299" s="195"/>
    </row>
    <row r="300" spans="1:22" x14ac:dyDescent="0.25">
      <c r="A300" s="125">
        <v>44297</v>
      </c>
      <c r="B300" s="125" t="str">
        <f t="shared" si="16"/>
        <v>Sunday</v>
      </c>
      <c r="C300" s="298">
        <f t="shared" si="17"/>
        <v>7</v>
      </c>
      <c r="D300" s="195"/>
      <c r="E300" s="195"/>
      <c r="F300" s="195"/>
      <c r="G300" s="195"/>
      <c r="H300" s="195"/>
      <c r="I300" s="195"/>
      <c r="J300" s="195"/>
      <c r="K300" s="195"/>
      <c r="L300" s="195"/>
      <c r="M300" s="195"/>
      <c r="N300" s="195"/>
      <c r="O300" s="195"/>
      <c r="P300" s="195"/>
      <c r="Q300" s="195"/>
      <c r="R300" s="195"/>
      <c r="S300" s="195"/>
      <c r="T300" s="195"/>
      <c r="U300" s="195"/>
      <c r="V300" s="195"/>
    </row>
    <row r="301" spans="1:22" x14ac:dyDescent="0.25">
      <c r="A301" s="125">
        <v>44298</v>
      </c>
      <c r="B301" s="125" t="str">
        <f t="shared" si="16"/>
        <v>Monday</v>
      </c>
      <c r="C301" s="298">
        <f t="shared" si="17"/>
        <v>1</v>
      </c>
      <c r="D301" s="195">
        <v>7.5</v>
      </c>
      <c r="E301" s="195"/>
      <c r="F301" s="195"/>
      <c r="G301" s="195"/>
      <c r="H301" s="195"/>
      <c r="I301" s="195"/>
      <c r="J301" s="195"/>
      <c r="K301" s="195"/>
      <c r="L301" s="195"/>
      <c r="M301" s="195"/>
      <c r="N301" s="195"/>
      <c r="O301" s="195"/>
      <c r="P301" s="195"/>
      <c r="Q301" s="195"/>
      <c r="R301" s="195"/>
      <c r="S301" s="195"/>
      <c r="T301" s="195"/>
      <c r="U301" s="195"/>
      <c r="V301" s="195"/>
    </row>
    <row r="302" spans="1:22" x14ac:dyDescent="0.25">
      <c r="A302" s="125">
        <v>44299</v>
      </c>
      <c r="B302" s="125" t="str">
        <f t="shared" si="16"/>
        <v>Tuesday</v>
      </c>
      <c r="C302" s="298">
        <f t="shared" si="17"/>
        <v>2</v>
      </c>
      <c r="D302" s="195">
        <v>7.5</v>
      </c>
      <c r="E302" s="195"/>
      <c r="F302" s="195"/>
      <c r="G302" s="195"/>
      <c r="H302" s="195"/>
      <c r="I302" s="195"/>
      <c r="J302" s="195"/>
      <c r="K302" s="195"/>
      <c r="L302" s="195"/>
      <c r="M302" s="195"/>
      <c r="N302" s="195"/>
      <c r="O302" s="195"/>
      <c r="P302" s="195"/>
      <c r="Q302" s="195"/>
      <c r="R302" s="195"/>
      <c r="S302" s="195"/>
      <c r="T302" s="195"/>
      <c r="U302" s="195"/>
      <c r="V302" s="195"/>
    </row>
    <row r="303" spans="1:22" x14ac:dyDescent="0.25">
      <c r="A303" s="125">
        <v>44300</v>
      </c>
      <c r="B303" s="125" t="str">
        <f t="shared" si="16"/>
        <v>Wednesday</v>
      </c>
      <c r="C303" s="298">
        <f t="shared" si="17"/>
        <v>3</v>
      </c>
      <c r="D303" s="195">
        <v>7.5</v>
      </c>
      <c r="E303" s="195"/>
      <c r="F303" s="195"/>
      <c r="G303" s="195"/>
      <c r="H303" s="195"/>
      <c r="I303" s="195"/>
      <c r="J303" s="195"/>
      <c r="K303" s="195"/>
      <c r="L303" s="195"/>
      <c r="M303" s="195"/>
      <c r="N303" s="195"/>
      <c r="O303" s="195"/>
      <c r="P303" s="195"/>
      <c r="Q303" s="195"/>
      <c r="R303" s="195"/>
      <c r="S303" s="195"/>
      <c r="T303" s="195"/>
      <c r="U303" s="195"/>
      <c r="V303" s="195"/>
    </row>
    <row r="304" spans="1:22" x14ac:dyDescent="0.25">
      <c r="A304" s="125">
        <v>44301</v>
      </c>
      <c r="B304" s="125" t="str">
        <f t="shared" si="16"/>
        <v>Thursday</v>
      </c>
      <c r="C304" s="298">
        <f t="shared" si="17"/>
        <v>4</v>
      </c>
      <c r="D304" s="195">
        <v>7.5</v>
      </c>
      <c r="E304" s="195"/>
      <c r="F304" s="195"/>
      <c r="G304" s="195"/>
      <c r="H304" s="195"/>
      <c r="I304" s="195"/>
      <c r="J304" s="195"/>
      <c r="K304" s="195"/>
      <c r="L304" s="195"/>
      <c r="M304" s="195"/>
      <c r="N304" s="195"/>
      <c r="O304" s="195"/>
      <c r="P304" s="195"/>
      <c r="Q304" s="195"/>
      <c r="R304" s="195"/>
      <c r="S304" s="195"/>
      <c r="T304" s="195"/>
      <c r="U304" s="195"/>
      <c r="V304" s="195"/>
    </row>
    <row r="305" spans="1:22" x14ac:dyDescent="0.25">
      <c r="A305" s="125">
        <v>44302</v>
      </c>
      <c r="B305" s="125" t="str">
        <f t="shared" si="16"/>
        <v>Friday</v>
      </c>
      <c r="C305" s="298">
        <f t="shared" si="17"/>
        <v>5</v>
      </c>
      <c r="D305" s="195">
        <v>7.5</v>
      </c>
      <c r="E305" s="195"/>
      <c r="F305" s="195"/>
      <c r="G305" s="195"/>
      <c r="H305" s="195"/>
      <c r="I305" s="195"/>
      <c r="J305" s="195"/>
      <c r="K305" s="195"/>
      <c r="L305" s="195"/>
      <c r="M305" s="195"/>
      <c r="N305" s="195"/>
      <c r="O305" s="195"/>
      <c r="P305" s="195"/>
      <c r="Q305" s="195"/>
      <c r="R305" s="195"/>
      <c r="S305" s="195"/>
      <c r="T305" s="195"/>
      <c r="U305" s="195"/>
      <c r="V305" s="195"/>
    </row>
    <row r="306" spans="1:22" x14ac:dyDescent="0.25">
      <c r="A306" s="125">
        <v>44303</v>
      </c>
      <c r="B306" s="125" t="str">
        <f t="shared" si="16"/>
        <v>Saturday</v>
      </c>
      <c r="C306" s="298">
        <f t="shared" si="17"/>
        <v>6</v>
      </c>
      <c r="D306" s="195"/>
      <c r="E306" s="195"/>
      <c r="F306" s="195"/>
      <c r="G306" s="195"/>
      <c r="H306" s="195"/>
      <c r="I306" s="195"/>
      <c r="J306" s="195"/>
      <c r="K306" s="195"/>
      <c r="L306" s="195"/>
      <c r="M306" s="195"/>
      <c r="N306" s="195"/>
      <c r="O306" s="195"/>
      <c r="P306" s="195"/>
      <c r="Q306" s="195"/>
      <c r="R306" s="195"/>
      <c r="S306" s="195"/>
      <c r="T306" s="195"/>
      <c r="U306" s="195"/>
      <c r="V306" s="195"/>
    </row>
    <row r="307" spans="1:22" x14ac:dyDescent="0.25">
      <c r="A307" s="125">
        <v>44304</v>
      </c>
      <c r="B307" s="125" t="str">
        <f t="shared" si="16"/>
        <v>Sunday</v>
      </c>
      <c r="C307" s="298">
        <f t="shared" si="17"/>
        <v>7</v>
      </c>
      <c r="D307" s="195"/>
      <c r="E307" s="195"/>
      <c r="F307" s="195"/>
      <c r="G307" s="195"/>
      <c r="H307" s="195"/>
      <c r="I307" s="195"/>
      <c r="J307" s="195"/>
      <c r="K307" s="195"/>
      <c r="L307" s="195"/>
      <c r="M307" s="195"/>
      <c r="N307" s="195"/>
      <c r="O307" s="195"/>
      <c r="P307" s="195"/>
      <c r="Q307" s="195"/>
      <c r="R307" s="195"/>
      <c r="S307" s="195"/>
      <c r="T307" s="195"/>
      <c r="U307" s="195"/>
      <c r="V307" s="195"/>
    </row>
    <row r="308" spans="1:22" x14ac:dyDescent="0.25">
      <c r="A308" s="125">
        <v>44305</v>
      </c>
      <c r="B308" s="125" t="str">
        <f t="shared" si="16"/>
        <v>Monday</v>
      </c>
      <c r="C308" s="298">
        <f t="shared" si="17"/>
        <v>1</v>
      </c>
      <c r="D308" s="195">
        <v>7.5</v>
      </c>
      <c r="E308" s="195"/>
      <c r="F308" s="195"/>
      <c r="G308" s="195"/>
      <c r="H308" s="195"/>
      <c r="I308" s="195"/>
      <c r="J308" s="195"/>
      <c r="K308" s="195"/>
      <c r="L308" s="195"/>
      <c r="M308" s="195"/>
      <c r="N308" s="195"/>
      <c r="O308" s="195"/>
      <c r="P308" s="195"/>
      <c r="Q308" s="195"/>
      <c r="R308" s="195"/>
      <c r="S308" s="195"/>
      <c r="T308" s="195"/>
      <c r="U308" s="195"/>
      <c r="V308" s="195"/>
    </row>
    <row r="309" spans="1:22" x14ac:dyDescent="0.25">
      <c r="A309" s="125">
        <v>44306</v>
      </c>
      <c r="B309" s="125" t="str">
        <f t="shared" si="16"/>
        <v>Tuesday</v>
      </c>
      <c r="C309" s="298">
        <f t="shared" si="17"/>
        <v>2</v>
      </c>
      <c r="D309" s="195">
        <v>7.5</v>
      </c>
      <c r="E309" s="195"/>
      <c r="F309" s="195"/>
      <c r="G309" s="195"/>
      <c r="H309" s="195"/>
      <c r="I309" s="195"/>
      <c r="J309" s="195"/>
      <c r="K309" s="195"/>
      <c r="L309" s="195"/>
      <c r="M309" s="195"/>
      <c r="N309" s="195"/>
      <c r="O309" s="195"/>
      <c r="P309" s="195"/>
      <c r="Q309" s="195"/>
      <c r="R309" s="195"/>
      <c r="S309" s="195"/>
      <c r="T309" s="195"/>
      <c r="U309" s="195"/>
      <c r="V309" s="195"/>
    </row>
    <row r="310" spans="1:22" x14ac:dyDescent="0.25">
      <c r="A310" s="125">
        <v>44307</v>
      </c>
      <c r="B310" s="125" t="str">
        <f t="shared" si="16"/>
        <v>Wednesday</v>
      </c>
      <c r="C310" s="298">
        <f t="shared" si="17"/>
        <v>3</v>
      </c>
      <c r="D310" s="195">
        <v>7.5</v>
      </c>
      <c r="E310" s="195"/>
      <c r="F310" s="195"/>
      <c r="G310" s="195"/>
      <c r="H310" s="195"/>
      <c r="I310" s="195"/>
      <c r="J310" s="195"/>
      <c r="K310" s="195"/>
      <c r="L310" s="195"/>
      <c r="M310" s="195"/>
      <c r="N310" s="195"/>
      <c r="O310" s="195"/>
      <c r="P310" s="195"/>
      <c r="Q310" s="195"/>
      <c r="R310" s="195"/>
      <c r="S310" s="195"/>
      <c r="T310" s="195"/>
      <c r="U310" s="195"/>
      <c r="V310" s="195"/>
    </row>
    <row r="311" spans="1:22" x14ac:dyDescent="0.25">
      <c r="A311" s="125">
        <v>44308</v>
      </c>
      <c r="B311" s="125" t="str">
        <f t="shared" si="16"/>
        <v>Thursday</v>
      </c>
      <c r="C311" s="298">
        <f t="shared" si="17"/>
        <v>4</v>
      </c>
      <c r="D311" s="195">
        <v>7.5</v>
      </c>
      <c r="E311" s="195"/>
      <c r="F311" s="195"/>
      <c r="G311" s="195"/>
      <c r="H311" s="195"/>
      <c r="I311" s="195"/>
      <c r="J311" s="195"/>
      <c r="K311" s="195"/>
      <c r="L311" s="195"/>
      <c r="M311" s="195"/>
      <c r="N311" s="195"/>
      <c r="O311" s="195"/>
      <c r="P311" s="195"/>
      <c r="Q311" s="195"/>
      <c r="R311" s="195"/>
      <c r="S311" s="195"/>
      <c r="T311" s="195"/>
      <c r="U311" s="195"/>
      <c r="V311" s="195"/>
    </row>
    <row r="312" spans="1:22" x14ac:dyDescent="0.25">
      <c r="A312" s="125">
        <v>44309</v>
      </c>
      <c r="B312" s="125" t="str">
        <f t="shared" si="16"/>
        <v>Friday</v>
      </c>
      <c r="C312" s="298">
        <f t="shared" si="17"/>
        <v>5</v>
      </c>
      <c r="D312" s="195">
        <v>7.5</v>
      </c>
      <c r="E312" s="195"/>
      <c r="F312" s="195"/>
      <c r="G312" s="195"/>
      <c r="H312" s="195"/>
      <c r="I312" s="195"/>
      <c r="J312" s="195"/>
      <c r="K312" s="195"/>
      <c r="L312" s="195"/>
      <c r="M312" s="195"/>
      <c r="N312" s="195"/>
      <c r="O312" s="195"/>
      <c r="P312" s="195"/>
      <c r="Q312" s="195"/>
      <c r="R312" s="195"/>
      <c r="S312" s="195"/>
      <c r="T312" s="195"/>
      <c r="U312" s="195"/>
      <c r="V312" s="195"/>
    </row>
    <row r="313" spans="1:22" x14ac:dyDescent="0.25">
      <c r="A313" s="125">
        <v>44310</v>
      </c>
      <c r="B313" s="125" t="str">
        <f t="shared" si="16"/>
        <v>Saturday</v>
      </c>
      <c r="C313" s="298">
        <f t="shared" si="17"/>
        <v>6</v>
      </c>
      <c r="D313" s="195"/>
      <c r="E313" s="195"/>
      <c r="F313" s="195"/>
      <c r="G313" s="195"/>
      <c r="H313" s="195"/>
      <c r="I313" s="195"/>
      <c r="J313" s="195"/>
      <c r="K313" s="195"/>
      <c r="L313" s="195"/>
      <c r="M313" s="195"/>
      <c r="N313" s="195"/>
      <c r="O313" s="195"/>
      <c r="P313" s="195"/>
      <c r="Q313" s="195"/>
      <c r="R313" s="195"/>
      <c r="S313" s="195"/>
      <c r="T313" s="195"/>
      <c r="U313" s="195"/>
      <c r="V313" s="195"/>
    </row>
    <row r="314" spans="1:22" x14ac:dyDescent="0.25">
      <c r="A314" s="125">
        <v>44311</v>
      </c>
      <c r="B314" s="125" t="str">
        <f t="shared" si="16"/>
        <v>Sunday</v>
      </c>
      <c r="C314" s="298">
        <f t="shared" si="17"/>
        <v>7</v>
      </c>
      <c r="D314" s="195"/>
      <c r="E314" s="195"/>
      <c r="F314" s="195"/>
      <c r="G314" s="195"/>
      <c r="H314" s="195"/>
      <c r="I314" s="195"/>
      <c r="J314" s="195"/>
      <c r="K314" s="195"/>
      <c r="L314" s="195"/>
      <c r="M314" s="195"/>
      <c r="N314" s="195"/>
      <c r="O314" s="195"/>
      <c r="P314" s="195"/>
      <c r="Q314" s="195"/>
      <c r="R314" s="195"/>
      <c r="S314" s="195"/>
      <c r="T314" s="195"/>
      <c r="U314" s="195"/>
      <c r="V314" s="195"/>
    </row>
    <row r="315" spans="1:22" x14ac:dyDescent="0.25">
      <c r="A315" s="125">
        <v>44312</v>
      </c>
      <c r="B315" s="125" t="str">
        <f t="shared" si="16"/>
        <v>Monday</v>
      </c>
      <c r="C315" s="298">
        <f t="shared" si="17"/>
        <v>1</v>
      </c>
      <c r="D315" s="195">
        <v>7.5</v>
      </c>
      <c r="E315" s="195"/>
      <c r="F315" s="195"/>
      <c r="G315" s="195"/>
      <c r="H315" s="195"/>
      <c r="I315" s="195"/>
      <c r="J315" s="195"/>
      <c r="K315" s="195"/>
      <c r="L315" s="195"/>
      <c r="M315" s="195"/>
      <c r="N315" s="195"/>
      <c r="O315" s="195"/>
      <c r="P315" s="195"/>
      <c r="Q315" s="195"/>
      <c r="R315" s="195"/>
      <c r="S315" s="195"/>
      <c r="T315" s="195"/>
      <c r="U315" s="195"/>
      <c r="V315" s="195"/>
    </row>
    <row r="316" spans="1:22" x14ac:dyDescent="0.25">
      <c r="A316" s="125">
        <v>44313</v>
      </c>
      <c r="B316" s="125" t="str">
        <f t="shared" si="16"/>
        <v>Tuesday</v>
      </c>
      <c r="C316" s="298">
        <f t="shared" si="17"/>
        <v>2</v>
      </c>
      <c r="D316" s="195">
        <v>7.5</v>
      </c>
      <c r="E316" s="195"/>
      <c r="F316" s="195"/>
      <c r="G316" s="195"/>
      <c r="H316" s="195"/>
      <c r="I316" s="195"/>
      <c r="J316" s="195"/>
      <c r="K316" s="195"/>
      <c r="L316" s="195"/>
      <c r="M316" s="195"/>
      <c r="N316" s="195"/>
      <c r="O316" s="195"/>
      <c r="P316" s="195"/>
      <c r="Q316" s="195"/>
      <c r="R316" s="195"/>
      <c r="S316" s="195"/>
      <c r="T316" s="195"/>
      <c r="U316" s="195"/>
      <c r="V316" s="195"/>
    </row>
    <row r="317" spans="1:22" x14ac:dyDescent="0.25">
      <c r="A317" s="125">
        <v>44314</v>
      </c>
      <c r="B317" s="125" t="str">
        <f t="shared" si="16"/>
        <v>Wednesday</v>
      </c>
      <c r="C317" s="298">
        <f t="shared" si="17"/>
        <v>3</v>
      </c>
      <c r="D317" s="195">
        <v>7.5</v>
      </c>
      <c r="E317" s="195"/>
      <c r="F317" s="195"/>
      <c r="G317" s="195"/>
      <c r="H317" s="195"/>
      <c r="I317" s="195"/>
      <c r="J317" s="195"/>
      <c r="K317" s="195"/>
      <c r="L317" s="195"/>
      <c r="M317" s="195"/>
      <c r="N317" s="195"/>
      <c r="O317" s="195"/>
      <c r="P317" s="195"/>
      <c r="Q317" s="195"/>
      <c r="R317" s="195"/>
      <c r="S317" s="195"/>
      <c r="T317" s="195"/>
      <c r="U317" s="195"/>
      <c r="V317" s="195"/>
    </row>
    <row r="318" spans="1:22" x14ac:dyDescent="0.25">
      <c r="A318" s="125">
        <v>44315</v>
      </c>
      <c r="B318" s="125" t="str">
        <f t="shared" si="16"/>
        <v>Thursday</v>
      </c>
      <c r="C318" s="298">
        <f t="shared" si="17"/>
        <v>4</v>
      </c>
      <c r="D318" s="195">
        <v>7.5</v>
      </c>
      <c r="E318" s="195"/>
      <c r="F318" s="195"/>
      <c r="G318" s="195"/>
      <c r="H318" s="195"/>
      <c r="I318" s="195"/>
      <c r="J318" s="195"/>
      <c r="K318" s="195"/>
      <c r="L318" s="195"/>
      <c r="M318" s="195"/>
      <c r="N318" s="195"/>
      <c r="O318" s="195"/>
      <c r="P318" s="195"/>
      <c r="Q318" s="195"/>
      <c r="R318" s="195"/>
      <c r="S318" s="195"/>
      <c r="T318" s="195"/>
      <c r="U318" s="195"/>
      <c r="V318" s="195"/>
    </row>
    <row r="319" spans="1:22" x14ac:dyDescent="0.25">
      <c r="A319" s="125">
        <v>44316</v>
      </c>
      <c r="B319" s="125" t="str">
        <f t="shared" si="16"/>
        <v>Friday</v>
      </c>
      <c r="C319" s="298">
        <f t="shared" si="17"/>
        <v>5</v>
      </c>
      <c r="D319" s="300">
        <v>7.5</v>
      </c>
      <c r="E319" s="300"/>
      <c r="F319" s="300"/>
      <c r="G319" s="300"/>
      <c r="H319" s="300"/>
      <c r="I319" s="300"/>
      <c r="J319" s="300"/>
      <c r="K319" s="300"/>
      <c r="L319" s="300"/>
      <c r="M319" s="300"/>
      <c r="N319" s="300"/>
      <c r="O319" s="300"/>
      <c r="P319" s="300"/>
      <c r="Q319" s="300"/>
      <c r="R319" s="300"/>
      <c r="S319" s="300"/>
      <c r="T319" s="300"/>
      <c r="U319" s="300"/>
      <c r="V319" s="300"/>
    </row>
    <row r="320" spans="1:22" x14ac:dyDescent="0.25">
      <c r="A320" s="301" t="s">
        <v>224</v>
      </c>
      <c r="B320" s="302"/>
      <c r="C320" s="303"/>
      <c r="D320" s="304">
        <f>SUM(D290:D319)</f>
        <v>165</v>
      </c>
      <c r="E320" s="304">
        <f t="shared" ref="E320:V320" si="19">SUM(E290:E319)</f>
        <v>0</v>
      </c>
      <c r="F320" s="304">
        <f t="shared" si="19"/>
        <v>0</v>
      </c>
      <c r="G320" s="304">
        <f t="shared" si="19"/>
        <v>0</v>
      </c>
      <c r="H320" s="304">
        <f t="shared" si="19"/>
        <v>0</v>
      </c>
      <c r="I320" s="304">
        <f t="shared" si="19"/>
        <v>0</v>
      </c>
      <c r="J320" s="304">
        <f t="shared" si="19"/>
        <v>0</v>
      </c>
      <c r="K320" s="304">
        <f t="shared" si="19"/>
        <v>0</v>
      </c>
      <c r="L320" s="304">
        <f t="shared" si="19"/>
        <v>0</v>
      </c>
      <c r="M320" s="304">
        <f t="shared" si="19"/>
        <v>0</v>
      </c>
      <c r="N320" s="304">
        <f t="shared" si="19"/>
        <v>0</v>
      </c>
      <c r="O320" s="304">
        <f t="shared" si="19"/>
        <v>0</v>
      </c>
      <c r="P320" s="304">
        <f t="shared" si="19"/>
        <v>0</v>
      </c>
      <c r="Q320" s="304">
        <f t="shared" si="19"/>
        <v>0</v>
      </c>
      <c r="R320" s="304">
        <f t="shared" si="19"/>
        <v>0</v>
      </c>
      <c r="S320" s="304">
        <f t="shared" si="19"/>
        <v>0</v>
      </c>
      <c r="T320" s="304">
        <f t="shared" si="19"/>
        <v>0</v>
      </c>
      <c r="U320" s="304">
        <f t="shared" si="19"/>
        <v>0</v>
      </c>
      <c r="V320" s="304">
        <f t="shared" si="19"/>
        <v>0</v>
      </c>
    </row>
    <row r="321" spans="1:22" x14ac:dyDescent="0.25">
      <c r="A321" s="125">
        <v>44317</v>
      </c>
      <c r="B321" s="125" t="str">
        <f t="shared" si="16"/>
        <v>Saturday</v>
      </c>
      <c r="C321" s="298">
        <f t="shared" si="17"/>
        <v>6</v>
      </c>
      <c r="D321" s="195"/>
      <c r="E321" s="195"/>
      <c r="F321" s="195"/>
      <c r="G321" s="195"/>
      <c r="H321" s="195"/>
      <c r="I321" s="195"/>
      <c r="J321" s="195"/>
      <c r="K321" s="195"/>
      <c r="L321" s="195"/>
      <c r="M321" s="195"/>
      <c r="N321" s="195"/>
      <c r="O321" s="195"/>
      <c r="P321" s="195"/>
      <c r="Q321" s="195"/>
      <c r="R321" s="195"/>
      <c r="S321" s="195"/>
      <c r="T321" s="195"/>
      <c r="U321" s="195"/>
      <c r="V321" s="195"/>
    </row>
    <row r="322" spans="1:22" x14ac:dyDescent="0.25">
      <c r="A322" s="125">
        <v>44318</v>
      </c>
      <c r="B322" s="125" t="str">
        <f t="shared" si="16"/>
        <v>Sunday</v>
      </c>
      <c r="C322" s="298">
        <f t="shared" si="17"/>
        <v>7</v>
      </c>
      <c r="D322" s="195"/>
      <c r="E322" s="195"/>
      <c r="F322" s="195"/>
      <c r="G322" s="195"/>
      <c r="H322" s="195"/>
      <c r="I322" s="195"/>
      <c r="J322" s="195"/>
      <c r="K322" s="195"/>
      <c r="L322" s="195"/>
      <c r="M322" s="195"/>
      <c r="N322" s="195"/>
      <c r="O322" s="195"/>
      <c r="P322" s="195"/>
      <c r="Q322" s="195"/>
      <c r="R322" s="195"/>
      <c r="S322" s="195"/>
      <c r="T322" s="195"/>
      <c r="U322" s="195"/>
      <c r="V322" s="195"/>
    </row>
    <row r="323" spans="1:22" x14ac:dyDescent="0.25">
      <c r="A323" s="125">
        <v>44319</v>
      </c>
      <c r="B323" s="125" t="str">
        <f t="shared" si="16"/>
        <v>Monday</v>
      </c>
      <c r="C323" s="298">
        <f t="shared" si="17"/>
        <v>1</v>
      </c>
      <c r="D323" s="195">
        <v>7.5</v>
      </c>
      <c r="E323" s="195"/>
      <c r="F323" s="195"/>
      <c r="G323" s="195"/>
      <c r="H323" s="195"/>
      <c r="I323" s="195"/>
      <c r="J323" s="195"/>
      <c r="K323" s="195"/>
      <c r="L323" s="195"/>
      <c r="M323" s="195"/>
      <c r="N323" s="195"/>
      <c r="O323" s="195"/>
      <c r="P323" s="195"/>
      <c r="Q323" s="195"/>
      <c r="R323" s="195"/>
      <c r="S323" s="195"/>
      <c r="T323" s="195"/>
      <c r="U323" s="195"/>
      <c r="V323" s="195"/>
    </row>
    <row r="324" spans="1:22" x14ac:dyDescent="0.25">
      <c r="A324" s="125">
        <v>44320</v>
      </c>
      <c r="B324" s="125" t="str">
        <f t="shared" si="16"/>
        <v>Tuesday</v>
      </c>
      <c r="C324" s="298">
        <f t="shared" si="17"/>
        <v>2</v>
      </c>
      <c r="D324" s="195">
        <v>7.5</v>
      </c>
      <c r="E324" s="195"/>
      <c r="F324" s="195"/>
      <c r="G324" s="195"/>
      <c r="H324" s="195"/>
      <c r="I324" s="195"/>
      <c r="J324" s="195"/>
      <c r="K324" s="195"/>
      <c r="L324" s="195"/>
      <c r="M324" s="195"/>
      <c r="N324" s="195"/>
      <c r="O324" s="195"/>
      <c r="P324" s="195"/>
      <c r="Q324" s="195"/>
      <c r="R324" s="195"/>
      <c r="S324" s="195"/>
      <c r="T324" s="195"/>
      <c r="U324" s="195"/>
      <c r="V324" s="195"/>
    </row>
    <row r="325" spans="1:22" x14ac:dyDescent="0.25">
      <c r="A325" s="125">
        <v>44321</v>
      </c>
      <c r="B325" s="125" t="str">
        <f t="shared" si="16"/>
        <v>Wednesday</v>
      </c>
      <c r="C325" s="298">
        <f t="shared" si="17"/>
        <v>3</v>
      </c>
      <c r="D325" s="195">
        <v>7.5</v>
      </c>
      <c r="E325" s="195"/>
      <c r="F325" s="195"/>
      <c r="G325" s="195"/>
      <c r="H325" s="195"/>
      <c r="I325" s="195"/>
      <c r="J325" s="195"/>
      <c r="K325" s="195"/>
      <c r="L325" s="195"/>
      <c r="M325" s="195"/>
      <c r="N325" s="195"/>
      <c r="O325" s="195"/>
      <c r="P325" s="195"/>
      <c r="Q325" s="195"/>
      <c r="R325" s="195"/>
      <c r="S325" s="195"/>
      <c r="T325" s="195"/>
      <c r="U325" s="195"/>
      <c r="V325" s="195"/>
    </row>
    <row r="326" spans="1:22" x14ac:dyDescent="0.25">
      <c r="A326" s="125">
        <v>44322</v>
      </c>
      <c r="B326" s="125" t="str">
        <f t="shared" si="16"/>
        <v>Thursday</v>
      </c>
      <c r="C326" s="298">
        <f t="shared" si="17"/>
        <v>4</v>
      </c>
      <c r="D326" s="195">
        <v>7.5</v>
      </c>
      <c r="E326" s="195"/>
      <c r="F326" s="195"/>
      <c r="G326" s="195"/>
      <c r="H326" s="195"/>
      <c r="I326" s="195"/>
      <c r="J326" s="195"/>
      <c r="K326" s="195"/>
      <c r="L326" s="195"/>
      <c r="M326" s="195"/>
      <c r="N326" s="195"/>
      <c r="O326" s="195"/>
      <c r="P326" s="195"/>
      <c r="Q326" s="195"/>
      <c r="R326" s="195"/>
      <c r="S326" s="195"/>
      <c r="T326" s="195"/>
      <c r="U326" s="195"/>
      <c r="V326" s="195"/>
    </row>
    <row r="327" spans="1:22" x14ac:dyDescent="0.25">
      <c r="A327" s="125">
        <v>44323</v>
      </c>
      <c r="B327" s="125" t="str">
        <f t="shared" si="16"/>
        <v>Friday</v>
      </c>
      <c r="C327" s="298">
        <f t="shared" si="17"/>
        <v>5</v>
      </c>
      <c r="D327" s="195">
        <v>7.5</v>
      </c>
      <c r="E327" s="195"/>
      <c r="F327" s="195"/>
      <c r="G327" s="195"/>
      <c r="H327" s="195"/>
      <c r="I327" s="195"/>
      <c r="J327" s="195"/>
      <c r="K327" s="195"/>
      <c r="L327" s="195"/>
      <c r="M327" s="195"/>
      <c r="N327" s="195"/>
      <c r="O327" s="195"/>
      <c r="P327" s="195"/>
      <c r="Q327" s="195"/>
      <c r="R327" s="195"/>
      <c r="S327" s="195"/>
      <c r="T327" s="195"/>
      <c r="U327" s="195"/>
      <c r="V327" s="195"/>
    </row>
    <row r="328" spans="1:22" x14ac:dyDescent="0.25">
      <c r="A328" s="125">
        <v>44324</v>
      </c>
      <c r="B328" s="125" t="str">
        <f t="shared" ref="B328:B382" si="20">TEXT(A328,"dddd")</f>
        <v>Saturday</v>
      </c>
      <c r="C328" s="298">
        <f t="shared" ref="C328:C382" si="21">WEEKDAY(A328,2)</f>
        <v>6</v>
      </c>
      <c r="D328" s="195"/>
      <c r="E328" s="195"/>
      <c r="F328" s="195"/>
      <c r="G328" s="195"/>
      <c r="H328" s="195"/>
      <c r="I328" s="195"/>
      <c r="J328" s="195"/>
      <c r="K328" s="195"/>
      <c r="L328" s="195"/>
      <c r="M328" s="195"/>
      <c r="N328" s="195"/>
      <c r="O328" s="195"/>
      <c r="P328" s="195"/>
      <c r="Q328" s="195"/>
      <c r="R328" s="195"/>
      <c r="S328" s="195"/>
      <c r="T328" s="195"/>
      <c r="U328" s="195"/>
      <c r="V328" s="195"/>
    </row>
    <row r="329" spans="1:22" x14ac:dyDescent="0.25">
      <c r="A329" s="125">
        <v>44325</v>
      </c>
      <c r="B329" s="125" t="str">
        <f t="shared" si="20"/>
        <v>Sunday</v>
      </c>
      <c r="C329" s="298">
        <f t="shared" si="21"/>
        <v>7</v>
      </c>
      <c r="D329" s="195"/>
      <c r="E329" s="195"/>
      <c r="F329" s="195"/>
      <c r="G329" s="195"/>
      <c r="H329" s="195"/>
      <c r="I329" s="195"/>
      <c r="J329" s="195"/>
      <c r="K329" s="195"/>
      <c r="L329" s="195"/>
      <c r="M329" s="195"/>
      <c r="N329" s="195"/>
      <c r="O329" s="195"/>
      <c r="P329" s="195"/>
      <c r="Q329" s="195"/>
      <c r="R329" s="195"/>
      <c r="S329" s="195"/>
      <c r="T329" s="195"/>
      <c r="U329" s="195"/>
      <c r="V329" s="195"/>
    </row>
    <row r="330" spans="1:22" x14ac:dyDescent="0.25">
      <c r="A330" s="125">
        <v>44326</v>
      </c>
      <c r="B330" s="125" t="str">
        <f t="shared" si="20"/>
        <v>Monday</v>
      </c>
      <c r="C330" s="298">
        <f t="shared" si="21"/>
        <v>1</v>
      </c>
      <c r="D330" s="195">
        <v>7.5</v>
      </c>
      <c r="E330" s="195"/>
      <c r="F330" s="195"/>
      <c r="G330" s="195"/>
      <c r="H330" s="195"/>
      <c r="I330" s="195"/>
      <c r="J330" s="195"/>
      <c r="K330" s="195"/>
      <c r="L330" s="195"/>
      <c r="M330" s="195"/>
      <c r="N330" s="195"/>
      <c r="O330" s="195"/>
      <c r="P330" s="195"/>
      <c r="Q330" s="195"/>
      <c r="R330" s="195"/>
      <c r="S330" s="195"/>
      <c r="T330" s="195"/>
      <c r="U330" s="195"/>
      <c r="V330" s="195"/>
    </row>
    <row r="331" spans="1:22" x14ac:dyDescent="0.25">
      <c r="A331" s="125">
        <v>44327</v>
      </c>
      <c r="B331" s="125" t="str">
        <f t="shared" si="20"/>
        <v>Tuesday</v>
      </c>
      <c r="C331" s="298">
        <f t="shared" si="21"/>
        <v>2</v>
      </c>
      <c r="D331" s="195">
        <v>7.5</v>
      </c>
      <c r="E331" s="195"/>
      <c r="F331" s="195"/>
      <c r="G331" s="195"/>
      <c r="H331" s="195"/>
      <c r="I331" s="195"/>
      <c r="J331" s="195"/>
      <c r="K331" s="195"/>
      <c r="L331" s="195"/>
      <c r="M331" s="195"/>
      <c r="N331" s="195"/>
      <c r="O331" s="195"/>
      <c r="P331" s="195"/>
      <c r="Q331" s="195"/>
      <c r="R331" s="195"/>
      <c r="S331" s="195"/>
      <c r="T331" s="195"/>
      <c r="U331" s="195"/>
      <c r="V331" s="195"/>
    </row>
    <row r="332" spans="1:22" x14ac:dyDescent="0.25">
      <c r="A332" s="125">
        <v>44328</v>
      </c>
      <c r="B332" s="125" t="str">
        <f t="shared" si="20"/>
        <v>Wednesday</v>
      </c>
      <c r="C332" s="298">
        <f t="shared" si="21"/>
        <v>3</v>
      </c>
      <c r="D332" s="195">
        <v>7.5</v>
      </c>
      <c r="E332" s="195"/>
      <c r="F332" s="195"/>
      <c r="G332" s="195"/>
      <c r="H332" s="195"/>
      <c r="I332" s="195"/>
      <c r="J332" s="195"/>
      <c r="K332" s="195"/>
      <c r="L332" s="195"/>
      <c r="M332" s="195"/>
      <c r="N332" s="195"/>
      <c r="O332" s="195"/>
      <c r="P332" s="195"/>
      <c r="Q332" s="195"/>
      <c r="R332" s="195"/>
      <c r="S332" s="195"/>
      <c r="T332" s="195"/>
      <c r="U332" s="195"/>
      <c r="V332" s="195"/>
    </row>
    <row r="333" spans="1:22" x14ac:dyDescent="0.25">
      <c r="A333" s="125">
        <v>44329</v>
      </c>
      <c r="B333" s="125" t="str">
        <f t="shared" si="20"/>
        <v>Thursday</v>
      </c>
      <c r="C333" s="298">
        <f t="shared" si="21"/>
        <v>4</v>
      </c>
      <c r="D333" s="195">
        <v>7.5</v>
      </c>
      <c r="E333" s="195"/>
      <c r="F333" s="195"/>
      <c r="G333" s="195"/>
      <c r="H333" s="195"/>
      <c r="I333" s="195"/>
      <c r="J333" s="195"/>
      <c r="K333" s="195"/>
      <c r="L333" s="195"/>
      <c r="M333" s="195"/>
      <c r="N333" s="195"/>
      <c r="O333" s="195"/>
      <c r="P333" s="195"/>
      <c r="Q333" s="195"/>
      <c r="R333" s="195"/>
      <c r="S333" s="195"/>
      <c r="T333" s="195"/>
      <c r="U333" s="195"/>
      <c r="V333" s="195"/>
    </row>
    <row r="334" spans="1:22" x14ac:dyDescent="0.25">
      <c r="A334" s="125">
        <v>44330</v>
      </c>
      <c r="B334" s="125" t="str">
        <f t="shared" si="20"/>
        <v>Friday</v>
      </c>
      <c r="C334" s="298">
        <f t="shared" si="21"/>
        <v>5</v>
      </c>
      <c r="D334" s="195">
        <v>7.5</v>
      </c>
      <c r="E334" s="195"/>
      <c r="F334" s="195"/>
      <c r="G334" s="195"/>
      <c r="H334" s="195"/>
      <c r="I334" s="195"/>
      <c r="J334" s="195"/>
      <c r="K334" s="195"/>
      <c r="L334" s="195"/>
      <c r="M334" s="195"/>
      <c r="N334" s="195"/>
      <c r="O334" s="195"/>
      <c r="P334" s="195"/>
      <c r="Q334" s="195"/>
      <c r="R334" s="195"/>
      <c r="S334" s="195"/>
      <c r="T334" s="195"/>
      <c r="U334" s="195"/>
      <c r="V334" s="195"/>
    </row>
    <row r="335" spans="1:22" x14ac:dyDescent="0.25">
      <c r="A335" s="125">
        <v>44331</v>
      </c>
      <c r="B335" s="125" t="str">
        <f t="shared" si="20"/>
        <v>Saturday</v>
      </c>
      <c r="C335" s="298">
        <f t="shared" si="21"/>
        <v>6</v>
      </c>
      <c r="D335" s="195"/>
      <c r="E335" s="195"/>
      <c r="F335" s="195"/>
      <c r="G335" s="195"/>
      <c r="H335" s="195"/>
      <c r="I335" s="195"/>
      <c r="J335" s="195"/>
      <c r="K335" s="195"/>
      <c r="L335" s="195"/>
      <c r="M335" s="195"/>
      <c r="N335" s="195"/>
      <c r="O335" s="195"/>
      <c r="P335" s="195"/>
      <c r="Q335" s="195"/>
      <c r="R335" s="195"/>
      <c r="S335" s="195"/>
      <c r="T335" s="195"/>
      <c r="U335" s="195"/>
      <c r="V335" s="195"/>
    </row>
    <row r="336" spans="1:22" x14ac:dyDescent="0.25">
      <c r="A336" s="125">
        <v>44332</v>
      </c>
      <c r="B336" s="125" t="str">
        <f t="shared" si="20"/>
        <v>Sunday</v>
      </c>
      <c r="C336" s="298">
        <f t="shared" si="21"/>
        <v>7</v>
      </c>
      <c r="D336" s="195"/>
      <c r="E336" s="195"/>
      <c r="F336" s="195"/>
      <c r="G336" s="195"/>
      <c r="H336" s="195"/>
      <c r="I336" s="195"/>
      <c r="J336" s="195"/>
      <c r="K336" s="195"/>
      <c r="L336" s="195"/>
      <c r="M336" s="195"/>
      <c r="N336" s="195"/>
      <c r="O336" s="195"/>
      <c r="P336" s="195"/>
      <c r="Q336" s="195"/>
      <c r="R336" s="195"/>
      <c r="S336" s="195"/>
      <c r="T336" s="195"/>
      <c r="U336" s="195"/>
      <c r="V336" s="195"/>
    </row>
    <row r="337" spans="1:22" x14ac:dyDescent="0.25">
      <c r="A337" s="125">
        <v>44333</v>
      </c>
      <c r="B337" s="125" t="str">
        <f t="shared" si="20"/>
        <v>Monday</v>
      </c>
      <c r="C337" s="298">
        <f t="shared" si="21"/>
        <v>1</v>
      </c>
      <c r="D337" s="195">
        <v>7.5</v>
      </c>
      <c r="E337" s="195"/>
      <c r="F337" s="195"/>
      <c r="G337" s="195"/>
      <c r="H337" s="195"/>
      <c r="I337" s="195"/>
      <c r="J337" s="195"/>
      <c r="K337" s="195"/>
      <c r="L337" s="195"/>
      <c r="M337" s="195"/>
      <c r="N337" s="195"/>
      <c r="O337" s="195"/>
      <c r="P337" s="195"/>
      <c r="Q337" s="195"/>
      <c r="R337" s="195"/>
      <c r="S337" s="195"/>
      <c r="T337" s="195"/>
      <c r="U337" s="195"/>
      <c r="V337" s="195"/>
    </row>
    <row r="338" spans="1:22" x14ac:dyDescent="0.25">
      <c r="A338" s="125">
        <v>44334</v>
      </c>
      <c r="B338" s="125" t="str">
        <f t="shared" si="20"/>
        <v>Tuesday</v>
      </c>
      <c r="C338" s="298">
        <f t="shared" si="21"/>
        <v>2</v>
      </c>
      <c r="D338" s="195">
        <v>7.5</v>
      </c>
      <c r="E338" s="195"/>
      <c r="F338" s="195"/>
      <c r="G338" s="195"/>
      <c r="H338" s="195"/>
      <c r="I338" s="195"/>
      <c r="J338" s="195"/>
      <c r="K338" s="195"/>
      <c r="L338" s="195"/>
      <c r="M338" s="195"/>
      <c r="N338" s="195"/>
      <c r="O338" s="195"/>
      <c r="P338" s="195"/>
      <c r="Q338" s="195"/>
      <c r="R338" s="195"/>
      <c r="S338" s="195"/>
      <c r="T338" s="195"/>
      <c r="U338" s="195"/>
      <c r="V338" s="195"/>
    </row>
    <row r="339" spans="1:22" x14ac:dyDescent="0.25">
      <c r="A339" s="125">
        <v>44335</v>
      </c>
      <c r="B339" s="125" t="str">
        <f t="shared" si="20"/>
        <v>Wednesday</v>
      </c>
      <c r="C339" s="298">
        <f t="shared" si="21"/>
        <v>3</v>
      </c>
      <c r="D339" s="195">
        <v>7.5</v>
      </c>
      <c r="E339" s="195"/>
      <c r="F339" s="195"/>
      <c r="G339" s="195"/>
      <c r="H339" s="195"/>
      <c r="I339" s="195"/>
      <c r="J339" s="195"/>
      <c r="K339" s="195"/>
      <c r="L339" s="195"/>
      <c r="M339" s="195"/>
      <c r="N339" s="195"/>
      <c r="O339" s="195"/>
      <c r="P339" s="195"/>
      <c r="Q339" s="195"/>
      <c r="R339" s="195"/>
      <c r="S339" s="195"/>
      <c r="T339" s="195"/>
      <c r="U339" s="195"/>
      <c r="V339" s="195"/>
    </row>
    <row r="340" spans="1:22" x14ac:dyDescent="0.25">
      <c r="A340" s="125">
        <v>44336</v>
      </c>
      <c r="B340" s="125" t="str">
        <f t="shared" si="20"/>
        <v>Thursday</v>
      </c>
      <c r="C340" s="298">
        <f t="shared" si="21"/>
        <v>4</v>
      </c>
      <c r="D340" s="195">
        <v>7.5</v>
      </c>
      <c r="E340" s="195"/>
      <c r="F340" s="195"/>
      <c r="G340" s="195"/>
      <c r="H340" s="195"/>
      <c r="I340" s="195"/>
      <c r="J340" s="195"/>
      <c r="K340" s="195"/>
      <c r="L340" s="195"/>
      <c r="M340" s="195"/>
      <c r="N340" s="195"/>
      <c r="O340" s="195"/>
      <c r="P340" s="195"/>
      <c r="Q340" s="195"/>
      <c r="R340" s="195"/>
      <c r="S340" s="195"/>
      <c r="T340" s="195"/>
      <c r="U340" s="195"/>
      <c r="V340" s="195"/>
    </row>
    <row r="341" spans="1:22" x14ac:dyDescent="0.25">
      <c r="A341" s="125">
        <v>44337</v>
      </c>
      <c r="B341" s="125" t="str">
        <f t="shared" si="20"/>
        <v>Friday</v>
      </c>
      <c r="C341" s="298">
        <f t="shared" si="21"/>
        <v>5</v>
      </c>
      <c r="D341" s="195">
        <v>7.5</v>
      </c>
      <c r="E341" s="195"/>
      <c r="F341" s="195"/>
      <c r="G341" s="195"/>
      <c r="H341" s="195"/>
      <c r="I341" s="195"/>
      <c r="J341" s="195"/>
      <c r="K341" s="195"/>
      <c r="L341" s="195"/>
      <c r="M341" s="195"/>
      <c r="N341" s="195"/>
      <c r="O341" s="195"/>
      <c r="P341" s="195"/>
      <c r="Q341" s="195"/>
      <c r="R341" s="195"/>
      <c r="S341" s="195"/>
      <c r="T341" s="195"/>
      <c r="U341" s="195"/>
      <c r="V341" s="195"/>
    </row>
    <row r="342" spans="1:22" x14ac:dyDescent="0.25">
      <c r="A342" s="125">
        <v>44338</v>
      </c>
      <c r="B342" s="125" t="str">
        <f t="shared" si="20"/>
        <v>Saturday</v>
      </c>
      <c r="C342" s="298">
        <f t="shared" si="21"/>
        <v>6</v>
      </c>
      <c r="D342" s="195"/>
      <c r="E342" s="195"/>
      <c r="F342" s="195"/>
      <c r="G342" s="195"/>
      <c r="H342" s="195"/>
      <c r="I342" s="195"/>
      <c r="J342" s="195"/>
      <c r="K342" s="195"/>
      <c r="L342" s="195"/>
      <c r="M342" s="195"/>
      <c r="N342" s="195"/>
      <c r="O342" s="195"/>
      <c r="P342" s="195"/>
      <c r="Q342" s="195"/>
      <c r="R342" s="195"/>
      <c r="S342" s="195"/>
      <c r="T342" s="195"/>
      <c r="U342" s="195"/>
      <c r="V342" s="195"/>
    </row>
    <row r="343" spans="1:22" x14ac:dyDescent="0.25">
      <c r="A343" s="125">
        <v>44339</v>
      </c>
      <c r="B343" s="125" t="str">
        <f t="shared" si="20"/>
        <v>Sunday</v>
      </c>
      <c r="C343" s="298">
        <f t="shared" si="21"/>
        <v>7</v>
      </c>
      <c r="D343" s="195"/>
      <c r="E343" s="195"/>
      <c r="F343" s="195"/>
      <c r="G343" s="195"/>
      <c r="H343" s="195"/>
      <c r="I343" s="195"/>
      <c r="J343" s="195"/>
      <c r="K343" s="195"/>
      <c r="L343" s="195"/>
      <c r="M343" s="195"/>
      <c r="N343" s="195"/>
      <c r="O343" s="195"/>
      <c r="P343" s="195"/>
      <c r="Q343" s="195"/>
      <c r="R343" s="195"/>
      <c r="S343" s="195"/>
      <c r="T343" s="195"/>
      <c r="U343" s="195"/>
      <c r="V343" s="195"/>
    </row>
    <row r="344" spans="1:22" x14ac:dyDescent="0.25">
      <c r="A344" s="125">
        <v>44340</v>
      </c>
      <c r="B344" s="125" t="str">
        <f t="shared" si="20"/>
        <v>Monday</v>
      </c>
      <c r="C344" s="298">
        <f t="shared" si="21"/>
        <v>1</v>
      </c>
      <c r="D344" s="195">
        <v>7.5</v>
      </c>
      <c r="E344" s="195"/>
      <c r="F344" s="195"/>
      <c r="G344" s="195"/>
      <c r="H344" s="195"/>
      <c r="I344" s="195"/>
      <c r="J344" s="195"/>
      <c r="K344" s="195"/>
      <c r="L344" s="195"/>
      <c r="M344" s="195"/>
      <c r="N344" s="195"/>
      <c r="O344" s="195"/>
      <c r="P344" s="195"/>
      <c r="Q344" s="195"/>
      <c r="R344" s="195"/>
      <c r="S344" s="195"/>
      <c r="T344" s="195"/>
      <c r="U344" s="195"/>
      <c r="V344" s="195"/>
    </row>
    <row r="345" spans="1:22" x14ac:dyDescent="0.25">
      <c r="A345" s="125">
        <v>44341</v>
      </c>
      <c r="B345" s="125" t="str">
        <f t="shared" si="20"/>
        <v>Tuesday</v>
      </c>
      <c r="C345" s="298">
        <f t="shared" si="21"/>
        <v>2</v>
      </c>
      <c r="D345" s="195">
        <v>7.5</v>
      </c>
      <c r="E345" s="195"/>
      <c r="F345" s="195"/>
      <c r="G345" s="195"/>
      <c r="H345" s="195"/>
      <c r="I345" s="195"/>
      <c r="J345" s="195"/>
      <c r="K345" s="195"/>
      <c r="L345" s="195"/>
      <c r="M345" s="195"/>
      <c r="N345" s="195"/>
      <c r="O345" s="195"/>
      <c r="P345" s="195"/>
      <c r="Q345" s="195"/>
      <c r="R345" s="195"/>
      <c r="S345" s="195"/>
      <c r="T345" s="195"/>
      <c r="U345" s="195"/>
      <c r="V345" s="195"/>
    </row>
    <row r="346" spans="1:22" x14ac:dyDescent="0.25">
      <c r="A346" s="125">
        <v>44342</v>
      </c>
      <c r="B346" s="125" t="str">
        <f t="shared" si="20"/>
        <v>Wednesday</v>
      </c>
      <c r="C346" s="298">
        <f t="shared" si="21"/>
        <v>3</v>
      </c>
      <c r="D346" s="195">
        <v>7.5</v>
      </c>
      <c r="E346" s="195"/>
      <c r="F346" s="195"/>
      <c r="G346" s="195"/>
      <c r="H346" s="195"/>
      <c r="I346" s="195"/>
      <c r="J346" s="195"/>
      <c r="K346" s="195"/>
      <c r="L346" s="195"/>
      <c r="M346" s="195"/>
      <c r="N346" s="195"/>
      <c r="O346" s="195"/>
      <c r="P346" s="195"/>
      <c r="Q346" s="195"/>
      <c r="R346" s="195"/>
      <c r="S346" s="195"/>
      <c r="T346" s="195"/>
      <c r="U346" s="195"/>
      <c r="V346" s="195"/>
    </row>
    <row r="347" spans="1:22" x14ac:dyDescent="0.25">
      <c r="A347" s="125">
        <v>44343</v>
      </c>
      <c r="B347" s="125" t="str">
        <f t="shared" si="20"/>
        <v>Thursday</v>
      </c>
      <c r="C347" s="298">
        <f t="shared" si="21"/>
        <v>4</v>
      </c>
      <c r="D347" s="195">
        <v>7.5</v>
      </c>
      <c r="E347" s="195"/>
      <c r="F347" s="195"/>
      <c r="G347" s="195"/>
      <c r="H347" s="195"/>
      <c r="I347" s="195"/>
      <c r="J347" s="195"/>
      <c r="K347" s="195"/>
      <c r="L347" s="195"/>
      <c r="M347" s="195"/>
      <c r="N347" s="195"/>
      <c r="O347" s="195"/>
      <c r="P347" s="195"/>
      <c r="Q347" s="195"/>
      <c r="R347" s="195"/>
      <c r="S347" s="195"/>
      <c r="T347" s="195"/>
      <c r="U347" s="195"/>
      <c r="V347" s="195"/>
    </row>
    <row r="348" spans="1:22" x14ac:dyDescent="0.25">
      <c r="A348" s="125">
        <v>44344</v>
      </c>
      <c r="B348" s="125" t="str">
        <f t="shared" si="20"/>
        <v>Friday</v>
      </c>
      <c r="C348" s="298">
        <f t="shared" si="21"/>
        <v>5</v>
      </c>
      <c r="D348" s="195">
        <v>7.5</v>
      </c>
      <c r="E348" s="195"/>
      <c r="F348" s="195"/>
      <c r="G348" s="195"/>
      <c r="H348" s="195"/>
      <c r="I348" s="195"/>
      <c r="J348" s="195"/>
      <c r="K348" s="195"/>
      <c r="L348" s="195"/>
      <c r="M348" s="195"/>
      <c r="N348" s="195"/>
      <c r="O348" s="195"/>
      <c r="P348" s="195"/>
      <c r="Q348" s="195"/>
      <c r="R348" s="195"/>
      <c r="S348" s="195"/>
      <c r="T348" s="195"/>
      <c r="U348" s="195"/>
      <c r="V348" s="195"/>
    </row>
    <row r="349" spans="1:22" x14ac:dyDescent="0.25">
      <c r="A349" s="125">
        <v>44345</v>
      </c>
      <c r="B349" s="125" t="str">
        <f t="shared" si="20"/>
        <v>Saturday</v>
      </c>
      <c r="C349" s="298">
        <f t="shared" si="21"/>
        <v>6</v>
      </c>
      <c r="D349" s="195"/>
      <c r="E349" s="195"/>
      <c r="F349" s="195"/>
      <c r="G349" s="195"/>
      <c r="H349" s="195"/>
      <c r="I349" s="195"/>
      <c r="J349" s="195"/>
      <c r="K349" s="195"/>
      <c r="L349" s="195"/>
      <c r="M349" s="195"/>
      <c r="N349" s="195"/>
      <c r="O349" s="195"/>
      <c r="P349" s="195"/>
      <c r="Q349" s="195"/>
      <c r="R349" s="195"/>
      <c r="S349" s="195"/>
      <c r="T349" s="195"/>
      <c r="U349" s="195"/>
      <c r="V349" s="195"/>
    </row>
    <row r="350" spans="1:22" x14ac:dyDescent="0.25">
      <c r="A350" s="125">
        <v>44346</v>
      </c>
      <c r="B350" s="125" t="str">
        <f t="shared" si="20"/>
        <v>Sunday</v>
      </c>
      <c r="C350" s="298">
        <f t="shared" si="21"/>
        <v>7</v>
      </c>
      <c r="D350" s="195"/>
      <c r="E350" s="195"/>
      <c r="F350" s="195"/>
      <c r="G350" s="195"/>
      <c r="H350" s="195"/>
      <c r="I350" s="195"/>
      <c r="J350" s="195"/>
      <c r="K350" s="195"/>
      <c r="L350" s="195"/>
      <c r="M350" s="195"/>
      <c r="N350" s="195"/>
      <c r="O350" s="195"/>
      <c r="P350" s="195"/>
      <c r="Q350" s="195"/>
      <c r="R350" s="195"/>
      <c r="S350" s="195"/>
      <c r="T350" s="195"/>
      <c r="U350" s="195"/>
      <c r="V350" s="195"/>
    </row>
    <row r="351" spans="1:22" x14ac:dyDescent="0.25">
      <c r="A351" s="125">
        <v>44347</v>
      </c>
      <c r="B351" s="125" t="str">
        <f t="shared" si="20"/>
        <v>Monday</v>
      </c>
      <c r="C351" s="298">
        <f t="shared" si="21"/>
        <v>1</v>
      </c>
      <c r="D351" s="300">
        <v>7.5</v>
      </c>
      <c r="E351" s="300"/>
      <c r="F351" s="300"/>
      <c r="G351" s="300"/>
      <c r="H351" s="300"/>
      <c r="I351" s="300"/>
      <c r="J351" s="300"/>
      <c r="K351" s="300"/>
      <c r="L351" s="300"/>
      <c r="M351" s="300"/>
      <c r="N351" s="300"/>
      <c r="O351" s="300"/>
      <c r="P351" s="300"/>
      <c r="Q351" s="300"/>
      <c r="R351" s="300"/>
      <c r="S351" s="300"/>
      <c r="T351" s="300"/>
      <c r="U351" s="300"/>
      <c r="V351" s="300"/>
    </row>
    <row r="352" spans="1:22" x14ac:dyDescent="0.25">
      <c r="A352" s="301" t="s">
        <v>224</v>
      </c>
      <c r="B352" s="302"/>
      <c r="C352" s="303"/>
      <c r="D352" s="304">
        <f>SUM(D321:D351)</f>
        <v>157.5</v>
      </c>
      <c r="E352" s="304">
        <f t="shared" ref="E352:V352" si="22">SUM(E321:E351)</f>
        <v>0</v>
      </c>
      <c r="F352" s="304">
        <f t="shared" si="22"/>
        <v>0</v>
      </c>
      <c r="G352" s="304">
        <f t="shared" si="22"/>
        <v>0</v>
      </c>
      <c r="H352" s="304">
        <f t="shared" si="22"/>
        <v>0</v>
      </c>
      <c r="I352" s="304">
        <f t="shared" si="22"/>
        <v>0</v>
      </c>
      <c r="J352" s="304">
        <f t="shared" si="22"/>
        <v>0</v>
      </c>
      <c r="K352" s="304">
        <f t="shared" si="22"/>
        <v>0</v>
      </c>
      <c r="L352" s="304">
        <f t="shared" si="22"/>
        <v>0</v>
      </c>
      <c r="M352" s="304">
        <f t="shared" si="22"/>
        <v>0</v>
      </c>
      <c r="N352" s="304">
        <f t="shared" si="22"/>
        <v>0</v>
      </c>
      <c r="O352" s="304">
        <f t="shared" si="22"/>
        <v>0</v>
      </c>
      <c r="P352" s="304">
        <f t="shared" si="22"/>
        <v>0</v>
      </c>
      <c r="Q352" s="304">
        <f t="shared" si="22"/>
        <v>0</v>
      </c>
      <c r="R352" s="304">
        <f t="shared" si="22"/>
        <v>0</v>
      </c>
      <c r="S352" s="304">
        <f t="shared" si="22"/>
        <v>0</v>
      </c>
      <c r="T352" s="304">
        <f t="shared" si="22"/>
        <v>0</v>
      </c>
      <c r="U352" s="304">
        <f t="shared" si="22"/>
        <v>0</v>
      </c>
      <c r="V352" s="304">
        <f t="shared" si="22"/>
        <v>0</v>
      </c>
    </row>
    <row r="353" spans="1:22" x14ac:dyDescent="0.25">
      <c r="A353" s="125">
        <v>44348</v>
      </c>
      <c r="B353" s="125" t="str">
        <f t="shared" si="20"/>
        <v>Tuesday</v>
      </c>
      <c r="C353" s="298">
        <f t="shared" si="21"/>
        <v>2</v>
      </c>
      <c r="D353" s="195">
        <v>7.5</v>
      </c>
      <c r="E353" s="195"/>
      <c r="F353" s="195"/>
      <c r="G353" s="195"/>
      <c r="H353" s="195"/>
      <c r="I353" s="195"/>
      <c r="J353" s="195"/>
      <c r="K353" s="195"/>
      <c r="L353" s="195"/>
      <c r="M353" s="195"/>
      <c r="N353" s="195"/>
      <c r="O353" s="195"/>
      <c r="P353" s="195"/>
      <c r="Q353" s="195"/>
      <c r="R353" s="195"/>
      <c r="S353" s="195"/>
      <c r="T353" s="195"/>
      <c r="U353" s="195"/>
      <c r="V353" s="195"/>
    </row>
    <row r="354" spans="1:22" x14ac:dyDescent="0.25">
      <c r="A354" s="125">
        <v>44349</v>
      </c>
      <c r="B354" s="125" t="str">
        <f t="shared" si="20"/>
        <v>Wednesday</v>
      </c>
      <c r="C354" s="298">
        <f t="shared" si="21"/>
        <v>3</v>
      </c>
      <c r="D354" s="195">
        <v>7.5</v>
      </c>
      <c r="E354" s="195"/>
      <c r="F354" s="195"/>
      <c r="G354" s="195"/>
      <c r="H354" s="195"/>
      <c r="I354" s="195"/>
      <c r="J354" s="195"/>
      <c r="K354" s="195"/>
      <c r="L354" s="195"/>
      <c r="M354" s="195"/>
      <c r="N354" s="195"/>
      <c r="O354" s="195"/>
      <c r="P354" s="195"/>
      <c r="Q354" s="195"/>
      <c r="R354" s="195"/>
      <c r="S354" s="195"/>
      <c r="T354" s="195"/>
      <c r="U354" s="195"/>
      <c r="V354" s="195"/>
    </row>
    <row r="355" spans="1:22" x14ac:dyDescent="0.25">
      <c r="A355" s="125">
        <v>44350</v>
      </c>
      <c r="B355" s="125" t="str">
        <f t="shared" si="20"/>
        <v>Thursday</v>
      </c>
      <c r="C355" s="298">
        <f t="shared" si="21"/>
        <v>4</v>
      </c>
      <c r="D355" s="195">
        <v>7.5</v>
      </c>
      <c r="E355" s="195"/>
      <c r="F355" s="195"/>
      <c r="G355" s="195"/>
      <c r="H355" s="195"/>
      <c r="I355" s="195"/>
      <c r="J355" s="195"/>
      <c r="K355" s="195"/>
      <c r="L355" s="195"/>
      <c r="M355" s="195"/>
      <c r="N355" s="195"/>
      <c r="O355" s="195"/>
      <c r="P355" s="195"/>
      <c r="Q355" s="195"/>
      <c r="R355" s="195"/>
      <c r="S355" s="195"/>
      <c r="T355" s="195"/>
      <c r="U355" s="195"/>
      <c r="V355" s="195"/>
    </row>
    <row r="356" spans="1:22" x14ac:dyDescent="0.25">
      <c r="A356" s="125">
        <v>44351</v>
      </c>
      <c r="B356" s="125" t="str">
        <f t="shared" si="20"/>
        <v>Friday</v>
      </c>
      <c r="C356" s="298">
        <f t="shared" si="21"/>
        <v>5</v>
      </c>
      <c r="D356" s="195">
        <v>7.5</v>
      </c>
      <c r="E356" s="195"/>
      <c r="F356" s="195"/>
      <c r="G356" s="195"/>
      <c r="H356" s="195"/>
      <c r="I356" s="195"/>
      <c r="J356" s="195"/>
      <c r="K356" s="195"/>
      <c r="L356" s="195"/>
      <c r="M356" s="195"/>
      <c r="N356" s="195"/>
      <c r="O356" s="195"/>
      <c r="P356" s="195"/>
      <c r="Q356" s="195"/>
      <c r="R356" s="195"/>
      <c r="S356" s="195"/>
      <c r="T356" s="195"/>
      <c r="U356" s="195"/>
      <c r="V356" s="195"/>
    </row>
    <row r="357" spans="1:22" x14ac:dyDescent="0.25">
      <c r="A357" s="125">
        <v>44352</v>
      </c>
      <c r="B357" s="125" t="str">
        <f t="shared" si="20"/>
        <v>Saturday</v>
      </c>
      <c r="C357" s="298">
        <f t="shared" si="21"/>
        <v>6</v>
      </c>
      <c r="D357" s="195"/>
      <c r="E357" s="195"/>
      <c r="F357" s="195"/>
      <c r="G357" s="195"/>
      <c r="H357" s="195"/>
      <c r="I357" s="195"/>
      <c r="J357" s="195"/>
      <c r="K357" s="195"/>
      <c r="L357" s="195"/>
      <c r="M357" s="195"/>
      <c r="N357" s="195"/>
      <c r="O357" s="195"/>
      <c r="P357" s="195"/>
      <c r="Q357" s="195"/>
      <c r="R357" s="195"/>
      <c r="S357" s="195"/>
      <c r="T357" s="195"/>
      <c r="U357" s="195"/>
      <c r="V357" s="195"/>
    </row>
    <row r="358" spans="1:22" x14ac:dyDescent="0.25">
      <c r="A358" s="125">
        <v>44353</v>
      </c>
      <c r="B358" s="125" t="str">
        <f t="shared" si="20"/>
        <v>Sunday</v>
      </c>
      <c r="C358" s="298">
        <f t="shared" si="21"/>
        <v>7</v>
      </c>
      <c r="D358" s="195"/>
      <c r="E358" s="195"/>
      <c r="F358" s="195"/>
      <c r="G358" s="195"/>
      <c r="H358" s="195"/>
      <c r="I358" s="195"/>
      <c r="J358" s="195"/>
      <c r="K358" s="195"/>
      <c r="L358" s="195"/>
      <c r="M358" s="195"/>
      <c r="N358" s="195"/>
      <c r="O358" s="195"/>
      <c r="P358" s="195"/>
      <c r="Q358" s="195"/>
      <c r="R358" s="195"/>
      <c r="S358" s="195"/>
      <c r="T358" s="195"/>
      <c r="U358" s="195"/>
      <c r="V358" s="195"/>
    </row>
    <row r="359" spans="1:22" x14ac:dyDescent="0.25">
      <c r="A359" s="125">
        <v>44354</v>
      </c>
      <c r="B359" s="125" t="str">
        <f t="shared" si="20"/>
        <v>Monday</v>
      </c>
      <c r="C359" s="298">
        <f t="shared" si="21"/>
        <v>1</v>
      </c>
      <c r="D359" s="195">
        <v>7.5</v>
      </c>
      <c r="E359" s="195"/>
      <c r="F359" s="195"/>
      <c r="G359" s="195"/>
      <c r="H359" s="195"/>
      <c r="I359" s="195"/>
      <c r="J359" s="195"/>
      <c r="K359" s="195"/>
      <c r="L359" s="195"/>
      <c r="M359" s="195"/>
      <c r="N359" s="195"/>
      <c r="O359" s="195"/>
      <c r="P359" s="195"/>
      <c r="Q359" s="195"/>
      <c r="R359" s="195"/>
      <c r="S359" s="195"/>
      <c r="T359" s="195"/>
      <c r="U359" s="195"/>
      <c r="V359" s="195"/>
    </row>
    <row r="360" spans="1:22" x14ac:dyDescent="0.25">
      <c r="A360" s="125">
        <v>44355</v>
      </c>
      <c r="B360" s="125" t="str">
        <f t="shared" si="20"/>
        <v>Tuesday</v>
      </c>
      <c r="C360" s="298">
        <f t="shared" si="21"/>
        <v>2</v>
      </c>
      <c r="D360" s="195">
        <v>7.5</v>
      </c>
      <c r="E360" s="195"/>
      <c r="F360" s="195"/>
      <c r="G360" s="195"/>
      <c r="H360" s="195"/>
      <c r="I360" s="195"/>
      <c r="J360" s="195"/>
      <c r="K360" s="195"/>
      <c r="L360" s="195"/>
      <c r="M360" s="195"/>
      <c r="N360" s="195"/>
      <c r="O360" s="195"/>
      <c r="P360" s="195"/>
      <c r="Q360" s="195"/>
      <c r="R360" s="195"/>
      <c r="S360" s="195"/>
      <c r="T360" s="195"/>
      <c r="U360" s="195"/>
      <c r="V360" s="195"/>
    </row>
    <row r="361" spans="1:22" x14ac:dyDescent="0.25">
      <c r="A361" s="125">
        <v>44356</v>
      </c>
      <c r="B361" s="125" t="str">
        <f t="shared" si="20"/>
        <v>Wednesday</v>
      </c>
      <c r="C361" s="298">
        <f t="shared" si="21"/>
        <v>3</v>
      </c>
      <c r="D361" s="195">
        <v>7.5</v>
      </c>
      <c r="E361" s="195"/>
      <c r="F361" s="195"/>
      <c r="G361" s="195"/>
      <c r="H361" s="195"/>
      <c r="I361" s="195"/>
      <c r="J361" s="195"/>
      <c r="K361" s="195"/>
      <c r="L361" s="195"/>
      <c r="M361" s="195"/>
      <c r="N361" s="195"/>
      <c r="O361" s="195"/>
      <c r="P361" s="195"/>
      <c r="Q361" s="195"/>
      <c r="R361" s="195"/>
      <c r="S361" s="195"/>
      <c r="T361" s="195"/>
      <c r="U361" s="195"/>
      <c r="V361" s="195"/>
    </row>
    <row r="362" spans="1:22" x14ac:dyDescent="0.25">
      <c r="A362" s="125">
        <v>44357</v>
      </c>
      <c r="B362" s="125" t="str">
        <f t="shared" si="20"/>
        <v>Thursday</v>
      </c>
      <c r="C362" s="298">
        <f t="shared" si="21"/>
        <v>4</v>
      </c>
      <c r="D362" s="195">
        <v>7.5</v>
      </c>
      <c r="E362" s="195"/>
      <c r="F362" s="195"/>
      <c r="G362" s="195"/>
      <c r="H362" s="195"/>
      <c r="I362" s="195"/>
      <c r="J362" s="195"/>
      <c r="K362" s="195"/>
      <c r="L362" s="195"/>
      <c r="M362" s="195"/>
      <c r="N362" s="195"/>
      <c r="O362" s="195"/>
      <c r="P362" s="195"/>
      <c r="Q362" s="195"/>
      <c r="R362" s="195"/>
      <c r="S362" s="195"/>
      <c r="T362" s="195"/>
      <c r="U362" s="195"/>
      <c r="V362" s="195"/>
    </row>
    <row r="363" spans="1:22" x14ac:dyDescent="0.25">
      <c r="A363" s="125">
        <v>44358</v>
      </c>
      <c r="B363" s="125" t="str">
        <f t="shared" si="20"/>
        <v>Friday</v>
      </c>
      <c r="C363" s="298">
        <f t="shared" si="21"/>
        <v>5</v>
      </c>
      <c r="D363" s="195">
        <v>7.5</v>
      </c>
      <c r="E363" s="195"/>
      <c r="F363" s="195"/>
      <c r="G363" s="195"/>
      <c r="H363" s="195"/>
      <c r="I363" s="195"/>
      <c r="J363" s="195"/>
      <c r="K363" s="195"/>
      <c r="L363" s="195"/>
      <c r="M363" s="195"/>
      <c r="N363" s="195"/>
      <c r="O363" s="195"/>
      <c r="P363" s="195"/>
      <c r="Q363" s="195"/>
      <c r="R363" s="195"/>
      <c r="S363" s="195"/>
      <c r="T363" s="195"/>
      <c r="U363" s="195"/>
      <c r="V363" s="195"/>
    </row>
    <row r="364" spans="1:22" x14ac:dyDescent="0.25">
      <c r="A364" s="125">
        <v>44359</v>
      </c>
      <c r="B364" s="125" t="str">
        <f t="shared" si="20"/>
        <v>Saturday</v>
      </c>
      <c r="C364" s="298">
        <f t="shared" si="21"/>
        <v>6</v>
      </c>
      <c r="D364" s="195"/>
      <c r="E364" s="195"/>
      <c r="F364" s="195"/>
      <c r="G364" s="195"/>
      <c r="H364" s="195"/>
      <c r="I364" s="195"/>
      <c r="J364" s="195"/>
      <c r="K364" s="195"/>
      <c r="L364" s="195"/>
      <c r="M364" s="195"/>
      <c r="N364" s="195"/>
      <c r="O364" s="195"/>
      <c r="P364" s="195"/>
      <c r="Q364" s="195"/>
      <c r="R364" s="195"/>
      <c r="S364" s="195"/>
      <c r="T364" s="195"/>
      <c r="U364" s="195"/>
      <c r="V364" s="195"/>
    </row>
    <row r="365" spans="1:22" x14ac:dyDescent="0.25">
      <c r="A365" s="125">
        <v>44360</v>
      </c>
      <c r="B365" s="125" t="str">
        <f t="shared" si="20"/>
        <v>Sunday</v>
      </c>
      <c r="C365" s="298">
        <f t="shared" si="21"/>
        <v>7</v>
      </c>
      <c r="D365" s="195"/>
      <c r="E365" s="195"/>
      <c r="F365" s="195"/>
      <c r="G365" s="195"/>
      <c r="H365" s="195"/>
      <c r="I365" s="195"/>
      <c r="J365" s="195"/>
      <c r="K365" s="195"/>
      <c r="L365" s="195"/>
      <c r="M365" s="195"/>
      <c r="N365" s="195"/>
      <c r="O365" s="195"/>
      <c r="P365" s="195"/>
      <c r="Q365" s="195"/>
      <c r="R365" s="195"/>
      <c r="S365" s="195"/>
      <c r="T365" s="195"/>
      <c r="U365" s="195"/>
      <c r="V365" s="195"/>
    </row>
    <row r="366" spans="1:22" x14ac:dyDescent="0.25">
      <c r="A366" s="125">
        <v>44361</v>
      </c>
      <c r="B366" s="125" t="str">
        <f t="shared" si="20"/>
        <v>Monday</v>
      </c>
      <c r="C366" s="298">
        <f t="shared" si="21"/>
        <v>1</v>
      </c>
      <c r="D366" s="195">
        <v>7.5</v>
      </c>
      <c r="E366" s="195"/>
      <c r="F366" s="195"/>
      <c r="G366" s="195"/>
      <c r="H366" s="195"/>
      <c r="I366" s="195"/>
      <c r="J366" s="195"/>
      <c r="K366" s="195"/>
      <c r="L366" s="195"/>
      <c r="M366" s="195"/>
      <c r="N366" s="195"/>
      <c r="O366" s="195"/>
      <c r="P366" s="195"/>
      <c r="Q366" s="195"/>
      <c r="R366" s="195"/>
      <c r="S366" s="195"/>
      <c r="T366" s="195"/>
      <c r="U366" s="195"/>
      <c r="V366" s="195"/>
    </row>
    <row r="367" spans="1:22" x14ac:dyDescent="0.25">
      <c r="A367" s="125">
        <v>44362</v>
      </c>
      <c r="B367" s="125" t="str">
        <f t="shared" si="20"/>
        <v>Tuesday</v>
      </c>
      <c r="C367" s="298">
        <f t="shared" si="21"/>
        <v>2</v>
      </c>
      <c r="D367" s="195">
        <v>7.5</v>
      </c>
      <c r="E367" s="195"/>
      <c r="F367" s="195"/>
      <c r="G367" s="195"/>
      <c r="H367" s="195"/>
      <c r="I367" s="195"/>
      <c r="J367" s="195"/>
      <c r="K367" s="195"/>
      <c r="L367" s="195"/>
      <c r="M367" s="195"/>
      <c r="N367" s="195"/>
      <c r="O367" s="195"/>
      <c r="P367" s="195"/>
      <c r="Q367" s="195"/>
      <c r="R367" s="195"/>
      <c r="S367" s="195"/>
      <c r="T367" s="195"/>
      <c r="U367" s="195"/>
      <c r="V367" s="195"/>
    </row>
    <row r="368" spans="1:22" x14ac:dyDescent="0.25">
      <c r="A368" s="125">
        <v>44363</v>
      </c>
      <c r="B368" s="125" t="str">
        <f t="shared" si="20"/>
        <v>Wednesday</v>
      </c>
      <c r="C368" s="298">
        <f t="shared" si="21"/>
        <v>3</v>
      </c>
      <c r="D368" s="195">
        <v>7.5</v>
      </c>
      <c r="E368" s="195"/>
      <c r="F368" s="195"/>
      <c r="G368" s="195"/>
      <c r="H368" s="195"/>
      <c r="I368" s="195"/>
      <c r="J368" s="195"/>
      <c r="K368" s="195"/>
      <c r="L368" s="195"/>
      <c r="M368" s="195"/>
      <c r="N368" s="195"/>
      <c r="O368" s="195"/>
      <c r="P368" s="195"/>
      <c r="Q368" s="195"/>
      <c r="R368" s="195"/>
      <c r="S368" s="195"/>
      <c r="T368" s="195"/>
      <c r="U368" s="195"/>
      <c r="V368" s="195"/>
    </row>
    <row r="369" spans="1:22" x14ac:dyDescent="0.25">
      <c r="A369" s="125">
        <v>44364</v>
      </c>
      <c r="B369" s="125" t="str">
        <f t="shared" si="20"/>
        <v>Thursday</v>
      </c>
      <c r="C369" s="298">
        <f t="shared" si="21"/>
        <v>4</v>
      </c>
      <c r="D369" s="195">
        <v>7.5</v>
      </c>
      <c r="E369" s="195"/>
      <c r="F369" s="195"/>
      <c r="G369" s="195"/>
      <c r="H369" s="195"/>
      <c r="I369" s="195"/>
      <c r="J369" s="195"/>
      <c r="K369" s="195"/>
      <c r="L369" s="195"/>
      <c r="M369" s="195"/>
      <c r="N369" s="195"/>
      <c r="O369" s="195"/>
      <c r="P369" s="195"/>
      <c r="Q369" s="195"/>
      <c r="R369" s="195"/>
      <c r="S369" s="195"/>
      <c r="T369" s="195"/>
      <c r="U369" s="195"/>
      <c r="V369" s="195"/>
    </row>
    <row r="370" spans="1:22" x14ac:dyDescent="0.25">
      <c r="A370" s="125">
        <v>44365</v>
      </c>
      <c r="B370" s="125" t="str">
        <f t="shared" si="20"/>
        <v>Friday</v>
      </c>
      <c r="C370" s="298">
        <f t="shared" si="21"/>
        <v>5</v>
      </c>
      <c r="D370" s="195">
        <v>7.5</v>
      </c>
      <c r="E370" s="195"/>
      <c r="F370" s="195"/>
      <c r="G370" s="195"/>
      <c r="H370" s="195"/>
      <c r="I370" s="195"/>
      <c r="J370" s="195"/>
      <c r="K370" s="195"/>
      <c r="L370" s="195"/>
      <c r="M370" s="195"/>
      <c r="N370" s="195"/>
      <c r="O370" s="195"/>
      <c r="P370" s="195"/>
      <c r="Q370" s="195"/>
      <c r="R370" s="195"/>
      <c r="S370" s="195"/>
      <c r="T370" s="195"/>
      <c r="U370" s="195"/>
      <c r="V370" s="195"/>
    </row>
    <row r="371" spans="1:22" x14ac:dyDescent="0.25">
      <c r="A371" s="125">
        <v>44366</v>
      </c>
      <c r="B371" s="125" t="str">
        <f t="shared" si="20"/>
        <v>Saturday</v>
      </c>
      <c r="C371" s="298">
        <f t="shared" si="21"/>
        <v>6</v>
      </c>
      <c r="D371" s="195"/>
      <c r="E371" s="195"/>
      <c r="F371" s="195"/>
      <c r="G371" s="195"/>
      <c r="H371" s="195"/>
      <c r="I371" s="195"/>
      <c r="J371" s="195"/>
      <c r="K371" s="195"/>
      <c r="L371" s="195"/>
      <c r="M371" s="195"/>
      <c r="N371" s="195"/>
      <c r="O371" s="195"/>
      <c r="P371" s="195"/>
      <c r="Q371" s="195"/>
      <c r="R371" s="195"/>
      <c r="S371" s="195"/>
      <c r="T371" s="195"/>
      <c r="U371" s="195"/>
      <c r="V371" s="195"/>
    </row>
    <row r="372" spans="1:22" x14ac:dyDescent="0.25">
      <c r="A372" s="125">
        <v>44367</v>
      </c>
      <c r="B372" s="125" t="str">
        <f t="shared" si="20"/>
        <v>Sunday</v>
      </c>
      <c r="C372" s="298">
        <f t="shared" si="21"/>
        <v>7</v>
      </c>
      <c r="D372" s="195"/>
      <c r="E372" s="195"/>
      <c r="F372" s="195"/>
      <c r="G372" s="195"/>
      <c r="H372" s="195"/>
      <c r="I372" s="195"/>
      <c r="J372" s="195"/>
      <c r="K372" s="195"/>
      <c r="L372" s="195"/>
      <c r="M372" s="195"/>
      <c r="N372" s="195"/>
      <c r="O372" s="195"/>
      <c r="P372" s="195"/>
      <c r="Q372" s="195"/>
      <c r="R372" s="195"/>
      <c r="S372" s="195"/>
      <c r="T372" s="195"/>
      <c r="U372" s="195"/>
      <c r="V372" s="195"/>
    </row>
    <row r="373" spans="1:22" x14ac:dyDescent="0.25">
      <c r="A373" s="125">
        <v>44368</v>
      </c>
      <c r="B373" s="125" t="str">
        <f t="shared" si="20"/>
        <v>Monday</v>
      </c>
      <c r="C373" s="298">
        <f t="shared" si="21"/>
        <v>1</v>
      </c>
      <c r="D373" s="195">
        <v>7.5</v>
      </c>
      <c r="E373" s="195"/>
      <c r="F373" s="195"/>
      <c r="G373" s="195"/>
      <c r="H373" s="195"/>
      <c r="I373" s="195"/>
      <c r="J373" s="195"/>
      <c r="K373" s="195"/>
      <c r="L373" s="195"/>
      <c r="M373" s="195"/>
      <c r="N373" s="195"/>
      <c r="O373" s="195"/>
      <c r="P373" s="195"/>
      <c r="Q373" s="195"/>
      <c r="R373" s="195"/>
      <c r="S373" s="195"/>
      <c r="T373" s="195"/>
      <c r="U373" s="195"/>
      <c r="V373" s="195"/>
    </row>
    <row r="374" spans="1:22" x14ac:dyDescent="0.25">
      <c r="A374" s="125">
        <v>44369</v>
      </c>
      <c r="B374" s="125" t="str">
        <f t="shared" si="20"/>
        <v>Tuesday</v>
      </c>
      <c r="C374" s="298">
        <f t="shared" si="21"/>
        <v>2</v>
      </c>
      <c r="D374" s="195">
        <v>7.5</v>
      </c>
      <c r="E374" s="195"/>
      <c r="F374" s="195"/>
      <c r="G374" s="195"/>
      <c r="H374" s="195"/>
      <c r="I374" s="195"/>
      <c r="J374" s="195"/>
      <c r="K374" s="195"/>
      <c r="L374" s="195"/>
      <c r="M374" s="195"/>
      <c r="N374" s="195"/>
      <c r="O374" s="195"/>
      <c r="P374" s="195"/>
      <c r="Q374" s="195"/>
      <c r="R374" s="195"/>
      <c r="S374" s="195"/>
      <c r="T374" s="195"/>
      <c r="U374" s="195"/>
      <c r="V374" s="195"/>
    </row>
    <row r="375" spans="1:22" x14ac:dyDescent="0.25">
      <c r="A375" s="125">
        <v>44370</v>
      </c>
      <c r="B375" s="125" t="str">
        <f t="shared" si="20"/>
        <v>Wednesday</v>
      </c>
      <c r="C375" s="298">
        <f t="shared" si="21"/>
        <v>3</v>
      </c>
      <c r="D375" s="195">
        <v>7.5</v>
      </c>
      <c r="E375" s="195"/>
      <c r="F375" s="195"/>
      <c r="G375" s="195"/>
      <c r="H375" s="195"/>
      <c r="I375" s="195"/>
      <c r="J375" s="195"/>
      <c r="K375" s="195"/>
      <c r="L375" s="195"/>
      <c r="M375" s="195"/>
      <c r="N375" s="195"/>
      <c r="O375" s="195"/>
      <c r="P375" s="195"/>
      <c r="Q375" s="195"/>
      <c r="R375" s="195"/>
      <c r="S375" s="195"/>
      <c r="T375" s="195"/>
      <c r="U375" s="195"/>
      <c r="V375" s="195"/>
    </row>
    <row r="376" spans="1:22" x14ac:dyDescent="0.25">
      <c r="A376" s="125">
        <v>44371</v>
      </c>
      <c r="B376" s="125" t="str">
        <f t="shared" si="20"/>
        <v>Thursday</v>
      </c>
      <c r="C376" s="298">
        <f t="shared" si="21"/>
        <v>4</v>
      </c>
      <c r="D376" s="195">
        <v>7.5</v>
      </c>
      <c r="E376" s="195"/>
      <c r="F376" s="195"/>
      <c r="G376" s="195"/>
      <c r="H376" s="195"/>
      <c r="I376" s="195"/>
      <c r="J376" s="195"/>
      <c r="K376" s="195"/>
      <c r="L376" s="195"/>
      <c r="M376" s="195"/>
      <c r="N376" s="195"/>
      <c r="O376" s="195"/>
      <c r="P376" s="195"/>
      <c r="Q376" s="195"/>
      <c r="R376" s="195"/>
      <c r="S376" s="195"/>
      <c r="T376" s="195"/>
      <c r="U376" s="195"/>
      <c r="V376" s="195"/>
    </row>
    <row r="377" spans="1:22" x14ac:dyDescent="0.25">
      <c r="A377" s="125">
        <v>44372</v>
      </c>
      <c r="B377" s="125" t="str">
        <f t="shared" si="20"/>
        <v>Friday</v>
      </c>
      <c r="C377" s="298">
        <f t="shared" si="21"/>
        <v>5</v>
      </c>
      <c r="D377" s="195">
        <v>7.5</v>
      </c>
      <c r="E377" s="195"/>
      <c r="F377" s="195"/>
      <c r="G377" s="195"/>
      <c r="H377" s="195"/>
      <c r="I377" s="195"/>
      <c r="J377" s="195"/>
      <c r="K377" s="195"/>
      <c r="L377" s="195"/>
      <c r="M377" s="195"/>
      <c r="N377" s="195"/>
      <c r="O377" s="195"/>
      <c r="P377" s="195"/>
      <c r="Q377" s="195"/>
      <c r="R377" s="195"/>
      <c r="S377" s="195"/>
      <c r="T377" s="195"/>
      <c r="U377" s="195"/>
      <c r="V377" s="195"/>
    </row>
    <row r="378" spans="1:22" x14ac:dyDescent="0.25">
      <c r="A378" s="125">
        <v>44373</v>
      </c>
      <c r="B378" s="125" t="str">
        <f t="shared" si="20"/>
        <v>Saturday</v>
      </c>
      <c r="C378" s="298">
        <f t="shared" si="21"/>
        <v>6</v>
      </c>
      <c r="D378" s="195"/>
      <c r="E378" s="195"/>
      <c r="F378" s="195"/>
      <c r="G378" s="195"/>
      <c r="H378" s="195"/>
      <c r="I378" s="195"/>
      <c r="J378" s="195"/>
      <c r="K378" s="195"/>
      <c r="L378" s="195"/>
      <c r="M378" s="195"/>
      <c r="N378" s="195"/>
      <c r="O378" s="195"/>
      <c r="P378" s="195"/>
      <c r="Q378" s="195"/>
      <c r="R378" s="195"/>
      <c r="S378" s="195"/>
      <c r="T378" s="195"/>
      <c r="U378" s="195"/>
      <c r="V378" s="195"/>
    </row>
    <row r="379" spans="1:22" x14ac:dyDescent="0.25">
      <c r="A379" s="125">
        <v>44374</v>
      </c>
      <c r="B379" s="125" t="str">
        <f t="shared" si="20"/>
        <v>Sunday</v>
      </c>
      <c r="C379" s="298">
        <f t="shared" si="21"/>
        <v>7</v>
      </c>
      <c r="D379" s="195"/>
      <c r="E379" s="195"/>
      <c r="F379" s="195"/>
      <c r="G379" s="195"/>
      <c r="H379" s="195"/>
      <c r="I379" s="195"/>
      <c r="J379" s="195"/>
      <c r="K379" s="195"/>
      <c r="L379" s="195"/>
      <c r="M379" s="195"/>
      <c r="N379" s="195"/>
      <c r="O379" s="195"/>
      <c r="P379" s="195"/>
      <c r="Q379" s="195"/>
      <c r="R379" s="195"/>
      <c r="S379" s="195"/>
      <c r="T379" s="195"/>
      <c r="U379" s="195"/>
      <c r="V379" s="195"/>
    </row>
    <row r="380" spans="1:22" x14ac:dyDescent="0.25">
      <c r="A380" s="125">
        <v>44375</v>
      </c>
      <c r="B380" s="125" t="str">
        <f t="shared" si="20"/>
        <v>Monday</v>
      </c>
      <c r="C380" s="298">
        <f t="shared" si="21"/>
        <v>1</v>
      </c>
      <c r="D380" s="195">
        <v>7.5</v>
      </c>
      <c r="E380" s="195"/>
      <c r="F380" s="195"/>
      <c r="G380" s="195"/>
      <c r="H380" s="195"/>
      <c r="I380" s="195"/>
      <c r="J380" s="195"/>
      <c r="K380" s="195"/>
      <c r="L380" s="195"/>
      <c r="M380" s="195"/>
      <c r="N380" s="195"/>
      <c r="O380" s="195"/>
      <c r="P380" s="195"/>
      <c r="Q380" s="195"/>
      <c r="R380" s="195"/>
      <c r="S380" s="195"/>
      <c r="T380" s="195"/>
      <c r="U380" s="195"/>
      <c r="V380" s="195"/>
    </row>
    <row r="381" spans="1:22" x14ac:dyDescent="0.25">
      <c r="A381" s="125">
        <v>44376</v>
      </c>
      <c r="B381" s="125" t="str">
        <f t="shared" si="20"/>
        <v>Tuesday</v>
      </c>
      <c r="C381" s="298">
        <f t="shared" si="21"/>
        <v>2</v>
      </c>
      <c r="D381" s="195">
        <v>7.5</v>
      </c>
      <c r="E381" s="195"/>
      <c r="F381" s="195"/>
      <c r="G381" s="195"/>
      <c r="H381" s="195"/>
      <c r="I381" s="195"/>
      <c r="J381" s="195"/>
      <c r="K381" s="195"/>
      <c r="L381" s="195"/>
      <c r="M381" s="195"/>
      <c r="N381" s="195"/>
      <c r="O381" s="195"/>
      <c r="P381" s="195"/>
      <c r="Q381" s="195"/>
      <c r="R381" s="195"/>
      <c r="S381" s="195"/>
      <c r="T381" s="195"/>
      <c r="U381" s="195"/>
      <c r="V381" s="195"/>
    </row>
    <row r="382" spans="1:22" x14ac:dyDescent="0.25">
      <c r="A382" s="125">
        <v>44377</v>
      </c>
      <c r="B382" s="125" t="str">
        <f t="shared" si="20"/>
        <v>Wednesday</v>
      </c>
      <c r="C382" s="298">
        <f t="shared" si="21"/>
        <v>3</v>
      </c>
      <c r="D382" s="300">
        <v>7.5</v>
      </c>
      <c r="E382" s="300"/>
      <c r="F382" s="300"/>
      <c r="G382" s="300"/>
      <c r="H382" s="300"/>
      <c r="I382" s="300"/>
      <c r="J382" s="300"/>
      <c r="K382" s="300"/>
      <c r="L382" s="300"/>
      <c r="M382" s="300"/>
      <c r="N382" s="300"/>
      <c r="O382" s="300"/>
      <c r="P382" s="300"/>
      <c r="Q382" s="300"/>
      <c r="R382" s="300"/>
      <c r="S382" s="300"/>
      <c r="T382" s="300"/>
      <c r="U382" s="300"/>
      <c r="V382" s="300"/>
    </row>
    <row r="383" spans="1:22" x14ac:dyDescent="0.25">
      <c r="A383" s="301" t="s">
        <v>224</v>
      </c>
      <c r="B383" s="305"/>
      <c r="C383" s="303"/>
      <c r="D383" s="304">
        <f>SUM(D353:D382)</f>
        <v>165</v>
      </c>
      <c r="E383" s="304">
        <f t="shared" ref="E383:V383" si="23">SUM(E353:E382)</f>
        <v>0</v>
      </c>
      <c r="F383" s="304">
        <f t="shared" si="23"/>
        <v>0</v>
      </c>
      <c r="G383" s="304">
        <f t="shared" si="23"/>
        <v>0</v>
      </c>
      <c r="H383" s="304">
        <f t="shared" si="23"/>
        <v>0</v>
      </c>
      <c r="I383" s="304">
        <f t="shared" si="23"/>
        <v>0</v>
      </c>
      <c r="J383" s="304">
        <f t="shared" si="23"/>
        <v>0</v>
      </c>
      <c r="K383" s="304">
        <f t="shared" si="23"/>
        <v>0</v>
      </c>
      <c r="L383" s="304">
        <f t="shared" si="23"/>
        <v>0</v>
      </c>
      <c r="M383" s="304">
        <f t="shared" si="23"/>
        <v>0</v>
      </c>
      <c r="N383" s="304">
        <f t="shared" si="23"/>
        <v>0</v>
      </c>
      <c r="O383" s="304">
        <f t="shared" si="23"/>
        <v>0</v>
      </c>
      <c r="P383" s="304">
        <f t="shared" si="23"/>
        <v>0</v>
      </c>
      <c r="Q383" s="304">
        <f t="shared" si="23"/>
        <v>0</v>
      </c>
      <c r="R383" s="304">
        <f t="shared" si="23"/>
        <v>0</v>
      </c>
      <c r="S383" s="304">
        <f t="shared" si="23"/>
        <v>0</v>
      </c>
      <c r="T383" s="304">
        <f t="shared" si="23"/>
        <v>0</v>
      </c>
      <c r="U383" s="304">
        <f t="shared" si="23"/>
        <v>0</v>
      </c>
      <c r="V383" s="304">
        <f t="shared" si="23"/>
        <v>0</v>
      </c>
    </row>
    <row r="384" spans="1:22" x14ac:dyDescent="0.25">
      <c r="A384" s="291"/>
    </row>
    <row r="385" spans="1:22" s="136" customFormat="1" x14ac:dyDescent="0.25">
      <c r="A385" s="291" t="s">
        <v>348</v>
      </c>
      <c r="B385" s="291"/>
      <c r="C385" s="291"/>
      <c r="D385" s="296">
        <f>SUMIFS(D$6:D$383,$A$6:$A$383,"TOTAL")</f>
        <v>1957.5</v>
      </c>
      <c r="E385" s="296">
        <f t="shared" ref="E385:V385" si="24">SUMIFS(E$6:E$383,$A$6:$A$383,"TOTAL")</f>
        <v>0</v>
      </c>
      <c r="F385" s="296">
        <f t="shared" si="24"/>
        <v>0</v>
      </c>
      <c r="G385" s="296">
        <f t="shared" si="24"/>
        <v>0</v>
      </c>
      <c r="H385" s="296">
        <f t="shared" si="24"/>
        <v>0</v>
      </c>
      <c r="I385" s="296">
        <f t="shared" si="24"/>
        <v>0</v>
      </c>
      <c r="J385" s="296">
        <f t="shared" si="24"/>
        <v>0</v>
      </c>
      <c r="K385" s="296">
        <f t="shared" si="24"/>
        <v>0</v>
      </c>
      <c r="L385" s="296">
        <f t="shared" si="24"/>
        <v>0</v>
      </c>
      <c r="M385" s="296">
        <f t="shared" si="24"/>
        <v>0</v>
      </c>
      <c r="N385" s="296">
        <f t="shared" si="24"/>
        <v>0</v>
      </c>
      <c r="O385" s="296">
        <f t="shared" si="24"/>
        <v>0</v>
      </c>
      <c r="P385" s="296">
        <f t="shared" si="24"/>
        <v>0</v>
      </c>
      <c r="Q385" s="296">
        <f t="shared" si="24"/>
        <v>0</v>
      </c>
      <c r="R385" s="296">
        <f t="shared" si="24"/>
        <v>0</v>
      </c>
      <c r="S385" s="296">
        <f t="shared" si="24"/>
        <v>0</v>
      </c>
      <c r="T385" s="296">
        <f t="shared" si="24"/>
        <v>0</v>
      </c>
      <c r="U385" s="296">
        <f t="shared" si="24"/>
        <v>0</v>
      </c>
      <c r="V385" s="296">
        <f t="shared" si="24"/>
        <v>0</v>
      </c>
    </row>
    <row r="387" spans="1:22" x14ac:dyDescent="0.25">
      <c r="A387" s="229" t="s">
        <v>349</v>
      </c>
      <c r="D387" s="306">
        <v>7.5</v>
      </c>
      <c r="E387" s="306"/>
      <c r="F387" s="306"/>
      <c r="G387" s="306"/>
      <c r="H387" s="306"/>
      <c r="I387" s="306"/>
      <c r="J387" s="306"/>
      <c r="K387" s="306"/>
      <c r="L387" s="306"/>
      <c r="M387" s="306"/>
      <c r="N387" s="306"/>
      <c r="O387" s="306"/>
      <c r="P387" s="306"/>
      <c r="Q387" s="306"/>
      <c r="R387" s="306"/>
      <c r="S387" s="306"/>
      <c r="T387" s="306"/>
      <c r="U387" s="306"/>
      <c r="V387" s="306"/>
    </row>
    <row r="389" spans="1:22" x14ac:dyDescent="0.25">
      <c r="A389" s="229" t="s">
        <v>350</v>
      </c>
      <c r="D389" s="293">
        <f>IFERROR(D385/D387,"")</f>
        <v>261</v>
      </c>
      <c r="E389" s="293" t="str">
        <f t="shared" ref="E389:V389" si="25">IFERROR(E385/E387,"")</f>
        <v/>
      </c>
      <c r="F389" s="293" t="str">
        <f t="shared" si="25"/>
        <v/>
      </c>
      <c r="G389" s="293" t="str">
        <f t="shared" si="25"/>
        <v/>
      </c>
      <c r="H389" s="293" t="str">
        <f t="shared" si="25"/>
        <v/>
      </c>
      <c r="I389" s="293" t="str">
        <f t="shared" si="25"/>
        <v/>
      </c>
      <c r="J389" s="293" t="str">
        <f t="shared" si="25"/>
        <v/>
      </c>
      <c r="K389" s="293" t="str">
        <f t="shared" si="25"/>
        <v/>
      </c>
      <c r="L389" s="293" t="str">
        <f t="shared" si="25"/>
        <v/>
      </c>
      <c r="M389" s="293" t="str">
        <f t="shared" si="25"/>
        <v/>
      </c>
      <c r="N389" s="293" t="str">
        <f t="shared" si="25"/>
        <v/>
      </c>
      <c r="O389" s="293" t="str">
        <f t="shared" si="25"/>
        <v/>
      </c>
      <c r="P389" s="293" t="str">
        <f t="shared" si="25"/>
        <v/>
      </c>
      <c r="Q389" s="293" t="str">
        <f t="shared" si="25"/>
        <v/>
      </c>
      <c r="R389" s="293" t="str">
        <f t="shared" si="25"/>
        <v/>
      </c>
      <c r="S389" s="293" t="str">
        <f t="shared" si="25"/>
        <v/>
      </c>
      <c r="T389" s="293" t="str">
        <f t="shared" si="25"/>
        <v/>
      </c>
      <c r="U389" s="293" t="str">
        <f t="shared" si="25"/>
        <v/>
      </c>
      <c r="V389" s="293" t="str">
        <f t="shared" si="25"/>
        <v/>
      </c>
    </row>
  </sheetData>
  <sheetProtection algorithmName="SHA-512" hashValue="rMoY8dKvcphbu4sHHswij/jYhGWnHFc2xc7E/Cmak/nsjeb4rli9O5w9hhRDP4snT9G2KZrrDwIKBMuxoNRHQQ==" saltValue="ZFsFq2mxLgyH3YjCkj3N5Q==" spinCount="100000" sheet="1" objects="1" scenarios="1"/>
  <conditionalFormatting sqref="D6">
    <cfRule type="expression" dxfId="4" priority="4">
      <formula>_xlfn.ISFORMULA(D6)</formula>
    </cfRule>
  </conditionalFormatting>
  <conditionalFormatting sqref="E6:V6">
    <cfRule type="expression" dxfId="3" priority="3">
      <formula>_xlfn.ISFORMULA(E6)</formula>
    </cfRule>
  </conditionalFormatting>
  <conditionalFormatting sqref="C6:C1048576">
    <cfRule type="cellIs" dxfId="2" priority="1" operator="between">
      <formula>1</formula>
      <formula>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Select name from dropdown list." xr:uid="{154AD28B-98FA-46CD-AAB2-9B3A921E89D3}">
          <x14:formula1>
            <xm:f>'Employee information'!$B$4:$B$33</xm:f>
          </x14:formula1>
          <xm:sqref>D6:V6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3553-E1B2-4E20-BCA6-2E029AC25082}">
  <dimension ref="B1:P27"/>
  <sheetViews>
    <sheetView showGridLines="0" zoomScale="85" zoomScaleNormal="85" workbookViewId="0">
      <selection activeCell="C9" sqref="C9"/>
    </sheetView>
  </sheetViews>
  <sheetFormatPr defaultRowHeight="15" x14ac:dyDescent="0.25"/>
  <cols>
    <col min="1" max="1" width="3.28515625" style="120" customWidth="1"/>
    <col min="2" max="2" width="47.28515625" style="120" customWidth="1"/>
    <col min="3" max="3" width="18" style="229" customWidth="1"/>
    <col min="4" max="6" width="9.140625" style="120"/>
    <col min="7" max="7" width="10.85546875" style="120" bestFit="1" customWidth="1"/>
    <col min="8" max="16384" width="9.140625" style="120"/>
  </cols>
  <sheetData>
    <row r="1" spans="2:16" ht="18.75" x14ac:dyDescent="0.3">
      <c r="B1" s="144" t="s">
        <v>366</v>
      </c>
    </row>
    <row r="2" spans="2:16" ht="18.75" x14ac:dyDescent="0.3">
      <c r="B2" s="144"/>
    </row>
    <row r="3" spans="2:16" ht="18.75" customHeight="1" x14ac:dyDescent="0.25">
      <c r="B3" s="448" t="s">
        <v>353</v>
      </c>
      <c r="C3" s="449"/>
      <c r="D3" s="449"/>
      <c r="E3" s="449"/>
      <c r="F3" s="449"/>
      <c r="G3" s="449"/>
      <c r="H3" s="449"/>
      <c r="I3" s="449"/>
      <c r="J3" s="449"/>
      <c r="K3" s="449"/>
      <c r="L3" s="449"/>
      <c r="M3" s="449"/>
      <c r="N3" s="449"/>
      <c r="O3" s="449"/>
      <c r="P3" s="450"/>
    </row>
    <row r="4" spans="2:16" ht="18.75" customHeight="1" x14ac:dyDescent="0.25">
      <c r="B4" s="451"/>
      <c r="C4" s="452"/>
      <c r="D4" s="452"/>
      <c r="E4" s="452"/>
      <c r="F4" s="452"/>
      <c r="G4" s="452"/>
      <c r="H4" s="452"/>
      <c r="I4" s="452"/>
      <c r="J4" s="452"/>
      <c r="K4" s="452"/>
      <c r="L4" s="452"/>
      <c r="M4" s="452"/>
      <c r="N4" s="452"/>
      <c r="O4" s="452"/>
      <c r="P4" s="453"/>
    </row>
    <row r="5" spans="2:16" ht="18.75" customHeight="1" x14ac:dyDescent="0.25">
      <c r="B5" s="451"/>
      <c r="C5" s="452"/>
      <c r="D5" s="452"/>
      <c r="E5" s="452"/>
      <c r="F5" s="452"/>
      <c r="G5" s="452"/>
      <c r="H5" s="452"/>
      <c r="I5" s="452"/>
      <c r="J5" s="452"/>
      <c r="K5" s="452"/>
      <c r="L5" s="452"/>
      <c r="M5" s="452"/>
      <c r="N5" s="452"/>
      <c r="O5" s="452"/>
      <c r="P5" s="453"/>
    </row>
    <row r="6" spans="2:16" ht="18.75" customHeight="1" x14ac:dyDescent="0.25">
      <c r="B6" s="451"/>
      <c r="C6" s="452"/>
      <c r="D6" s="452"/>
      <c r="E6" s="452"/>
      <c r="F6" s="452"/>
      <c r="G6" s="452"/>
      <c r="H6" s="452"/>
      <c r="I6" s="452"/>
      <c r="J6" s="452"/>
      <c r="K6" s="452"/>
      <c r="L6" s="452"/>
      <c r="M6" s="452"/>
      <c r="N6" s="452"/>
      <c r="O6" s="452"/>
      <c r="P6" s="453"/>
    </row>
    <row r="7" spans="2:16" ht="18.75" customHeight="1" x14ac:dyDescent="0.25">
      <c r="B7" s="454"/>
      <c r="C7" s="455"/>
      <c r="D7" s="455"/>
      <c r="E7" s="455"/>
      <c r="F7" s="455"/>
      <c r="G7" s="455"/>
      <c r="H7" s="455"/>
      <c r="I7" s="455"/>
      <c r="J7" s="455"/>
      <c r="K7" s="455"/>
      <c r="L7" s="455"/>
      <c r="M7" s="455"/>
      <c r="N7" s="455"/>
      <c r="O7" s="455"/>
      <c r="P7" s="456"/>
    </row>
    <row r="8" spans="2:16" ht="18.75" customHeight="1" x14ac:dyDescent="0.25">
      <c r="B8" s="307"/>
      <c r="C8" s="307"/>
      <c r="D8" s="307"/>
      <c r="E8" s="307"/>
      <c r="F8" s="307"/>
      <c r="G8" s="307"/>
      <c r="H8" s="307"/>
      <c r="I8" s="307"/>
      <c r="J8" s="307"/>
      <c r="K8" s="307"/>
      <c r="L8" s="307"/>
      <c r="M8" s="307"/>
      <c r="N8" s="307"/>
      <c r="O8" s="307"/>
      <c r="P8" s="307"/>
    </row>
    <row r="9" spans="2:16" x14ac:dyDescent="0.25">
      <c r="B9" s="120" t="s">
        <v>344</v>
      </c>
      <c r="C9" s="308">
        <v>44013</v>
      </c>
    </row>
    <row r="10" spans="2:16" x14ac:dyDescent="0.25">
      <c r="B10" s="120" t="s">
        <v>345</v>
      </c>
      <c r="C10" s="308">
        <v>44043</v>
      </c>
    </row>
    <row r="11" spans="2:16" x14ac:dyDescent="0.25">
      <c r="B11" s="120" t="s">
        <v>346</v>
      </c>
      <c r="C11" s="121">
        <f>NETWORKDAYS($C$9,$C$10)</f>
        <v>23</v>
      </c>
      <c r="E11" s="148" t="s">
        <v>369</v>
      </c>
    </row>
    <row r="12" spans="2:16" x14ac:dyDescent="0.25">
      <c r="B12" s="120" t="s">
        <v>347</v>
      </c>
      <c r="C12" s="122">
        <f>$C$11*('Basic payroll data'!$D$4/5)</f>
        <v>172.5</v>
      </c>
    </row>
    <row r="14" spans="2:16" x14ac:dyDescent="0.25">
      <c r="B14" s="120" t="s">
        <v>341</v>
      </c>
      <c r="C14" s="145">
        <f>11.5*7.5</f>
        <v>86.25</v>
      </c>
      <c r="E14" s="148" t="s">
        <v>367</v>
      </c>
    </row>
    <row r="15" spans="2:16" x14ac:dyDescent="0.25">
      <c r="E15" s="148"/>
    </row>
    <row r="16" spans="2:16" x14ac:dyDescent="0.25">
      <c r="B16" s="120" t="s">
        <v>332</v>
      </c>
      <c r="C16" s="122">
        <f>C12</f>
        <v>172.5</v>
      </c>
      <c r="E16" s="148" t="s">
        <v>368</v>
      </c>
    </row>
    <row r="17" spans="2:7" x14ac:dyDescent="0.25">
      <c r="E17" s="148"/>
    </row>
    <row r="18" spans="2:7" x14ac:dyDescent="0.25">
      <c r="B18" s="120" t="s">
        <v>336</v>
      </c>
      <c r="C18" s="123">
        <f>C14/C16</f>
        <v>0.5</v>
      </c>
      <c r="E18" s="148"/>
    </row>
    <row r="19" spans="2:7" x14ac:dyDescent="0.25">
      <c r="E19" s="148"/>
    </row>
    <row r="20" spans="2:7" x14ac:dyDescent="0.25">
      <c r="B20" s="120" t="s">
        <v>342</v>
      </c>
      <c r="C20" s="145">
        <v>162.5</v>
      </c>
      <c r="E20" s="148" t="s">
        <v>343</v>
      </c>
    </row>
    <row r="21" spans="2:7" x14ac:dyDescent="0.25">
      <c r="E21" s="148"/>
    </row>
    <row r="22" spans="2:7" x14ac:dyDescent="0.25">
      <c r="B22" s="120" t="s">
        <v>337</v>
      </c>
      <c r="C22" s="124">
        <f>C18*C20</f>
        <v>81.25</v>
      </c>
      <c r="E22" s="148" t="s">
        <v>338</v>
      </c>
    </row>
    <row r="23" spans="2:7" x14ac:dyDescent="0.25">
      <c r="E23" s="148"/>
    </row>
    <row r="26" spans="2:7" x14ac:dyDescent="0.25">
      <c r="G26" s="161"/>
    </row>
    <row r="27" spans="2:7" x14ac:dyDescent="0.25">
      <c r="G27" s="161"/>
    </row>
  </sheetData>
  <sheetProtection algorithmName="SHA-512" hashValue="DwosTA+qZ8n6HQBMUFXdbhDOnB4YbAhUVxFQJcGrwmL/56meldiyL/CzOKdUcqMpCGdnU8szMFIz1lotzJx9tQ==" saltValue="hrYn4zGv1xVHQx/Axw4tuA==" spinCount="100000" sheet="1" objects="1" scenarios="1"/>
  <mergeCells count="1">
    <mergeCell ref="B3:P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A4096-7E32-4C5B-9937-FEDCE1D5236F}">
  <dimension ref="B1:L36"/>
  <sheetViews>
    <sheetView showGridLines="0" view="pageBreakPreview" zoomScale="85" zoomScaleNormal="90" zoomScaleSheetLayoutView="85" workbookViewId="0">
      <selection activeCell="H11" sqref="H11"/>
    </sheetView>
  </sheetViews>
  <sheetFormatPr defaultRowHeight="15" x14ac:dyDescent="0.25"/>
  <cols>
    <col min="1" max="1" width="2.28515625" style="120" customWidth="1"/>
    <col min="2" max="2" width="24.7109375" style="120" customWidth="1"/>
    <col min="3" max="5" width="9.140625" style="120"/>
    <col min="6" max="8" width="15.140625" style="229" customWidth="1"/>
    <col min="9" max="9" width="16.140625" style="229" customWidth="1"/>
    <col min="10" max="10" width="11.5703125" style="120" bestFit="1" customWidth="1"/>
    <col min="11" max="11" width="10.5703125" style="120" bestFit="1" customWidth="1"/>
    <col min="12" max="12" width="11.7109375" style="120" customWidth="1"/>
    <col min="13" max="13" width="2.7109375" style="120" customWidth="1"/>
    <col min="14" max="16384" width="9.140625" style="120"/>
  </cols>
  <sheetData>
    <row r="1" spans="2:12" ht="4.5" customHeight="1" x14ac:dyDescent="0.25"/>
    <row r="2" spans="2:12" x14ac:dyDescent="0.25">
      <c r="B2" s="136" t="s">
        <v>218</v>
      </c>
      <c r="C2" s="309">
        <v>26</v>
      </c>
      <c r="D2" s="148" t="s">
        <v>289</v>
      </c>
    </row>
    <row r="3" spans="2:12" x14ac:dyDescent="0.25">
      <c r="B3" s="136"/>
      <c r="C3" s="310"/>
    </row>
    <row r="4" spans="2:12" x14ac:dyDescent="0.25">
      <c r="K4" s="311"/>
    </row>
    <row r="5" spans="2:12" x14ac:dyDescent="0.25">
      <c r="B5" s="457" t="s">
        <v>286</v>
      </c>
      <c r="C5" s="458"/>
      <c r="D5" s="458"/>
      <c r="E5" s="459"/>
      <c r="I5" s="136" t="s">
        <v>123</v>
      </c>
      <c r="J5" s="125">
        <f>INDEX('PAYG worksheet'!$B:$E,MATCH($C$2,'PAYG worksheet'!$B:$B,0),4)</f>
        <v>44116</v>
      </c>
      <c r="K5" s="229" t="s">
        <v>124</v>
      </c>
      <c r="L5" s="125">
        <f ca="1">OFFSET(INDEX('PAYG worksheet'!$B:$E,MATCH($C$2,'PAYG worksheet'!$B:$B,0),4),1,0)</f>
        <v>44127</v>
      </c>
    </row>
    <row r="6" spans="2:12" x14ac:dyDescent="0.25">
      <c r="B6" s="457" t="s">
        <v>287</v>
      </c>
      <c r="C6" s="458"/>
      <c r="D6" s="458"/>
      <c r="E6" s="459"/>
      <c r="I6" s="136" t="s">
        <v>122</v>
      </c>
      <c r="J6" s="460" t="s">
        <v>288</v>
      </c>
      <c r="K6" s="460"/>
      <c r="L6" s="460"/>
    </row>
    <row r="8" spans="2:12" ht="15.75" x14ac:dyDescent="0.25">
      <c r="B8" s="312" t="s">
        <v>5</v>
      </c>
    </row>
    <row r="9" spans="2:12" x14ac:dyDescent="0.25">
      <c r="B9" s="185" t="s">
        <v>15</v>
      </c>
    </row>
    <row r="11" spans="2:12" s="312" customFormat="1" ht="15.75" x14ac:dyDescent="0.25">
      <c r="B11" s="312" t="s">
        <v>125</v>
      </c>
      <c r="F11" s="313" t="s">
        <v>233</v>
      </c>
      <c r="G11" s="313" t="s">
        <v>127</v>
      </c>
      <c r="H11" s="313" t="s">
        <v>216</v>
      </c>
      <c r="I11" s="313" t="s">
        <v>217</v>
      </c>
    </row>
    <row r="12" spans="2:12" x14ac:dyDescent="0.25">
      <c r="B12" s="120" t="s">
        <v>129</v>
      </c>
      <c r="F12" s="126">
        <f>SUMIFS('PAYG worksheet'!$J:$J,'PAYG worksheet'!$A:$A,'Employee pay advice &amp; report'!$C$2,'PAYG worksheet'!$C:$C,'Employee pay advice &amp; report'!$B$9)</f>
        <v>75</v>
      </c>
      <c r="G12" s="127">
        <f>IFERROR(VLOOKUP($B$9,'Employee information'!$B:$P,COLUMNS('Employee information'!$B:$P),0),"")</f>
        <v>102.56410256410257</v>
      </c>
      <c r="H12" s="127">
        <f>SUMIFS('PAYG worksheet'!$L:$L,'PAYG worksheet'!$A:$A,'Employee pay advice &amp; report'!$C$2,'PAYG worksheet'!$C:$C,'Employee pay advice &amp; report'!$B$9)</f>
        <v>7692.3076923076924</v>
      </c>
      <c r="I12" s="127">
        <f>SUMIFS('PAYG worksheet'!$M:$M,'PAYG worksheet'!$A:$A,'Employee pay advice &amp; report'!$C$2,'PAYG worksheet'!$C:$C,'Employee pay advice &amp; report'!$B$9)</f>
        <v>199999.99999999994</v>
      </c>
    </row>
    <row r="13" spans="2:12" x14ac:dyDescent="0.25">
      <c r="B13" s="120" t="s">
        <v>259</v>
      </c>
      <c r="F13" s="310"/>
      <c r="G13" s="310"/>
      <c r="H13" s="128">
        <f>SUMIFS('PAYG worksheet'!$AC:$AC,'PAYG worksheet'!$C:$C,'Employee pay advice &amp; report'!$B$9,'PAYG worksheet'!$A:$A,'Employee pay advice &amp; report'!$C$2)+SUMIFS('PAYG worksheet'!$AG:$AG,'PAYG worksheet'!$C:$C,'Employee pay advice &amp; report'!$B$9,'PAYG worksheet'!$A:$A,'Employee pay advice &amp; report'!$C$2)</f>
        <v>0</v>
      </c>
      <c r="I13" s="128">
        <f>SUMIFS('PAYG worksheet'!$BG:$BG,'PAYG worksheet'!$A:$A,'Employee pay advice &amp; report'!$C$2,'PAYG worksheet'!$C:$C,'Employee pay advice &amp; report'!$B$9)+SUMIFS('PAYG worksheet'!$BH:$BH,'PAYG worksheet'!$A:$A,'Employee pay advice &amp; report'!$C$2,'PAYG worksheet'!$C:$C,'Employee pay advice &amp; report'!$B$9)</f>
        <v>140</v>
      </c>
    </row>
    <row r="14" spans="2:12" x14ac:dyDescent="0.25">
      <c r="B14" s="120" t="s">
        <v>215</v>
      </c>
      <c r="F14" s="314"/>
      <c r="G14" s="314"/>
      <c r="H14" s="129">
        <f>SUMIFS('PAYG worksheet'!$AK:$AK,'PAYG worksheet'!$A:$A,'Employee pay advice &amp; report'!$C$2,'PAYG worksheet'!$C:$C,'Employee pay advice &amp; report'!$B$9)</f>
        <v>0</v>
      </c>
      <c r="I14" s="129">
        <f>SUMIFS('PAYG worksheet'!$BL:$BL,'PAYG worksheet'!$A:$A,'Employee pay advice &amp; report'!$C$2,'PAYG worksheet'!$C:$C,'Employee pay advice &amp; report'!$B$9)</f>
        <v>0</v>
      </c>
    </row>
    <row r="15" spans="2:12" x14ac:dyDescent="0.25">
      <c r="B15" s="136" t="s">
        <v>224</v>
      </c>
      <c r="H15" s="127">
        <f>SUM(H12:H14)</f>
        <v>7692.3076923076924</v>
      </c>
      <c r="I15" s="127">
        <f>SUM(I12:I14)</f>
        <v>200139.99999999994</v>
      </c>
    </row>
    <row r="16" spans="2:12" x14ac:dyDescent="0.25">
      <c r="H16" s="120"/>
      <c r="I16" s="120"/>
    </row>
    <row r="17" spans="2:12" ht="15.75" x14ac:dyDescent="0.25">
      <c r="B17" s="312" t="s">
        <v>10</v>
      </c>
      <c r="H17" s="120"/>
      <c r="I17" s="120"/>
    </row>
    <row r="18" spans="2:12" x14ac:dyDescent="0.25">
      <c r="B18" s="120" t="s">
        <v>128</v>
      </c>
      <c r="F18" s="310"/>
      <c r="G18" s="310"/>
      <c r="H18" s="128">
        <f>SUMIFS('PAYG worksheet'!$AZ:$AZ,'PAYG worksheet'!$A:$A,'Employee pay advice &amp; report'!$C$2,'PAYG worksheet'!$C:$C,'Employee pay advice &amp; report'!$B$9)+SUMIFS('PAYG worksheet'!$BA:$BA,'PAYG worksheet'!$A:$A,'Employee pay advice &amp; report'!$C$2,'PAYG worksheet'!$C:$C,'Employee pay advice &amp; report'!$B$9)</f>
        <v>3104</v>
      </c>
      <c r="I18" s="127">
        <f>SUMIFS('PAYG worksheet'!$BI:$BI,'PAYG worksheet'!$A:$A,'Employee pay advice &amp; report'!$C$2,'PAYG worksheet'!$C:$C,'Employee pay advice &amp; report'!$B$9)+SUMIFS('PAYG worksheet'!$BJ:$BJ,'PAYG worksheet'!$A:$A,'Employee pay advice &amp; report'!$C$2,'PAYG worksheet'!$C:$C,'Employee pay advice &amp; report'!$B$9)</f>
        <v>80704</v>
      </c>
    </row>
    <row r="19" spans="2:12" x14ac:dyDescent="0.25">
      <c r="B19" s="315" t="s">
        <v>215</v>
      </c>
      <c r="F19" s="314"/>
      <c r="G19" s="314"/>
      <c r="H19" s="130">
        <f>SUMIFS('PAYG worksheet'!$AJ:$AJ,'PAYG worksheet'!$A:$A,'Employee pay advice &amp; report'!$C$2,'PAYG worksheet'!$C:$C,'Employee pay advice &amp; report'!$B$9)</f>
        <v>0</v>
      </c>
      <c r="I19" s="130">
        <f>SUMIFS('PAYG worksheet'!$BK:$BK,'PAYG worksheet'!$A:$A,'Employee pay advice &amp; report'!$C$2,'PAYG worksheet'!$C:$C,'Employee pay advice &amp; report'!$B$9)</f>
        <v>0</v>
      </c>
    </row>
    <row r="20" spans="2:12" x14ac:dyDescent="0.25">
      <c r="B20" s="136" t="s">
        <v>224</v>
      </c>
      <c r="H20" s="127">
        <f>SUM(H18:H19)</f>
        <v>3104</v>
      </c>
      <c r="I20" s="127">
        <f>SUM(I18:I19)</f>
        <v>80704</v>
      </c>
    </row>
    <row r="21" spans="2:12" x14ac:dyDescent="0.25">
      <c r="B21" s="315"/>
    </row>
    <row r="22" spans="2:12" ht="15.75" x14ac:dyDescent="0.25">
      <c r="B22" s="312" t="s">
        <v>126</v>
      </c>
    </row>
    <row r="23" spans="2:12" x14ac:dyDescent="0.25">
      <c r="B23" s="120" t="str">
        <f>"Contribution to "&amp;VLOOKUP($B$9,'Employee information'!$B:$AK,COLUMNS('Employee information'!$B:$AK),0)</f>
        <v>Contribution to X Super Fund</v>
      </c>
      <c r="F23" s="314"/>
      <c r="G23" s="314"/>
      <c r="H23" s="130">
        <f>SUMIFS('PAYG worksheet'!$BC:$BC,'PAYG worksheet'!$A:$A,'Employee pay advice &amp; report'!$C$2,'PAYG worksheet'!$C:$C,'Employee pay advice &amp; report'!$B$9)</f>
        <v>730.76923076923083</v>
      </c>
      <c r="I23" s="130">
        <f>SUMIFS('PAYG worksheet'!$BM:$BM,'PAYG worksheet'!$A:$A,'Employee pay advice &amp; report'!$C$2,'PAYG worksheet'!$C:$C,'Employee pay advice &amp; report'!$B$9)</f>
        <v>18999.999999999996</v>
      </c>
      <c r="L23" s="164"/>
    </row>
    <row r="24" spans="2:12" x14ac:dyDescent="0.25">
      <c r="B24" s="136" t="s">
        <v>224</v>
      </c>
      <c r="H24" s="127">
        <f>H23</f>
        <v>730.76923076923083</v>
      </c>
      <c r="I24" s="127">
        <f>I23</f>
        <v>18999.999999999996</v>
      </c>
    </row>
    <row r="25" spans="2:12" x14ac:dyDescent="0.25">
      <c r="K25" s="164"/>
    </row>
    <row r="26" spans="2:12" ht="15.75" x14ac:dyDescent="0.25">
      <c r="B26" s="312" t="s">
        <v>221</v>
      </c>
    </row>
    <row r="27" spans="2:12" x14ac:dyDescent="0.25">
      <c r="B27" s="120" t="s">
        <v>219</v>
      </c>
      <c r="H27" s="131">
        <f>SUMIFS('PAYG worksheet'!$T:$T,'PAYG worksheet'!$A:$A,'Employee pay advice &amp; report'!$C$2,'PAYG worksheet'!$C:$C,'Employee pay advice &amp; report'!$B$9)</f>
        <v>0</v>
      </c>
      <c r="I27" s="131">
        <f>SUMIFS('Employee information'!$W:$W,'Employee information'!$B:$B,'Employee pay advice &amp; report'!$B$9)</f>
        <v>15</v>
      </c>
    </row>
    <row r="28" spans="2:12" x14ac:dyDescent="0.25">
      <c r="B28" s="120" t="s">
        <v>220</v>
      </c>
      <c r="F28" s="314"/>
      <c r="G28" s="314"/>
      <c r="H28" s="132">
        <f>SUMIFS('PAYG worksheet'!$U:$U,'PAYG worksheet'!$A:$A,'Employee pay advice &amp; report'!$C$2,'PAYG worksheet'!$C:$C,'Employee pay advice &amp; report'!$B$9)</f>
        <v>0</v>
      </c>
      <c r="I28" s="132">
        <f>SUMIFS('Employee information'!$AC:$AC,'Employee information'!$B:$B,$B$9)</f>
        <v>5</v>
      </c>
    </row>
    <row r="29" spans="2:12" x14ac:dyDescent="0.25">
      <c r="B29" s="136" t="s">
        <v>224</v>
      </c>
      <c r="H29" s="131">
        <f>SUM(H27:H28)</f>
        <v>0</v>
      </c>
      <c r="I29" s="131">
        <f>SUMIFS('Employee information'!$AC:$AC,'Employee information'!B:B,'Employee pay advice &amp; report'!B10)</f>
        <v>0</v>
      </c>
    </row>
    <row r="30" spans="2:12" x14ac:dyDescent="0.25">
      <c r="H30" s="316"/>
      <c r="I30" s="316"/>
    </row>
    <row r="31" spans="2:12" ht="15.75" x14ac:dyDescent="0.25">
      <c r="B31" s="312" t="s">
        <v>11</v>
      </c>
      <c r="F31" s="317"/>
      <c r="G31" s="317"/>
      <c r="H31" s="133">
        <f>H15-H20</f>
        <v>4588.3076923076924</v>
      </c>
      <c r="I31" s="134">
        <f>I15-I20</f>
        <v>119435.99999999994</v>
      </c>
    </row>
    <row r="32" spans="2:12" x14ac:dyDescent="0.25">
      <c r="H32" s="120"/>
      <c r="I32" s="120"/>
    </row>
    <row r="33" spans="2:6" x14ac:dyDescent="0.25">
      <c r="B33" s="136" t="s">
        <v>231</v>
      </c>
    </row>
    <row r="34" spans="2:6" x14ac:dyDescent="0.25">
      <c r="B34" s="461"/>
      <c r="C34" s="462"/>
      <c r="D34" s="462"/>
      <c r="E34" s="462"/>
      <c r="F34" s="463"/>
    </row>
    <row r="35" spans="2:6" x14ac:dyDescent="0.25">
      <c r="B35" s="464"/>
      <c r="C35" s="465"/>
      <c r="D35" s="465"/>
      <c r="E35" s="465"/>
      <c r="F35" s="466"/>
    </row>
    <row r="36" spans="2:6" x14ac:dyDescent="0.25">
      <c r="B36" s="467"/>
      <c r="C36" s="468"/>
      <c r="D36" s="468"/>
      <c r="E36" s="468"/>
      <c r="F36" s="469"/>
    </row>
  </sheetData>
  <sheetProtection algorithmName="SHA-512" hashValue="7skLfn2g8BdlS/sBXycIgrpqiYUNUeA9b6YTZL/KKKDbtjO9sypcsd0f0F9NCj7wIAilc/5ledLr9rVDOZMpjQ==" saltValue="iuiqldPsBvpf4lQT0a//Ww==" spinCount="100000" sheet="1" objects="1" scenarios="1"/>
  <mergeCells count="4">
    <mergeCell ref="B5:E5"/>
    <mergeCell ref="B6:E6"/>
    <mergeCell ref="J6:L6"/>
    <mergeCell ref="B34:F36"/>
  </mergeCells>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64078FA-8B1A-44CF-9F6D-E51E5721342D}">
          <x14:formula1>
            <xm:f>'Employee information'!$B$4:$B$33</xm:f>
          </x14:formula1>
          <xm:sqref>B9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28FE-0F5A-4AA6-BBC1-EE891EFE2478}">
  <dimension ref="A1:G30"/>
  <sheetViews>
    <sheetView showGridLines="0" topLeftCell="A7" zoomScale="90" zoomScaleNormal="90" workbookViewId="0">
      <selection activeCell="A3" sqref="A3"/>
    </sheetView>
  </sheetViews>
  <sheetFormatPr defaultRowHeight="15" x14ac:dyDescent="0.25"/>
  <cols>
    <col min="1" max="1" width="64.28515625" customWidth="1"/>
    <col min="2" max="2" width="3.42578125" customWidth="1"/>
    <col min="3" max="4" width="14" customWidth="1"/>
  </cols>
  <sheetData>
    <row r="1" spans="1:7" ht="18.75" x14ac:dyDescent="0.3">
      <c r="A1" s="65" t="s">
        <v>232</v>
      </c>
    </row>
    <row r="2" spans="1:7" x14ac:dyDescent="0.25">
      <c r="A2" t="s">
        <v>296</v>
      </c>
      <c r="B2" s="24"/>
      <c r="C2" s="24"/>
      <c r="D2" s="24"/>
      <c r="E2" s="24"/>
      <c r="F2" s="24"/>
      <c r="G2" s="24"/>
    </row>
    <row r="3" spans="1:7" x14ac:dyDescent="0.25">
      <c r="A3" s="38"/>
    </row>
    <row r="4" spans="1:7" ht="15.75" x14ac:dyDescent="0.25">
      <c r="C4" s="10" t="s">
        <v>44</v>
      </c>
      <c r="D4" s="10" t="s">
        <v>45</v>
      </c>
    </row>
    <row r="5" spans="1:7" ht="15.75" x14ac:dyDescent="0.25">
      <c r="A5" s="37" t="s">
        <v>47</v>
      </c>
    </row>
    <row r="6" spans="1:7" x14ac:dyDescent="0.25">
      <c r="A6" t="s">
        <v>41</v>
      </c>
      <c r="B6" t="s">
        <v>63</v>
      </c>
      <c r="C6" s="12">
        <v>0</v>
      </c>
      <c r="D6" s="11"/>
      <c r="E6" s="13"/>
    </row>
    <row r="7" spans="1:7" x14ac:dyDescent="0.25">
      <c r="A7" s="8" t="s">
        <v>115</v>
      </c>
      <c r="B7" t="s">
        <v>64</v>
      </c>
      <c r="C7" s="11"/>
      <c r="D7" s="12">
        <v>0</v>
      </c>
      <c r="E7" s="13"/>
    </row>
    <row r="8" spans="1:7" x14ac:dyDescent="0.25">
      <c r="A8" s="24" t="s">
        <v>110</v>
      </c>
      <c r="B8" s="8" t="s">
        <v>64</v>
      </c>
      <c r="C8" s="11"/>
      <c r="D8" s="12">
        <v>0</v>
      </c>
      <c r="E8" s="36"/>
    </row>
    <row r="10" spans="1:7" x14ac:dyDescent="0.25">
      <c r="A10" s="13" t="s">
        <v>51</v>
      </c>
    </row>
    <row r="12" spans="1:7" ht="15.75" x14ac:dyDescent="0.25">
      <c r="A12" s="9" t="s">
        <v>48</v>
      </c>
    </row>
    <row r="13" spans="1:7" x14ac:dyDescent="0.25">
      <c r="A13" t="s">
        <v>113</v>
      </c>
      <c r="B13" t="s">
        <v>63</v>
      </c>
      <c r="C13" s="12">
        <v>0</v>
      </c>
      <c r="D13" s="12"/>
      <c r="E13" s="13"/>
    </row>
    <row r="14" spans="1:7" x14ac:dyDescent="0.25">
      <c r="A14" s="8" t="s">
        <v>46</v>
      </c>
      <c r="B14" t="s">
        <v>64</v>
      </c>
      <c r="C14" s="11"/>
      <c r="D14" s="12">
        <v>0</v>
      </c>
      <c r="E14" s="13"/>
    </row>
    <row r="16" spans="1:7" x14ac:dyDescent="0.25">
      <c r="A16" s="13" t="s">
        <v>114</v>
      </c>
    </row>
    <row r="18" spans="1:4" ht="15.75" x14ac:dyDescent="0.25">
      <c r="A18" s="9" t="s">
        <v>62</v>
      </c>
    </row>
    <row r="19" spans="1:4" x14ac:dyDescent="0.25">
      <c r="A19" s="8" t="s">
        <v>43</v>
      </c>
      <c r="B19" t="s">
        <v>64</v>
      </c>
      <c r="C19" s="12"/>
      <c r="D19" s="12">
        <v>0</v>
      </c>
    </row>
    <row r="20" spans="1:4" x14ac:dyDescent="0.25">
      <c r="A20" t="s">
        <v>110</v>
      </c>
      <c r="B20" t="s">
        <v>63</v>
      </c>
      <c r="C20" s="12">
        <v>0</v>
      </c>
      <c r="D20" s="12"/>
    </row>
    <row r="22" spans="1:4" x14ac:dyDescent="0.25">
      <c r="A22" s="13" t="s">
        <v>52</v>
      </c>
    </row>
    <row r="24" spans="1:4" ht="15.75" x14ac:dyDescent="0.25">
      <c r="A24" s="9" t="s">
        <v>116</v>
      </c>
    </row>
    <row r="25" spans="1:4" x14ac:dyDescent="0.25">
      <c r="A25" s="8" t="s">
        <v>42</v>
      </c>
      <c r="B25" t="s">
        <v>64</v>
      </c>
      <c r="C25" s="11"/>
      <c r="D25" s="35">
        <v>0</v>
      </c>
    </row>
    <row r="26" spans="1:4" x14ac:dyDescent="0.25">
      <c r="A26" s="8" t="s">
        <v>59</v>
      </c>
      <c r="B26" t="s">
        <v>64</v>
      </c>
      <c r="C26" s="11"/>
      <c r="D26" s="35">
        <v>0</v>
      </c>
    </row>
    <row r="27" spans="1:4" x14ac:dyDescent="0.25">
      <c r="A27" t="s">
        <v>41</v>
      </c>
      <c r="B27" t="s">
        <v>63</v>
      </c>
      <c r="C27" s="35">
        <v>0</v>
      </c>
      <c r="D27" s="11"/>
    </row>
    <row r="29" spans="1:4" x14ac:dyDescent="0.25">
      <c r="A29" s="13" t="s">
        <v>117</v>
      </c>
    </row>
    <row r="30" spans="1:4" x14ac:dyDescent="0.25">
      <c r="A30" s="13"/>
    </row>
  </sheetData>
  <conditionalFormatting sqref="A5:A12 B4:G12 E13:G14 A26:D26 A15:G25 A27:G30 A1:G1 B2:G2 A3:G3">
    <cfRule type="expression" dxfId="1" priority="2">
      <formula>_xlfn.ISFORMULA(A1)</formula>
    </cfRule>
  </conditionalFormatting>
  <conditionalFormatting sqref="A13:D14">
    <cfRule type="expression" dxfId="0" priority="1">
      <formula>_xlfn.ISFORMULA(A13)</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40AD-2DC8-40B5-ADA4-66D4627982BD}">
  <sheetPr>
    <tabColor theme="1"/>
  </sheetPr>
  <dimension ref="A1:K73"/>
  <sheetViews>
    <sheetView showGridLines="0" topLeftCell="A4" zoomScale="80" zoomScaleNormal="80" workbookViewId="0">
      <selection activeCell="C16" sqref="C16"/>
    </sheetView>
  </sheetViews>
  <sheetFormatPr defaultRowHeight="15" x14ac:dyDescent="0.25"/>
  <cols>
    <col min="1" max="1" width="31" customWidth="1"/>
    <col min="5" max="6" width="11.140625" bestFit="1" customWidth="1"/>
    <col min="7" max="7" width="14.28515625" customWidth="1"/>
    <col min="8" max="8" width="28.85546875" customWidth="1"/>
    <col min="9" max="9" width="28" bestFit="1" customWidth="1"/>
    <col min="10" max="10" width="7.7109375" bestFit="1" customWidth="1"/>
    <col min="11" max="11" width="10" bestFit="1" customWidth="1"/>
    <col min="15" max="15" width="13.140625" customWidth="1"/>
  </cols>
  <sheetData>
    <row r="1" spans="1:11" x14ac:dyDescent="0.25">
      <c r="A1" s="66" t="s">
        <v>162</v>
      </c>
      <c r="B1" s="66"/>
      <c r="C1" s="66"/>
      <c r="D1" s="66"/>
      <c r="E1" s="66"/>
      <c r="F1" s="66"/>
      <c r="G1" s="66"/>
    </row>
    <row r="2" spans="1:11" x14ac:dyDescent="0.25">
      <c r="A2" s="66" t="s">
        <v>161</v>
      </c>
      <c r="B2" s="66"/>
      <c r="C2" s="66"/>
      <c r="D2" s="66"/>
      <c r="E2" s="66"/>
      <c r="F2" s="66"/>
      <c r="G2" s="66"/>
    </row>
    <row r="3" spans="1:11" x14ac:dyDescent="0.25">
      <c r="A3" s="3">
        <v>1</v>
      </c>
      <c r="B3" s="33" t="s">
        <v>166</v>
      </c>
      <c r="C3" s="33"/>
    </row>
    <row r="4" spans="1:11" x14ac:dyDescent="0.25">
      <c r="A4" s="3">
        <v>2</v>
      </c>
      <c r="B4" s="33" t="s">
        <v>234</v>
      </c>
      <c r="C4" s="33"/>
    </row>
    <row r="5" spans="1:11" x14ac:dyDescent="0.25">
      <c r="A5" s="3">
        <v>3</v>
      </c>
      <c r="B5" s="33" t="s">
        <v>235</v>
      </c>
      <c r="C5" s="33"/>
    </row>
    <row r="6" spans="1:11" x14ac:dyDescent="0.25">
      <c r="A6" s="3">
        <v>4</v>
      </c>
      <c r="B6" s="33" t="s">
        <v>236</v>
      </c>
    </row>
    <row r="7" spans="1:11" x14ac:dyDescent="0.25">
      <c r="A7" s="3">
        <v>5</v>
      </c>
      <c r="B7" s="33" t="s">
        <v>168</v>
      </c>
    </row>
    <row r="8" spans="1:11" x14ac:dyDescent="0.25">
      <c r="A8" s="3"/>
      <c r="B8" s="33"/>
    </row>
    <row r="9" spans="1:11" ht="18.75" x14ac:dyDescent="0.3">
      <c r="A9" s="1" t="s">
        <v>158</v>
      </c>
      <c r="I9" s="54" t="s">
        <v>165</v>
      </c>
      <c r="J9" s="24"/>
      <c r="K9" s="24"/>
    </row>
    <row r="10" spans="1:11" x14ac:dyDescent="0.25">
      <c r="I10" s="24"/>
      <c r="J10" s="24"/>
      <c r="K10" s="24"/>
    </row>
    <row r="11" spans="1:11" x14ac:dyDescent="0.25">
      <c r="A11" s="6" t="s">
        <v>154</v>
      </c>
      <c r="B11" s="6" t="s">
        <v>152</v>
      </c>
      <c r="C11" s="6" t="s">
        <v>153</v>
      </c>
      <c r="I11" s="42"/>
      <c r="J11" s="42"/>
      <c r="K11" s="42"/>
    </row>
    <row r="12" spans="1:11" x14ac:dyDescent="0.25">
      <c r="A12" s="49">
        <v>0</v>
      </c>
      <c r="B12" s="34">
        <v>0.19</v>
      </c>
      <c r="C12" s="39">
        <v>0.19</v>
      </c>
      <c r="D12" s="47" t="s">
        <v>193</v>
      </c>
      <c r="E12" s="47"/>
      <c r="F12" s="47"/>
      <c r="G12" s="47"/>
      <c r="I12" s="43" t="s">
        <v>154</v>
      </c>
      <c r="J12" s="43" t="s">
        <v>152</v>
      </c>
      <c r="K12" s="43" t="s">
        <v>153</v>
      </c>
    </row>
    <row r="13" spans="1:11" x14ac:dyDescent="0.25">
      <c r="A13" s="50">
        <v>88</v>
      </c>
      <c r="B13" s="34">
        <v>0.23480000000000001</v>
      </c>
      <c r="C13" s="39">
        <v>3.9639000000000002</v>
      </c>
      <c r="I13" s="44">
        <v>88</v>
      </c>
      <c r="J13" s="44">
        <v>0.19</v>
      </c>
      <c r="K13" s="44">
        <v>0.19</v>
      </c>
    </row>
    <row r="14" spans="1:11" x14ac:dyDescent="0.25">
      <c r="A14" s="50">
        <v>371</v>
      </c>
      <c r="B14" s="34">
        <v>0.219</v>
      </c>
      <c r="C14" s="39">
        <v>-1.9003000000000001</v>
      </c>
      <c r="E14" s="40"/>
      <c r="F14" s="15"/>
      <c r="G14" s="15"/>
      <c r="H14" s="15"/>
      <c r="I14" s="44">
        <v>371</v>
      </c>
      <c r="J14" s="44">
        <v>0.23480000000000001</v>
      </c>
      <c r="K14" s="44">
        <v>3.9639000000000002</v>
      </c>
    </row>
    <row r="15" spans="1:11" x14ac:dyDescent="0.25">
      <c r="A15" s="50">
        <v>515</v>
      </c>
      <c r="B15" s="34">
        <v>0.34770000000000001</v>
      </c>
      <c r="C15" s="39">
        <v>64.429699999999997</v>
      </c>
      <c r="I15" s="44">
        <v>515</v>
      </c>
      <c r="J15" s="44">
        <v>0.219</v>
      </c>
      <c r="K15" s="44" t="s">
        <v>163</v>
      </c>
    </row>
    <row r="16" spans="1:11" x14ac:dyDescent="0.25">
      <c r="A16" s="50">
        <v>932</v>
      </c>
      <c r="B16" s="34">
        <v>0.34499999999999997</v>
      </c>
      <c r="C16" s="39">
        <v>61.913200000000003</v>
      </c>
      <c r="E16" s="2"/>
      <c r="F16" s="2"/>
      <c r="G16" s="2"/>
      <c r="H16" s="2"/>
      <c r="I16" s="44">
        <v>932</v>
      </c>
      <c r="J16" s="44">
        <v>0.34770000000000001</v>
      </c>
      <c r="K16" s="44">
        <v>64.429699999999997</v>
      </c>
    </row>
    <row r="17" spans="1:11" x14ac:dyDescent="0.25">
      <c r="A17" s="50">
        <v>1957</v>
      </c>
      <c r="B17" s="34">
        <v>0.39</v>
      </c>
      <c r="C17" s="39">
        <v>150.0093</v>
      </c>
      <c r="H17" s="2"/>
      <c r="I17" s="44">
        <v>1957</v>
      </c>
      <c r="J17" s="44">
        <v>0.34499999999999997</v>
      </c>
      <c r="K17" s="44">
        <v>61.913200000000003</v>
      </c>
    </row>
    <row r="18" spans="1:11" x14ac:dyDescent="0.25">
      <c r="A18" s="50">
        <v>3111</v>
      </c>
      <c r="B18" s="34">
        <v>0.47</v>
      </c>
      <c r="C18" s="39">
        <v>398.93239999999997</v>
      </c>
      <c r="F18" s="2"/>
      <c r="G18" s="2"/>
      <c r="H18" s="2"/>
      <c r="I18" s="44">
        <v>3111</v>
      </c>
      <c r="J18" s="44">
        <v>0.39</v>
      </c>
      <c r="K18" s="44">
        <v>150.0093</v>
      </c>
    </row>
    <row r="19" spans="1:11" x14ac:dyDescent="0.25">
      <c r="B19" s="34"/>
      <c r="C19" s="39"/>
      <c r="I19" s="44" t="s">
        <v>164</v>
      </c>
      <c r="J19" s="44">
        <v>0.47</v>
      </c>
      <c r="K19" s="44">
        <v>398.93239999999997</v>
      </c>
    </row>
    <row r="20" spans="1:11" x14ac:dyDescent="0.25">
      <c r="I20" s="2"/>
    </row>
    <row r="22" spans="1:11" ht="18.75" x14ac:dyDescent="0.3">
      <c r="A22" s="1" t="s">
        <v>157</v>
      </c>
    </row>
    <row r="24" spans="1:11" x14ac:dyDescent="0.25">
      <c r="A24" s="6" t="s">
        <v>154</v>
      </c>
      <c r="B24" s="6" t="s">
        <v>152</v>
      </c>
      <c r="C24" s="6" t="s">
        <v>153</v>
      </c>
      <c r="I24" s="43" t="s">
        <v>154</v>
      </c>
      <c r="J24" s="43" t="s">
        <v>152</v>
      </c>
      <c r="K24" s="43" t="s">
        <v>153</v>
      </c>
    </row>
    <row r="25" spans="1:11" x14ac:dyDescent="0.25">
      <c r="A25" s="51">
        <v>0</v>
      </c>
      <c r="B25" s="34">
        <v>0</v>
      </c>
      <c r="C25" s="34">
        <v>0</v>
      </c>
      <c r="D25" s="47" t="s">
        <v>193</v>
      </c>
      <c r="E25" s="47"/>
      <c r="F25" s="47"/>
      <c r="G25" s="47"/>
      <c r="I25" s="44">
        <v>359</v>
      </c>
      <c r="J25" s="44" t="s">
        <v>155</v>
      </c>
      <c r="K25" s="44" t="s">
        <v>155</v>
      </c>
    </row>
    <row r="26" spans="1:11" x14ac:dyDescent="0.25">
      <c r="A26" s="50">
        <v>359</v>
      </c>
      <c r="B26" s="34">
        <v>0.19</v>
      </c>
      <c r="C26" s="34">
        <v>68.346199999999996</v>
      </c>
      <c r="I26" s="44">
        <v>438</v>
      </c>
      <c r="J26" s="44">
        <v>0.19</v>
      </c>
      <c r="K26" s="44">
        <v>68.346199999999996</v>
      </c>
    </row>
    <row r="27" spans="1:11" x14ac:dyDescent="0.25">
      <c r="A27" s="50">
        <v>438</v>
      </c>
      <c r="B27" s="34">
        <v>0.28999999999999998</v>
      </c>
      <c r="C27" s="34">
        <v>112.1942</v>
      </c>
      <c r="I27" s="44">
        <v>548</v>
      </c>
      <c r="J27" s="44">
        <v>0.28999999999999998</v>
      </c>
      <c r="K27" s="44">
        <v>112.1942</v>
      </c>
    </row>
    <row r="28" spans="1:11" x14ac:dyDescent="0.25">
      <c r="A28" s="50">
        <v>548</v>
      </c>
      <c r="B28" s="34">
        <v>0.21</v>
      </c>
      <c r="C28" s="34">
        <v>68.346500000000006</v>
      </c>
      <c r="I28" s="44">
        <v>721</v>
      </c>
      <c r="J28" s="44">
        <v>0.21</v>
      </c>
      <c r="K28" s="44">
        <v>68.346500000000006</v>
      </c>
    </row>
    <row r="29" spans="1:11" x14ac:dyDescent="0.25">
      <c r="A29" s="50">
        <v>721</v>
      </c>
      <c r="B29" s="34">
        <v>0.219</v>
      </c>
      <c r="C29" s="34">
        <v>74.8369</v>
      </c>
      <c r="I29" s="44">
        <v>865</v>
      </c>
      <c r="J29" s="44">
        <v>0.219</v>
      </c>
      <c r="K29" s="44">
        <v>74.8369</v>
      </c>
    </row>
    <row r="30" spans="1:11" x14ac:dyDescent="0.25">
      <c r="A30" s="50">
        <v>865</v>
      </c>
      <c r="B30" s="34">
        <v>0.34770000000000001</v>
      </c>
      <c r="C30" s="34">
        <v>186.21190000000001</v>
      </c>
      <c r="I30" s="44">
        <v>1282</v>
      </c>
      <c r="J30" s="44">
        <v>0.34770000000000001</v>
      </c>
      <c r="K30" s="44">
        <v>186.21190000000001</v>
      </c>
    </row>
    <row r="31" spans="1:11" x14ac:dyDescent="0.25">
      <c r="A31" s="50">
        <v>1282</v>
      </c>
      <c r="B31" s="34">
        <v>0.34499999999999997</v>
      </c>
      <c r="C31" s="34">
        <v>182.75040000000001</v>
      </c>
      <c r="I31" s="44">
        <v>2307</v>
      </c>
      <c r="J31" s="44">
        <v>0.34499999999999997</v>
      </c>
      <c r="K31" s="44">
        <v>182.75040000000001</v>
      </c>
    </row>
    <row r="32" spans="1:11" x14ac:dyDescent="0.25">
      <c r="A32" s="50">
        <v>2307</v>
      </c>
      <c r="B32" s="34">
        <v>0.39</v>
      </c>
      <c r="C32" s="34">
        <v>286.59649999999999</v>
      </c>
      <c r="I32" s="44">
        <v>3461</v>
      </c>
      <c r="J32" s="44">
        <v>0.39</v>
      </c>
      <c r="K32" s="44">
        <v>286.59649999999999</v>
      </c>
    </row>
    <row r="33" spans="1:11" x14ac:dyDescent="0.25">
      <c r="A33" s="50">
        <v>3461</v>
      </c>
      <c r="B33" s="34">
        <v>0.47</v>
      </c>
      <c r="C33" s="34">
        <v>563.51959999999997</v>
      </c>
      <c r="I33" s="46">
        <v>3462</v>
      </c>
      <c r="J33" s="44">
        <v>0.47</v>
      </c>
      <c r="K33" s="44">
        <v>563.51959999999997</v>
      </c>
    </row>
    <row r="36" spans="1:11" x14ac:dyDescent="0.25">
      <c r="A36" s="1" t="s">
        <v>156</v>
      </c>
      <c r="I36" s="45" t="s">
        <v>156</v>
      </c>
      <c r="J36" s="42"/>
      <c r="K36" s="42"/>
    </row>
    <row r="37" spans="1:11" x14ac:dyDescent="0.25">
      <c r="A37" s="1"/>
      <c r="I37" s="45"/>
      <c r="J37" s="42"/>
      <c r="K37" s="42"/>
    </row>
    <row r="38" spans="1:11" x14ac:dyDescent="0.25">
      <c r="A38" s="6" t="s">
        <v>154</v>
      </c>
      <c r="B38" s="6" t="s">
        <v>152</v>
      </c>
      <c r="C38" s="6" t="s">
        <v>153</v>
      </c>
      <c r="I38" s="43" t="s">
        <v>154</v>
      </c>
      <c r="J38" s="43" t="s">
        <v>152</v>
      </c>
      <c r="K38" s="43" t="s">
        <v>153</v>
      </c>
    </row>
    <row r="39" spans="1:11" x14ac:dyDescent="0.25">
      <c r="A39" s="51">
        <v>0</v>
      </c>
      <c r="B39" s="39">
        <v>0.32500000000000001</v>
      </c>
      <c r="C39" s="39">
        <v>0.32500000000000001</v>
      </c>
      <c r="D39" s="47" t="s">
        <v>193</v>
      </c>
      <c r="E39" s="47"/>
      <c r="F39" s="47"/>
      <c r="G39" s="47"/>
      <c r="I39" s="44">
        <v>2307</v>
      </c>
      <c r="J39" s="44">
        <v>0.32500000000000001</v>
      </c>
      <c r="K39" s="44">
        <v>0.32500000000000001</v>
      </c>
    </row>
    <row r="40" spans="1:11" x14ac:dyDescent="0.25">
      <c r="A40" s="50">
        <v>2307</v>
      </c>
      <c r="B40" s="39">
        <v>0.37</v>
      </c>
      <c r="C40" s="39">
        <v>103.8462</v>
      </c>
      <c r="I40" s="44">
        <v>3461</v>
      </c>
      <c r="J40" s="44">
        <v>0.37</v>
      </c>
      <c r="K40" s="44">
        <v>103.8462</v>
      </c>
    </row>
    <row r="41" spans="1:11" x14ac:dyDescent="0.25">
      <c r="A41" s="50">
        <v>3461</v>
      </c>
      <c r="B41" s="39">
        <v>0.45</v>
      </c>
      <c r="C41" s="39">
        <v>380.76920000000001</v>
      </c>
      <c r="I41" s="46">
        <v>3462</v>
      </c>
      <c r="J41" s="44">
        <v>0.45</v>
      </c>
      <c r="K41" s="44">
        <v>380.76920000000001</v>
      </c>
    </row>
    <row r="44" spans="1:11" x14ac:dyDescent="0.25">
      <c r="A44" s="1" t="s">
        <v>177</v>
      </c>
    </row>
    <row r="45" spans="1:11" x14ac:dyDescent="0.25">
      <c r="I45" s="43" t="s">
        <v>178</v>
      </c>
      <c r="J45" s="43" t="s">
        <v>179</v>
      </c>
    </row>
    <row r="46" spans="1:11" x14ac:dyDescent="0.25">
      <c r="A46" s="6" t="s">
        <v>178</v>
      </c>
      <c r="B46" s="6" t="s">
        <v>179</v>
      </c>
      <c r="C46" s="41"/>
      <c r="I46" s="44" t="s">
        <v>180</v>
      </c>
      <c r="J46" s="44">
        <v>0.47</v>
      </c>
    </row>
    <row r="47" spans="1:11" x14ac:dyDescent="0.25">
      <c r="A47" s="33" t="s">
        <v>180</v>
      </c>
      <c r="B47" s="33">
        <v>0.47</v>
      </c>
      <c r="C47" s="52"/>
      <c r="I47" s="44" t="s">
        <v>181</v>
      </c>
      <c r="J47" s="44">
        <v>0.45</v>
      </c>
    </row>
    <row r="48" spans="1:11" x14ac:dyDescent="0.25">
      <c r="A48" s="33" t="s">
        <v>181</v>
      </c>
      <c r="B48" s="33">
        <v>0.45</v>
      </c>
      <c r="C48" s="33"/>
    </row>
    <row r="50" spans="1:11" ht="18.75" x14ac:dyDescent="0.3">
      <c r="A50" s="1" t="s">
        <v>159</v>
      </c>
      <c r="I50" s="1"/>
    </row>
    <row r="52" spans="1:11" x14ac:dyDescent="0.25">
      <c r="A52" s="6" t="s">
        <v>154</v>
      </c>
      <c r="B52" s="6" t="s">
        <v>152</v>
      </c>
      <c r="C52" s="6" t="s">
        <v>153</v>
      </c>
      <c r="I52" s="43" t="s">
        <v>154</v>
      </c>
      <c r="J52" s="43" t="s">
        <v>152</v>
      </c>
      <c r="K52" s="43" t="s">
        <v>153</v>
      </c>
    </row>
    <row r="53" spans="1:11" x14ac:dyDescent="0.25">
      <c r="A53" s="48">
        <v>0</v>
      </c>
      <c r="B53" s="39">
        <v>0</v>
      </c>
      <c r="C53" s="39">
        <v>0</v>
      </c>
      <c r="D53" s="47" t="s">
        <v>193</v>
      </c>
      <c r="E53" s="47"/>
      <c r="F53" s="47"/>
      <c r="G53" s="47"/>
      <c r="I53" s="44">
        <v>359</v>
      </c>
      <c r="J53" s="44" t="s">
        <v>155</v>
      </c>
      <c r="K53" s="44" t="s">
        <v>155</v>
      </c>
    </row>
    <row r="54" spans="1:11" x14ac:dyDescent="0.25">
      <c r="A54" s="50">
        <v>359</v>
      </c>
      <c r="B54" s="39">
        <v>0.19</v>
      </c>
      <c r="C54" s="39">
        <v>68.346199999999996</v>
      </c>
      <c r="I54" s="44">
        <v>721</v>
      </c>
      <c r="J54" s="44">
        <v>0.19</v>
      </c>
      <c r="K54" s="44">
        <v>68.346199999999996</v>
      </c>
    </row>
    <row r="55" spans="1:11" x14ac:dyDescent="0.25">
      <c r="A55" s="50">
        <v>721</v>
      </c>
      <c r="B55" s="39">
        <v>0.19900000000000001</v>
      </c>
      <c r="C55" s="39">
        <v>74.836500000000001</v>
      </c>
      <c r="I55" s="44">
        <v>865</v>
      </c>
      <c r="J55" s="44">
        <v>0.19900000000000001</v>
      </c>
      <c r="K55" s="44">
        <v>74.836500000000001</v>
      </c>
    </row>
    <row r="56" spans="1:11" x14ac:dyDescent="0.25">
      <c r="A56" s="50">
        <v>865</v>
      </c>
      <c r="B56" s="39">
        <v>0.32769999999999999</v>
      </c>
      <c r="C56" s="39">
        <v>186.2115</v>
      </c>
      <c r="I56" s="44">
        <v>1282</v>
      </c>
      <c r="J56" s="44">
        <v>0.32769999999999999</v>
      </c>
      <c r="K56" s="44">
        <v>186.2115</v>
      </c>
    </row>
    <row r="57" spans="1:11" x14ac:dyDescent="0.25">
      <c r="A57" s="50">
        <v>1282</v>
      </c>
      <c r="B57" s="39">
        <v>0.32500000000000001</v>
      </c>
      <c r="C57" s="39">
        <v>182.75</v>
      </c>
      <c r="I57" s="44">
        <v>2307</v>
      </c>
      <c r="J57" s="44">
        <v>0.32500000000000001</v>
      </c>
      <c r="K57" s="44">
        <v>182.75</v>
      </c>
    </row>
    <row r="58" spans="1:11" x14ac:dyDescent="0.25">
      <c r="A58" s="50">
        <v>2307</v>
      </c>
      <c r="B58" s="39">
        <v>0.37</v>
      </c>
      <c r="C58" s="39">
        <v>286.59620000000001</v>
      </c>
      <c r="I58" s="44">
        <v>3461</v>
      </c>
      <c r="J58" s="44">
        <v>0.37</v>
      </c>
      <c r="K58" s="44">
        <v>286.59620000000001</v>
      </c>
    </row>
    <row r="59" spans="1:11" x14ac:dyDescent="0.25">
      <c r="A59" s="50">
        <v>3461</v>
      </c>
      <c r="B59" s="39">
        <v>0.45</v>
      </c>
      <c r="C59" s="39">
        <v>563.51919999999996</v>
      </c>
      <c r="I59" s="46">
        <v>3462</v>
      </c>
      <c r="J59" s="44">
        <v>0.45</v>
      </c>
      <c r="K59" s="44">
        <v>563.51919999999996</v>
      </c>
    </row>
    <row r="62" spans="1:11" ht="18.75" x14ac:dyDescent="0.3">
      <c r="A62" s="1" t="s">
        <v>160</v>
      </c>
      <c r="I62" s="1"/>
    </row>
    <row r="64" spans="1:11" x14ac:dyDescent="0.25">
      <c r="A64" s="6" t="s">
        <v>154</v>
      </c>
      <c r="B64" s="6" t="s">
        <v>152</v>
      </c>
      <c r="C64" s="6" t="s">
        <v>153</v>
      </c>
      <c r="I64" s="43" t="s">
        <v>154</v>
      </c>
      <c r="J64" s="43" t="s">
        <v>152</v>
      </c>
      <c r="K64" s="43" t="s">
        <v>153</v>
      </c>
    </row>
    <row r="65" spans="1:11" x14ac:dyDescent="0.25">
      <c r="A65" s="48">
        <v>0</v>
      </c>
      <c r="B65" s="39">
        <v>0</v>
      </c>
      <c r="C65" s="39">
        <v>0</v>
      </c>
      <c r="D65" s="47" t="s">
        <v>193</v>
      </c>
      <c r="E65" s="47"/>
      <c r="F65" s="47"/>
      <c r="G65" s="47"/>
      <c r="I65" s="44">
        <v>359</v>
      </c>
      <c r="J65" s="44" t="s">
        <v>155</v>
      </c>
      <c r="K65" s="44" t="s">
        <v>155</v>
      </c>
    </row>
    <row r="66" spans="1:11" x14ac:dyDescent="0.25">
      <c r="A66" s="50">
        <v>359</v>
      </c>
      <c r="B66" s="39">
        <v>0.19</v>
      </c>
      <c r="C66" s="39">
        <v>68.346199999999996</v>
      </c>
      <c r="I66" s="44">
        <v>721</v>
      </c>
      <c r="J66" s="44">
        <v>0.19</v>
      </c>
      <c r="K66" s="44">
        <v>68.346199999999996</v>
      </c>
    </row>
    <row r="67" spans="1:11" x14ac:dyDescent="0.25">
      <c r="A67" s="50">
        <v>721</v>
      </c>
      <c r="B67" s="39">
        <v>0.19900000000000001</v>
      </c>
      <c r="C67" s="39">
        <v>74.836500000000001</v>
      </c>
      <c r="I67" s="44">
        <v>739</v>
      </c>
      <c r="J67" s="44">
        <v>0.19900000000000001</v>
      </c>
      <c r="K67" s="44">
        <v>74.836500000000001</v>
      </c>
    </row>
    <row r="68" spans="1:11" x14ac:dyDescent="0.25">
      <c r="A68" s="50">
        <v>739</v>
      </c>
      <c r="B68" s="39">
        <v>0.249</v>
      </c>
      <c r="C68" s="39">
        <v>111.8308</v>
      </c>
      <c r="I68" s="44">
        <v>865</v>
      </c>
      <c r="J68" s="44">
        <v>0.249</v>
      </c>
      <c r="K68" s="44">
        <v>111.8308</v>
      </c>
    </row>
    <row r="69" spans="1:11" x14ac:dyDescent="0.25">
      <c r="A69" s="50">
        <v>865</v>
      </c>
      <c r="B69" s="39">
        <v>0.37769999999999998</v>
      </c>
      <c r="C69" s="39">
        <v>223.20580000000001</v>
      </c>
      <c r="I69" s="44">
        <v>924</v>
      </c>
      <c r="J69" s="44">
        <v>0.37769999999999998</v>
      </c>
      <c r="K69" s="44">
        <v>223.20580000000001</v>
      </c>
    </row>
    <row r="70" spans="1:11" x14ac:dyDescent="0.25">
      <c r="A70" s="50">
        <v>924</v>
      </c>
      <c r="B70" s="39">
        <v>0.3377</v>
      </c>
      <c r="C70" s="39">
        <v>186.21190000000001</v>
      </c>
      <c r="I70" s="44">
        <v>1282</v>
      </c>
      <c r="J70" s="44">
        <v>0.3377</v>
      </c>
      <c r="K70" s="44">
        <v>186.21190000000001</v>
      </c>
    </row>
    <row r="71" spans="1:11" x14ac:dyDescent="0.25">
      <c r="A71" s="50">
        <v>1282</v>
      </c>
      <c r="B71" s="39">
        <v>0.33500000000000002</v>
      </c>
      <c r="C71" s="39">
        <v>182.75040000000001</v>
      </c>
      <c r="I71" s="44">
        <v>2307</v>
      </c>
      <c r="J71" s="44">
        <v>0.33500000000000002</v>
      </c>
      <c r="K71" s="44">
        <v>182.75040000000001</v>
      </c>
    </row>
    <row r="72" spans="1:11" x14ac:dyDescent="0.25">
      <c r="A72" s="50">
        <v>2307</v>
      </c>
      <c r="B72" s="39">
        <v>0.38</v>
      </c>
      <c r="C72" s="39">
        <v>286.59649999999999</v>
      </c>
      <c r="I72" s="44">
        <v>3461</v>
      </c>
      <c r="J72" s="44">
        <v>0.38</v>
      </c>
      <c r="K72" s="44">
        <v>286.59649999999999</v>
      </c>
    </row>
    <row r="73" spans="1:11" x14ac:dyDescent="0.25">
      <c r="A73" s="50">
        <v>3461</v>
      </c>
      <c r="B73" s="39">
        <v>0.46</v>
      </c>
      <c r="C73" s="39">
        <v>563.51959999999997</v>
      </c>
      <c r="I73" s="46">
        <v>3462</v>
      </c>
      <c r="J73" s="44">
        <v>0.46</v>
      </c>
      <c r="K73" s="44">
        <v>563.51959999999997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3D45D-1E98-4C48-8BD2-395C4643E43B}">
  <sheetPr>
    <tabColor theme="1"/>
  </sheetPr>
  <dimension ref="A1:J155"/>
  <sheetViews>
    <sheetView showGridLines="0" zoomScale="80" zoomScaleNormal="80" workbookViewId="0">
      <selection activeCell="C16" sqref="C16"/>
    </sheetView>
  </sheetViews>
  <sheetFormatPr defaultRowHeight="15" x14ac:dyDescent="0.25"/>
  <cols>
    <col min="1" max="1" width="31" customWidth="1"/>
    <col min="5" max="6" width="11.140625" bestFit="1" customWidth="1"/>
    <col min="7" max="7" width="14.28515625" customWidth="1"/>
    <col min="8" max="8" width="28.7109375" bestFit="1" customWidth="1"/>
    <col min="9" max="9" width="6" bestFit="1" customWidth="1"/>
    <col min="10" max="10" width="8.140625" bestFit="1" customWidth="1"/>
    <col min="11" max="11" width="10" bestFit="1" customWidth="1"/>
    <col min="15" max="15" width="13.140625" customWidth="1"/>
  </cols>
  <sheetData>
    <row r="1" spans="1:10" x14ac:dyDescent="0.25">
      <c r="A1" s="66" t="s">
        <v>162</v>
      </c>
      <c r="B1" s="66"/>
      <c r="C1" s="66"/>
      <c r="D1" s="66"/>
      <c r="E1" s="66"/>
      <c r="F1" s="66"/>
      <c r="G1" s="66"/>
    </row>
    <row r="2" spans="1:10" x14ac:dyDescent="0.25">
      <c r="A2" s="66" t="s">
        <v>161</v>
      </c>
      <c r="B2" s="66"/>
      <c r="C2" s="66"/>
      <c r="D2" s="66"/>
      <c r="E2" s="66"/>
      <c r="F2" s="66"/>
      <c r="G2" s="66"/>
    </row>
    <row r="3" spans="1:10" x14ac:dyDescent="0.25">
      <c r="A3" s="3">
        <v>1</v>
      </c>
      <c r="B3" s="33" t="s">
        <v>166</v>
      </c>
      <c r="C3" s="33"/>
    </row>
    <row r="4" spans="1:10" x14ac:dyDescent="0.25">
      <c r="A4" s="3">
        <v>2</v>
      </c>
      <c r="B4" s="33" t="s">
        <v>167</v>
      </c>
      <c r="C4" s="33"/>
    </row>
    <row r="5" spans="1:10" x14ac:dyDescent="0.25">
      <c r="A5" s="3">
        <v>3</v>
      </c>
      <c r="B5" s="33" t="s">
        <v>176</v>
      </c>
      <c r="C5" s="33"/>
    </row>
    <row r="6" spans="1:10" x14ac:dyDescent="0.25">
      <c r="A6" s="3">
        <v>4</v>
      </c>
      <c r="B6" s="33" t="s">
        <v>169</v>
      </c>
    </row>
    <row r="7" spans="1:10" x14ac:dyDescent="0.25">
      <c r="A7" s="3">
        <v>5</v>
      </c>
      <c r="B7" s="33" t="s">
        <v>168</v>
      </c>
    </row>
    <row r="8" spans="1:10" x14ac:dyDescent="0.25">
      <c r="A8" s="3"/>
      <c r="B8" s="33"/>
    </row>
    <row r="10" spans="1:10" x14ac:dyDescent="0.25">
      <c r="A10" s="1"/>
      <c r="B10" s="1"/>
      <c r="C10" s="1"/>
      <c r="D10" s="1"/>
      <c r="E10" s="1"/>
      <c r="F10" s="1"/>
    </row>
    <row r="11" spans="1:10" ht="18.75" x14ac:dyDescent="0.3">
      <c r="A11" s="64" t="s">
        <v>203</v>
      </c>
      <c r="B11" s="1"/>
      <c r="C11" s="1"/>
      <c r="D11" s="1"/>
      <c r="E11" s="1"/>
      <c r="F11" s="1"/>
      <c r="H11" s="54" t="s">
        <v>165</v>
      </c>
    </row>
    <row r="12" spans="1:10" x14ac:dyDescent="0.25">
      <c r="A12" s="1"/>
    </row>
    <row r="13" spans="1:10" s="1" customFormat="1" x14ac:dyDescent="0.25">
      <c r="A13" s="6" t="s">
        <v>154</v>
      </c>
      <c r="B13" s="6" t="s">
        <v>152</v>
      </c>
      <c r="C13" s="6" t="s">
        <v>153</v>
      </c>
      <c r="H13" s="43" t="s">
        <v>154</v>
      </c>
      <c r="I13" s="43" t="s">
        <v>152</v>
      </c>
      <c r="J13" s="43" t="s">
        <v>153</v>
      </c>
    </row>
    <row r="14" spans="1:10" x14ac:dyDescent="0.25">
      <c r="A14" s="51">
        <v>0</v>
      </c>
      <c r="B14" s="39">
        <v>0.19</v>
      </c>
      <c r="C14" s="39">
        <v>0.19</v>
      </c>
      <c r="H14" s="62">
        <v>88</v>
      </c>
      <c r="I14" s="63">
        <v>0.19</v>
      </c>
      <c r="J14" s="63">
        <v>0.19</v>
      </c>
    </row>
    <row r="15" spans="1:10" x14ac:dyDescent="0.25">
      <c r="A15" s="50">
        <v>88</v>
      </c>
      <c r="B15" s="39">
        <v>0.23480000000000001</v>
      </c>
      <c r="C15" s="39">
        <v>3.9639000000000002</v>
      </c>
      <c r="H15" s="62">
        <v>371</v>
      </c>
      <c r="I15" s="63">
        <v>0.23480000000000001</v>
      </c>
      <c r="J15" s="63">
        <v>3.9639000000000002</v>
      </c>
    </row>
    <row r="16" spans="1:10" x14ac:dyDescent="0.25">
      <c r="A16" s="50">
        <v>371</v>
      </c>
      <c r="B16" s="39">
        <v>0.219</v>
      </c>
      <c r="C16" s="34">
        <v>-1.9003000000000001</v>
      </c>
      <c r="H16" s="62">
        <v>515</v>
      </c>
      <c r="I16" s="63">
        <v>0.219</v>
      </c>
      <c r="J16" s="63" t="s">
        <v>163</v>
      </c>
    </row>
    <row r="17" spans="1:10" x14ac:dyDescent="0.25">
      <c r="A17" s="50">
        <v>515</v>
      </c>
      <c r="B17" s="39">
        <v>0.34770000000000001</v>
      </c>
      <c r="C17" s="39">
        <v>64.429699999999997</v>
      </c>
      <c r="H17" s="62">
        <v>546</v>
      </c>
      <c r="I17" s="63">
        <v>0.34770000000000001</v>
      </c>
      <c r="J17" s="63">
        <v>64.429699999999997</v>
      </c>
    </row>
    <row r="18" spans="1:10" x14ac:dyDescent="0.25">
      <c r="A18" s="50">
        <v>546</v>
      </c>
      <c r="B18" s="39">
        <v>0.35770000000000002</v>
      </c>
      <c r="C18" s="39">
        <v>64.429699999999997</v>
      </c>
      <c r="H18" s="62">
        <v>685</v>
      </c>
      <c r="I18" s="63">
        <v>0.35770000000000002</v>
      </c>
      <c r="J18" s="63">
        <v>64.429699999999997</v>
      </c>
    </row>
    <row r="19" spans="1:10" x14ac:dyDescent="0.25">
      <c r="A19" s="50">
        <v>685</v>
      </c>
      <c r="B19" s="39">
        <v>0.36770000000000003</v>
      </c>
      <c r="C19" s="39">
        <v>64.429699999999997</v>
      </c>
      <c r="H19" s="62">
        <v>747</v>
      </c>
      <c r="I19" s="63">
        <v>0.36770000000000003</v>
      </c>
      <c r="J19" s="63">
        <v>64.429699999999997</v>
      </c>
    </row>
    <row r="20" spans="1:10" x14ac:dyDescent="0.25">
      <c r="A20" s="50">
        <v>747</v>
      </c>
      <c r="B20" s="39">
        <v>0.37269999999999998</v>
      </c>
      <c r="C20" s="39">
        <v>64.429699999999997</v>
      </c>
      <c r="H20" s="62">
        <v>813</v>
      </c>
      <c r="I20" s="63">
        <v>0.37269999999999998</v>
      </c>
      <c r="J20" s="63">
        <v>64.429699999999997</v>
      </c>
    </row>
    <row r="21" spans="1:10" x14ac:dyDescent="0.25">
      <c r="A21" s="50">
        <v>813</v>
      </c>
      <c r="B21" s="39">
        <v>0.37769999999999998</v>
      </c>
      <c r="C21" s="39">
        <v>64.429699999999997</v>
      </c>
      <c r="H21" s="62">
        <v>882</v>
      </c>
      <c r="I21" s="63">
        <v>0.37769999999999998</v>
      </c>
      <c r="J21" s="63">
        <v>64.429699999999997</v>
      </c>
    </row>
    <row r="22" spans="1:10" x14ac:dyDescent="0.25">
      <c r="A22" s="50">
        <v>882</v>
      </c>
      <c r="B22" s="39">
        <v>0.38269999999999998</v>
      </c>
      <c r="C22" s="39">
        <v>64.429699999999997</v>
      </c>
      <c r="H22" s="62">
        <v>932</v>
      </c>
      <c r="I22" s="63">
        <v>0.38269999999999998</v>
      </c>
      <c r="J22" s="63">
        <v>64.429699999999997</v>
      </c>
    </row>
    <row r="23" spans="1:10" x14ac:dyDescent="0.25">
      <c r="A23" s="50">
        <v>932</v>
      </c>
      <c r="B23" s="39">
        <v>0.38</v>
      </c>
      <c r="C23" s="39">
        <v>61.913200000000003</v>
      </c>
      <c r="H23" s="62">
        <v>956</v>
      </c>
      <c r="I23" s="63">
        <v>0.38</v>
      </c>
      <c r="J23" s="63">
        <v>61.913200000000003</v>
      </c>
    </row>
    <row r="24" spans="1:10" x14ac:dyDescent="0.25">
      <c r="A24" s="50">
        <v>956</v>
      </c>
      <c r="B24" s="39">
        <v>0.38500000000000001</v>
      </c>
      <c r="C24" s="39">
        <v>61.913200000000003</v>
      </c>
      <c r="H24" s="62">
        <v>1035</v>
      </c>
      <c r="I24" s="63">
        <v>0.38500000000000001</v>
      </c>
      <c r="J24" s="63">
        <v>61.913200000000003</v>
      </c>
    </row>
    <row r="25" spans="1:10" x14ac:dyDescent="0.25">
      <c r="A25" s="50">
        <v>1035</v>
      </c>
      <c r="B25" s="39">
        <v>0.39</v>
      </c>
      <c r="C25" s="39">
        <v>61.913200000000003</v>
      </c>
      <c r="H25" s="62">
        <v>1118</v>
      </c>
      <c r="I25" s="63">
        <v>0.39</v>
      </c>
      <c r="J25" s="63">
        <v>61.913200000000003</v>
      </c>
    </row>
    <row r="26" spans="1:10" x14ac:dyDescent="0.25">
      <c r="A26" s="50">
        <v>1118</v>
      </c>
      <c r="B26" s="39">
        <v>0.39500000000000002</v>
      </c>
      <c r="C26" s="39">
        <v>61.913200000000003</v>
      </c>
      <c r="H26" s="62">
        <v>1206</v>
      </c>
      <c r="I26" s="63">
        <v>0.39500000000000002</v>
      </c>
      <c r="J26" s="63">
        <v>61.913200000000003</v>
      </c>
    </row>
    <row r="27" spans="1:10" x14ac:dyDescent="0.25">
      <c r="A27" s="50">
        <v>1206</v>
      </c>
      <c r="B27" s="39">
        <v>0.4</v>
      </c>
      <c r="C27" s="39">
        <v>61.913200000000003</v>
      </c>
      <c r="H27" s="62">
        <v>1299</v>
      </c>
      <c r="I27" s="63">
        <v>0.4</v>
      </c>
      <c r="J27" s="63">
        <v>61.913200000000003</v>
      </c>
    </row>
    <row r="28" spans="1:10" x14ac:dyDescent="0.25">
      <c r="A28" s="50">
        <v>1299</v>
      </c>
      <c r="B28" s="39">
        <v>0.40500000000000003</v>
      </c>
      <c r="C28" s="39">
        <v>61.913200000000003</v>
      </c>
      <c r="H28" s="62">
        <v>1398</v>
      </c>
      <c r="I28" s="63">
        <v>0.40500000000000003</v>
      </c>
      <c r="J28" s="63">
        <v>61.913200000000003</v>
      </c>
    </row>
    <row r="29" spans="1:10" x14ac:dyDescent="0.25">
      <c r="A29" s="50">
        <v>1398</v>
      </c>
      <c r="B29" s="39">
        <v>0.41</v>
      </c>
      <c r="C29" s="39">
        <v>61.913200000000003</v>
      </c>
      <c r="H29" s="62">
        <v>1503</v>
      </c>
      <c r="I29" s="63">
        <v>0.41</v>
      </c>
      <c r="J29" s="63">
        <v>61.913200000000003</v>
      </c>
    </row>
    <row r="30" spans="1:10" x14ac:dyDescent="0.25">
      <c r="A30" s="50">
        <v>1503</v>
      </c>
      <c r="B30" s="39">
        <v>0.41499999999999998</v>
      </c>
      <c r="C30" s="39">
        <v>61.913200000000003</v>
      </c>
      <c r="H30" s="62">
        <v>1615</v>
      </c>
      <c r="I30" s="63">
        <v>0.41499999999999998</v>
      </c>
      <c r="J30" s="63">
        <v>61.913200000000003</v>
      </c>
    </row>
    <row r="31" spans="1:10" x14ac:dyDescent="0.25">
      <c r="A31" s="50">
        <v>1615</v>
      </c>
      <c r="B31" s="39">
        <v>0.42</v>
      </c>
      <c r="C31" s="39">
        <v>61.913200000000003</v>
      </c>
      <c r="H31" s="62">
        <v>1732</v>
      </c>
      <c r="I31" s="63">
        <v>0.42</v>
      </c>
      <c r="J31" s="63">
        <v>61.913200000000003</v>
      </c>
    </row>
    <row r="32" spans="1:10" x14ac:dyDescent="0.25">
      <c r="A32" s="50">
        <v>1732</v>
      </c>
      <c r="B32" s="39">
        <v>0.42499999999999999</v>
      </c>
      <c r="C32" s="39">
        <v>61.913200000000003</v>
      </c>
      <c r="H32" s="62">
        <v>1855</v>
      </c>
      <c r="I32" s="63">
        <v>0.42499999999999999</v>
      </c>
      <c r="J32" s="63">
        <v>61.913200000000003</v>
      </c>
    </row>
    <row r="33" spans="1:10" x14ac:dyDescent="0.25">
      <c r="A33" s="50">
        <v>1855</v>
      </c>
      <c r="B33" s="39">
        <v>0.43</v>
      </c>
      <c r="C33" s="39">
        <v>61.913200000000003</v>
      </c>
      <c r="H33" s="62">
        <v>1957</v>
      </c>
      <c r="I33" s="63">
        <v>0.43</v>
      </c>
      <c r="J33" s="63">
        <v>61.913200000000003</v>
      </c>
    </row>
    <row r="34" spans="1:10" x14ac:dyDescent="0.25">
      <c r="A34" s="50">
        <v>1957</v>
      </c>
      <c r="B34" s="39">
        <v>0.47499999999999998</v>
      </c>
      <c r="C34" s="39">
        <v>150.0093</v>
      </c>
      <c r="H34" s="62">
        <v>1990</v>
      </c>
      <c r="I34" s="63">
        <v>0.47499999999999998</v>
      </c>
      <c r="J34" s="63">
        <v>150.0093</v>
      </c>
    </row>
    <row r="35" spans="1:10" x14ac:dyDescent="0.25">
      <c r="A35" s="50">
        <v>1990</v>
      </c>
      <c r="B35" s="39">
        <v>0.48</v>
      </c>
      <c r="C35" s="39">
        <v>150.0093</v>
      </c>
      <c r="H35" s="62">
        <v>2130</v>
      </c>
      <c r="I35" s="63">
        <v>0.48</v>
      </c>
      <c r="J35" s="63">
        <v>150.0093</v>
      </c>
    </row>
    <row r="36" spans="1:10" x14ac:dyDescent="0.25">
      <c r="A36" s="50">
        <v>2130</v>
      </c>
      <c r="B36" s="39">
        <v>0.48499999999999999</v>
      </c>
      <c r="C36" s="39">
        <v>150.0093</v>
      </c>
      <c r="H36" s="62">
        <v>2279</v>
      </c>
      <c r="I36" s="63">
        <v>0.48499999999999999</v>
      </c>
      <c r="J36" s="63">
        <v>150.0093</v>
      </c>
    </row>
    <row r="37" spans="1:10" x14ac:dyDescent="0.25">
      <c r="A37" s="50">
        <v>2279</v>
      </c>
      <c r="B37" s="39">
        <v>0.49</v>
      </c>
      <c r="C37" s="39">
        <v>150.0093</v>
      </c>
      <c r="H37" s="62">
        <v>3111</v>
      </c>
      <c r="I37" s="63">
        <v>0.49</v>
      </c>
      <c r="J37" s="63">
        <v>150.0093</v>
      </c>
    </row>
    <row r="38" spans="1:10" x14ac:dyDescent="0.25">
      <c r="A38" s="50">
        <v>3111</v>
      </c>
      <c r="B38" s="39">
        <v>0.56999999999999995</v>
      </c>
      <c r="C38" s="39">
        <v>398.93239999999997</v>
      </c>
      <c r="H38" s="46" t="s">
        <v>201</v>
      </c>
      <c r="I38" s="63">
        <v>0.56999999999999995</v>
      </c>
      <c r="J38" s="63">
        <v>398.93239999999997</v>
      </c>
    </row>
    <row r="39" spans="1:10" x14ac:dyDescent="0.25">
      <c r="A39" s="33"/>
      <c r="B39" s="15"/>
      <c r="C39" s="15"/>
    </row>
    <row r="40" spans="1:10" ht="15.75" x14ac:dyDescent="0.25">
      <c r="A40" s="9" t="s">
        <v>204</v>
      </c>
    </row>
    <row r="41" spans="1:10" x14ac:dyDescent="0.25">
      <c r="A41" s="33"/>
    </row>
    <row r="42" spans="1:10" x14ac:dyDescent="0.25">
      <c r="A42" s="6" t="s">
        <v>154</v>
      </c>
      <c r="B42" s="6" t="s">
        <v>152</v>
      </c>
      <c r="C42" s="6" t="s">
        <v>153</v>
      </c>
      <c r="H42" s="43" t="s">
        <v>154</v>
      </c>
      <c r="I42" s="43" t="s">
        <v>152</v>
      </c>
      <c r="J42" s="43" t="s">
        <v>153</v>
      </c>
    </row>
    <row r="43" spans="1:10" x14ac:dyDescent="0.25">
      <c r="A43" s="48">
        <v>0</v>
      </c>
      <c r="B43" s="39">
        <v>0</v>
      </c>
      <c r="C43" s="39">
        <v>0</v>
      </c>
      <c r="H43" s="44">
        <v>359</v>
      </c>
      <c r="I43" s="44" t="s">
        <v>155</v>
      </c>
      <c r="J43" s="44" t="s">
        <v>155</v>
      </c>
    </row>
    <row r="44" spans="1:10" x14ac:dyDescent="0.25">
      <c r="A44" s="33">
        <v>359</v>
      </c>
      <c r="B44" s="39">
        <v>0.19</v>
      </c>
      <c r="C44" s="39">
        <v>68.346199999999996</v>
      </c>
      <c r="H44" s="44">
        <v>438</v>
      </c>
      <c r="I44" s="44">
        <v>0.19</v>
      </c>
      <c r="J44" s="44">
        <v>68.346199999999996</v>
      </c>
    </row>
    <row r="45" spans="1:10" x14ac:dyDescent="0.25">
      <c r="A45" s="33">
        <v>438</v>
      </c>
      <c r="B45" s="39">
        <v>0.28999999999999998</v>
      </c>
      <c r="C45" s="39">
        <v>112.1942</v>
      </c>
      <c r="H45" s="44">
        <v>548</v>
      </c>
      <c r="I45" s="44">
        <v>0.28999999999999998</v>
      </c>
      <c r="J45" s="44">
        <v>112.1942</v>
      </c>
    </row>
    <row r="46" spans="1:10" x14ac:dyDescent="0.25">
      <c r="A46" s="33">
        <v>548</v>
      </c>
      <c r="B46" s="39">
        <v>0.21</v>
      </c>
      <c r="C46" s="39">
        <v>68.346500000000006</v>
      </c>
      <c r="H46" s="44">
        <v>721</v>
      </c>
      <c r="I46" s="44">
        <v>0.21</v>
      </c>
      <c r="J46" s="44">
        <v>68.346500000000006</v>
      </c>
    </row>
    <row r="47" spans="1:10" x14ac:dyDescent="0.25">
      <c r="A47" s="33">
        <v>721</v>
      </c>
      <c r="B47" s="39">
        <v>0.219</v>
      </c>
      <c r="C47" s="39">
        <v>74.8369</v>
      </c>
      <c r="H47" s="44">
        <v>865</v>
      </c>
      <c r="I47" s="44">
        <v>0.219</v>
      </c>
      <c r="J47" s="44">
        <v>74.8369</v>
      </c>
    </row>
    <row r="48" spans="1:10" x14ac:dyDescent="0.25">
      <c r="A48" s="33">
        <v>865</v>
      </c>
      <c r="B48" s="39">
        <v>0.34770000000000001</v>
      </c>
      <c r="C48" s="39">
        <v>186.21190000000001</v>
      </c>
      <c r="H48" s="44">
        <v>896</v>
      </c>
      <c r="I48" s="44">
        <v>0.34770000000000001</v>
      </c>
      <c r="J48" s="44">
        <v>186.21190000000001</v>
      </c>
    </row>
    <row r="49" spans="1:10" x14ac:dyDescent="0.25">
      <c r="A49" s="33">
        <v>896</v>
      </c>
      <c r="B49" s="39">
        <v>0.35770000000000002</v>
      </c>
      <c r="C49" s="39">
        <v>186.21190000000001</v>
      </c>
      <c r="H49" s="44">
        <v>1035</v>
      </c>
      <c r="I49" s="44">
        <v>0.35770000000000002</v>
      </c>
      <c r="J49" s="44">
        <v>186.21190000000001</v>
      </c>
    </row>
    <row r="50" spans="1:10" x14ac:dyDescent="0.25">
      <c r="A50" s="33">
        <v>1035</v>
      </c>
      <c r="B50" s="39">
        <v>0.36770000000000003</v>
      </c>
      <c r="C50" s="39">
        <v>186.21190000000001</v>
      </c>
      <c r="H50" s="44">
        <v>1097</v>
      </c>
      <c r="I50" s="44">
        <v>0.36770000000000003</v>
      </c>
      <c r="J50" s="44">
        <v>186.21190000000001</v>
      </c>
    </row>
    <row r="51" spans="1:10" x14ac:dyDescent="0.25">
      <c r="A51" s="33">
        <v>1097</v>
      </c>
      <c r="B51" s="39">
        <v>0.37269999999999998</v>
      </c>
      <c r="C51" s="39">
        <v>186.21190000000001</v>
      </c>
      <c r="H51" s="44">
        <v>1163</v>
      </c>
      <c r="I51" s="44">
        <v>0.37269999999999998</v>
      </c>
      <c r="J51" s="44">
        <v>186.21190000000001</v>
      </c>
    </row>
    <row r="52" spans="1:10" x14ac:dyDescent="0.25">
      <c r="A52" s="33">
        <v>1163</v>
      </c>
      <c r="B52" s="39">
        <v>0.37769999999999998</v>
      </c>
      <c r="C52" s="39">
        <v>186.21190000000001</v>
      </c>
      <c r="H52" s="44">
        <v>1232</v>
      </c>
      <c r="I52" s="44">
        <v>0.37769999999999998</v>
      </c>
      <c r="J52" s="44">
        <v>186.21190000000001</v>
      </c>
    </row>
    <row r="53" spans="1:10" x14ac:dyDescent="0.25">
      <c r="A53" s="33">
        <v>1232</v>
      </c>
      <c r="B53" s="39">
        <v>0.38269999999999998</v>
      </c>
      <c r="C53" s="39">
        <v>186.21190000000001</v>
      </c>
      <c r="H53" s="44">
        <v>1282</v>
      </c>
      <c r="I53" s="44">
        <v>0.38269999999999998</v>
      </c>
      <c r="J53" s="44">
        <v>186.21190000000001</v>
      </c>
    </row>
    <row r="54" spans="1:10" x14ac:dyDescent="0.25">
      <c r="A54" s="33">
        <v>1282</v>
      </c>
      <c r="B54" s="39">
        <v>0.38</v>
      </c>
      <c r="C54" s="39">
        <v>182.75040000000001</v>
      </c>
      <c r="H54" s="44">
        <v>1306</v>
      </c>
      <c r="I54" s="44">
        <v>0.38</v>
      </c>
      <c r="J54" s="44">
        <v>182.75040000000001</v>
      </c>
    </row>
    <row r="55" spans="1:10" x14ac:dyDescent="0.25">
      <c r="A55" s="33">
        <v>1306</v>
      </c>
      <c r="B55" s="39">
        <v>0.38500000000000001</v>
      </c>
      <c r="C55" s="39">
        <v>182.75040000000001</v>
      </c>
      <c r="H55" s="44">
        <v>1385</v>
      </c>
      <c r="I55" s="44">
        <v>0.38500000000000001</v>
      </c>
      <c r="J55" s="44">
        <v>182.75040000000001</v>
      </c>
    </row>
    <row r="56" spans="1:10" x14ac:dyDescent="0.25">
      <c r="A56" s="33">
        <v>1385</v>
      </c>
      <c r="B56" s="39">
        <v>0.39</v>
      </c>
      <c r="C56" s="39">
        <v>182.75040000000001</v>
      </c>
      <c r="H56" s="44">
        <v>1468</v>
      </c>
      <c r="I56" s="44">
        <v>0.39</v>
      </c>
      <c r="J56" s="44">
        <v>182.75040000000001</v>
      </c>
    </row>
    <row r="57" spans="1:10" x14ac:dyDescent="0.25">
      <c r="A57" s="33">
        <v>1468</v>
      </c>
      <c r="B57" s="39">
        <v>0.39500000000000002</v>
      </c>
      <c r="C57" s="39">
        <v>182.75040000000001</v>
      </c>
      <c r="H57" s="44">
        <v>1556</v>
      </c>
      <c r="I57" s="44">
        <v>0.39500000000000002</v>
      </c>
      <c r="J57" s="44">
        <v>182.75040000000001</v>
      </c>
    </row>
    <row r="58" spans="1:10" x14ac:dyDescent="0.25">
      <c r="A58" s="33">
        <v>1556</v>
      </c>
      <c r="B58" s="39">
        <v>0.4</v>
      </c>
      <c r="C58" s="39">
        <v>182.75040000000001</v>
      </c>
      <c r="H58" s="44">
        <v>1649</v>
      </c>
      <c r="I58" s="44">
        <v>0.4</v>
      </c>
      <c r="J58" s="44">
        <v>182.75040000000001</v>
      </c>
    </row>
    <row r="59" spans="1:10" x14ac:dyDescent="0.25">
      <c r="A59" s="33">
        <v>1649</v>
      </c>
      <c r="B59" s="39">
        <v>0.40500000000000003</v>
      </c>
      <c r="C59" s="39">
        <v>182.75040000000001</v>
      </c>
      <c r="H59" s="44">
        <v>1748</v>
      </c>
      <c r="I59" s="44">
        <v>0.40500000000000003</v>
      </c>
      <c r="J59" s="44">
        <v>182.75040000000001</v>
      </c>
    </row>
    <row r="60" spans="1:10" x14ac:dyDescent="0.25">
      <c r="A60" s="33">
        <v>1748</v>
      </c>
      <c r="B60" s="39">
        <v>0.41</v>
      </c>
      <c r="C60" s="39">
        <v>182.75040000000001</v>
      </c>
      <c r="H60" s="44">
        <v>1853</v>
      </c>
      <c r="I60" s="44">
        <v>0.41</v>
      </c>
      <c r="J60" s="44">
        <v>182.75040000000001</v>
      </c>
    </row>
    <row r="61" spans="1:10" x14ac:dyDescent="0.25">
      <c r="A61" s="33">
        <v>1853</v>
      </c>
      <c r="B61" s="39">
        <v>0.41499999999999998</v>
      </c>
      <c r="C61" s="39">
        <v>182.75040000000001</v>
      </c>
      <c r="H61" s="44">
        <v>1965</v>
      </c>
      <c r="I61" s="44">
        <v>0.41499999999999998</v>
      </c>
      <c r="J61" s="44">
        <v>182.75040000000001</v>
      </c>
    </row>
    <row r="62" spans="1:10" x14ac:dyDescent="0.25">
      <c r="A62" s="33">
        <v>1965</v>
      </c>
      <c r="B62" s="39">
        <v>0.42</v>
      </c>
      <c r="C62" s="39">
        <v>182.75040000000001</v>
      </c>
      <c r="H62" s="44">
        <v>2082</v>
      </c>
      <c r="I62" s="44">
        <v>0.42</v>
      </c>
      <c r="J62" s="44">
        <v>182.75040000000001</v>
      </c>
    </row>
    <row r="63" spans="1:10" x14ac:dyDescent="0.25">
      <c r="A63" s="33">
        <v>2082</v>
      </c>
      <c r="B63" s="39">
        <v>0.42499999999999999</v>
      </c>
      <c r="C63" s="39">
        <v>182.75040000000001</v>
      </c>
      <c r="H63" s="44">
        <v>2205</v>
      </c>
      <c r="I63" s="44">
        <v>0.42499999999999999</v>
      </c>
      <c r="J63" s="44">
        <v>182.75040000000001</v>
      </c>
    </row>
    <row r="64" spans="1:10" x14ac:dyDescent="0.25">
      <c r="A64" s="33">
        <v>2205</v>
      </c>
      <c r="B64" s="39">
        <v>0.43</v>
      </c>
      <c r="C64" s="39">
        <v>182.75040000000001</v>
      </c>
      <c r="H64" s="44">
        <v>2307</v>
      </c>
      <c r="I64" s="44">
        <v>0.43</v>
      </c>
      <c r="J64" s="44">
        <v>182.75040000000001</v>
      </c>
    </row>
    <row r="65" spans="1:10" x14ac:dyDescent="0.25">
      <c r="A65" s="33">
        <v>2307</v>
      </c>
      <c r="B65" s="39">
        <v>0.47499999999999998</v>
      </c>
      <c r="C65" s="39">
        <v>286.59649999999999</v>
      </c>
      <c r="H65" s="44">
        <v>2340</v>
      </c>
      <c r="I65" s="44">
        <v>0.47499999999999998</v>
      </c>
      <c r="J65" s="44">
        <v>286.59649999999999</v>
      </c>
    </row>
    <row r="66" spans="1:10" x14ac:dyDescent="0.25">
      <c r="A66" s="33">
        <v>2340</v>
      </c>
      <c r="B66" s="39">
        <v>0.48</v>
      </c>
      <c r="C66" s="39">
        <v>286.59649999999999</v>
      </c>
      <c r="H66" s="44">
        <v>2480</v>
      </c>
      <c r="I66" s="44">
        <v>0.48</v>
      </c>
      <c r="J66" s="44">
        <v>286.59649999999999</v>
      </c>
    </row>
    <row r="67" spans="1:10" x14ac:dyDescent="0.25">
      <c r="A67" s="33">
        <v>2480</v>
      </c>
      <c r="B67" s="39">
        <v>0.48499999999999999</v>
      </c>
      <c r="C67" s="39">
        <v>286.59649999999999</v>
      </c>
      <c r="H67" s="44">
        <v>2629</v>
      </c>
      <c r="I67" s="44">
        <v>0.48499999999999999</v>
      </c>
      <c r="J67" s="44">
        <v>286.59649999999999</v>
      </c>
    </row>
    <row r="68" spans="1:10" x14ac:dyDescent="0.25">
      <c r="A68" s="33">
        <v>2629</v>
      </c>
      <c r="B68" s="39">
        <v>0.49</v>
      </c>
      <c r="C68" s="39">
        <v>286.59649999999999</v>
      </c>
      <c r="H68" s="44">
        <v>3461</v>
      </c>
      <c r="I68" s="44">
        <v>0.49</v>
      </c>
      <c r="J68" s="44">
        <v>286.59649999999999</v>
      </c>
    </row>
    <row r="69" spans="1:10" x14ac:dyDescent="0.25">
      <c r="A69" s="33">
        <v>3461</v>
      </c>
      <c r="B69" s="39">
        <v>0.56999999999999995</v>
      </c>
      <c r="C69" s="39">
        <v>563.51959999999997</v>
      </c>
      <c r="H69" s="44" t="s">
        <v>202</v>
      </c>
      <c r="I69" s="44">
        <v>0.56999999999999995</v>
      </c>
      <c r="J69" s="44">
        <v>563.51959999999997</v>
      </c>
    </row>
    <row r="70" spans="1:10" x14ac:dyDescent="0.25">
      <c r="A70" s="33"/>
    </row>
    <row r="71" spans="1:10" ht="18.75" x14ac:dyDescent="0.3">
      <c r="A71" s="65" t="s">
        <v>207</v>
      </c>
    </row>
    <row r="73" spans="1:10" x14ac:dyDescent="0.25">
      <c r="A73" s="6" t="s">
        <v>154</v>
      </c>
      <c r="B73" s="6" t="s">
        <v>152</v>
      </c>
      <c r="C73" s="6" t="s">
        <v>153</v>
      </c>
      <c r="H73" s="43" t="s">
        <v>154</v>
      </c>
      <c r="I73" s="43" t="s">
        <v>152</v>
      </c>
      <c r="J73" s="43" t="s">
        <v>153</v>
      </c>
    </row>
    <row r="74" spans="1:10" x14ac:dyDescent="0.25">
      <c r="A74" s="48">
        <v>0</v>
      </c>
      <c r="B74" s="39">
        <v>0.32500000000000001</v>
      </c>
      <c r="C74" s="39">
        <v>0.32500000000000001</v>
      </c>
      <c r="H74" s="62">
        <v>896</v>
      </c>
      <c r="I74" s="63">
        <v>0.32500000000000001</v>
      </c>
      <c r="J74" s="63">
        <v>0.32500000000000001</v>
      </c>
    </row>
    <row r="75" spans="1:10" x14ac:dyDescent="0.25">
      <c r="A75" s="50">
        <v>896</v>
      </c>
      <c r="B75" s="39">
        <v>0.33500000000000002</v>
      </c>
      <c r="C75" s="39">
        <v>0.32500000000000001</v>
      </c>
      <c r="H75" s="62">
        <v>1035</v>
      </c>
      <c r="I75" s="63">
        <v>0.33500000000000002</v>
      </c>
      <c r="J75" s="63">
        <v>0.32500000000000001</v>
      </c>
    </row>
    <row r="76" spans="1:10" x14ac:dyDescent="0.25">
      <c r="A76" s="50">
        <v>1035</v>
      </c>
      <c r="B76" s="39">
        <v>0.34499999999999997</v>
      </c>
      <c r="C76" s="39">
        <v>0.32500000000000001</v>
      </c>
      <c r="H76" s="62">
        <v>1097</v>
      </c>
      <c r="I76" s="63">
        <v>0.34499999999999997</v>
      </c>
      <c r="J76" s="63">
        <v>0.32500000000000001</v>
      </c>
    </row>
    <row r="77" spans="1:10" x14ac:dyDescent="0.25">
      <c r="A77" s="50">
        <v>1097</v>
      </c>
      <c r="B77" s="39">
        <v>0.35</v>
      </c>
      <c r="C77" s="39">
        <v>0.32500000000000001</v>
      </c>
      <c r="H77" s="62">
        <v>1163</v>
      </c>
      <c r="I77" s="63">
        <v>0.35</v>
      </c>
      <c r="J77" s="63">
        <v>0.32500000000000001</v>
      </c>
    </row>
    <row r="78" spans="1:10" x14ac:dyDescent="0.25">
      <c r="A78" s="50">
        <v>1163</v>
      </c>
      <c r="B78" s="39">
        <v>0.35499999999999998</v>
      </c>
      <c r="C78" s="39">
        <v>0.32500000000000001</v>
      </c>
      <c r="H78" s="62">
        <v>1232</v>
      </c>
      <c r="I78" s="63">
        <v>0.35499999999999998</v>
      </c>
      <c r="J78" s="63">
        <v>0.32500000000000001</v>
      </c>
    </row>
    <row r="79" spans="1:10" x14ac:dyDescent="0.25">
      <c r="A79" s="50">
        <v>1232</v>
      </c>
      <c r="B79" s="39">
        <v>0.36</v>
      </c>
      <c r="C79" s="39">
        <v>0.32500000000000001</v>
      </c>
      <c r="H79" s="62">
        <v>1306</v>
      </c>
      <c r="I79" s="63">
        <v>0.36</v>
      </c>
      <c r="J79" s="63">
        <v>0.32500000000000001</v>
      </c>
    </row>
    <row r="80" spans="1:10" x14ac:dyDescent="0.25">
      <c r="A80" s="50">
        <v>1306</v>
      </c>
      <c r="B80" s="39">
        <v>0.36499999999999999</v>
      </c>
      <c r="C80" s="39">
        <v>0.32500000000000001</v>
      </c>
      <c r="H80" s="62">
        <v>1385</v>
      </c>
      <c r="I80" s="63">
        <v>0.36499999999999999</v>
      </c>
      <c r="J80" s="63">
        <v>0.32500000000000001</v>
      </c>
    </row>
    <row r="81" spans="1:10" x14ac:dyDescent="0.25">
      <c r="A81" s="50">
        <v>1385</v>
      </c>
      <c r="B81" s="39">
        <v>0.37</v>
      </c>
      <c r="C81" s="39">
        <v>0.32500000000000001</v>
      </c>
      <c r="H81" s="62">
        <v>1468</v>
      </c>
      <c r="I81" s="63">
        <v>0.37</v>
      </c>
      <c r="J81" s="63">
        <v>0.32500000000000001</v>
      </c>
    </row>
    <row r="82" spans="1:10" x14ac:dyDescent="0.25">
      <c r="A82" s="50">
        <v>1468</v>
      </c>
      <c r="B82" s="39">
        <v>0.375</v>
      </c>
      <c r="C82" s="39">
        <v>0.32500000000000001</v>
      </c>
      <c r="H82" s="62">
        <v>1556</v>
      </c>
      <c r="I82" s="63">
        <v>0.375</v>
      </c>
      <c r="J82" s="63">
        <v>0.32500000000000001</v>
      </c>
    </row>
    <row r="83" spans="1:10" x14ac:dyDescent="0.25">
      <c r="A83" s="50">
        <v>1556</v>
      </c>
      <c r="B83" s="39">
        <v>0.38</v>
      </c>
      <c r="C83" s="39">
        <v>0.32500000000000001</v>
      </c>
      <c r="H83" s="62">
        <v>1649</v>
      </c>
      <c r="I83" s="63">
        <v>0.38</v>
      </c>
      <c r="J83" s="63">
        <v>0.32500000000000001</v>
      </c>
    </row>
    <row r="84" spans="1:10" x14ac:dyDescent="0.25">
      <c r="A84" s="50">
        <v>1649</v>
      </c>
      <c r="B84" s="39">
        <v>0.38500000000000001</v>
      </c>
      <c r="C84" s="39">
        <v>0.32500000000000001</v>
      </c>
      <c r="H84" s="62">
        <v>1748</v>
      </c>
      <c r="I84" s="63">
        <v>0.38500000000000001</v>
      </c>
      <c r="J84" s="63">
        <v>0.32500000000000001</v>
      </c>
    </row>
    <row r="85" spans="1:10" x14ac:dyDescent="0.25">
      <c r="A85" s="50">
        <v>1748</v>
      </c>
      <c r="B85" s="39">
        <v>0.39</v>
      </c>
      <c r="C85" s="39">
        <v>0.32500000000000001</v>
      </c>
      <c r="H85" s="62">
        <v>1853</v>
      </c>
      <c r="I85" s="63">
        <v>0.39</v>
      </c>
      <c r="J85" s="63">
        <v>0.32500000000000001</v>
      </c>
    </row>
    <row r="86" spans="1:10" x14ac:dyDescent="0.25">
      <c r="A86" s="50">
        <v>1853</v>
      </c>
      <c r="B86" s="39">
        <v>0.39500000000000002</v>
      </c>
      <c r="C86" s="39">
        <v>0.32500000000000001</v>
      </c>
      <c r="H86" s="62">
        <v>1965</v>
      </c>
      <c r="I86" s="63">
        <v>0.39500000000000002</v>
      </c>
      <c r="J86" s="63">
        <v>0.32500000000000001</v>
      </c>
    </row>
    <row r="87" spans="1:10" x14ac:dyDescent="0.25">
      <c r="A87" s="50">
        <v>1965</v>
      </c>
      <c r="B87" s="39">
        <v>0.4</v>
      </c>
      <c r="C87" s="39">
        <v>0.32500000000000001</v>
      </c>
      <c r="H87" s="62">
        <v>2082</v>
      </c>
      <c r="I87" s="63">
        <v>0.4</v>
      </c>
      <c r="J87" s="63">
        <v>0.32500000000000001</v>
      </c>
    </row>
    <row r="88" spans="1:10" x14ac:dyDescent="0.25">
      <c r="A88" s="50">
        <v>2082</v>
      </c>
      <c r="B88" s="39">
        <v>0.40500000000000003</v>
      </c>
      <c r="C88" s="39">
        <v>0.32500000000000001</v>
      </c>
      <c r="H88" s="62">
        <v>2205</v>
      </c>
      <c r="I88" s="63">
        <v>0.40500000000000003</v>
      </c>
      <c r="J88" s="63">
        <v>0.32500000000000001</v>
      </c>
    </row>
    <row r="89" spans="1:10" x14ac:dyDescent="0.25">
      <c r="A89" s="50">
        <v>2205</v>
      </c>
      <c r="B89" s="39">
        <v>0.41</v>
      </c>
      <c r="C89" s="39">
        <v>0.32500000000000001</v>
      </c>
      <c r="H89" s="62">
        <v>2307</v>
      </c>
      <c r="I89" s="63">
        <v>0.41</v>
      </c>
      <c r="J89" s="63">
        <v>0.32500000000000001</v>
      </c>
    </row>
    <row r="90" spans="1:10" x14ac:dyDescent="0.25">
      <c r="A90" s="50">
        <v>2307</v>
      </c>
      <c r="B90" s="39">
        <v>0.45500000000000002</v>
      </c>
      <c r="C90" s="39">
        <v>103.8462</v>
      </c>
      <c r="H90" s="62">
        <v>2340</v>
      </c>
      <c r="I90" s="63">
        <v>0.45500000000000002</v>
      </c>
      <c r="J90" s="63">
        <v>103.8462</v>
      </c>
    </row>
    <row r="91" spans="1:10" x14ac:dyDescent="0.25">
      <c r="A91" s="50">
        <v>2340</v>
      </c>
      <c r="B91" s="39">
        <v>0.46</v>
      </c>
      <c r="C91" s="39">
        <v>103.8462</v>
      </c>
      <c r="H91" s="62">
        <v>2480</v>
      </c>
      <c r="I91" s="63">
        <v>0.46</v>
      </c>
      <c r="J91" s="63">
        <v>103.8462</v>
      </c>
    </row>
    <row r="92" spans="1:10" x14ac:dyDescent="0.25">
      <c r="A92" s="50">
        <v>2480</v>
      </c>
      <c r="B92" s="39">
        <v>0.46500000000000002</v>
      </c>
      <c r="C92" s="39">
        <v>103.8462</v>
      </c>
      <c r="H92" s="62">
        <v>2629</v>
      </c>
      <c r="I92" s="63">
        <v>0.46500000000000002</v>
      </c>
      <c r="J92" s="63">
        <v>103.8462</v>
      </c>
    </row>
    <row r="93" spans="1:10" x14ac:dyDescent="0.25">
      <c r="A93" s="50">
        <v>2629</v>
      </c>
      <c r="B93" s="39">
        <v>0.47</v>
      </c>
      <c r="C93" s="39">
        <v>103.8462</v>
      </c>
      <c r="H93" s="62">
        <v>3461</v>
      </c>
      <c r="I93" s="63">
        <v>0.47</v>
      </c>
      <c r="J93" s="63">
        <v>103.8462</v>
      </c>
    </row>
    <row r="94" spans="1:10" x14ac:dyDescent="0.25">
      <c r="A94" s="50">
        <v>3461</v>
      </c>
      <c r="B94" s="39">
        <v>0.55000000000000004</v>
      </c>
      <c r="C94" s="39">
        <v>380.76920000000001</v>
      </c>
      <c r="H94" s="62" t="s">
        <v>202</v>
      </c>
      <c r="I94" s="63">
        <v>0.55000000000000004</v>
      </c>
      <c r="J94" s="63">
        <v>380.76920000000001</v>
      </c>
    </row>
    <row r="95" spans="1:10" x14ac:dyDescent="0.25">
      <c r="A95" s="50"/>
    </row>
    <row r="96" spans="1:10" ht="15.75" x14ac:dyDescent="0.25">
      <c r="A96" s="9" t="s">
        <v>205</v>
      </c>
    </row>
    <row r="98" spans="1:10" x14ac:dyDescent="0.25">
      <c r="A98" s="6" t="s">
        <v>154</v>
      </c>
      <c r="B98" s="6" t="s">
        <v>152</v>
      </c>
      <c r="C98" s="6" t="s">
        <v>153</v>
      </c>
      <c r="H98" s="43" t="s">
        <v>154</v>
      </c>
      <c r="I98" s="43" t="s">
        <v>152</v>
      </c>
      <c r="J98" s="43" t="s">
        <v>153</v>
      </c>
    </row>
    <row r="99" spans="1:10" x14ac:dyDescent="0.25">
      <c r="A99" s="48">
        <v>0</v>
      </c>
      <c r="B99" s="39">
        <v>0</v>
      </c>
      <c r="C99" s="39">
        <v>0</v>
      </c>
      <c r="H99" s="44">
        <v>359</v>
      </c>
      <c r="I99" s="44" t="s">
        <v>155</v>
      </c>
      <c r="J99" s="44" t="s">
        <v>155</v>
      </c>
    </row>
    <row r="100" spans="1:10" x14ac:dyDescent="0.25">
      <c r="A100" s="33">
        <v>359</v>
      </c>
      <c r="B100" s="39">
        <v>0.19</v>
      </c>
      <c r="C100" s="39">
        <v>68.346199999999996</v>
      </c>
      <c r="H100" s="44">
        <v>721</v>
      </c>
      <c r="I100" s="44">
        <v>0.19</v>
      </c>
      <c r="J100" s="44">
        <v>68.346199999999996</v>
      </c>
    </row>
    <row r="101" spans="1:10" x14ac:dyDescent="0.25">
      <c r="A101" s="33">
        <v>721</v>
      </c>
      <c r="B101" s="39">
        <v>0.19900000000000001</v>
      </c>
      <c r="C101" s="39">
        <v>74.836500000000001</v>
      </c>
      <c r="H101" s="44">
        <v>865</v>
      </c>
      <c r="I101" s="44">
        <v>0.19900000000000001</v>
      </c>
      <c r="J101" s="44">
        <v>74.836500000000001</v>
      </c>
    </row>
    <row r="102" spans="1:10" x14ac:dyDescent="0.25">
      <c r="A102" s="33">
        <v>865</v>
      </c>
      <c r="B102" s="39">
        <v>0.32769999999999999</v>
      </c>
      <c r="C102" s="39">
        <v>186.2115</v>
      </c>
      <c r="H102" s="44">
        <v>896</v>
      </c>
      <c r="I102" s="44">
        <v>0.32769999999999999</v>
      </c>
      <c r="J102" s="44">
        <v>186.2115</v>
      </c>
    </row>
    <row r="103" spans="1:10" x14ac:dyDescent="0.25">
      <c r="A103" s="33">
        <v>896</v>
      </c>
      <c r="B103" s="39">
        <v>0.3377</v>
      </c>
      <c r="C103" s="39">
        <v>186.2115</v>
      </c>
      <c r="H103" s="44">
        <v>1035</v>
      </c>
      <c r="I103" s="44">
        <v>0.3377</v>
      </c>
      <c r="J103" s="44">
        <v>186.2115</v>
      </c>
    </row>
    <row r="104" spans="1:10" x14ac:dyDescent="0.25">
      <c r="A104" s="33">
        <v>1035</v>
      </c>
      <c r="B104" s="39">
        <v>0.34770000000000001</v>
      </c>
      <c r="C104" s="39">
        <v>186.2115</v>
      </c>
      <c r="H104" s="44">
        <v>1097</v>
      </c>
      <c r="I104" s="44">
        <v>0.34770000000000001</v>
      </c>
      <c r="J104" s="44">
        <v>186.2115</v>
      </c>
    </row>
    <row r="105" spans="1:10" x14ac:dyDescent="0.25">
      <c r="A105" s="33">
        <v>1097</v>
      </c>
      <c r="B105" s="39">
        <v>0.35270000000000001</v>
      </c>
      <c r="C105" s="39">
        <v>186.2115</v>
      </c>
      <c r="H105" s="44">
        <v>1163</v>
      </c>
      <c r="I105" s="44">
        <v>0.35270000000000001</v>
      </c>
      <c r="J105" s="44">
        <v>186.2115</v>
      </c>
    </row>
    <row r="106" spans="1:10" x14ac:dyDescent="0.25">
      <c r="A106" s="33">
        <v>1163</v>
      </c>
      <c r="B106" s="39">
        <v>0.35770000000000002</v>
      </c>
      <c r="C106" s="39">
        <v>186.2115</v>
      </c>
      <c r="H106" s="44">
        <v>1232</v>
      </c>
      <c r="I106" s="44">
        <v>0.35770000000000002</v>
      </c>
      <c r="J106" s="44">
        <v>186.2115</v>
      </c>
    </row>
    <row r="107" spans="1:10" x14ac:dyDescent="0.25">
      <c r="A107" s="33">
        <v>1232</v>
      </c>
      <c r="B107" s="39">
        <v>0.36270000000000002</v>
      </c>
      <c r="C107" s="39">
        <v>186.2115</v>
      </c>
      <c r="H107" s="44">
        <v>1282</v>
      </c>
      <c r="I107" s="44">
        <v>0.36270000000000002</v>
      </c>
      <c r="J107" s="44">
        <v>186.2115</v>
      </c>
    </row>
    <row r="108" spans="1:10" x14ac:dyDescent="0.25">
      <c r="A108" s="33">
        <v>1282</v>
      </c>
      <c r="B108" s="39">
        <v>0.36</v>
      </c>
      <c r="C108" s="39">
        <v>182.75</v>
      </c>
      <c r="H108" s="44">
        <v>1306</v>
      </c>
      <c r="I108" s="44">
        <v>0.36</v>
      </c>
      <c r="J108" s="44">
        <v>182.75</v>
      </c>
    </row>
    <row r="109" spans="1:10" x14ac:dyDescent="0.25">
      <c r="A109" s="33">
        <v>1306</v>
      </c>
      <c r="B109" s="39">
        <v>0.36499999999999999</v>
      </c>
      <c r="C109" s="39">
        <v>182.75</v>
      </c>
      <c r="H109" s="44">
        <v>1385</v>
      </c>
      <c r="I109" s="44">
        <v>0.36499999999999999</v>
      </c>
      <c r="J109" s="44">
        <v>182.75</v>
      </c>
    </row>
    <row r="110" spans="1:10" x14ac:dyDescent="0.25">
      <c r="A110" s="33">
        <v>1385</v>
      </c>
      <c r="B110" s="39">
        <v>0.37</v>
      </c>
      <c r="C110" s="39">
        <v>182.75</v>
      </c>
      <c r="H110" s="44">
        <v>1468</v>
      </c>
      <c r="I110" s="44">
        <v>0.37</v>
      </c>
      <c r="J110" s="44">
        <v>182.75</v>
      </c>
    </row>
    <row r="111" spans="1:10" x14ac:dyDescent="0.25">
      <c r="A111" s="33">
        <v>1468</v>
      </c>
      <c r="B111" s="39">
        <v>0.375</v>
      </c>
      <c r="C111" s="39">
        <v>182.75</v>
      </c>
      <c r="H111" s="44">
        <v>1556</v>
      </c>
      <c r="I111" s="44">
        <v>0.375</v>
      </c>
      <c r="J111" s="44">
        <v>182.75</v>
      </c>
    </row>
    <row r="112" spans="1:10" x14ac:dyDescent="0.25">
      <c r="A112" s="33">
        <v>1556</v>
      </c>
      <c r="B112" s="39">
        <v>0.38</v>
      </c>
      <c r="C112" s="39">
        <v>182.75</v>
      </c>
      <c r="H112" s="44">
        <v>1649</v>
      </c>
      <c r="I112" s="44">
        <v>0.38</v>
      </c>
      <c r="J112" s="44">
        <v>182.75</v>
      </c>
    </row>
    <row r="113" spans="1:10" x14ac:dyDescent="0.25">
      <c r="A113" s="33">
        <v>1649</v>
      </c>
      <c r="B113" s="39">
        <v>0.38500000000000001</v>
      </c>
      <c r="C113" s="39">
        <v>182.75</v>
      </c>
      <c r="H113" s="44">
        <v>1748</v>
      </c>
      <c r="I113" s="44">
        <v>0.38500000000000001</v>
      </c>
      <c r="J113" s="44">
        <v>182.75</v>
      </c>
    </row>
    <row r="114" spans="1:10" x14ac:dyDescent="0.25">
      <c r="A114" s="33">
        <v>1748</v>
      </c>
      <c r="B114" s="39">
        <v>0.39</v>
      </c>
      <c r="C114" s="39">
        <v>182.75</v>
      </c>
      <c r="H114" s="44">
        <v>1853</v>
      </c>
      <c r="I114" s="44">
        <v>0.39</v>
      </c>
      <c r="J114" s="44">
        <v>182.75</v>
      </c>
    </row>
    <row r="115" spans="1:10" x14ac:dyDescent="0.25">
      <c r="A115" s="33">
        <v>1853</v>
      </c>
      <c r="B115" s="39">
        <v>0.39500000000000002</v>
      </c>
      <c r="C115" s="39">
        <v>182.75</v>
      </c>
      <c r="H115" s="44">
        <v>1965</v>
      </c>
      <c r="I115" s="44">
        <v>0.39500000000000002</v>
      </c>
      <c r="J115" s="44">
        <v>182.75</v>
      </c>
    </row>
    <row r="116" spans="1:10" x14ac:dyDescent="0.25">
      <c r="A116" s="33">
        <v>1965</v>
      </c>
      <c r="B116" s="39">
        <v>0.4</v>
      </c>
      <c r="C116" s="39">
        <v>182.75</v>
      </c>
      <c r="H116" s="44">
        <v>2082</v>
      </c>
      <c r="I116" s="44">
        <v>0.4</v>
      </c>
      <c r="J116" s="44">
        <v>182.75</v>
      </c>
    </row>
    <row r="117" spans="1:10" x14ac:dyDescent="0.25">
      <c r="A117" s="33">
        <v>2082</v>
      </c>
      <c r="B117" s="39">
        <v>0.40500000000000003</v>
      </c>
      <c r="C117" s="39">
        <v>182.75</v>
      </c>
      <c r="H117" s="44">
        <v>2205</v>
      </c>
      <c r="I117" s="44">
        <v>0.40500000000000003</v>
      </c>
      <c r="J117" s="44">
        <v>182.75</v>
      </c>
    </row>
    <row r="118" spans="1:10" x14ac:dyDescent="0.25">
      <c r="A118" s="33">
        <v>2205</v>
      </c>
      <c r="B118" s="39">
        <v>0.41</v>
      </c>
      <c r="C118" s="39">
        <v>182.75</v>
      </c>
      <c r="H118" s="44">
        <v>2307</v>
      </c>
      <c r="I118" s="44">
        <v>0.41</v>
      </c>
      <c r="J118" s="44">
        <v>182.75</v>
      </c>
    </row>
    <row r="119" spans="1:10" x14ac:dyDescent="0.25">
      <c r="A119" s="33">
        <v>2307</v>
      </c>
      <c r="B119" s="39">
        <v>0.45500000000000002</v>
      </c>
      <c r="C119" s="39">
        <v>286.59620000000001</v>
      </c>
      <c r="H119" s="44">
        <v>2340</v>
      </c>
      <c r="I119" s="44">
        <v>0.45500000000000002</v>
      </c>
      <c r="J119" s="44">
        <v>286.59620000000001</v>
      </c>
    </row>
    <row r="120" spans="1:10" x14ac:dyDescent="0.25">
      <c r="A120" s="33">
        <v>2340</v>
      </c>
      <c r="B120" s="39">
        <v>0.46</v>
      </c>
      <c r="C120" s="39">
        <v>286.59620000000001</v>
      </c>
      <c r="H120" s="44">
        <v>2480</v>
      </c>
      <c r="I120" s="44">
        <v>0.46</v>
      </c>
      <c r="J120" s="44">
        <v>286.59620000000001</v>
      </c>
    </row>
    <row r="121" spans="1:10" x14ac:dyDescent="0.25">
      <c r="A121" s="33">
        <v>2480</v>
      </c>
      <c r="B121" s="39">
        <v>0.46500000000000002</v>
      </c>
      <c r="C121" s="39">
        <v>286.59620000000001</v>
      </c>
      <c r="H121" s="44">
        <v>2629</v>
      </c>
      <c r="I121" s="44">
        <v>0.46500000000000002</v>
      </c>
      <c r="J121" s="44">
        <v>286.59620000000001</v>
      </c>
    </row>
    <row r="122" spans="1:10" x14ac:dyDescent="0.25">
      <c r="A122" s="33">
        <v>2629</v>
      </c>
      <c r="B122" s="39">
        <v>0.47</v>
      </c>
      <c r="C122" s="39">
        <v>286.59620000000001</v>
      </c>
      <c r="H122" s="44">
        <v>3461</v>
      </c>
      <c r="I122" s="44">
        <v>0.47</v>
      </c>
      <c r="J122" s="44">
        <v>286.59620000000001</v>
      </c>
    </row>
    <row r="123" spans="1:10" x14ac:dyDescent="0.25">
      <c r="A123" s="33">
        <v>3461</v>
      </c>
      <c r="B123" s="39">
        <v>0.55000000000000004</v>
      </c>
      <c r="C123" s="39">
        <v>563.51919999999996</v>
      </c>
      <c r="H123" s="44" t="s">
        <v>202</v>
      </c>
      <c r="I123" s="44">
        <v>0.55000000000000004</v>
      </c>
      <c r="J123" s="44">
        <v>563.51919999999996</v>
      </c>
    </row>
    <row r="124" spans="1:10" x14ac:dyDescent="0.25">
      <c r="A124" s="33"/>
    </row>
    <row r="125" spans="1:10" ht="15.75" x14ac:dyDescent="0.25">
      <c r="A125" s="9" t="s">
        <v>206</v>
      </c>
    </row>
    <row r="127" spans="1:10" x14ac:dyDescent="0.25">
      <c r="A127" s="6" t="s">
        <v>154</v>
      </c>
      <c r="B127" s="6" t="s">
        <v>152</v>
      </c>
      <c r="C127" s="6" t="s">
        <v>153</v>
      </c>
      <c r="H127" s="43" t="s">
        <v>154</v>
      </c>
      <c r="I127" s="43" t="s">
        <v>152</v>
      </c>
      <c r="J127" s="43" t="s">
        <v>153</v>
      </c>
    </row>
    <row r="128" spans="1:10" x14ac:dyDescent="0.25">
      <c r="A128" s="48">
        <v>0</v>
      </c>
      <c r="B128" s="39">
        <v>0</v>
      </c>
      <c r="C128" s="39">
        <v>0</v>
      </c>
      <c r="H128" s="44">
        <v>359</v>
      </c>
      <c r="I128" s="44" t="s">
        <v>155</v>
      </c>
      <c r="J128" s="44" t="s">
        <v>155</v>
      </c>
    </row>
    <row r="129" spans="1:10" x14ac:dyDescent="0.25">
      <c r="A129" s="33">
        <v>359</v>
      </c>
      <c r="B129" s="39">
        <v>0.19</v>
      </c>
      <c r="C129" s="39">
        <v>68.346199999999996</v>
      </c>
      <c r="H129" s="44">
        <v>721</v>
      </c>
      <c r="I129" s="44">
        <v>0.19</v>
      </c>
      <c r="J129" s="44">
        <v>68.346199999999996</v>
      </c>
    </row>
    <row r="130" spans="1:10" x14ac:dyDescent="0.25">
      <c r="A130" s="33">
        <v>721</v>
      </c>
      <c r="B130" s="39">
        <v>0.19900000000000001</v>
      </c>
      <c r="C130" s="39">
        <v>74.836500000000001</v>
      </c>
      <c r="H130" s="44">
        <v>739</v>
      </c>
      <c r="I130" s="44">
        <v>0.19900000000000001</v>
      </c>
      <c r="J130" s="44">
        <v>74.836500000000001</v>
      </c>
    </row>
    <row r="131" spans="1:10" x14ac:dyDescent="0.25">
      <c r="A131" s="33">
        <v>739</v>
      </c>
      <c r="B131" s="39">
        <v>0.249</v>
      </c>
      <c r="C131" s="39">
        <v>111.8308</v>
      </c>
      <c r="H131" s="44">
        <v>865</v>
      </c>
      <c r="I131" s="44">
        <v>0.249</v>
      </c>
      <c r="J131" s="44">
        <v>111.8308</v>
      </c>
    </row>
    <row r="132" spans="1:10" x14ac:dyDescent="0.25">
      <c r="A132" s="33">
        <v>865</v>
      </c>
      <c r="B132" s="39">
        <v>0.37769999999999998</v>
      </c>
      <c r="C132" s="39">
        <v>223.20580000000001</v>
      </c>
      <c r="H132" s="44">
        <v>896</v>
      </c>
      <c r="I132" s="44">
        <v>0.37769999999999998</v>
      </c>
      <c r="J132" s="44">
        <v>223.20580000000001</v>
      </c>
    </row>
    <row r="133" spans="1:10" x14ac:dyDescent="0.25">
      <c r="A133" s="33">
        <v>896</v>
      </c>
      <c r="B133" s="39">
        <v>0.38769999999999999</v>
      </c>
      <c r="C133" s="39">
        <v>223.20580000000001</v>
      </c>
      <c r="H133" s="44">
        <v>924</v>
      </c>
      <c r="I133" s="44">
        <v>0.38769999999999999</v>
      </c>
      <c r="J133" s="44">
        <v>223.20580000000001</v>
      </c>
    </row>
    <row r="134" spans="1:10" x14ac:dyDescent="0.25">
      <c r="A134" s="33">
        <v>924</v>
      </c>
      <c r="B134" s="39">
        <v>0.34770000000000001</v>
      </c>
      <c r="C134" s="39">
        <v>186.21190000000001</v>
      </c>
      <c r="H134" s="44">
        <v>1035</v>
      </c>
      <c r="I134" s="44">
        <v>0.34770000000000001</v>
      </c>
      <c r="J134" s="44">
        <v>186.21190000000001</v>
      </c>
    </row>
    <row r="135" spans="1:10" x14ac:dyDescent="0.25">
      <c r="A135" s="33">
        <v>1035</v>
      </c>
      <c r="B135" s="39">
        <v>0.35770000000000002</v>
      </c>
      <c r="C135" s="39">
        <v>186.21190000000001</v>
      </c>
      <c r="H135" s="44">
        <v>1097</v>
      </c>
      <c r="I135" s="44">
        <v>0.35770000000000002</v>
      </c>
      <c r="J135" s="44">
        <v>186.21190000000001</v>
      </c>
    </row>
    <row r="136" spans="1:10" x14ac:dyDescent="0.25">
      <c r="A136" s="33">
        <v>1097</v>
      </c>
      <c r="B136" s="39">
        <v>0.36270000000000002</v>
      </c>
      <c r="C136" s="39">
        <v>186.21190000000001</v>
      </c>
      <c r="H136" s="44">
        <v>1163</v>
      </c>
      <c r="I136" s="44">
        <v>0.36270000000000002</v>
      </c>
      <c r="J136" s="44">
        <v>186.21190000000001</v>
      </c>
    </row>
    <row r="137" spans="1:10" x14ac:dyDescent="0.25">
      <c r="A137" s="33">
        <v>1163</v>
      </c>
      <c r="B137" s="39">
        <v>0.36770000000000003</v>
      </c>
      <c r="C137" s="39">
        <v>186.21190000000001</v>
      </c>
      <c r="H137" s="44">
        <v>1232</v>
      </c>
      <c r="I137" s="44">
        <v>0.36770000000000003</v>
      </c>
      <c r="J137" s="44">
        <v>186.21190000000001</v>
      </c>
    </row>
    <row r="138" spans="1:10" x14ac:dyDescent="0.25">
      <c r="A138" s="33">
        <v>1232</v>
      </c>
      <c r="B138" s="39">
        <v>0.37269999999999998</v>
      </c>
      <c r="C138" s="39">
        <v>186.21190000000001</v>
      </c>
      <c r="H138" s="44">
        <v>1282</v>
      </c>
      <c r="I138" s="44">
        <v>0.37269999999999998</v>
      </c>
      <c r="J138" s="44">
        <v>186.21190000000001</v>
      </c>
    </row>
    <row r="139" spans="1:10" x14ac:dyDescent="0.25">
      <c r="A139" s="33">
        <v>1282</v>
      </c>
      <c r="B139" s="39">
        <v>0.37</v>
      </c>
      <c r="C139" s="39">
        <v>182.75040000000001</v>
      </c>
      <c r="H139" s="44">
        <v>1306</v>
      </c>
      <c r="I139" s="44">
        <v>0.37</v>
      </c>
      <c r="J139" s="44">
        <v>182.75040000000001</v>
      </c>
    </row>
    <row r="140" spans="1:10" x14ac:dyDescent="0.25">
      <c r="A140" s="33">
        <v>1306</v>
      </c>
      <c r="B140" s="39">
        <v>0.375</v>
      </c>
      <c r="C140" s="39">
        <v>182.75040000000001</v>
      </c>
      <c r="H140" s="44">
        <v>1385</v>
      </c>
      <c r="I140" s="44">
        <v>0.375</v>
      </c>
      <c r="J140" s="44">
        <v>182.75040000000001</v>
      </c>
    </row>
    <row r="141" spans="1:10" x14ac:dyDescent="0.25">
      <c r="A141" s="33">
        <v>1385</v>
      </c>
      <c r="B141" s="39">
        <v>0.38</v>
      </c>
      <c r="C141" s="39">
        <v>182.75040000000001</v>
      </c>
      <c r="H141" s="44">
        <v>1468</v>
      </c>
      <c r="I141" s="44">
        <v>0.38</v>
      </c>
      <c r="J141" s="44">
        <v>182.75040000000001</v>
      </c>
    </row>
    <row r="142" spans="1:10" x14ac:dyDescent="0.25">
      <c r="A142" s="33">
        <v>1468</v>
      </c>
      <c r="B142" s="39">
        <v>0.38500000000000001</v>
      </c>
      <c r="C142" s="39">
        <v>182.75040000000001</v>
      </c>
      <c r="H142" s="44">
        <v>1556</v>
      </c>
      <c r="I142" s="44">
        <v>0.38500000000000001</v>
      </c>
      <c r="J142" s="44">
        <v>182.75040000000001</v>
      </c>
    </row>
    <row r="143" spans="1:10" x14ac:dyDescent="0.25">
      <c r="A143" s="33">
        <v>1556</v>
      </c>
      <c r="B143" s="39">
        <v>0.39</v>
      </c>
      <c r="C143" s="39">
        <v>182.75040000000001</v>
      </c>
      <c r="H143" s="44">
        <v>1649</v>
      </c>
      <c r="I143" s="44">
        <v>0.39</v>
      </c>
      <c r="J143" s="44">
        <v>182.75040000000001</v>
      </c>
    </row>
    <row r="144" spans="1:10" x14ac:dyDescent="0.25">
      <c r="A144" s="33">
        <v>1649</v>
      </c>
      <c r="B144" s="39">
        <v>0.39500000000000002</v>
      </c>
      <c r="C144" s="39">
        <v>182.75040000000001</v>
      </c>
      <c r="H144" s="44">
        <v>1748</v>
      </c>
      <c r="I144" s="44">
        <v>0.39500000000000002</v>
      </c>
      <c r="J144" s="44">
        <v>182.75040000000001</v>
      </c>
    </row>
    <row r="145" spans="1:10" x14ac:dyDescent="0.25">
      <c r="A145" s="33">
        <v>1748</v>
      </c>
      <c r="B145" s="39">
        <v>0.4</v>
      </c>
      <c r="C145" s="39">
        <v>182.75040000000001</v>
      </c>
      <c r="H145" s="44">
        <v>1853</v>
      </c>
      <c r="I145" s="44">
        <v>0.4</v>
      </c>
      <c r="J145" s="44">
        <v>182.75040000000001</v>
      </c>
    </row>
    <row r="146" spans="1:10" x14ac:dyDescent="0.25">
      <c r="A146" s="33">
        <v>1853</v>
      </c>
      <c r="B146" s="39">
        <v>0.40500000000000003</v>
      </c>
      <c r="C146" s="39">
        <v>182.75040000000001</v>
      </c>
      <c r="H146" s="44">
        <v>1965</v>
      </c>
      <c r="I146" s="44">
        <v>0.40500000000000003</v>
      </c>
      <c r="J146" s="44">
        <v>182.75040000000001</v>
      </c>
    </row>
    <row r="147" spans="1:10" x14ac:dyDescent="0.25">
      <c r="A147" s="33">
        <v>1965</v>
      </c>
      <c r="B147" s="39">
        <v>0.41</v>
      </c>
      <c r="C147" s="39">
        <v>182.75040000000001</v>
      </c>
      <c r="H147" s="44">
        <v>2082</v>
      </c>
      <c r="I147" s="44">
        <v>0.41</v>
      </c>
      <c r="J147" s="44">
        <v>182.75040000000001</v>
      </c>
    </row>
    <row r="148" spans="1:10" x14ac:dyDescent="0.25">
      <c r="A148" s="33">
        <v>2082</v>
      </c>
      <c r="B148" s="39">
        <v>0.41499999999999998</v>
      </c>
      <c r="C148" s="39">
        <v>182.75040000000001</v>
      </c>
      <c r="H148" s="44">
        <v>2205</v>
      </c>
      <c r="I148" s="44">
        <v>0.41499999999999998</v>
      </c>
      <c r="J148" s="44">
        <v>182.75040000000001</v>
      </c>
    </row>
    <row r="149" spans="1:10" x14ac:dyDescent="0.25">
      <c r="A149" s="33">
        <v>2205</v>
      </c>
      <c r="B149" s="39">
        <v>0.42</v>
      </c>
      <c r="C149" s="39">
        <v>182.75040000000001</v>
      </c>
      <c r="H149" s="44">
        <v>2307</v>
      </c>
      <c r="I149" s="44">
        <v>0.42</v>
      </c>
      <c r="J149" s="44">
        <v>182.75040000000001</v>
      </c>
    </row>
    <row r="150" spans="1:10" x14ac:dyDescent="0.25">
      <c r="A150" s="33">
        <v>2307</v>
      </c>
      <c r="B150" s="39">
        <v>0.46500000000000002</v>
      </c>
      <c r="C150" s="39">
        <v>286.59649999999999</v>
      </c>
      <c r="H150" s="44">
        <v>2340</v>
      </c>
      <c r="I150" s="44">
        <v>0.46500000000000002</v>
      </c>
      <c r="J150" s="44">
        <v>286.59649999999999</v>
      </c>
    </row>
    <row r="151" spans="1:10" x14ac:dyDescent="0.25">
      <c r="A151" s="33">
        <v>2340</v>
      </c>
      <c r="B151" s="39">
        <v>0.47</v>
      </c>
      <c r="C151" s="39">
        <v>286.59649999999999</v>
      </c>
      <c r="H151" s="44">
        <v>2480</v>
      </c>
      <c r="I151" s="44">
        <v>0.47</v>
      </c>
      <c r="J151" s="44">
        <v>286.59649999999999</v>
      </c>
    </row>
    <row r="152" spans="1:10" x14ac:dyDescent="0.25">
      <c r="A152" s="33">
        <v>2480</v>
      </c>
      <c r="B152" s="39">
        <v>0.47499999999999998</v>
      </c>
      <c r="C152" s="39">
        <v>286.59649999999999</v>
      </c>
      <c r="H152" s="44">
        <v>2629</v>
      </c>
      <c r="I152" s="44">
        <v>0.47499999999999998</v>
      </c>
      <c r="J152" s="44">
        <v>286.59649999999999</v>
      </c>
    </row>
    <row r="153" spans="1:10" x14ac:dyDescent="0.25">
      <c r="A153" s="33">
        <v>2629</v>
      </c>
      <c r="B153" s="39">
        <v>0.48</v>
      </c>
      <c r="C153" s="39">
        <v>286.59649999999999</v>
      </c>
      <c r="H153" s="44">
        <v>3461</v>
      </c>
      <c r="I153" s="44">
        <v>0.48</v>
      </c>
      <c r="J153" s="44">
        <v>286.59649999999999</v>
      </c>
    </row>
    <row r="154" spans="1:10" x14ac:dyDescent="0.25">
      <c r="A154" s="33">
        <v>3461</v>
      </c>
      <c r="B154" s="39">
        <v>0.56000000000000005</v>
      </c>
      <c r="C154" s="39">
        <v>563.51959999999997</v>
      </c>
      <c r="H154" s="44">
        <v>3461</v>
      </c>
      <c r="I154" s="44">
        <v>0.56000000000000005</v>
      </c>
      <c r="J154" s="44">
        <v>563.51959999999997</v>
      </c>
    </row>
    <row r="155" spans="1:10" x14ac:dyDescent="0.25">
      <c r="A155" s="33"/>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2CD3-A569-46FF-9481-FF61298B60BE}">
  <sheetPr>
    <tabColor theme="1"/>
  </sheetPr>
  <dimension ref="A1:I6"/>
  <sheetViews>
    <sheetView zoomScale="85" zoomScaleNormal="85" workbookViewId="0">
      <selection activeCell="C8" sqref="C8"/>
    </sheetView>
  </sheetViews>
  <sheetFormatPr defaultRowHeight="15" x14ac:dyDescent="0.25"/>
  <cols>
    <col min="1" max="1" width="13.7109375" bestFit="1" customWidth="1"/>
    <col min="2" max="2" width="15.28515625" bestFit="1" customWidth="1"/>
    <col min="3" max="3" width="19.28515625" bestFit="1" customWidth="1"/>
    <col min="4" max="4" width="16.42578125" bestFit="1" customWidth="1"/>
    <col min="5" max="5" width="26.85546875" bestFit="1" customWidth="1"/>
    <col min="7" max="7" width="24.5703125" bestFit="1" customWidth="1"/>
    <col min="8" max="8" width="17" bestFit="1" customWidth="1"/>
  </cols>
  <sheetData>
    <row r="1" spans="1:9" x14ac:dyDescent="0.25">
      <c r="A1" s="1" t="s">
        <v>0</v>
      </c>
      <c r="B1" s="1" t="s">
        <v>108</v>
      </c>
      <c r="C1" s="1" t="s">
        <v>131</v>
      </c>
      <c r="D1" s="1" t="s">
        <v>134</v>
      </c>
      <c r="E1" s="1" t="s">
        <v>139</v>
      </c>
      <c r="F1" s="1" t="s">
        <v>140</v>
      </c>
      <c r="G1" s="1" t="s">
        <v>182</v>
      </c>
      <c r="H1" s="1" t="s">
        <v>22</v>
      </c>
      <c r="I1" s="1" t="s">
        <v>209</v>
      </c>
    </row>
    <row r="3" spans="1:9" x14ac:dyDescent="0.25">
      <c r="A3" t="s">
        <v>1</v>
      </c>
      <c r="B3" t="s">
        <v>109</v>
      </c>
      <c r="C3" t="s">
        <v>132</v>
      </c>
      <c r="D3" t="s">
        <v>135</v>
      </c>
      <c r="E3" t="s">
        <v>143</v>
      </c>
      <c r="F3" t="s">
        <v>140</v>
      </c>
      <c r="G3" t="s">
        <v>183</v>
      </c>
      <c r="H3" t="s">
        <v>29</v>
      </c>
      <c r="I3" t="s">
        <v>132</v>
      </c>
    </row>
    <row r="4" spans="1:9" x14ac:dyDescent="0.25">
      <c r="A4" t="s">
        <v>40</v>
      </c>
      <c r="C4" t="s">
        <v>133</v>
      </c>
      <c r="D4" t="s">
        <v>136</v>
      </c>
      <c r="E4" t="s">
        <v>146</v>
      </c>
      <c r="F4" t="s">
        <v>141</v>
      </c>
      <c r="G4" t="s">
        <v>184</v>
      </c>
      <c r="H4" t="s">
        <v>31</v>
      </c>
    </row>
    <row r="5" spans="1:9" x14ac:dyDescent="0.25">
      <c r="E5" t="s">
        <v>144</v>
      </c>
      <c r="H5" t="s">
        <v>33</v>
      </c>
    </row>
    <row r="6" spans="1:9" x14ac:dyDescent="0.25">
      <c r="E6" t="s">
        <v>145</v>
      </c>
      <c r="H6" t="s">
        <v>36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D55D0-E9EA-4B8C-AB49-1CC58FF032C0}">
  <dimension ref="A1"/>
  <sheetViews>
    <sheetView showGridLines="0" workbookViewId="0">
      <selection activeCell="N59" sqref="N59"/>
    </sheetView>
  </sheetViews>
  <sheetFormatPr defaultRowHeight="15" x14ac:dyDescent="0.25"/>
  <sheetData>
    <row r="1" spans="1:1" ht="18.75" x14ac:dyDescent="0.3">
      <c r="A1" s="94" t="s">
        <v>354</v>
      </c>
    </row>
  </sheetData>
  <sheetProtection algorithmName="SHA-512" hashValue="7X4pwk7JIZJ0+PlxsqlGXjOxP3m4QBH1l5dGxlVtSm5ML0+UunpkvHWdhiBFCUd7X+tyLD8AYRZLyo8rDXJ+yg==" saltValue="kRfJtK+ZkYRrjLBQwBtb8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9F58-6FFD-4B22-B4B2-CF53B8494C1C}">
  <dimension ref="A1:F10"/>
  <sheetViews>
    <sheetView showGridLines="0" zoomScaleNormal="100" workbookViewId="0">
      <selection activeCell="D6" sqref="D6"/>
    </sheetView>
  </sheetViews>
  <sheetFormatPr defaultColWidth="0" defaultRowHeight="15" customHeight="1" zeroHeight="1" x14ac:dyDescent="0.25"/>
  <cols>
    <col min="1" max="1" width="8.7109375" style="120" customWidth="1"/>
    <col min="2" max="2" width="22.140625" style="120" customWidth="1"/>
    <col min="3" max="3" width="34.85546875" style="120" customWidth="1"/>
    <col min="4" max="4" width="8.7109375" style="120" customWidth="1"/>
    <col min="5" max="5" width="9.140625" style="120" hidden="1" customWidth="1"/>
    <col min="6" max="6" width="3.140625" style="120" hidden="1" customWidth="1"/>
    <col min="7" max="16384" width="9.140625" style="120" hidden="1"/>
  </cols>
  <sheetData>
    <row r="1" spans="2:3" x14ac:dyDescent="0.25"/>
    <row r="2" spans="2:3" x14ac:dyDescent="0.25">
      <c r="B2" s="136" t="s">
        <v>237</v>
      </c>
      <c r="C2" s="137">
        <v>44377</v>
      </c>
    </row>
    <row r="3" spans="2:3" x14ac:dyDescent="0.25">
      <c r="B3" s="138" t="str">
        <f>LEFT($C$6,1)&amp;MID(C6,FIND(" ",$C$6,1)+1,1)&amp;MID($C$6,FIND(" ",$C$6,FIND(" ",$C$6)+1)+1,1)</f>
        <v>KCB</v>
      </c>
    </row>
    <row r="4" spans="2:3" x14ac:dyDescent="0.25">
      <c r="B4" s="136" t="s">
        <v>238</v>
      </c>
    </row>
    <row r="5" spans="2:3" ht="5.25" customHeight="1" x14ac:dyDescent="0.25"/>
    <row r="6" spans="2:3" x14ac:dyDescent="0.25">
      <c r="B6" s="120" t="s">
        <v>239</v>
      </c>
      <c r="C6" s="139" t="s">
        <v>240</v>
      </c>
    </row>
    <row r="7" spans="2:3" x14ac:dyDescent="0.25">
      <c r="B7" s="140" t="s">
        <v>241</v>
      </c>
      <c r="C7" s="141" t="s">
        <v>242</v>
      </c>
    </row>
    <row r="8" spans="2:3" x14ac:dyDescent="0.25">
      <c r="B8" s="120" t="s">
        <v>243</v>
      </c>
      <c r="C8" s="139" t="s">
        <v>244</v>
      </c>
    </row>
    <row r="9" spans="2:3" x14ac:dyDescent="0.25">
      <c r="B9" s="120" t="s">
        <v>245</v>
      </c>
      <c r="C9" s="142">
        <v>748396738</v>
      </c>
    </row>
    <row r="10" spans="2:3" x14ac:dyDescent="0.25">
      <c r="B10" s="143"/>
    </row>
  </sheetData>
  <sheetProtection algorithmName="SHA-512" hashValue="XDZXYkrBicsL4USNZansQmurpNxdau58Onejp6F8xf/i8tiDfNasVJkRTVQ/zx6Cy81hWJ5/O0zIUETgr7MKAg==" saltValue="7EKp+5CuHPaBT55s16yIHA==" spinCount="100000" sheet="1" objects="1" scenarios="1"/>
  <hyperlinks>
    <hyperlink ref="C7" r:id="rId1" xr:uid="{3AAB5250-99E3-483E-A9E0-0D737DD60FB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5E60A-8A04-4BE1-A1C6-5C7BAD01BD74}">
  <dimension ref="A1:P375"/>
  <sheetViews>
    <sheetView showGridLines="0" zoomScale="90" zoomScaleNormal="90" workbookViewId="0">
      <selection activeCell="O5" sqref="O5"/>
    </sheetView>
  </sheetViews>
  <sheetFormatPr defaultRowHeight="15" x14ac:dyDescent="0.25"/>
  <cols>
    <col min="1" max="1" width="9.140625" style="53"/>
    <col min="9" max="9" width="12.85546875" bestFit="1" customWidth="1"/>
    <col min="10" max="10" width="2.7109375" customWidth="1"/>
    <col min="13" max="13" width="15.140625" customWidth="1"/>
    <col min="14" max="14" width="12.85546875" bestFit="1" customWidth="1"/>
    <col min="16" max="16" width="12.5703125" customWidth="1"/>
  </cols>
  <sheetData>
    <row r="1" spans="1:16" ht="18.75" x14ac:dyDescent="0.3">
      <c r="A1" s="65" t="s">
        <v>228</v>
      </c>
    </row>
    <row r="2" spans="1:16" ht="6.75" customHeight="1" x14ac:dyDescent="0.25">
      <c r="A2"/>
    </row>
    <row r="3" spans="1:16" ht="4.5" customHeight="1" x14ac:dyDescent="0.25">
      <c r="A3"/>
      <c r="B3" s="67"/>
      <c r="C3" s="68"/>
      <c r="D3" s="68"/>
      <c r="E3" s="68"/>
      <c r="F3" s="68"/>
      <c r="G3" s="68"/>
      <c r="H3" s="68"/>
      <c r="I3" s="68"/>
      <c r="J3" s="68"/>
      <c r="K3" s="68"/>
      <c r="L3" s="68"/>
      <c r="M3" s="69"/>
    </row>
    <row r="4" spans="1:16" ht="15" customHeight="1" x14ac:dyDescent="0.25">
      <c r="A4"/>
      <c r="B4" s="70"/>
      <c r="C4" t="s">
        <v>229</v>
      </c>
      <c r="M4" s="56"/>
    </row>
    <row r="5" spans="1:16" ht="15" customHeight="1" x14ac:dyDescent="0.25">
      <c r="A5"/>
      <c r="B5" s="71"/>
      <c r="C5" t="s">
        <v>230</v>
      </c>
      <c r="M5" s="56"/>
    </row>
    <row r="6" spans="1:16" ht="15" customHeight="1" x14ac:dyDescent="0.25">
      <c r="A6"/>
      <c r="B6" s="7"/>
      <c r="C6" t="s">
        <v>376</v>
      </c>
      <c r="M6" s="56"/>
    </row>
    <row r="7" spans="1:16" ht="15" customHeight="1" x14ac:dyDescent="0.25">
      <c r="A7"/>
      <c r="B7" s="11"/>
      <c r="C7" t="s">
        <v>229</v>
      </c>
      <c r="M7" s="56"/>
    </row>
    <row r="8" spans="1:16" ht="4.5" customHeight="1" x14ac:dyDescent="0.25">
      <c r="A8"/>
      <c r="B8" s="61"/>
      <c r="C8" s="57"/>
      <c r="D8" s="57"/>
      <c r="E8" s="57"/>
      <c r="F8" s="57"/>
      <c r="G8" s="57"/>
      <c r="H8" s="57"/>
      <c r="I8" s="57"/>
      <c r="J8" s="57"/>
      <c r="K8" s="57"/>
      <c r="L8" s="57"/>
      <c r="M8" s="58"/>
    </row>
    <row r="9" spans="1:16" x14ac:dyDescent="0.25">
      <c r="A9"/>
    </row>
    <row r="10" spans="1:16" ht="15" customHeight="1" x14ac:dyDescent="0.25">
      <c r="A10" s="53">
        <v>1</v>
      </c>
      <c r="B10" s="319" t="s">
        <v>307</v>
      </c>
      <c r="C10" s="328"/>
      <c r="D10" s="328"/>
      <c r="E10" s="328"/>
      <c r="F10" s="328"/>
      <c r="G10" s="328"/>
      <c r="H10" s="328"/>
      <c r="I10" s="328"/>
      <c r="J10" s="328"/>
      <c r="K10" s="328"/>
      <c r="L10" s="328"/>
      <c r="M10" s="328"/>
      <c r="N10" s="328"/>
      <c r="O10" s="328"/>
      <c r="P10" s="329"/>
    </row>
    <row r="11" spans="1:16" x14ac:dyDescent="0.25">
      <c r="A11"/>
      <c r="B11" s="330"/>
      <c r="C11" s="331"/>
      <c r="D11" s="331"/>
      <c r="E11" s="331"/>
      <c r="F11" s="331"/>
      <c r="G11" s="331"/>
      <c r="H11" s="331"/>
      <c r="I11" s="331"/>
      <c r="J11" s="331"/>
      <c r="K11" s="331"/>
      <c r="L11" s="331"/>
      <c r="M11" s="331"/>
      <c r="N11" s="331"/>
      <c r="O11" s="331"/>
      <c r="P11" s="332"/>
    </row>
    <row r="12" spans="1:16" x14ac:dyDescent="0.25">
      <c r="A12"/>
      <c r="B12" s="330"/>
      <c r="C12" s="331"/>
      <c r="D12" s="331"/>
      <c r="E12" s="331"/>
      <c r="F12" s="331"/>
      <c r="G12" s="331"/>
      <c r="H12" s="331"/>
      <c r="I12" s="331"/>
      <c r="J12" s="331"/>
      <c r="K12" s="331"/>
      <c r="L12" s="331"/>
      <c r="M12" s="331"/>
      <c r="N12" s="331"/>
      <c r="O12" s="331"/>
      <c r="P12" s="332"/>
    </row>
    <row r="13" spans="1:16" x14ac:dyDescent="0.25">
      <c r="A13"/>
      <c r="B13" s="330"/>
      <c r="C13" s="331"/>
      <c r="D13" s="331"/>
      <c r="E13" s="331"/>
      <c r="F13" s="331"/>
      <c r="G13" s="331"/>
      <c r="H13" s="331"/>
      <c r="I13" s="331"/>
      <c r="J13" s="331"/>
      <c r="K13" s="331"/>
      <c r="L13" s="331"/>
      <c r="M13" s="331"/>
      <c r="N13" s="331"/>
      <c r="O13" s="331"/>
      <c r="P13" s="332"/>
    </row>
    <row r="14" spans="1:16" x14ac:dyDescent="0.25">
      <c r="A14"/>
      <c r="B14" s="330"/>
      <c r="C14" s="331"/>
      <c r="D14" s="331"/>
      <c r="E14" s="331"/>
      <c r="F14" s="331"/>
      <c r="G14" s="331"/>
      <c r="H14" s="331"/>
      <c r="I14" s="331"/>
      <c r="J14" s="331"/>
      <c r="K14" s="331"/>
      <c r="L14" s="331"/>
      <c r="M14" s="331"/>
      <c r="N14" s="331"/>
      <c r="O14" s="331"/>
      <c r="P14" s="332"/>
    </row>
    <row r="15" spans="1:16" x14ac:dyDescent="0.25">
      <c r="A15"/>
      <c r="B15" s="330"/>
      <c r="C15" s="331"/>
      <c r="D15" s="331"/>
      <c r="E15" s="331"/>
      <c r="F15" s="331"/>
      <c r="G15" s="331"/>
      <c r="H15" s="331"/>
      <c r="I15" s="331"/>
      <c r="J15" s="331"/>
      <c r="K15" s="331"/>
      <c r="L15" s="331"/>
      <c r="M15" s="331"/>
      <c r="N15" s="331"/>
      <c r="O15" s="331"/>
      <c r="P15" s="332"/>
    </row>
    <row r="16" spans="1:16" x14ac:dyDescent="0.25">
      <c r="A16"/>
      <c r="B16" s="330"/>
      <c r="C16" s="331"/>
      <c r="D16" s="331"/>
      <c r="E16" s="331"/>
      <c r="F16" s="331"/>
      <c r="G16" s="331"/>
      <c r="H16" s="331"/>
      <c r="I16" s="331"/>
      <c r="J16" s="331"/>
      <c r="K16" s="331"/>
      <c r="L16" s="331"/>
      <c r="M16" s="331"/>
      <c r="N16" s="331"/>
      <c r="O16" s="331"/>
      <c r="P16" s="332"/>
    </row>
    <row r="17" spans="1:16" x14ac:dyDescent="0.25">
      <c r="A17"/>
      <c r="B17" s="330"/>
      <c r="C17" s="331"/>
      <c r="D17" s="331"/>
      <c r="E17" s="331"/>
      <c r="F17" s="331"/>
      <c r="G17" s="331"/>
      <c r="H17" s="331"/>
      <c r="I17" s="331"/>
      <c r="J17" s="331"/>
      <c r="K17" s="331"/>
      <c r="L17" s="331"/>
      <c r="M17" s="331"/>
      <c r="N17" s="331"/>
      <c r="O17" s="331"/>
      <c r="P17" s="332"/>
    </row>
    <row r="18" spans="1:16" x14ac:dyDescent="0.25">
      <c r="A18"/>
      <c r="B18" s="330"/>
      <c r="C18" s="331"/>
      <c r="D18" s="331"/>
      <c r="E18" s="331"/>
      <c r="F18" s="331"/>
      <c r="G18" s="331"/>
      <c r="H18" s="331"/>
      <c r="I18" s="331"/>
      <c r="J18" s="331"/>
      <c r="K18" s="331"/>
      <c r="L18" s="331"/>
      <c r="M18" s="331"/>
      <c r="N18" s="331"/>
      <c r="O18" s="331"/>
      <c r="P18" s="332"/>
    </row>
    <row r="19" spans="1:16" x14ac:dyDescent="0.25">
      <c r="A19"/>
      <c r="B19" s="330"/>
      <c r="C19" s="331"/>
      <c r="D19" s="331"/>
      <c r="E19" s="331"/>
      <c r="F19" s="331"/>
      <c r="G19" s="331"/>
      <c r="H19" s="331"/>
      <c r="I19" s="331"/>
      <c r="J19" s="331"/>
      <c r="K19" s="331"/>
      <c r="L19" s="331"/>
      <c r="M19" s="331"/>
      <c r="N19" s="331"/>
      <c r="O19" s="331"/>
      <c r="P19" s="332"/>
    </row>
    <row r="20" spans="1:16" x14ac:dyDescent="0.25">
      <c r="A20"/>
      <c r="B20" s="330"/>
      <c r="C20" s="331"/>
      <c r="D20" s="331"/>
      <c r="E20" s="331"/>
      <c r="F20" s="331"/>
      <c r="G20" s="331"/>
      <c r="H20" s="331"/>
      <c r="I20" s="331"/>
      <c r="J20" s="331"/>
      <c r="K20" s="331"/>
      <c r="L20" s="331"/>
      <c r="M20" s="331"/>
      <c r="N20" s="331"/>
      <c r="O20" s="331"/>
      <c r="P20" s="332"/>
    </row>
    <row r="21" spans="1:16" x14ac:dyDescent="0.25">
      <c r="A21"/>
      <c r="B21" s="330"/>
      <c r="C21" s="331"/>
      <c r="D21" s="331"/>
      <c r="E21" s="331"/>
      <c r="F21" s="331"/>
      <c r="G21" s="331"/>
      <c r="H21" s="331"/>
      <c r="I21" s="331"/>
      <c r="J21" s="331"/>
      <c r="K21" s="331"/>
      <c r="L21" s="331"/>
      <c r="M21" s="331"/>
      <c r="N21" s="331"/>
      <c r="O21" s="331"/>
      <c r="P21" s="332"/>
    </row>
    <row r="22" spans="1:16" x14ac:dyDescent="0.25">
      <c r="A22"/>
      <c r="B22" s="330"/>
      <c r="C22" s="331"/>
      <c r="D22" s="331"/>
      <c r="E22" s="331"/>
      <c r="F22" s="331"/>
      <c r="G22" s="331"/>
      <c r="H22" s="331"/>
      <c r="I22" s="331"/>
      <c r="J22" s="331"/>
      <c r="K22" s="331"/>
      <c r="L22" s="331"/>
      <c r="M22" s="331"/>
      <c r="N22" s="331"/>
      <c r="O22" s="331"/>
      <c r="P22" s="332"/>
    </row>
    <row r="23" spans="1:16" x14ac:dyDescent="0.25">
      <c r="A23"/>
      <c r="B23" s="330"/>
      <c r="C23" s="331"/>
      <c r="D23" s="331"/>
      <c r="E23" s="331"/>
      <c r="F23" s="331"/>
      <c r="G23" s="331"/>
      <c r="H23" s="331"/>
      <c r="I23" s="331"/>
      <c r="J23" s="331"/>
      <c r="K23" s="331"/>
      <c r="L23" s="331"/>
      <c r="M23" s="331"/>
      <c r="N23" s="331"/>
      <c r="O23" s="331"/>
      <c r="P23" s="332"/>
    </row>
    <row r="24" spans="1:16" x14ac:dyDescent="0.25">
      <c r="A24"/>
      <c r="B24" s="330"/>
      <c r="C24" s="331"/>
      <c r="D24" s="331"/>
      <c r="E24" s="331"/>
      <c r="F24" s="331"/>
      <c r="G24" s="331"/>
      <c r="H24" s="331"/>
      <c r="I24" s="331"/>
      <c r="J24" s="331"/>
      <c r="K24" s="331"/>
      <c r="L24" s="331"/>
      <c r="M24" s="331"/>
      <c r="N24" s="331"/>
      <c r="O24" s="331"/>
      <c r="P24" s="332"/>
    </row>
    <row r="25" spans="1:16" x14ac:dyDescent="0.25">
      <c r="A25"/>
      <c r="B25" s="330"/>
      <c r="C25" s="331"/>
      <c r="D25" s="331"/>
      <c r="E25" s="331"/>
      <c r="F25" s="331"/>
      <c r="G25" s="331"/>
      <c r="H25" s="331"/>
      <c r="I25" s="331"/>
      <c r="J25" s="331"/>
      <c r="K25" s="331"/>
      <c r="L25" s="331"/>
      <c r="M25" s="331"/>
      <c r="N25" s="331"/>
      <c r="O25" s="331"/>
      <c r="P25" s="332"/>
    </row>
    <row r="26" spans="1:16" x14ac:dyDescent="0.25">
      <c r="A26"/>
      <c r="B26" s="330"/>
      <c r="C26" s="331"/>
      <c r="D26" s="331"/>
      <c r="E26" s="331"/>
      <c r="F26" s="331"/>
      <c r="G26" s="331"/>
      <c r="H26" s="331"/>
      <c r="I26" s="331"/>
      <c r="J26" s="331"/>
      <c r="K26" s="331"/>
      <c r="L26" s="331"/>
      <c r="M26" s="331"/>
      <c r="N26" s="331"/>
      <c r="O26" s="331"/>
      <c r="P26" s="332"/>
    </row>
    <row r="27" spans="1:16" x14ac:dyDescent="0.25">
      <c r="A27"/>
      <c r="B27" s="330"/>
      <c r="C27" s="331"/>
      <c r="D27" s="331"/>
      <c r="E27" s="331"/>
      <c r="F27" s="331"/>
      <c r="G27" s="331"/>
      <c r="H27" s="331"/>
      <c r="I27" s="331"/>
      <c r="J27" s="331"/>
      <c r="K27" s="331"/>
      <c r="L27" s="331"/>
      <c r="M27" s="331"/>
      <c r="N27" s="331"/>
      <c r="O27" s="331"/>
      <c r="P27" s="332"/>
    </row>
    <row r="28" spans="1:16" x14ac:dyDescent="0.25">
      <c r="A28"/>
      <c r="B28" s="330"/>
      <c r="C28" s="331"/>
      <c r="D28" s="331"/>
      <c r="E28" s="331"/>
      <c r="F28" s="331"/>
      <c r="G28" s="331"/>
      <c r="H28" s="331"/>
      <c r="I28" s="331"/>
      <c r="J28" s="331"/>
      <c r="K28" s="331"/>
      <c r="L28" s="331"/>
      <c r="M28" s="331"/>
      <c r="N28" s="331"/>
      <c r="O28" s="331"/>
      <c r="P28" s="332"/>
    </row>
    <row r="29" spans="1:16" x14ac:dyDescent="0.25">
      <c r="A29"/>
      <c r="B29" s="330"/>
      <c r="C29" s="331"/>
      <c r="D29" s="331"/>
      <c r="E29" s="331"/>
      <c r="F29" s="331"/>
      <c r="G29" s="331"/>
      <c r="H29" s="331"/>
      <c r="I29" s="331"/>
      <c r="J29" s="331"/>
      <c r="K29" s="331"/>
      <c r="L29" s="331"/>
      <c r="M29" s="331"/>
      <c r="N29" s="331"/>
      <c r="O29" s="331"/>
      <c r="P29" s="332"/>
    </row>
    <row r="30" spans="1:16" x14ac:dyDescent="0.25">
      <c r="A30"/>
      <c r="B30" s="330"/>
      <c r="C30" s="331"/>
      <c r="D30" s="331"/>
      <c r="E30" s="331"/>
      <c r="F30" s="331"/>
      <c r="G30" s="331"/>
      <c r="H30" s="331"/>
      <c r="I30" s="331"/>
      <c r="J30" s="331"/>
      <c r="K30" s="331"/>
      <c r="L30" s="331"/>
      <c r="M30" s="331"/>
      <c r="N30" s="331"/>
      <c r="O30" s="331"/>
      <c r="P30" s="332"/>
    </row>
    <row r="31" spans="1:16" x14ac:dyDescent="0.25">
      <c r="A31"/>
      <c r="B31" s="330"/>
      <c r="C31" s="331"/>
      <c r="D31" s="331"/>
      <c r="E31" s="331"/>
      <c r="F31" s="331"/>
      <c r="G31" s="331"/>
      <c r="H31" s="331"/>
      <c r="I31" s="331"/>
      <c r="J31" s="331"/>
      <c r="K31" s="331"/>
      <c r="L31" s="331"/>
      <c r="M31" s="331"/>
      <c r="N31" s="331"/>
      <c r="O31" s="331"/>
      <c r="P31" s="332"/>
    </row>
    <row r="32" spans="1:16" x14ac:dyDescent="0.25">
      <c r="A32"/>
      <c r="B32" s="333"/>
      <c r="C32" s="334"/>
      <c r="D32" s="334"/>
      <c r="E32" s="334"/>
      <c r="F32" s="334"/>
      <c r="G32" s="334"/>
      <c r="H32" s="334"/>
      <c r="I32" s="334"/>
      <c r="J32" s="334"/>
      <c r="K32" s="334"/>
      <c r="L32" s="334"/>
      <c r="M32" s="334"/>
      <c r="N32" s="334"/>
      <c r="O32" s="334"/>
      <c r="P32" s="335"/>
    </row>
    <row r="33" spans="1:16" x14ac:dyDescent="0.25">
      <c r="A33"/>
      <c r="B33" s="84"/>
      <c r="C33" s="84"/>
      <c r="D33" s="84"/>
      <c r="E33" s="84"/>
      <c r="F33" s="84"/>
      <c r="G33" s="84"/>
      <c r="H33" s="84"/>
      <c r="I33" s="84"/>
      <c r="J33" s="84"/>
      <c r="K33" s="84"/>
      <c r="L33" s="84"/>
      <c r="M33" s="84"/>
      <c r="N33" s="84"/>
      <c r="O33" s="84"/>
      <c r="P33" s="84"/>
    </row>
    <row r="34" spans="1:16" x14ac:dyDescent="0.25">
      <c r="B34" t="s">
        <v>298</v>
      </c>
    </row>
    <row r="35" spans="1:16" x14ac:dyDescent="0.25">
      <c r="A35"/>
    </row>
    <row r="36" spans="1:16" s="1" customFormat="1" x14ac:dyDescent="0.25">
      <c r="A36"/>
      <c r="B36" s="90" t="s">
        <v>356</v>
      </c>
      <c r="C36" s="89"/>
      <c r="D36" s="89"/>
      <c r="E36" s="89"/>
      <c r="F36" s="89"/>
      <c r="G36" s="89"/>
      <c r="H36" s="89"/>
      <c r="I36" s="89"/>
      <c r="J36" s="89"/>
      <c r="K36" s="89"/>
      <c r="L36" s="89"/>
      <c r="M36" s="89"/>
      <c r="N36" s="89"/>
      <c r="O36" s="89"/>
      <c r="P36" s="91"/>
    </row>
    <row r="37" spans="1:16" x14ac:dyDescent="0.25">
      <c r="B37" s="7" t="s">
        <v>316</v>
      </c>
      <c r="C37" s="55"/>
      <c r="D37" s="55"/>
      <c r="E37" s="55"/>
      <c r="F37" s="55"/>
      <c r="G37" s="55"/>
      <c r="H37" s="55"/>
      <c r="I37" s="55"/>
      <c r="J37" s="8"/>
      <c r="K37" s="55"/>
      <c r="L37" s="55"/>
      <c r="M37" s="55"/>
      <c r="N37" s="8" t="s">
        <v>187</v>
      </c>
      <c r="O37" s="55"/>
      <c r="P37" s="56"/>
    </row>
    <row r="38" spans="1:16" x14ac:dyDescent="0.25">
      <c r="B38" s="7" t="s">
        <v>315</v>
      </c>
      <c r="C38" s="55"/>
      <c r="D38" s="55"/>
      <c r="E38" s="55"/>
      <c r="F38" s="55"/>
      <c r="G38" s="55"/>
      <c r="H38" s="55"/>
      <c r="I38" s="55"/>
      <c r="J38" s="8"/>
      <c r="K38" s="55"/>
      <c r="L38" s="55"/>
      <c r="M38" s="55"/>
      <c r="N38" s="8" t="s">
        <v>188</v>
      </c>
      <c r="O38" s="55"/>
      <c r="P38" s="56"/>
    </row>
    <row r="39" spans="1:16" x14ac:dyDescent="0.25">
      <c r="B39" s="7" t="s">
        <v>314</v>
      </c>
      <c r="C39" s="55"/>
      <c r="D39" s="55"/>
      <c r="E39" s="55"/>
      <c r="F39" s="55"/>
      <c r="G39" s="55"/>
      <c r="H39" s="55"/>
      <c r="I39" s="55"/>
      <c r="J39" s="8"/>
      <c r="K39" s="55"/>
      <c r="L39" s="55"/>
      <c r="M39" s="55"/>
      <c r="N39" s="8" t="s">
        <v>189</v>
      </c>
      <c r="O39" s="55"/>
      <c r="P39" s="56"/>
    </row>
    <row r="40" spans="1:16" x14ac:dyDescent="0.25">
      <c r="B40" s="7" t="s">
        <v>313</v>
      </c>
      <c r="C40" s="55"/>
      <c r="D40" s="55"/>
      <c r="E40" s="55"/>
      <c r="F40" s="55"/>
      <c r="G40" s="55"/>
      <c r="H40" s="55"/>
      <c r="I40" s="55"/>
      <c r="J40" s="55"/>
      <c r="K40" s="55"/>
      <c r="L40" s="55"/>
      <c r="M40" s="55"/>
      <c r="N40" s="8" t="s">
        <v>190</v>
      </c>
      <c r="O40" s="55"/>
      <c r="P40" s="56"/>
    </row>
    <row r="41" spans="1:16" x14ac:dyDescent="0.25">
      <c r="B41" s="88" t="s">
        <v>198</v>
      </c>
      <c r="C41" s="55"/>
      <c r="D41" s="55"/>
      <c r="E41" s="55"/>
      <c r="F41" s="55"/>
      <c r="G41" s="55"/>
      <c r="H41" s="55"/>
      <c r="I41" s="55"/>
      <c r="J41" s="55"/>
      <c r="K41" s="55"/>
      <c r="L41" s="55"/>
      <c r="M41" s="55"/>
      <c r="N41" s="8" t="s">
        <v>294</v>
      </c>
      <c r="O41" s="55"/>
      <c r="P41" s="56"/>
    </row>
    <row r="42" spans="1:16" x14ac:dyDescent="0.25">
      <c r="B42" s="7" t="s">
        <v>312</v>
      </c>
      <c r="C42" s="55"/>
      <c r="D42" s="55"/>
      <c r="E42" s="55"/>
      <c r="F42" s="55"/>
      <c r="G42" s="55"/>
      <c r="H42" s="55"/>
      <c r="I42" s="55"/>
      <c r="J42" s="55"/>
      <c r="K42" s="55"/>
      <c r="L42" s="55"/>
      <c r="M42" s="55"/>
      <c r="N42" s="8" t="s">
        <v>291</v>
      </c>
      <c r="O42" s="55"/>
      <c r="P42" s="56"/>
    </row>
    <row r="43" spans="1:16" x14ac:dyDescent="0.25">
      <c r="B43" s="7" t="s">
        <v>311</v>
      </c>
      <c r="C43" s="55"/>
      <c r="D43" s="55"/>
      <c r="E43" s="55"/>
      <c r="F43" s="55"/>
      <c r="G43" s="55"/>
      <c r="H43" s="55"/>
      <c r="I43" s="55"/>
      <c r="J43" s="55"/>
      <c r="K43" s="55"/>
      <c r="L43" s="55"/>
      <c r="M43" s="55"/>
      <c r="N43" s="8" t="s">
        <v>292</v>
      </c>
      <c r="O43" s="55"/>
      <c r="P43" s="56"/>
    </row>
    <row r="44" spans="1:16" x14ac:dyDescent="0.25">
      <c r="B44" s="7" t="s">
        <v>317</v>
      </c>
      <c r="C44" s="55"/>
      <c r="D44" s="55"/>
      <c r="E44" s="55"/>
      <c r="F44" s="55"/>
      <c r="G44" s="55"/>
      <c r="H44" s="55"/>
      <c r="I44" s="55"/>
      <c r="J44" s="55"/>
      <c r="K44" s="55"/>
      <c r="L44" s="55"/>
      <c r="M44" s="55"/>
      <c r="N44" s="8" t="s">
        <v>293</v>
      </c>
      <c r="O44" s="55"/>
      <c r="P44" s="56"/>
    </row>
    <row r="45" spans="1:16" x14ac:dyDescent="0.25">
      <c r="B45" s="7" t="s">
        <v>191</v>
      </c>
      <c r="C45" s="55"/>
      <c r="D45" s="55"/>
      <c r="E45" s="55"/>
      <c r="F45" s="55"/>
      <c r="G45" s="55"/>
      <c r="H45" s="55"/>
      <c r="I45" s="55"/>
      <c r="J45" s="55"/>
      <c r="K45" s="55"/>
      <c r="L45" s="55"/>
      <c r="M45" s="55"/>
      <c r="N45" s="8" t="s">
        <v>196</v>
      </c>
      <c r="O45" s="55"/>
      <c r="P45" s="56"/>
    </row>
    <row r="46" spans="1:16" x14ac:dyDescent="0.25">
      <c r="B46" s="7" t="s">
        <v>309</v>
      </c>
      <c r="C46" s="55"/>
      <c r="D46" s="55"/>
      <c r="E46" s="55"/>
      <c r="F46" s="55"/>
      <c r="G46" s="55"/>
      <c r="H46" s="55"/>
      <c r="I46" s="55"/>
      <c r="J46" s="55"/>
      <c r="K46" s="55"/>
      <c r="L46" s="55"/>
      <c r="M46" s="55"/>
      <c r="N46" s="8" t="s">
        <v>197</v>
      </c>
      <c r="O46" s="55"/>
      <c r="P46" s="56"/>
    </row>
    <row r="47" spans="1:16" x14ac:dyDescent="0.25">
      <c r="B47" s="7" t="s">
        <v>308</v>
      </c>
      <c r="C47" s="55"/>
      <c r="D47" s="55"/>
      <c r="E47" s="55"/>
      <c r="F47" s="55"/>
      <c r="G47" s="55"/>
      <c r="H47" s="55"/>
      <c r="I47" s="55"/>
      <c r="J47" s="55"/>
      <c r="K47" s="55"/>
      <c r="L47" s="55"/>
      <c r="M47" s="55"/>
      <c r="N47" s="8" t="s">
        <v>295</v>
      </c>
      <c r="O47" s="55"/>
      <c r="P47" s="56"/>
    </row>
    <row r="48" spans="1:16" x14ac:dyDescent="0.25">
      <c r="A48"/>
      <c r="B48" s="88" t="s">
        <v>310</v>
      </c>
      <c r="C48" s="55"/>
      <c r="D48" s="55"/>
      <c r="E48" s="55"/>
      <c r="F48" s="55"/>
      <c r="G48" s="55"/>
      <c r="H48" s="55"/>
      <c r="I48" s="55"/>
      <c r="J48" s="55"/>
      <c r="K48" s="55"/>
      <c r="L48" s="55"/>
      <c r="M48" s="55"/>
      <c r="N48" s="8" t="s">
        <v>195</v>
      </c>
      <c r="O48" s="55"/>
      <c r="P48" s="56"/>
    </row>
    <row r="49" spans="1:16" x14ac:dyDescent="0.25">
      <c r="A49"/>
      <c r="B49" s="88" t="s">
        <v>194</v>
      </c>
      <c r="C49" s="55"/>
      <c r="D49" s="55"/>
      <c r="E49" s="55"/>
      <c r="F49" s="55"/>
      <c r="G49" s="55"/>
      <c r="H49" s="55"/>
      <c r="I49" s="55"/>
      <c r="J49" s="55"/>
      <c r="K49" s="55"/>
      <c r="L49" s="55"/>
      <c r="M49" s="55"/>
      <c r="N49" s="8"/>
      <c r="O49" s="55"/>
      <c r="P49" s="56"/>
    </row>
    <row r="50" spans="1:16" x14ac:dyDescent="0.25">
      <c r="A50"/>
      <c r="B50" s="7" t="s">
        <v>301</v>
      </c>
      <c r="C50" s="55"/>
      <c r="D50" s="55"/>
      <c r="E50" s="55"/>
      <c r="F50" s="55"/>
      <c r="G50" s="55"/>
      <c r="H50" s="55"/>
      <c r="I50" s="55"/>
      <c r="J50" s="55"/>
      <c r="K50" s="55"/>
      <c r="L50" s="55"/>
      <c r="M50" s="55"/>
      <c r="N50" s="8" t="s">
        <v>297</v>
      </c>
      <c r="O50" s="55"/>
      <c r="P50" s="56"/>
    </row>
    <row r="51" spans="1:16" x14ac:dyDescent="0.25">
      <c r="A51"/>
      <c r="B51" s="61" t="s">
        <v>299</v>
      </c>
      <c r="C51" s="57"/>
      <c r="D51" s="57"/>
      <c r="E51" s="57"/>
      <c r="F51" s="57"/>
      <c r="G51" s="57"/>
      <c r="H51" s="57"/>
      <c r="I51" s="57"/>
      <c r="J51" s="57"/>
      <c r="K51" s="57"/>
      <c r="L51" s="57"/>
      <c r="M51" s="57"/>
      <c r="N51" s="59" t="s">
        <v>300</v>
      </c>
      <c r="O51" s="57"/>
      <c r="P51" s="58"/>
    </row>
    <row r="52" spans="1:16" x14ac:dyDescent="0.25">
      <c r="A52"/>
      <c r="H52" s="55"/>
      <c r="I52" s="55"/>
      <c r="J52" s="55"/>
      <c r="K52" s="55"/>
      <c r="L52" s="55"/>
      <c r="M52" s="55"/>
      <c r="N52" s="8"/>
      <c r="O52" s="55"/>
      <c r="P52" s="55"/>
    </row>
    <row r="53" spans="1:16" x14ac:dyDescent="0.25">
      <c r="A53"/>
      <c r="B53" s="370" t="s">
        <v>323</v>
      </c>
      <c r="C53" s="370"/>
      <c r="D53" s="370"/>
      <c r="E53" s="370"/>
      <c r="F53" s="370"/>
      <c r="G53" s="370"/>
      <c r="H53" s="370"/>
      <c r="I53" s="370"/>
      <c r="J53" s="370"/>
      <c r="K53" s="370"/>
      <c r="L53" s="370"/>
      <c r="M53" s="370"/>
      <c r="N53" s="370"/>
      <c r="O53" s="370"/>
      <c r="P53" s="370"/>
    </row>
    <row r="54" spans="1:16" x14ac:dyDescent="0.25">
      <c r="A54"/>
      <c r="B54" s="370"/>
      <c r="C54" s="370"/>
      <c r="D54" s="370"/>
      <c r="E54" s="370"/>
      <c r="F54" s="370"/>
      <c r="G54" s="370"/>
      <c r="H54" s="370"/>
      <c r="I54" s="370"/>
      <c r="J54" s="370"/>
      <c r="K54" s="370"/>
      <c r="L54" s="370"/>
      <c r="M54" s="370"/>
      <c r="N54" s="370"/>
      <c r="O54" s="370"/>
      <c r="P54" s="370"/>
    </row>
    <row r="55" spans="1:16" x14ac:dyDescent="0.25">
      <c r="A55"/>
      <c r="B55" s="87"/>
      <c r="H55" s="55"/>
      <c r="I55" s="55"/>
      <c r="J55" s="55"/>
      <c r="K55" s="55"/>
      <c r="L55" s="55"/>
      <c r="M55" s="55"/>
      <c r="N55" s="8"/>
      <c r="O55" s="55"/>
      <c r="P55" s="55"/>
    </row>
    <row r="56" spans="1:16" ht="15" customHeight="1" x14ac:dyDescent="0.25">
      <c r="A56" s="53">
        <v>2</v>
      </c>
      <c r="B56" s="319" t="s">
        <v>302</v>
      </c>
      <c r="C56" s="328"/>
      <c r="D56" s="328"/>
      <c r="E56" s="328"/>
      <c r="F56" s="328"/>
      <c r="G56" s="328"/>
      <c r="H56" s="328"/>
      <c r="I56" s="328"/>
      <c r="J56" s="328"/>
      <c r="K56" s="328"/>
      <c r="L56" s="328"/>
      <c r="M56" s="328"/>
      <c r="N56" s="328"/>
      <c r="O56" s="328"/>
      <c r="P56" s="329"/>
    </row>
    <row r="57" spans="1:16" x14ac:dyDescent="0.25">
      <c r="A57"/>
      <c r="B57" s="330"/>
      <c r="C57" s="331"/>
      <c r="D57" s="331"/>
      <c r="E57" s="331"/>
      <c r="F57" s="331"/>
      <c r="G57" s="331"/>
      <c r="H57" s="331"/>
      <c r="I57" s="331"/>
      <c r="J57" s="331"/>
      <c r="K57" s="331"/>
      <c r="L57" s="331"/>
      <c r="M57" s="331"/>
      <c r="N57" s="331"/>
      <c r="O57" s="331"/>
      <c r="P57" s="332"/>
    </row>
    <row r="58" spans="1:16" x14ac:dyDescent="0.25">
      <c r="A58"/>
      <c r="B58" s="330"/>
      <c r="C58" s="331"/>
      <c r="D58" s="331"/>
      <c r="E58" s="331"/>
      <c r="F58" s="331"/>
      <c r="G58" s="331"/>
      <c r="H58" s="331"/>
      <c r="I58" s="331"/>
      <c r="J58" s="331"/>
      <c r="K58" s="331"/>
      <c r="L58" s="331"/>
      <c r="M58" s="331"/>
      <c r="N58" s="331"/>
      <c r="O58" s="331"/>
      <c r="P58" s="332"/>
    </row>
    <row r="59" spans="1:16" x14ac:dyDescent="0.25">
      <c r="A59"/>
      <c r="B59" s="330"/>
      <c r="C59" s="331"/>
      <c r="D59" s="331"/>
      <c r="E59" s="331"/>
      <c r="F59" s="331"/>
      <c r="G59" s="331"/>
      <c r="H59" s="331"/>
      <c r="I59" s="331"/>
      <c r="J59" s="331"/>
      <c r="K59" s="331"/>
      <c r="L59" s="331"/>
      <c r="M59" s="331"/>
      <c r="N59" s="331"/>
      <c r="O59" s="331"/>
      <c r="P59" s="332"/>
    </row>
    <row r="60" spans="1:16" x14ac:dyDescent="0.25">
      <c r="A60"/>
      <c r="B60" s="330"/>
      <c r="C60" s="331"/>
      <c r="D60" s="331"/>
      <c r="E60" s="331"/>
      <c r="F60" s="331"/>
      <c r="G60" s="331"/>
      <c r="H60" s="331"/>
      <c r="I60" s="331"/>
      <c r="J60" s="331"/>
      <c r="K60" s="331"/>
      <c r="L60" s="331"/>
      <c r="M60" s="331"/>
      <c r="N60" s="331"/>
      <c r="O60" s="331"/>
      <c r="P60" s="332"/>
    </row>
    <row r="61" spans="1:16" x14ac:dyDescent="0.25">
      <c r="A61"/>
      <c r="B61" s="330"/>
      <c r="C61" s="331"/>
      <c r="D61" s="331"/>
      <c r="E61" s="331"/>
      <c r="F61" s="331"/>
      <c r="G61" s="331"/>
      <c r="H61" s="331"/>
      <c r="I61" s="331"/>
      <c r="J61" s="331"/>
      <c r="K61" s="331"/>
      <c r="L61" s="331"/>
      <c r="M61" s="331"/>
      <c r="N61" s="331"/>
      <c r="O61" s="331"/>
      <c r="P61" s="332"/>
    </row>
    <row r="62" spans="1:16" x14ac:dyDescent="0.25">
      <c r="A62"/>
      <c r="B62" s="330"/>
      <c r="C62" s="331"/>
      <c r="D62" s="331"/>
      <c r="E62" s="331"/>
      <c r="F62" s="331"/>
      <c r="G62" s="331"/>
      <c r="H62" s="331"/>
      <c r="I62" s="331"/>
      <c r="J62" s="331"/>
      <c r="K62" s="331"/>
      <c r="L62" s="331"/>
      <c r="M62" s="331"/>
      <c r="N62" s="331"/>
      <c r="O62" s="331"/>
      <c r="P62" s="332"/>
    </row>
    <row r="63" spans="1:16" x14ac:dyDescent="0.25">
      <c r="A63"/>
      <c r="B63" s="330"/>
      <c r="C63" s="331"/>
      <c r="D63" s="331"/>
      <c r="E63" s="331"/>
      <c r="F63" s="331"/>
      <c r="G63" s="331"/>
      <c r="H63" s="331"/>
      <c r="I63" s="331"/>
      <c r="J63" s="331"/>
      <c r="K63" s="331"/>
      <c r="L63" s="331"/>
      <c r="M63" s="331"/>
      <c r="N63" s="331"/>
      <c r="O63" s="331"/>
      <c r="P63" s="332"/>
    </row>
    <row r="64" spans="1:16" x14ac:dyDescent="0.25">
      <c r="A64"/>
      <c r="B64" s="330"/>
      <c r="C64" s="331"/>
      <c r="D64" s="331"/>
      <c r="E64" s="331"/>
      <c r="F64" s="331"/>
      <c r="G64" s="331"/>
      <c r="H64" s="331"/>
      <c r="I64" s="331"/>
      <c r="J64" s="331"/>
      <c r="K64" s="331"/>
      <c r="L64" s="331"/>
      <c r="M64" s="331"/>
      <c r="N64" s="331"/>
      <c r="O64" s="331"/>
      <c r="P64" s="332"/>
    </row>
    <row r="65" spans="1:16" x14ac:dyDescent="0.25">
      <c r="A65"/>
      <c r="B65" s="333"/>
      <c r="C65" s="334"/>
      <c r="D65" s="334"/>
      <c r="E65" s="334"/>
      <c r="F65" s="334"/>
      <c r="G65" s="334"/>
      <c r="H65" s="334"/>
      <c r="I65" s="334"/>
      <c r="J65" s="334"/>
      <c r="K65" s="334"/>
      <c r="L65" s="334"/>
      <c r="M65" s="334"/>
      <c r="N65" s="334"/>
      <c r="O65" s="334"/>
      <c r="P65" s="335"/>
    </row>
    <row r="66" spans="1:16" x14ac:dyDescent="0.25">
      <c r="A66"/>
      <c r="B66" s="60"/>
    </row>
    <row r="67" spans="1:16" ht="15" customHeight="1" x14ac:dyDescent="0.25">
      <c r="A67" s="53">
        <v>3</v>
      </c>
      <c r="B67" s="319" t="s">
        <v>324</v>
      </c>
      <c r="C67" s="328"/>
      <c r="D67" s="328"/>
      <c r="E67" s="328"/>
      <c r="F67" s="328"/>
      <c r="G67" s="328"/>
      <c r="H67" s="328"/>
      <c r="I67" s="328"/>
      <c r="J67" s="328"/>
      <c r="K67" s="328"/>
      <c r="L67" s="328"/>
      <c r="M67" s="328"/>
      <c r="N67" s="328"/>
      <c r="O67" s="328"/>
      <c r="P67" s="329"/>
    </row>
    <row r="68" spans="1:16" x14ac:dyDescent="0.25">
      <c r="B68" s="330"/>
      <c r="C68" s="331"/>
      <c r="D68" s="331"/>
      <c r="E68" s="331"/>
      <c r="F68" s="331"/>
      <c r="G68" s="331"/>
      <c r="H68" s="331"/>
      <c r="I68" s="331"/>
      <c r="J68" s="331"/>
      <c r="K68" s="331"/>
      <c r="L68" s="331"/>
      <c r="M68" s="331"/>
      <c r="N68" s="331"/>
      <c r="O68" s="331"/>
      <c r="P68" s="332"/>
    </row>
    <row r="69" spans="1:16" x14ac:dyDescent="0.25">
      <c r="B69" s="330"/>
      <c r="C69" s="331"/>
      <c r="D69" s="331"/>
      <c r="E69" s="331"/>
      <c r="F69" s="331"/>
      <c r="G69" s="331"/>
      <c r="H69" s="331"/>
      <c r="I69" s="331"/>
      <c r="J69" s="331"/>
      <c r="K69" s="331"/>
      <c r="L69" s="331"/>
      <c r="M69" s="331"/>
      <c r="N69" s="331"/>
      <c r="O69" s="331"/>
      <c r="P69" s="332"/>
    </row>
    <row r="70" spans="1:16" x14ac:dyDescent="0.25">
      <c r="B70" s="330"/>
      <c r="C70" s="331"/>
      <c r="D70" s="331"/>
      <c r="E70" s="331"/>
      <c r="F70" s="331"/>
      <c r="G70" s="331"/>
      <c r="H70" s="331"/>
      <c r="I70" s="331"/>
      <c r="J70" s="331"/>
      <c r="K70" s="331"/>
      <c r="L70" s="331"/>
      <c r="M70" s="331"/>
      <c r="N70" s="331"/>
      <c r="O70" s="331"/>
      <c r="P70" s="332"/>
    </row>
    <row r="71" spans="1:16" x14ac:dyDescent="0.25">
      <c r="B71" s="330"/>
      <c r="C71" s="331"/>
      <c r="D71" s="331"/>
      <c r="E71" s="331"/>
      <c r="F71" s="331"/>
      <c r="G71" s="331"/>
      <c r="H71" s="331"/>
      <c r="I71" s="331"/>
      <c r="J71" s="331"/>
      <c r="K71" s="331"/>
      <c r="L71" s="331"/>
      <c r="M71" s="331"/>
      <c r="N71" s="331"/>
      <c r="O71" s="331"/>
      <c r="P71" s="332"/>
    </row>
    <row r="72" spans="1:16" x14ac:dyDescent="0.25">
      <c r="B72" s="330"/>
      <c r="C72" s="331"/>
      <c r="D72" s="331"/>
      <c r="E72" s="331"/>
      <c r="F72" s="331"/>
      <c r="G72" s="331"/>
      <c r="H72" s="331"/>
      <c r="I72" s="331"/>
      <c r="J72" s="331"/>
      <c r="K72" s="331"/>
      <c r="L72" s="331"/>
      <c r="M72" s="331"/>
      <c r="N72" s="331"/>
      <c r="O72" s="331"/>
      <c r="P72" s="332"/>
    </row>
    <row r="73" spans="1:16" x14ac:dyDescent="0.25">
      <c r="B73" s="330"/>
      <c r="C73" s="331"/>
      <c r="D73" s="331"/>
      <c r="E73" s="331"/>
      <c r="F73" s="331"/>
      <c r="G73" s="331"/>
      <c r="H73" s="331"/>
      <c r="I73" s="331"/>
      <c r="J73" s="331"/>
      <c r="K73" s="331"/>
      <c r="L73" s="331"/>
      <c r="M73" s="331"/>
      <c r="N73" s="331"/>
      <c r="O73" s="331"/>
      <c r="P73" s="332"/>
    </row>
    <row r="74" spans="1:16" x14ac:dyDescent="0.25">
      <c r="B74" s="330"/>
      <c r="C74" s="331"/>
      <c r="D74" s="331"/>
      <c r="E74" s="331"/>
      <c r="F74" s="331"/>
      <c r="G74" s="331"/>
      <c r="H74" s="331"/>
      <c r="I74" s="331"/>
      <c r="J74" s="331"/>
      <c r="K74" s="331"/>
      <c r="L74" s="331"/>
      <c r="M74" s="331"/>
      <c r="N74" s="331"/>
      <c r="O74" s="331"/>
      <c r="P74" s="332"/>
    </row>
    <row r="75" spans="1:16" x14ac:dyDescent="0.25">
      <c r="B75" s="330"/>
      <c r="C75" s="331"/>
      <c r="D75" s="331"/>
      <c r="E75" s="331"/>
      <c r="F75" s="331"/>
      <c r="G75" s="331"/>
      <c r="H75" s="331"/>
      <c r="I75" s="331"/>
      <c r="J75" s="331"/>
      <c r="K75" s="331"/>
      <c r="L75" s="331"/>
      <c r="M75" s="331"/>
      <c r="N75" s="331"/>
      <c r="O75" s="331"/>
      <c r="P75" s="332"/>
    </row>
    <row r="76" spans="1:16" x14ac:dyDescent="0.25">
      <c r="B76" s="330"/>
      <c r="C76" s="331"/>
      <c r="D76" s="331"/>
      <c r="E76" s="331"/>
      <c r="F76" s="331"/>
      <c r="G76" s="331"/>
      <c r="H76" s="331"/>
      <c r="I76" s="331"/>
      <c r="J76" s="331"/>
      <c r="K76" s="331"/>
      <c r="L76" s="331"/>
      <c r="M76" s="331"/>
      <c r="N76" s="331"/>
      <c r="O76" s="331"/>
      <c r="P76" s="332"/>
    </row>
    <row r="77" spans="1:16" x14ac:dyDescent="0.25">
      <c r="B77" s="330"/>
      <c r="C77" s="331"/>
      <c r="D77" s="331"/>
      <c r="E77" s="331"/>
      <c r="F77" s="331"/>
      <c r="G77" s="331"/>
      <c r="H77" s="331"/>
      <c r="I77" s="331"/>
      <c r="J77" s="331"/>
      <c r="K77" s="331"/>
      <c r="L77" s="331"/>
      <c r="M77" s="331"/>
      <c r="N77" s="331"/>
      <c r="O77" s="331"/>
      <c r="P77" s="332"/>
    </row>
    <row r="78" spans="1:16" x14ac:dyDescent="0.25">
      <c r="B78" s="330"/>
      <c r="C78" s="331"/>
      <c r="D78" s="331"/>
      <c r="E78" s="331"/>
      <c r="F78" s="331"/>
      <c r="G78" s="331"/>
      <c r="H78" s="331"/>
      <c r="I78" s="331"/>
      <c r="J78" s="331"/>
      <c r="K78" s="331"/>
      <c r="L78" s="331"/>
      <c r="M78" s="331"/>
      <c r="N78" s="331"/>
      <c r="O78" s="331"/>
      <c r="P78" s="332"/>
    </row>
    <row r="79" spans="1:16" x14ac:dyDescent="0.25">
      <c r="B79" s="330"/>
      <c r="C79" s="331"/>
      <c r="D79" s="331"/>
      <c r="E79" s="331"/>
      <c r="F79" s="331"/>
      <c r="G79" s="331"/>
      <c r="H79" s="331"/>
      <c r="I79" s="331"/>
      <c r="J79" s="331"/>
      <c r="K79" s="331"/>
      <c r="L79" s="331"/>
      <c r="M79" s="331"/>
      <c r="N79" s="331"/>
      <c r="O79" s="331"/>
      <c r="P79" s="332"/>
    </row>
    <row r="80" spans="1:16" x14ac:dyDescent="0.25">
      <c r="B80" s="330"/>
      <c r="C80" s="331"/>
      <c r="D80" s="331"/>
      <c r="E80" s="331"/>
      <c r="F80" s="331"/>
      <c r="G80" s="331"/>
      <c r="H80" s="331"/>
      <c r="I80" s="331"/>
      <c r="J80" s="331"/>
      <c r="K80" s="331"/>
      <c r="L80" s="331"/>
      <c r="M80" s="331"/>
      <c r="N80" s="331"/>
      <c r="O80" s="331"/>
      <c r="P80" s="332"/>
    </row>
    <row r="81" spans="1:16" x14ac:dyDescent="0.25">
      <c r="B81" s="330"/>
      <c r="C81" s="331"/>
      <c r="D81" s="331"/>
      <c r="E81" s="331"/>
      <c r="F81" s="331"/>
      <c r="G81" s="331"/>
      <c r="H81" s="331"/>
      <c r="I81" s="331"/>
      <c r="J81" s="331"/>
      <c r="K81" s="331"/>
      <c r="L81" s="331"/>
      <c r="M81" s="331"/>
      <c r="N81" s="331"/>
      <c r="O81" s="331"/>
      <c r="P81" s="332"/>
    </row>
    <row r="82" spans="1:16" x14ac:dyDescent="0.25">
      <c r="B82" s="333"/>
      <c r="C82" s="334"/>
      <c r="D82" s="334"/>
      <c r="E82" s="334"/>
      <c r="F82" s="334"/>
      <c r="G82" s="334"/>
      <c r="H82" s="334"/>
      <c r="I82" s="334"/>
      <c r="J82" s="334"/>
      <c r="K82" s="334"/>
      <c r="L82" s="334"/>
      <c r="M82" s="334"/>
      <c r="N82" s="334"/>
      <c r="O82" s="334"/>
      <c r="P82" s="335"/>
    </row>
    <row r="83" spans="1:16" x14ac:dyDescent="0.25">
      <c r="B83" s="82"/>
      <c r="C83" s="82"/>
      <c r="D83" s="82"/>
      <c r="E83" s="82"/>
      <c r="F83" s="82"/>
      <c r="G83" s="82"/>
      <c r="H83" s="82"/>
      <c r="I83" s="82"/>
      <c r="J83" s="82"/>
      <c r="K83" s="82"/>
      <c r="L83" s="82"/>
      <c r="M83" s="82"/>
      <c r="N83" s="82"/>
      <c r="O83" s="82"/>
      <c r="P83" s="82"/>
    </row>
    <row r="84" spans="1:16" ht="15" customHeight="1" x14ac:dyDescent="0.25">
      <c r="A84" s="53">
        <v>4</v>
      </c>
      <c r="B84" s="380" t="s">
        <v>351</v>
      </c>
      <c r="C84" s="381"/>
      <c r="D84" s="381"/>
      <c r="E84" s="381"/>
      <c r="F84" s="381"/>
      <c r="G84" s="381"/>
      <c r="H84" s="381"/>
      <c r="I84" s="381"/>
      <c r="J84" s="381"/>
      <c r="K84" s="381"/>
      <c r="L84" s="381"/>
      <c r="M84" s="381"/>
      <c r="N84" s="381"/>
      <c r="O84" s="381"/>
      <c r="P84" s="382"/>
    </row>
    <row r="85" spans="1:16" x14ac:dyDescent="0.25">
      <c r="B85" s="383"/>
      <c r="C85" s="340"/>
      <c r="D85" s="340"/>
      <c r="E85" s="340"/>
      <c r="F85" s="340"/>
      <c r="G85" s="340"/>
      <c r="H85" s="340"/>
      <c r="I85" s="340"/>
      <c r="J85" s="340"/>
      <c r="K85" s="340"/>
      <c r="L85" s="340"/>
      <c r="M85" s="340"/>
      <c r="N85" s="340"/>
      <c r="O85" s="340"/>
      <c r="P85" s="384"/>
    </row>
    <row r="86" spans="1:16" x14ac:dyDescent="0.25">
      <c r="B86" s="383"/>
      <c r="C86" s="340"/>
      <c r="D86" s="340"/>
      <c r="E86" s="340"/>
      <c r="F86" s="340"/>
      <c r="G86" s="340"/>
      <c r="H86" s="340"/>
      <c r="I86" s="340"/>
      <c r="J86" s="340"/>
      <c r="K86" s="340"/>
      <c r="L86" s="340"/>
      <c r="M86" s="340"/>
      <c r="N86" s="340"/>
      <c r="O86" s="340"/>
      <c r="P86" s="384"/>
    </row>
    <row r="87" spans="1:16" x14ac:dyDescent="0.25">
      <c r="B87" s="383"/>
      <c r="C87" s="340"/>
      <c r="D87" s="340"/>
      <c r="E87" s="340"/>
      <c r="F87" s="340"/>
      <c r="G87" s="340"/>
      <c r="H87" s="340"/>
      <c r="I87" s="340"/>
      <c r="J87" s="340"/>
      <c r="K87" s="340"/>
      <c r="L87" s="340"/>
      <c r="M87" s="340"/>
      <c r="N87" s="340"/>
      <c r="O87" s="340"/>
      <c r="P87" s="384"/>
    </row>
    <row r="88" spans="1:16" x14ac:dyDescent="0.25">
      <c r="B88" s="383"/>
      <c r="C88" s="340"/>
      <c r="D88" s="340"/>
      <c r="E88" s="340"/>
      <c r="F88" s="340"/>
      <c r="G88" s="340"/>
      <c r="H88" s="340"/>
      <c r="I88" s="340"/>
      <c r="J88" s="340"/>
      <c r="K88" s="340"/>
      <c r="L88" s="340"/>
      <c r="M88" s="340"/>
      <c r="N88" s="340"/>
      <c r="O88" s="340"/>
      <c r="P88" s="384"/>
    </row>
    <row r="89" spans="1:16" x14ac:dyDescent="0.25">
      <c r="B89" s="383"/>
      <c r="C89" s="340"/>
      <c r="D89" s="340"/>
      <c r="E89" s="340"/>
      <c r="F89" s="340"/>
      <c r="G89" s="340"/>
      <c r="H89" s="340"/>
      <c r="I89" s="340"/>
      <c r="J89" s="340"/>
      <c r="K89" s="340"/>
      <c r="L89" s="340"/>
      <c r="M89" s="340"/>
      <c r="N89" s="340"/>
      <c r="O89" s="340"/>
      <c r="P89" s="384"/>
    </row>
    <row r="90" spans="1:16" x14ac:dyDescent="0.25">
      <c r="B90" s="383"/>
      <c r="C90" s="340"/>
      <c r="D90" s="340"/>
      <c r="E90" s="340"/>
      <c r="F90" s="340"/>
      <c r="G90" s="340"/>
      <c r="H90" s="340"/>
      <c r="I90" s="340"/>
      <c r="J90" s="340"/>
      <c r="K90" s="340"/>
      <c r="L90" s="340"/>
      <c r="M90" s="340"/>
      <c r="N90" s="340"/>
      <c r="O90" s="340"/>
      <c r="P90" s="384"/>
    </row>
    <row r="91" spans="1:16" x14ac:dyDescent="0.25">
      <c r="B91" s="383"/>
      <c r="C91" s="340"/>
      <c r="D91" s="340"/>
      <c r="E91" s="340"/>
      <c r="F91" s="340"/>
      <c r="G91" s="340"/>
      <c r="H91" s="340"/>
      <c r="I91" s="340"/>
      <c r="J91" s="340"/>
      <c r="K91" s="340"/>
      <c r="L91" s="340"/>
      <c r="M91" s="340"/>
      <c r="N91" s="340"/>
      <c r="O91" s="340"/>
      <c r="P91" s="384"/>
    </row>
    <row r="92" spans="1:16" x14ac:dyDescent="0.25">
      <c r="B92" s="383"/>
      <c r="C92" s="340"/>
      <c r="D92" s="340"/>
      <c r="E92" s="340"/>
      <c r="F92" s="340"/>
      <c r="G92" s="340"/>
      <c r="H92" s="340"/>
      <c r="I92" s="340"/>
      <c r="J92" s="340"/>
      <c r="K92" s="340"/>
      <c r="L92" s="340"/>
      <c r="M92" s="340"/>
      <c r="N92" s="340"/>
      <c r="O92" s="340"/>
      <c r="P92" s="384"/>
    </row>
    <row r="93" spans="1:16" x14ac:dyDescent="0.25">
      <c r="B93" s="383"/>
      <c r="C93" s="340"/>
      <c r="D93" s="340"/>
      <c r="E93" s="340"/>
      <c r="F93" s="340"/>
      <c r="G93" s="340"/>
      <c r="H93" s="340"/>
      <c r="I93" s="340"/>
      <c r="J93" s="340"/>
      <c r="K93" s="340"/>
      <c r="L93" s="340"/>
      <c r="M93" s="340"/>
      <c r="N93" s="340"/>
      <c r="O93" s="340"/>
      <c r="P93" s="384"/>
    </row>
    <row r="94" spans="1:16" x14ac:dyDescent="0.25">
      <c r="B94" s="383"/>
      <c r="C94" s="340"/>
      <c r="D94" s="340"/>
      <c r="E94" s="340"/>
      <c r="F94" s="340"/>
      <c r="G94" s="340"/>
      <c r="H94" s="340"/>
      <c r="I94" s="340"/>
      <c r="J94" s="340"/>
      <c r="K94" s="340"/>
      <c r="L94" s="340"/>
      <c r="M94" s="340"/>
      <c r="N94" s="340"/>
      <c r="O94" s="340"/>
      <c r="P94" s="384"/>
    </row>
    <row r="95" spans="1:16" x14ac:dyDescent="0.25">
      <c r="B95" s="383"/>
      <c r="C95" s="340"/>
      <c r="D95" s="340"/>
      <c r="E95" s="340"/>
      <c r="F95" s="340"/>
      <c r="G95" s="340"/>
      <c r="H95" s="340"/>
      <c r="I95" s="340"/>
      <c r="J95" s="340"/>
      <c r="K95" s="340"/>
      <c r="L95" s="340"/>
      <c r="M95" s="340"/>
      <c r="N95" s="340"/>
      <c r="O95" s="340"/>
      <c r="P95" s="384"/>
    </row>
    <row r="96" spans="1:16" x14ac:dyDescent="0.25">
      <c r="B96" s="383"/>
      <c r="C96" s="340"/>
      <c r="D96" s="340"/>
      <c r="E96" s="340"/>
      <c r="F96" s="340"/>
      <c r="G96" s="340"/>
      <c r="H96" s="340"/>
      <c r="I96" s="340"/>
      <c r="J96" s="340"/>
      <c r="K96" s="340"/>
      <c r="L96" s="340"/>
      <c r="M96" s="340"/>
      <c r="N96" s="340"/>
      <c r="O96" s="340"/>
      <c r="P96" s="384"/>
    </row>
    <row r="97" spans="2:16" x14ac:dyDescent="0.25">
      <c r="B97" s="383"/>
      <c r="C97" s="340"/>
      <c r="D97" s="340"/>
      <c r="E97" s="340"/>
      <c r="F97" s="340"/>
      <c r="G97" s="340"/>
      <c r="H97" s="340"/>
      <c r="I97" s="340"/>
      <c r="J97" s="340"/>
      <c r="K97" s="340"/>
      <c r="L97" s="340"/>
      <c r="M97" s="340"/>
      <c r="N97" s="340"/>
      <c r="O97" s="340"/>
      <c r="P97" s="384"/>
    </row>
    <row r="98" spans="2:16" x14ac:dyDescent="0.25">
      <c r="B98" s="383"/>
      <c r="C98" s="340"/>
      <c r="D98" s="340"/>
      <c r="E98" s="340"/>
      <c r="F98" s="340"/>
      <c r="G98" s="340"/>
      <c r="H98" s="340"/>
      <c r="I98" s="340"/>
      <c r="J98" s="340"/>
      <c r="K98" s="340"/>
      <c r="L98" s="340"/>
      <c r="M98" s="340"/>
      <c r="N98" s="340"/>
      <c r="O98" s="340"/>
      <c r="P98" s="384"/>
    </row>
    <row r="99" spans="2:16" x14ac:dyDescent="0.25">
      <c r="B99" s="383"/>
      <c r="C99" s="340"/>
      <c r="D99" s="340"/>
      <c r="E99" s="340"/>
      <c r="F99" s="340"/>
      <c r="G99" s="340"/>
      <c r="H99" s="340"/>
      <c r="I99" s="340"/>
      <c r="J99" s="340"/>
      <c r="K99" s="340"/>
      <c r="L99" s="340"/>
      <c r="M99" s="340"/>
      <c r="N99" s="340"/>
      <c r="O99" s="340"/>
      <c r="P99" s="384"/>
    </row>
    <row r="100" spans="2:16" x14ac:dyDescent="0.25">
      <c r="B100" s="383"/>
      <c r="C100" s="340"/>
      <c r="D100" s="340"/>
      <c r="E100" s="340"/>
      <c r="F100" s="340"/>
      <c r="G100" s="340"/>
      <c r="H100" s="340"/>
      <c r="I100" s="340"/>
      <c r="J100" s="340"/>
      <c r="K100" s="340"/>
      <c r="L100" s="340"/>
      <c r="M100" s="340"/>
      <c r="N100" s="340"/>
      <c r="O100" s="340"/>
      <c r="P100" s="384"/>
    </row>
    <row r="101" spans="2:16" x14ac:dyDescent="0.25">
      <c r="B101" s="383"/>
      <c r="C101" s="340"/>
      <c r="D101" s="340"/>
      <c r="E101" s="340"/>
      <c r="F101" s="340"/>
      <c r="G101" s="340"/>
      <c r="H101" s="340"/>
      <c r="I101" s="340"/>
      <c r="J101" s="340"/>
      <c r="K101" s="340"/>
      <c r="L101" s="340"/>
      <c r="M101" s="340"/>
      <c r="N101" s="340"/>
      <c r="O101" s="340"/>
      <c r="P101" s="384"/>
    </row>
    <row r="102" spans="2:16" x14ac:dyDescent="0.25">
      <c r="B102" s="383"/>
      <c r="C102" s="340"/>
      <c r="D102" s="340"/>
      <c r="E102" s="340"/>
      <c r="F102" s="340"/>
      <c r="G102" s="340"/>
      <c r="H102" s="340"/>
      <c r="I102" s="340"/>
      <c r="J102" s="340"/>
      <c r="K102" s="340"/>
      <c r="L102" s="340"/>
      <c r="M102" s="340"/>
      <c r="N102" s="340"/>
      <c r="O102" s="340"/>
      <c r="P102" s="384"/>
    </row>
    <row r="103" spans="2:16" x14ac:dyDescent="0.25">
      <c r="B103" s="383"/>
      <c r="C103" s="340"/>
      <c r="D103" s="340"/>
      <c r="E103" s="340"/>
      <c r="F103" s="340"/>
      <c r="G103" s="340"/>
      <c r="H103" s="340"/>
      <c r="I103" s="340"/>
      <c r="J103" s="340"/>
      <c r="K103" s="340"/>
      <c r="L103" s="340"/>
      <c r="M103" s="340"/>
      <c r="N103" s="340"/>
      <c r="O103" s="340"/>
      <c r="P103" s="384"/>
    </row>
    <row r="104" spans="2:16" x14ac:dyDescent="0.25">
      <c r="B104" s="383"/>
      <c r="C104" s="340"/>
      <c r="D104" s="340"/>
      <c r="E104" s="340"/>
      <c r="F104" s="340"/>
      <c r="G104" s="340"/>
      <c r="H104" s="340"/>
      <c r="I104" s="340"/>
      <c r="J104" s="340"/>
      <c r="K104" s="340"/>
      <c r="L104" s="340"/>
      <c r="M104" s="340"/>
      <c r="N104" s="340"/>
      <c r="O104" s="340"/>
      <c r="P104" s="384"/>
    </row>
    <row r="105" spans="2:16" x14ac:dyDescent="0.25">
      <c r="B105" s="383"/>
      <c r="C105" s="340"/>
      <c r="D105" s="340"/>
      <c r="E105" s="340"/>
      <c r="F105" s="340"/>
      <c r="G105" s="340"/>
      <c r="H105" s="340"/>
      <c r="I105" s="340"/>
      <c r="J105" s="340"/>
      <c r="K105" s="340"/>
      <c r="L105" s="340"/>
      <c r="M105" s="340"/>
      <c r="N105" s="340"/>
      <c r="O105" s="340"/>
      <c r="P105" s="384"/>
    </row>
    <row r="106" spans="2:16" x14ac:dyDescent="0.25">
      <c r="B106" s="383"/>
      <c r="C106" s="340"/>
      <c r="D106" s="340"/>
      <c r="E106" s="340"/>
      <c r="F106" s="340"/>
      <c r="G106" s="340"/>
      <c r="H106" s="340"/>
      <c r="I106" s="340"/>
      <c r="J106" s="340"/>
      <c r="K106" s="340"/>
      <c r="L106" s="340"/>
      <c r="M106" s="340"/>
      <c r="N106" s="340"/>
      <c r="O106" s="340"/>
      <c r="P106" s="384"/>
    </row>
    <row r="107" spans="2:16" x14ac:dyDescent="0.25">
      <c r="B107" s="383"/>
      <c r="C107" s="340"/>
      <c r="D107" s="340"/>
      <c r="E107" s="340"/>
      <c r="F107" s="340"/>
      <c r="G107" s="340"/>
      <c r="H107" s="340"/>
      <c r="I107" s="340"/>
      <c r="J107" s="340"/>
      <c r="K107" s="340"/>
      <c r="L107" s="340"/>
      <c r="M107" s="340"/>
      <c r="N107" s="340"/>
      <c r="O107" s="340"/>
      <c r="P107" s="384"/>
    </row>
    <row r="108" spans="2:16" x14ac:dyDescent="0.25">
      <c r="B108" s="383"/>
      <c r="C108" s="340"/>
      <c r="D108" s="340"/>
      <c r="E108" s="340"/>
      <c r="F108" s="340"/>
      <c r="G108" s="340"/>
      <c r="H108" s="340"/>
      <c r="I108" s="340"/>
      <c r="J108" s="340"/>
      <c r="K108" s="340"/>
      <c r="L108" s="340"/>
      <c r="M108" s="340"/>
      <c r="N108" s="340"/>
      <c r="O108" s="340"/>
      <c r="P108" s="384"/>
    </row>
    <row r="109" spans="2:16" x14ac:dyDescent="0.25">
      <c r="B109" s="383"/>
      <c r="C109" s="340"/>
      <c r="D109" s="340"/>
      <c r="E109" s="340"/>
      <c r="F109" s="340"/>
      <c r="G109" s="340"/>
      <c r="H109" s="340"/>
      <c r="I109" s="340"/>
      <c r="J109" s="340"/>
      <c r="K109" s="340"/>
      <c r="L109" s="340"/>
      <c r="M109" s="340"/>
      <c r="N109" s="340"/>
      <c r="O109" s="340"/>
      <c r="P109" s="384"/>
    </row>
    <row r="110" spans="2:16" x14ac:dyDescent="0.25">
      <c r="B110" s="383"/>
      <c r="C110" s="340"/>
      <c r="D110" s="340"/>
      <c r="E110" s="340"/>
      <c r="F110" s="340"/>
      <c r="G110" s="340"/>
      <c r="H110" s="340"/>
      <c r="I110" s="340"/>
      <c r="J110" s="340"/>
      <c r="K110" s="340"/>
      <c r="L110" s="340"/>
      <c r="M110" s="340"/>
      <c r="N110" s="340"/>
      <c r="O110" s="340"/>
      <c r="P110" s="384"/>
    </row>
    <row r="111" spans="2:16" x14ac:dyDescent="0.25">
      <c r="B111" s="383"/>
      <c r="C111" s="340"/>
      <c r="D111" s="340"/>
      <c r="E111" s="340"/>
      <c r="F111" s="340"/>
      <c r="G111" s="340"/>
      <c r="H111" s="340"/>
      <c r="I111" s="340"/>
      <c r="J111" s="340"/>
      <c r="K111" s="340"/>
      <c r="L111" s="340"/>
      <c r="M111" s="340"/>
      <c r="N111" s="340"/>
      <c r="O111" s="340"/>
      <c r="P111" s="384"/>
    </row>
    <row r="112" spans="2:16" x14ac:dyDescent="0.25">
      <c r="B112" s="385"/>
      <c r="C112" s="386"/>
      <c r="D112" s="386"/>
      <c r="E112" s="386"/>
      <c r="F112" s="386"/>
      <c r="G112" s="386"/>
      <c r="H112" s="386"/>
      <c r="I112" s="386"/>
      <c r="J112" s="386"/>
      <c r="K112" s="386"/>
      <c r="L112" s="386"/>
      <c r="M112" s="386"/>
      <c r="N112" s="386"/>
      <c r="O112" s="386"/>
      <c r="P112" s="387"/>
    </row>
    <row r="113" spans="1:16" x14ac:dyDescent="0.25">
      <c r="B113" s="93"/>
      <c r="C113" s="93"/>
      <c r="D113" s="93"/>
      <c r="E113" s="93"/>
      <c r="F113" s="93"/>
      <c r="G113" s="93"/>
      <c r="H113" s="93"/>
      <c r="I113" s="93"/>
      <c r="J113" s="93"/>
      <c r="K113" s="93"/>
      <c r="L113" s="93"/>
      <c r="M113" s="93"/>
      <c r="N113" s="93"/>
      <c r="O113" s="93"/>
      <c r="P113" s="93"/>
    </row>
    <row r="114" spans="1:16" ht="15" customHeight="1" x14ac:dyDescent="0.25">
      <c r="A114" s="53">
        <v>5</v>
      </c>
      <c r="B114" s="405" t="s">
        <v>370</v>
      </c>
      <c r="C114" s="406"/>
      <c r="D114" s="406"/>
      <c r="E114" s="406"/>
      <c r="F114" s="406"/>
      <c r="G114" s="406"/>
      <c r="H114" s="406"/>
      <c r="I114" s="406"/>
      <c r="J114" s="406"/>
      <c r="K114" s="406"/>
      <c r="L114" s="406"/>
      <c r="M114" s="406"/>
      <c r="N114" s="406"/>
      <c r="O114" s="406"/>
      <c r="P114" s="407"/>
    </row>
    <row r="115" spans="1:16" x14ac:dyDescent="0.25">
      <c r="B115" s="408"/>
      <c r="C115" s="340"/>
      <c r="D115" s="340"/>
      <c r="E115" s="340"/>
      <c r="F115" s="340"/>
      <c r="G115" s="340"/>
      <c r="H115" s="340"/>
      <c r="I115" s="340"/>
      <c r="J115" s="340"/>
      <c r="K115" s="340"/>
      <c r="L115" s="340"/>
      <c r="M115" s="340"/>
      <c r="N115" s="340"/>
      <c r="O115" s="340"/>
      <c r="P115" s="409"/>
    </row>
    <row r="116" spans="1:16" x14ac:dyDescent="0.25">
      <c r="B116" s="408"/>
      <c r="C116" s="340"/>
      <c r="D116" s="340"/>
      <c r="E116" s="340"/>
      <c r="F116" s="340"/>
      <c r="G116" s="340"/>
      <c r="H116" s="340"/>
      <c r="I116" s="340"/>
      <c r="J116" s="340"/>
      <c r="K116" s="340"/>
      <c r="L116" s="340"/>
      <c r="M116" s="340"/>
      <c r="N116" s="340"/>
      <c r="O116" s="340"/>
      <c r="P116" s="409"/>
    </row>
    <row r="117" spans="1:16" x14ac:dyDescent="0.25">
      <c r="B117" s="408"/>
      <c r="C117" s="340"/>
      <c r="D117" s="340"/>
      <c r="E117" s="340"/>
      <c r="F117" s="340"/>
      <c r="G117" s="340"/>
      <c r="H117" s="340"/>
      <c r="I117" s="340"/>
      <c r="J117" s="340"/>
      <c r="K117" s="340"/>
      <c r="L117" s="340"/>
      <c r="M117" s="340"/>
      <c r="N117" s="340"/>
      <c r="O117" s="340"/>
      <c r="P117" s="409"/>
    </row>
    <row r="118" spans="1:16" x14ac:dyDescent="0.25">
      <c r="B118" s="408"/>
      <c r="C118" s="340"/>
      <c r="D118" s="340"/>
      <c r="E118" s="340"/>
      <c r="F118" s="340"/>
      <c r="G118" s="340"/>
      <c r="H118" s="340"/>
      <c r="I118" s="340"/>
      <c r="J118" s="340"/>
      <c r="K118" s="340"/>
      <c r="L118" s="340"/>
      <c r="M118" s="340"/>
      <c r="N118" s="340"/>
      <c r="O118" s="340"/>
      <c r="P118" s="409"/>
    </row>
    <row r="119" spans="1:16" x14ac:dyDescent="0.25">
      <c r="B119" s="408"/>
      <c r="C119" s="340"/>
      <c r="D119" s="340"/>
      <c r="E119" s="340"/>
      <c r="F119" s="340"/>
      <c r="G119" s="340"/>
      <c r="H119" s="340"/>
      <c r="I119" s="340"/>
      <c r="J119" s="340"/>
      <c r="K119" s="340"/>
      <c r="L119" s="340"/>
      <c r="M119" s="340"/>
      <c r="N119" s="340"/>
      <c r="O119" s="340"/>
      <c r="P119" s="409"/>
    </row>
    <row r="120" spans="1:16" x14ac:dyDescent="0.25">
      <c r="B120" s="408"/>
      <c r="C120" s="340"/>
      <c r="D120" s="340"/>
      <c r="E120" s="340"/>
      <c r="F120" s="340"/>
      <c r="G120" s="340"/>
      <c r="H120" s="340"/>
      <c r="I120" s="340"/>
      <c r="J120" s="340"/>
      <c r="K120" s="340"/>
      <c r="L120" s="340"/>
      <c r="M120" s="340"/>
      <c r="N120" s="340"/>
      <c r="O120" s="340"/>
      <c r="P120" s="409"/>
    </row>
    <row r="121" spans="1:16" x14ac:dyDescent="0.25">
      <c r="B121" s="408"/>
      <c r="C121" s="340"/>
      <c r="D121" s="340"/>
      <c r="E121" s="340"/>
      <c r="F121" s="340"/>
      <c r="G121" s="340"/>
      <c r="H121" s="340"/>
      <c r="I121" s="340"/>
      <c r="J121" s="340"/>
      <c r="K121" s="340"/>
      <c r="L121" s="340"/>
      <c r="M121" s="340"/>
      <c r="N121" s="340"/>
      <c r="O121" s="340"/>
      <c r="P121" s="409"/>
    </row>
    <row r="122" spans="1:16" x14ac:dyDescent="0.25">
      <c r="B122" s="408"/>
      <c r="C122" s="340"/>
      <c r="D122" s="340"/>
      <c r="E122" s="340"/>
      <c r="F122" s="340"/>
      <c r="G122" s="340"/>
      <c r="H122" s="340"/>
      <c r="I122" s="340"/>
      <c r="J122" s="340"/>
      <c r="K122" s="340"/>
      <c r="L122" s="340"/>
      <c r="M122" s="340"/>
      <c r="N122" s="340"/>
      <c r="O122" s="340"/>
      <c r="P122" s="409"/>
    </row>
    <row r="123" spans="1:16" x14ac:dyDescent="0.25">
      <c r="B123" s="408"/>
      <c r="C123" s="340"/>
      <c r="D123" s="340"/>
      <c r="E123" s="340"/>
      <c r="F123" s="340"/>
      <c r="G123" s="340"/>
      <c r="H123" s="340"/>
      <c r="I123" s="340"/>
      <c r="J123" s="340"/>
      <c r="K123" s="340"/>
      <c r="L123" s="340"/>
      <c r="M123" s="340"/>
      <c r="N123" s="340"/>
      <c r="O123" s="340"/>
      <c r="P123" s="409"/>
    </row>
    <row r="124" spans="1:16" x14ac:dyDescent="0.25">
      <c r="B124" s="408"/>
      <c r="C124" s="340"/>
      <c r="D124" s="340"/>
      <c r="E124" s="340"/>
      <c r="F124" s="340"/>
      <c r="G124" s="340"/>
      <c r="H124" s="340"/>
      <c r="I124" s="340"/>
      <c r="J124" s="340"/>
      <c r="K124" s="340"/>
      <c r="L124" s="340"/>
      <c r="M124" s="340"/>
      <c r="N124" s="340"/>
      <c r="O124" s="340"/>
      <c r="P124" s="409"/>
    </row>
    <row r="125" spans="1:16" x14ac:dyDescent="0.25">
      <c r="B125" s="408"/>
      <c r="C125" s="340"/>
      <c r="D125" s="340"/>
      <c r="E125" s="340"/>
      <c r="F125" s="340"/>
      <c r="G125" s="340"/>
      <c r="H125" s="340"/>
      <c r="I125" s="340"/>
      <c r="J125" s="340"/>
      <c r="K125" s="340"/>
      <c r="L125" s="340"/>
      <c r="M125" s="340"/>
      <c r="N125" s="340"/>
      <c r="O125" s="340"/>
      <c r="P125" s="409"/>
    </row>
    <row r="126" spans="1:16" x14ac:dyDescent="0.25">
      <c r="B126" s="408"/>
      <c r="C126" s="340"/>
      <c r="D126" s="340"/>
      <c r="E126" s="340"/>
      <c r="F126" s="340"/>
      <c r="G126" s="340"/>
      <c r="H126" s="340"/>
      <c r="I126" s="340"/>
      <c r="J126" s="340"/>
      <c r="K126" s="340"/>
      <c r="L126" s="340"/>
      <c r="M126" s="340"/>
      <c r="N126" s="340"/>
      <c r="O126" s="340"/>
      <c r="P126" s="409"/>
    </row>
    <row r="127" spans="1:16" x14ac:dyDescent="0.25">
      <c r="B127" s="408"/>
      <c r="C127" s="340"/>
      <c r="D127" s="340"/>
      <c r="E127" s="340"/>
      <c r="F127" s="340"/>
      <c r="G127" s="340"/>
      <c r="H127" s="340"/>
      <c r="I127" s="340"/>
      <c r="J127" s="340"/>
      <c r="K127" s="340"/>
      <c r="L127" s="340"/>
      <c r="M127" s="340"/>
      <c r="N127" s="340"/>
      <c r="O127" s="340"/>
      <c r="P127" s="409"/>
    </row>
    <row r="128" spans="1:16" x14ac:dyDescent="0.25">
      <c r="B128" s="408"/>
      <c r="C128" s="340"/>
      <c r="D128" s="340"/>
      <c r="E128" s="340"/>
      <c r="F128" s="340"/>
      <c r="G128" s="340"/>
      <c r="H128" s="340"/>
      <c r="I128" s="340"/>
      <c r="J128" s="340"/>
      <c r="K128" s="340"/>
      <c r="L128" s="340"/>
      <c r="M128" s="340"/>
      <c r="N128" s="340"/>
      <c r="O128" s="340"/>
      <c r="P128" s="409"/>
    </row>
    <row r="129" spans="2:16" x14ac:dyDescent="0.25">
      <c r="B129" s="408"/>
      <c r="C129" s="340"/>
      <c r="D129" s="340"/>
      <c r="E129" s="340"/>
      <c r="F129" s="340"/>
      <c r="G129" s="340"/>
      <c r="H129" s="340"/>
      <c r="I129" s="340"/>
      <c r="J129" s="340"/>
      <c r="K129" s="340"/>
      <c r="L129" s="340"/>
      <c r="M129" s="340"/>
      <c r="N129" s="340"/>
      <c r="O129" s="340"/>
      <c r="P129" s="409"/>
    </row>
    <row r="130" spans="2:16" x14ac:dyDescent="0.25">
      <c r="B130" s="408"/>
      <c r="C130" s="340"/>
      <c r="D130" s="340"/>
      <c r="E130" s="340"/>
      <c r="F130" s="340"/>
      <c r="G130" s="340"/>
      <c r="H130" s="340"/>
      <c r="I130" s="340"/>
      <c r="J130" s="340"/>
      <c r="K130" s="340"/>
      <c r="L130" s="340"/>
      <c r="M130" s="340"/>
      <c r="N130" s="340"/>
      <c r="O130" s="340"/>
      <c r="P130" s="409"/>
    </row>
    <row r="131" spans="2:16" x14ac:dyDescent="0.25">
      <c r="B131" s="408"/>
      <c r="C131" s="340"/>
      <c r="D131" s="340"/>
      <c r="E131" s="340"/>
      <c r="F131" s="340"/>
      <c r="G131" s="340"/>
      <c r="H131" s="340"/>
      <c r="I131" s="340"/>
      <c r="J131" s="340"/>
      <c r="K131" s="340"/>
      <c r="L131" s="340"/>
      <c r="M131" s="340"/>
      <c r="N131" s="340"/>
      <c r="O131" s="340"/>
      <c r="P131" s="409"/>
    </row>
    <row r="132" spans="2:16" x14ac:dyDescent="0.25">
      <c r="B132" s="408"/>
      <c r="C132" s="340"/>
      <c r="D132" s="340"/>
      <c r="E132" s="340"/>
      <c r="F132" s="340"/>
      <c r="G132" s="340"/>
      <c r="H132" s="340"/>
      <c r="I132" s="340"/>
      <c r="J132" s="340"/>
      <c r="K132" s="340"/>
      <c r="L132" s="340"/>
      <c r="M132" s="340"/>
      <c r="N132" s="340"/>
      <c r="O132" s="340"/>
      <c r="P132" s="409"/>
    </row>
    <row r="133" spans="2:16" x14ac:dyDescent="0.25">
      <c r="B133" s="408"/>
      <c r="C133" s="340"/>
      <c r="D133" s="340"/>
      <c r="E133" s="340"/>
      <c r="F133" s="340"/>
      <c r="G133" s="340"/>
      <c r="H133" s="340"/>
      <c r="I133" s="340"/>
      <c r="J133" s="340"/>
      <c r="K133" s="340"/>
      <c r="L133" s="340"/>
      <c r="M133" s="340"/>
      <c r="N133" s="340"/>
      <c r="O133" s="340"/>
      <c r="P133" s="409"/>
    </row>
    <row r="134" spans="2:16" x14ac:dyDescent="0.25">
      <c r="B134" s="408"/>
      <c r="C134" s="340"/>
      <c r="D134" s="340"/>
      <c r="E134" s="340"/>
      <c r="F134" s="340"/>
      <c r="G134" s="340"/>
      <c r="H134" s="340"/>
      <c r="I134" s="340"/>
      <c r="J134" s="340"/>
      <c r="K134" s="340"/>
      <c r="L134" s="340"/>
      <c r="M134" s="340"/>
      <c r="N134" s="340"/>
      <c r="O134" s="340"/>
      <c r="P134" s="409"/>
    </row>
    <row r="135" spans="2:16" x14ac:dyDescent="0.25">
      <c r="B135" s="408"/>
      <c r="C135" s="340"/>
      <c r="D135" s="340"/>
      <c r="E135" s="340"/>
      <c r="F135" s="340"/>
      <c r="G135" s="340"/>
      <c r="H135" s="340"/>
      <c r="I135" s="340"/>
      <c r="J135" s="340"/>
      <c r="K135" s="340"/>
      <c r="L135" s="340"/>
      <c r="M135" s="340"/>
      <c r="N135" s="340"/>
      <c r="O135" s="340"/>
      <c r="P135" s="409"/>
    </row>
    <row r="136" spans="2:16" x14ac:dyDescent="0.25">
      <c r="B136" s="408"/>
      <c r="C136" s="340"/>
      <c r="D136" s="340"/>
      <c r="E136" s="340"/>
      <c r="F136" s="340"/>
      <c r="G136" s="340"/>
      <c r="H136" s="340"/>
      <c r="I136" s="340"/>
      <c r="J136" s="340"/>
      <c r="K136" s="340"/>
      <c r="L136" s="340"/>
      <c r="M136" s="340"/>
      <c r="N136" s="340"/>
      <c r="O136" s="340"/>
      <c r="P136" s="409"/>
    </row>
    <row r="137" spans="2:16" x14ac:dyDescent="0.25">
      <c r="B137" s="408"/>
      <c r="C137" s="340"/>
      <c r="D137" s="340"/>
      <c r="E137" s="340"/>
      <c r="F137" s="340"/>
      <c r="G137" s="340"/>
      <c r="H137" s="340"/>
      <c r="I137" s="340"/>
      <c r="J137" s="340"/>
      <c r="K137" s="340"/>
      <c r="L137" s="340"/>
      <c r="M137" s="340"/>
      <c r="N137" s="340"/>
      <c r="O137" s="340"/>
      <c r="P137" s="409"/>
    </row>
    <row r="138" spans="2:16" x14ac:dyDescent="0.25">
      <c r="B138" s="408"/>
      <c r="C138" s="340"/>
      <c r="D138" s="340"/>
      <c r="E138" s="340"/>
      <c r="F138" s="340"/>
      <c r="G138" s="340"/>
      <c r="H138" s="340"/>
      <c r="I138" s="340"/>
      <c r="J138" s="340"/>
      <c r="K138" s="340"/>
      <c r="L138" s="340"/>
      <c r="M138" s="340"/>
      <c r="N138" s="340"/>
      <c r="O138" s="340"/>
      <c r="P138" s="409"/>
    </row>
    <row r="139" spans="2:16" x14ac:dyDescent="0.25">
      <c r="B139" s="408"/>
      <c r="C139" s="340"/>
      <c r="D139" s="340"/>
      <c r="E139" s="340"/>
      <c r="F139" s="340"/>
      <c r="G139" s="340"/>
      <c r="H139" s="340"/>
      <c r="I139" s="340"/>
      <c r="J139" s="340"/>
      <c r="K139" s="340"/>
      <c r="L139" s="340"/>
      <c r="M139" s="340"/>
      <c r="N139" s="340"/>
      <c r="O139" s="340"/>
      <c r="P139" s="409"/>
    </row>
    <row r="140" spans="2:16" x14ac:dyDescent="0.25">
      <c r="B140" s="408"/>
      <c r="C140" s="340"/>
      <c r="D140" s="340"/>
      <c r="E140" s="340"/>
      <c r="F140" s="340"/>
      <c r="G140" s="340"/>
      <c r="H140" s="340"/>
      <c r="I140" s="340"/>
      <c r="J140" s="340"/>
      <c r="K140" s="340"/>
      <c r="L140" s="340"/>
      <c r="M140" s="340"/>
      <c r="N140" s="340"/>
      <c r="O140" s="340"/>
      <c r="P140" s="409"/>
    </row>
    <row r="141" spans="2:16" x14ac:dyDescent="0.25">
      <c r="B141" s="408"/>
      <c r="C141" s="340"/>
      <c r="D141" s="340"/>
      <c r="E141" s="340"/>
      <c r="F141" s="340"/>
      <c r="G141" s="340"/>
      <c r="H141" s="340"/>
      <c r="I141" s="340"/>
      <c r="J141" s="340"/>
      <c r="K141" s="340"/>
      <c r="L141" s="340"/>
      <c r="M141" s="340"/>
      <c r="N141" s="340"/>
      <c r="O141" s="340"/>
      <c r="P141" s="409"/>
    </row>
    <row r="142" spans="2:16" x14ac:dyDescent="0.25">
      <c r="B142" s="408"/>
      <c r="C142" s="340"/>
      <c r="D142" s="340"/>
      <c r="E142" s="340"/>
      <c r="F142" s="340"/>
      <c r="G142" s="340"/>
      <c r="H142" s="340"/>
      <c r="I142" s="340"/>
      <c r="J142" s="340"/>
      <c r="K142" s="340"/>
      <c r="L142" s="340"/>
      <c r="M142" s="340"/>
      <c r="N142" s="340"/>
      <c r="O142" s="340"/>
      <c r="P142" s="409"/>
    </row>
    <row r="143" spans="2:16" x14ac:dyDescent="0.25">
      <c r="B143" s="408"/>
      <c r="C143" s="340"/>
      <c r="D143" s="340"/>
      <c r="E143" s="340"/>
      <c r="F143" s="340"/>
      <c r="G143" s="340"/>
      <c r="H143" s="340"/>
      <c r="I143" s="340"/>
      <c r="J143" s="340"/>
      <c r="K143" s="340"/>
      <c r="L143" s="340"/>
      <c r="M143" s="340"/>
      <c r="N143" s="340"/>
      <c r="O143" s="340"/>
      <c r="P143" s="409"/>
    </row>
    <row r="144" spans="2:16" x14ac:dyDescent="0.25">
      <c r="B144" s="408"/>
      <c r="C144" s="340"/>
      <c r="D144" s="340"/>
      <c r="E144" s="340"/>
      <c r="F144" s="340"/>
      <c r="G144" s="340"/>
      <c r="H144" s="340"/>
      <c r="I144" s="340"/>
      <c r="J144" s="340"/>
      <c r="K144" s="340"/>
      <c r="L144" s="340"/>
      <c r="M144" s="340"/>
      <c r="N144" s="340"/>
      <c r="O144" s="340"/>
      <c r="P144" s="409"/>
    </row>
    <row r="145" spans="1:16" x14ac:dyDescent="0.25">
      <c r="B145" s="408"/>
      <c r="C145" s="340"/>
      <c r="D145" s="340"/>
      <c r="E145" s="340"/>
      <c r="F145" s="340"/>
      <c r="G145" s="340"/>
      <c r="H145" s="340"/>
      <c r="I145" s="340"/>
      <c r="J145" s="340"/>
      <c r="K145" s="340"/>
      <c r="L145" s="340"/>
      <c r="M145" s="340"/>
      <c r="N145" s="340"/>
      <c r="O145" s="340"/>
      <c r="P145" s="409"/>
    </row>
    <row r="146" spans="1:16" x14ac:dyDescent="0.25">
      <c r="B146" s="408"/>
      <c r="C146" s="340"/>
      <c r="D146" s="340"/>
      <c r="E146" s="340"/>
      <c r="F146" s="340"/>
      <c r="G146" s="340"/>
      <c r="H146" s="340"/>
      <c r="I146" s="340"/>
      <c r="J146" s="340"/>
      <c r="K146" s="340"/>
      <c r="L146" s="340"/>
      <c r="M146" s="340"/>
      <c r="N146" s="340"/>
      <c r="O146" s="340"/>
      <c r="P146" s="409"/>
    </row>
    <row r="147" spans="1:16" x14ac:dyDescent="0.25">
      <c r="B147" s="408"/>
      <c r="C147" s="340"/>
      <c r="D147" s="340"/>
      <c r="E147" s="340"/>
      <c r="F147" s="340"/>
      <c r="G147" s="340"/>
      <c r="H147" s="340"/>
      <c r="I147" s="340"/>
      <c r="J147" s="340"/>
      <c r="K147" s="340"/>
      <c r="L147" s="340"/>
      <c r="M147" s="340"/>
      <c r="N147" s="340"/>
      <c r="O147" s="340"/>
      <c r="P147" s="409"/>
    </row>
    <row r="148" spans="1:16" x14ac:dyDescent="0.25">
      <c r="B148" s="408"/>
      <c r="C148" s="340"/>
      <c r="D148" s="340"/>
      <c r="E148" s="340"/>
      <c r="F148" s="340"/>
      <c r="G148" s="340"/>
      <c r="H148" s="340"/>
      <c r="I148" s="340"/>
      <c r="J148" s="340"/>
      <c r="K148" s="340"/>
      <c r="L148" s="340"/>
      <c r="M148" s="340"/>
      <c r="N148" s="340"/>
      <c r="O148" s="340"/>
      <c r="P148" s="409"/>
    </row>
    <row r="149" spans="1:16" x14ac:dyDescent="0.25">
      <c r="B149" s="408"/>
      <c r="C149" s="340"/>
      <c r="D149" s="340"/>
      <c r="E149" s="340"/>
      <c r="F149" s="340"/>
      <c r="G149" s="340"/>
      <c r="H149" s="340"/>
      <c r="I149" s="340"/>
      <c r="J149" s="340"/>
      <c r="K149" s="340"/>
      <c r="L149" s="340"/>
      <c r="M149" s="340"/>
      <c r="N149" s="340"/>
      <c r="O149" s="340"/>
      <c r="P149" s="409"/>
    </row>
    <row r="150" spans="1:16" x14ac:dyDescent="0.25">
      <c r="B150" s="408"/>
      <c r="C150" s="340"/>
      <c r="D150" s="340"/>
      <c r="E150" s="340"/>
      <c r="F150" s="340"/>
      <c r="G150" s="340"/>
      <c r="H150" s="340"/>
      <c r="I150" s="340"/>
      <c r="J150" s="340"/>
      <c r="K150" s="340"/>
      <c r="L150" s="340"/>
      <c r="M150" s="340"/>
      <c r="N150" s="340"/>
      <c r="O150" s="340"/>
      <c r="P150" s="409"/>
    </row>
    <row r="151" spans="1:16" x14ac:dyDescent="0.25">
      <c r="B151" s="408"/>
      <c r="C151" s="340"/>
      <c r="D151" s="340"/>
      <c r="E151" s="340"/>
      <c r="F151" s="340"/>
      <c r="G151" s="340"/>
      <c r="H151" s="340"/>
      <c r="I151" s="340"/>
      <c r="J151" s="340"/>
      <c r="K151" s="340"/>
      <c r="L151" s="340"/>
      <c r="M151" s="340"/>
      <c r="N151" s="340"/>
      <c r="O151" s="340"/>
      <c r="P151" s="409"/>
    </row>
    <row r="152" spans="1:16" x14ac:dyDescent="0.25">
      <c r="B152" s="410"/>
      <c r="C152" s="411"/>
      <c r="D152" s="411"/>
      <c r="E152" s="411"/>
      <c r="F152" s="411"/>
      <c r="G152" s="411"/>
      <c r="H152" s="411"/>
      <c r="I152" s="411"/>
      <c r="J152" s="411"/>
      <c r="K152" s="411"/>
      <c r="L152" s="411"/>
      <c r="M152" s="411"/>
      <c r="N152" s="411"/>
      <c r="O152" s="411"/>
      <c r="P152" s="412"/>
    </row>
    <row r="153" spans="1:16" x14ac:dyDescent="0.25">
      <c r="B153" s="93"/>
      <c r="C153" s="93"/>
      <c r="D153" s="93"/>
      <c r="E153" s="93"/>
      <c r="F153" s="93"/>
      <c r="G153" s="93"/>
      <c r="H153" s="93"/>
      <c r="I153" s="93"/>
      <c r="J153" s="93"/>
      <c r="K153" s="93"/>
      <c r="L153" s="93"/>
      <c r="M153" s="93"/>
      <c r="N153" s="93"/>
      <c r="O153" s="93"/>
      <c r="P153" s="93"/>
    </row>
    <row r="154" spans="1:16" ht="15" customHeight="1" x14ac:dyDescent="0.25">
      <c r="A154" s="53">
        <v>6</v>
      </c>
      <c r="B154" s="372" t="s">
        <v>357</v>
      </c>
      <c r="C154" s="373"/>
      <c r="D154" s="373"/>
      <c r="E154" s="373"/>
      <c r="F154" s="373"/>
      <c r="G154" s="373"/>
      <c r="H154" s="373"/>
      <c r="I154" s="373"/>
      <c r="J154" s="373"/>
      <c r="K154" s="373"/>
      <c r="L154" s="373"/>
      <c r="M154" s="373"/>
      <c r="N154" s="373"/>
      <c r="O154" s="373"/>
      <c r="P154" s="374"/>
    </row>
    <row r="155" spans="1:16" x14ac:dyDescent="0.25">
      <c r="B155" s="375"/>
      <c r="C155" s="331"/>
      <c r="D155" s="331"/>
      <c r="E155" s="331"/>
      <c r="F155" s="331"/>
      <c r="G155" s="331"/>
      <c r="H155" s="331"/>
      <c r="I155" s="331"/>
      <c r="J155" s="331"/>
      <c r="K155" s="331"/>
      <c r="L155" s="331"/>
      <c r="M155" s="331"/>
      <c r="N155" s="331"/>
      <c r="O155" s="331"/>
      <c r="P155" s="376"/>
    </row>
    <row r="156" spans="1:16" x14ac:dyDescent="0.25">
      <c r="B156" s="375"/>
      <c r="C156" s="331"/>
      <c r="D156" s="331"/>
      <c r="E156" s="331"/>
      <c r="F156" s="331"/>
      <c r="G156" s="331"/>
      <c r="H156" s="331"/>
      <c r="I156" s="331"/>
      <c r="J156" s="331"/>
      <c r="K156" s="331"/>
      <c r="L156" s="331"/>
      <c r="M156" s="331"/>
      <c r="N156" s="331"/>
      <c r="O156" s="331"/>
      <c r="P156" s="376"/>
    </row>
    <row r="157" spans="1:16" x14ac:dyDescent="0.25">
      <c r="B157" s="375"/>
      <c r="C157" s="331"/>
      <c r="D157" s="331"/>
      <c r="E157" s="331"/>
      <c r="F157" s="331"/>
      <c r="G157" s="331"/>
      <c r="H157" s="331"/>
      <c r="I157" s="331"/>
      <c r="J157" s="331"/>
      <c r="K157" s="331"/>
      <c r="L157" s="331"/>
      <c r="M157" s="331"/>
      <c r="N157" s="331"/>
      <c r="O157" s="331"/>
      <c r="P157" s="376"/>
    </row>
    <row r="158" spans="1:16" x14ac:dyDescent="0.25">
      <c r="B158" s="375"/>
      <c r="C158" s="331"/>
      <c r="D158" s="331"/>
      <c r="E158" s="331"/>
      <c r="F158" s="331"/>
      <c r="G158" s="331"/>
      <c r="H158" s="331"/>
      <c r="I158" s="331"/>
      <c r="J158" s="331"/>
      <c r="K158" s="331"/>
      <c r="L158" s="331"/>
      <c r="M158" s="331"/>
      <c r="N158" s="331"/>
      <c r="O158" s="331"/>
      <c r="P158" s="376"/>
    </row>
    <row r="159" spans="1:16" x14ac:dyDescent="0.25">
      <c r="B159" s="377"/>
      <c r="C159" s="378"/>
      <c r="D159" s="378"/>
      <c r="E159" s="378"/>
      <c r="F159" s="378"/>
      <c r="G159" s="378"/>
      <c r="H159" s="378"/>
      <c r="I159" s="378"/>
      <c r="J159" s="378"/>
      <c r="K159" s="378"/>
      <c r="L159" s="378"/>
      <c r="M159" s="378"/>
      <c r="N159" s="378"/>
      <c r="O159" s="378"/>
      <c r="P159" s="379"/>
    </row>
    <row r="160" spans="1:16" x14ac:dyDescent="0.25">
      <c r="B160" s="92"/>
      <c r="C160" s="92"/>
      <c r="D160" s="92"/>
      <c r="E160" s="92"/>
      <c r="F160" s="92"/>
      <c r="G160" s="92"/>
      <c r="H160" s="92"/>
      <c r="I160" s="92"/>
      <c r="J160" s="92"/>
      <c r="K160" s="92"/>
      <c r="L160" s="92"/>
      <c r="M160" s="92"/>
      <c r="N160" s="92"/>
      <c r="O160" s="92"/>
      <c r="P160" s="92"/>
    </row>
    <row r="161" spans="1:16" x14ac:dyDescent="0.25">
      <c r="A161" s="53">
        <v>7</v>
      </c>
      <c r="B161" s="388" t="s">
        <v>358</v>
      </c>
      <c r="C161" s="389"/>
      <c r="D161" s="389"/>
      <c r="E161" s="389"/>
      <c r="F161" s="389"/>
      <c r="G161" s="389"/>
      <c r="H161" s="389"/>
      <c r="I161" s="389"/>
      <c r="J161" s="389"/>
      <c r="K161" s="389"/>
      <c r="L161" s="389"/>
      <c r="M161" s="389"/>
      <c r="N161" s="389"/>
      <c r="O161" s="389"/>
      <c r="P161" s="390"/>
    </row>
    <row r="162" spans="1:16" x14ac:dyDescent="0.25">
      <c r="B162" s="391"/>
      <c r="C162" s="331"/>
      <c r="D162" s="331"/>
      <c r="E162" s="331"/>
      <c r="F162" s="331"/>
      <c r="G162" s="331"/>
      <c r="H162" s="331"/>
      <c r="I162" s="331"/>
      <c r="J162" s="331"/>
      <c r="K162" s="331"/>
      <c r="L162" s="331"/>
      <c r="M162" s="331"/>
      <c r="N162" s="331"/>
      <c r="O162" s="331"/>
      <c r="P162" s="392"/>
    </row>
    <row r="163" spans="1:16" x14ac:dyDescent="0.25">
      <c r="B163" s="391"/>
      <c r="C163" s="331"/>
      <c r="D163" s="331"/>
      <c r="E163" s="331"/>
      <c r="F163" s="331"/>
      <c r="G163" s="331"/>
      <c r="H163" s="331"/>
      <c r="I163" s="331"/>
      <c r="J163" s="331"/>
      <c r="K163" s="331"/>
      <c r="L163" s="331"/>
      <c r="M163" s="331"/>
      <c r="N163" s="331"/>
      <c r="O163" s="331"/>
      <c r="P163" s="392"/>
    </row>
    <row r="164" spans="1:16" x14ac:dyDescent="0.25">
      <c r="B164" s="391"/>
      <c r="C164" s="331"/>
      <c r="D164" s="331"/>
      <c r="E164" s="331"/>
      <c r="F164" s="331"/>
      <c r="G164" s="331"/>
      <c r="H164" s="331"/>
      <c r="I164" s="331"/>
      <c r="J164" s="331"/>
      <c r="K164" s="331"/>
      <c r="L164" s="331"/>
      <c r="M164" s="331"/>
      <c r="N164" s="331"/>
      <c r="O164" s="331"/>
      <c r="P164" s="392"/>
    </row>
    <row r="165" spans="1:16" x14ac:dyDescent="0.25">
      <c r="B165" s="391"/>
      <c r="C165" s="331"/>
      <c r="D165" s="331"/>
      <c r="E165" s="331"/>
      <c r="F165" s="331"/>
      <c r="G165" s="331"/>
      <c r="H165" s="331"/>
      <c r="I165" s="331"/>
      <c r="J165" s="331"/>
      <c r="K165" s="331"/>
      <c r="L165" s="331"/>
      <c r="M165" s="331"/>
      <c r="N165" s="331"/>
      <c r="O165" s="331"/>
      <c r="P165" s="392"/>
    </row>
    <row r="166" spans="1:16" x14ac:dyDescent="0.25">
      <c r="B166" s="391"/>
      <c r="C166" s="331"/>
      <c r="D166" s="331"/>
      <c r="E166" s="331"/>
      <c r="F166" s="331"/>
      <c r="G166" s="331"/>
      <c r="H166" s="331"/>
      <c r="I166" s="331"/>
      <c r="J166" s="331"/>
      <c r="K166" s="331"/>
      <c r="L166" s="331"/>
      <c r="M166" s="331"/>
      <c r="N166" s="331"/>
      <c r="O166" s="331"/>
      <c r="P166" s="392"/>
    </row>
    <row r="167" spans="1:16" x14ac:dyDescent="0.25">
      <c r="B167" s="391"/>
      <c r="C167" s="331"/>
      <c r="D167" s="331"/>
      <c r="E167" s="331"/>
      <c r="F167" s="331"/>
      <c r="G167" s="331"/>
      <c r="H167" s="331"/>
      <c r="I167" s="331"/>
      <c r="J167" s="331"/>
      <c r="K167" s="331"/>
      <c r="L167" s="331"/>
      <c r="M167" s="331"/>
      <c r="N167" s="331"/>
      <c r="O167" s="331"/>
      <c r="P167" s="392"/>
    </row>
    <row r="168" spans="1:16" x14ac:dyDescent="0.25">
      <c r="B168" s="391"/>
      <c r="C168" s="331"/>
      <c r="D168" s="331"/>
      <c r="E168" s="331"/>
      <c r="F168" s="331"/>
      <c r="G168" s="331"/>
      <c r="H168" s="331"/>
      <c r="I168" s="331"/>
      <c r="J168" s="331"/>
      <c r="K168" s="331"/>
      <c r="L168" s="331"/>
      <c r="M168" s="331"/>
      <c r="N168" s="331"/>
      <c r="O168" s="331"/>
      <c r="P168" s="392"/>
    </row>
    <row r="169" spans="1:16" x14ac:dyDescent="0.25">
      <c r="B169" s="391"/>
      <c r="C169" s="331"/>
      <c r="D169" s="331"/>
      <c r="E169" s="331"/>
      <c r="F169" s="331"/>
      <c r="G169" s="331"/>
      <c r="H169" s="331"/>
      <c r="I169" s="331"/>
      <c r="J169" s="331"/>
      <c r="K169" s="331"/>
      <c r="L169" s="331"/>
      <c r="M169" s="331"/>
      <c r="N169" s="331"/>
      <c r="O169" s="331"/>
      <c r="P169" s="392"/>
    </row>
    <row r="170" spans="1:16" x14ac:dyDescent="0.25">
      <c r="B170" s="391"/>
      <c r="C170" s="331"/>
      <c r="D170" s="331"/>
      <c r="E170" s="331"/>
      <c r="F170" s="331"/>
      <c r="G170" s="331"/>
      <c r="H170" s="331"/>
      <c r="I170" s="331"/>
      <c r="J170" s="331"/>
      <c r="K170" s="331"/>
      <c r="L170" s="331"/>
      <c r="M170" s="331"/>
      <c r="N170" s="331"/>
      <c r="O170" s="331"/>
      <c r="P170" s="392"/>
    </row>
    <row r="171" spans="1:16" x14ac:dyDescent="0.25">
      <c r="B171" s="391"/>
      <c r="C171" s="331"/>
      <c r="D171" s="331"/>
      <c r="E171" s="331"/>
      <c r="F171" s="331"/>
      <c r="G171" s="331"/>
      <c r="H171" s="331"/>
      <c r="I171" s="331"/>
      <c r="J171" s="331"/>
      <c r="K171" s="331"/>
      <c r="L171" s="331"/>
      <c r="M171" s="331"/>
      <c r="N171" s="331"/>
      <c r="O171" s="331"/>
      <c r="P171" s="392"/>
    </row>
    <row r="172" spans="1:16" x14ac:dyDescent="0.25">
      <c r="B172" s="393"/>
      <c r="C172" s="394"/>
      <c r="D172" s="394"/>
      <c r="E172" s="394"/>
      <c r="F172" s="394"/>
      <c r="G172" s="394"/>
      <c r="H172" s="394"/>
      <c r="I172" s="394"/>
      <c r="J172" s="394"/>
      <c r="K172" s="394"/>
      <c r="L172" s="394"/>
      <c r="M172" s="394"/>
      <c r="N172" s="394"/>
      <c r="O172" s="394"/>
      <c r="P172" s="395"/>
    </row>
    <row r="173" spans="1:16" x14ac:dyDescent="0.25">
      <c r="B173" s="92"/>
      <c r="C173" s="92"/>
      <c r="D173" s="92"/>
      <c r="E173" s="92"/>
      <c r="F173" s="92"/>
      <c r="G173" s="92"/>
      <c r="H173" s="92"/>
      <c r="I173" s="92"/>
      <c r="J173" s="92"/>
      <c r="K173" s="92"/>
      <c r="L173" s="92"/>
      <c r="M173" s="92"/>
      <c r="N173" s="92"/>
      <c r="O173" s="92"/>
      <c r="P173" s="92"/>
    </row>
    <row r="174" spans="1:16" ht="15" customHeight="1" x14ac:dyDescent="0.25">
      <c r="A174" s="53">
        <v>8</v>
      </c>
      <c r="B174" s="396" t="s">
        <v>359</v>
      </c>
      <c r="C174" s="397"/>
      <c r="D174" s="397"/>
      <c r="E174" s="397"/>
      <c r="F174" s="397"/>
      <c r="G174" s="397"/>
      <c r="H174" s="397"/>
      <c r="I174" s="397"/>
      <c r="J174" s="397"/>
      <c r="K174" s="397"/>
      <c r="L174" s="397"/>
      <c r="M174" s="397"/>
      <c r="N174" s="397"/>
      <c r="O174" s="397"/>
      <c r="P174" s="398"/>
    </row>
    <row r="175" spans="1:16" x14ac:dyDescent="0.25">
      <c r="B175" s="399"/>
      <c r="C175" s="400"/>
      <c r="D175" s="400"/>
      <c r="E175" s="400"/>
      <c r="F175" s="400"/>
      <c r="G175" s="400"/>
      <c r="H175" s="400"/>
      <c r="I175" s="400"/>
      <c r="J175" s="400"/>
      <c r="K175" s="400"/>
      <c r="L175" s="400"/>
      <c r="M175" s="400"/>
      <c r="N175" s="400"/>
      <c r="O175" s="400"/>
      <c r="P175" s="401"/>
    </row>
    <row r="176" spans="1:16" x14ac:dyDescent="0.25">
      <c r="B176" s="399"/>
      <c r="C176" s="400"/>
      <c r="D176" s="400"/>
      <c r="E176" s="400"/>
      <c r="F176" s="400"/>
      <c r="G176" s="400"/>
      <c r="H176" s="400"/>
      <c r="I176" s="400"/>
      <c r="J176" s="400"/>
      <c r="K176" s="400"/>
      <c r="L176" s="400"/>
      <c r="M176" s="400"/>
      <c r="N176" s="400"/>
      <c r="O176" s="400"/>
      <c r="P176" s="401"/>
    </row>
    <row r="177" spans="2:16" x14ac:dyDescent="0.25">
      <c r="B177" s="399"/>
      <c r="C177" s="400"/>
      <c r="D177" s="400"/>
      <c r="E177" s="400"/>
      <c r="F177" s="400"/>
      <c r="G177" s="400"/>
      <c r="H177" s="400"/>
      <c r="I177" s="400"/>
      <c r="J177" s="400"/>
      <c r="K177" s="400"/>
      <c r="L177" s="400"/>
      <c r="M177" s="400"/>
      <c r="N177" s="400"/>
      <c r="O177" s="400"/>
      <c r="P177" s="401"/>
    </row>
    <row r="178" spans="2:16" x14ac:dyDescent="0.25">
      <c r="B178" s="399"/>
      <c r="C178" s="400"/>
      <c r="D178" s="400"/>
      <c r="E178" s="400"/>
      <c r="F178" s="400"/>
      <c r="G178" s="400"/>
      <c r="H178" s="400"/>
      <c r="I178" s="400"/>
      <c r="J178" s="400"/>
      <c r="K178" s="400"/>
      <c r="L178" s="400"/>
      <c r="M178" s="400"/>
      <c r="N178" s="400"/>
      <c r="O178" s="400"/>
      <c r="P178" s="401"/>
    </row>
    <row r="179" spans="2:16" x14ac:dyDescent="0.25">
      <c r="B179" s="399"/>
      <c r="C179" s="400"/>
      <c r="D179" s="400"/>
      <c r="E179" s="400"/>
      <c r="F179" s="400"/>
      <c r="G179" s="400"/>
      <c r="H179" s="400"/>
      <c r="I179" s="400"/>
      <c r="J179" s="400"/>
      <c r="K179" s="400"/>
      <c r="L179" s="400"/>
      <c r="M179" s="400"/>
      <c r="N179" s="400"/>
      <c r="O179" s="400"/>
      <c r="P179" s="401"/>
    </row>
    <row r="180" spans="2:16" x14ac:dyDescent="0.25">
      <c r="B180" s="399"/>
      <c r="C180" s="400"/>
      <c r="D180" s="400"/>
      <c r="E180" s="400"/>
      <c r="F180" s="400"/>
      <c r="G180" s="400"/>
      <c r="H180" s="400"/>
      <c r="I180" s="400"/>
      <c r="J180" s="400"/>
      <c r="K180" s="400"/>
      <c r="L180" s="400"/>
      <c r="M180" s="400"/>
      <c r="N180" s="400"/>
      <c r="O180" s="400"/>
      <c r="P180" s="401"/>
    </row>
    <row r="181" spans="2:16" x14ac:dyDescent="0.25">
      <c r="B181" s="399"/>
      <c r="C181" s="400"/>
      <c r="D181" s="400"/>
      <c r="E181" s="400"/>
      <c r="F181" s="400"/>
      <c r="G181" s="400"/>
      <c r="H181" s="400"/>
      <c r="I181" s="400"/>
      <c r="J181" s="400"/>
      <c r="K181" s="400"/>
      <c r="L181" s="400"/>
      <c r="M181" s="400"/>
      <c r="N181" s="400"/>
      <c r="O181" s="400"/>
      <c r="P181" s="401"/>
    </row>
    <row r="182" spans="2:16" x14ac:dyDescent="0.25">
      <c r="B182" s="399"/>
      <c r="C182" s="400"/>
      <c r="D182" s="400"/>
      <c r="E182" s="400"/>
      <c r="F182" s="400"/>
      <c r="G182" s="400"/>
      <c r="H182" s="400"/>
      <c r="I182" s="400"/>
      <c r="J182" s="400"/>
      <c r="K182" s="400"/>
      <c r="L182" s="400"/>
      <c r="M182" s="400"/>
      <c r="N182" s="400"/>
      <c r="O182" s="400"/>
      <c r="P182" s="401"/>
    </row>
    <row r="183" spans="2:16" x14ac:dyDescent="0.25">
      <c r="B183" s="399"/>
      <c r="C183" s="400"/>
      <c r="D183" s="400"/>
      <c r="E183" s="400"/>
      <c r="F183" s="400"/>
      <c r="G183" s="400"/>
      <c r="H183" s="400"/>
      <c r="I183" s="400"/>
      <c r="J183" s="400"/>
      <c r="K183" s="400"/>
      <c r="L183" s="400"/>
      <c r="M183" s="400"/>
      <c r="N183" s="400"/>
      <c r="O183" s="400"/>
      <c r="P183" s="401"/>
    </row>
    <row r="184" spans="2:16" x14ac:dyDescent="0.25">
      <c r="B184" s="399"/>
      <c r="C184" s="400"/>
      <c r="D184" s="400"/>
      <c r="E184" s="400"/>
      <c r="F184" s="400"/>
      <c r="G184" s="400"/>
      <c r="H184" s="400"/>
      <c r="I184" s="400"/>
      <c r="J184" s="400"/>
      <c r="K184" s="400"/>
      <c r="L184" s="400"/>
      <c r="M184" s="400"/>
      <c r="N184" s="400"/>
      <c r="O184" s="400"/>
      <c r="P184" s="401"/>
    </row>
    <row r="185" spans="2:16" x14ac:dyDescent="0.25">
      <c r="B185" s="399"/>
      <c r="C185" s="400"/>
      <c r="D185" s="400"/>
      <c r="E185" s="400"/>
      <c r="F185" s="400"/>
      <c r="G185" s="400"/>
      <c r="H185" s="400"/>
      <c r="I185" s="400"/>
      <c r="J185" s="400"/>
      <c r="K185" s="400"/>
      <c r="L185" s="400"/>
      <c r="M185" s="400"/>
      <c r="N185" s="400"/>
      <c r="O185" s="400"/>
      <c r="P185" s="401"/>
    </row>
    <row r="186" spans="2:16" x14ac:dyDescent="0.25">
      <c r="B186" s="399"/>
      <c r="C186" s="400"/>
      <c r="D186" s="400"/>
      <c r="E186" s="400"/>
      <c r="F186" s="400"/>
      <c r="G186" s="400"/>
      <c r="H186" s="400"/>
      <c r="I186" s="400"/>
      <c r="J186" s="400"/>
      <c r="K186" s="400"/>
      <c r="L186" s="400"/>
      <c r="M186" s="400"/>
      <c r="N186" s="400"/>
      <c r="O186" s="400"/>
      <c r="P186" s="401"/>
    </row>
    <row r="187" spans="2:16" x14ac:dyDescent="0.25">
      <c r="B187" s="399"/>
      <c r="C187" s="400"/>
      <c r="D187" s="400"/>
      <c r="E187" s="400"/>
      <c r="F187" s="400"/>
      <c r="G187" s="400"/>
      <c r="H187" s="400"/>
      <c r="I187" s="400"/>
      <c r="J187" s="400"/>
      <c r="K187" s="400"/>
      <c r="L187" s="400"/>
      <c r="M187" s="400"/>
      <c r="N187" s="400"/>
      <c r="O187" s="400"/>
      <c r="P187" s="401"/>
    </row>
    <row r="188" spans="2:16" x14ac:dyDescent="0.25">
      <c r="B188" s="399"/>
      <c r="C188" s="400"/>
      <c r="D188" s="400"/>
      <c r="E188" s="400"/>
      <c r="F188" s="400"/>
      <c r="G188" s="400"/>
      <c r="H188" s="400"/>
      <c r="I188" s="400"/>
      <c r="J188" s="400"/>
      <c r="K188" s="400"/>
      <c r="L188" s="400"/>
      <c r="M188" s="400"/>
      <c r="N188" s="400"/>
      <c r="O188" s="400"/>
      <c r="P188" s="401"/>
    </row>
    <row r="189" spans="2:16" x14ac:dyDescent="0.25">
      <c r="B189" s="399"/>
      <c r="C189" s="400"/>
      <c r="D189" s="400"/>
      <c r="E189" s="400"/>
      <c r="F189" s="400"/>
      <c r="G189" s="400"/>
      <c r="H189" s="400"/>
      <c r="I189" s="400"/>
      <c r="J189" s="400"/>
      <c r="K189" s="400"/>
      <c r="L189" s="400"/>
      <c r="M189" s="400"/>
      <c r="N189" s="400"/>
      <c r="O189" s="400"/>
      <c r="P189" s="401"/>
    </row>
    <row r="190" spans="2:16" x14ac:dyDescent="0.25">
      <c r="B190" s="399"/>
      <c r="C190" s="400"/>
      <c r="D190" s="400"/>
      <c r="E190" s="400"/>
      <c r="F190" s="400"/>
      <c r="G190" s="400"/>
      <c r="H190" s="400"/>
      <c r="I190" s="400"/>
      <c r="J190" s="400"/>
      <c r="K190" s="400"/>
      <c r="L190" s="400"/>
      <c r="M190" s="400"/>
      <c r="N190" s="400"/>
      <c r="O190" s="400"/>
      <c r="P190" s="401"/>
    </row>
    <row r="191" spans="2:16" x14ac:dyDescent="0.25">
      <c r="B191" s="399"/>
      <c r="C191" s="400"/>
      <c r="D191" s="400"/>
      <c r="E191" s="400"/>
      <c r="F191" s="400"/>
      <c r="G191" s="400"/>
      <c r="H191" s="400"/>
      <c r="I191" s="400"/>
      <c r="J191" s="400"/>
      <c r="K191" s="400"/>
      <c r="L191" s="400"/>
      <c r="M191" s="400"/>
      <c r="N191" s="400"/>
      <c r="O191" s="400"/>
      <c r="P191" s="401"/>
    </row>
    <row r="192" spans="2:16" x14ac:dyDescent="0.25">
      <c r="B192" s="399"/>
      <c r="C192" s="400"/>
      <c r="D192" s="400"/>
      <c r="E192" s="400"/>
      <c r="F192" s="400"/>
      <c r="G192" s="400"/>
      <c r="H192" s="400"/>
      <c r="I192" s="400"/>
      <c r="J192" s="400"/>
      <c r="K192" s="400"/>
      <c r="L192" s="400"/>
      <c r="M192" s="400"/>
      <c r="N192" s="400"/>
      <c r="O192" s="400"/>
      <c r="P192" s="401"/>
    </row>
    <row r="193" spans="1:16" x14ac:dyDescent="0.25">
      <c r="B193" s="399"/>
      <c r="C193" s="400"/>
      <c r="D193" s="400"/>
      <c r="E193" s="400"/>
      <c r="F193" s="400"/>
      <c r="G193" s="400"/>
      <c r="H193" s="400"/>
      <c r="I193" s="400"/>
      <c r="J193" s="400"/>
      <c r="K193" s="400"/>
      <c r="L193" s="400"/>
      <c r="M193" s="400"/>
      <c r="N193" s="400"/>
      <c r="O193" s="400"/>
      <c r="P193" s="401"/>
    </row>
    <row r="194" spans="1:16" x14ac:dyDescent="0.25">
      <c r="B194" s="402"/>
      <c r="C194" s="403"/>
      <c r="D194" s="403"/>
      <c r="E194" s="403"/>
      <c r="F194" s="403"/>
      <c r="G194" s="403"/>
      <c r="H194" s="403"/>
      <c r="I194" s="403"/>
      <c r="J194" s="403"/>
      <c r="K194" s="403"/>
      <c r="L194" s="403"/>
      <c r="M194" s="403"/>
      <c r="N194" s="403"/>
      <c r="O194" s="403"/>
      <c r="P194" s="404"/>
    </row>
    <row r="195" spans="1:16" x14ac:dyDescent="0.25">
      <c r="B195" s="92"/>
      <c r="C195" s="92"/>
      <c r="D195" s="92"/>
      <c r="E195" s="92"/>
      <c r="F195" s="92"/>
      <c r="G195" s="92"/>
      <c r="H195" s="92"/>
      <c r="I195" s="92"/>
      <c r="J195" s="92"/>
      <c r="K195" s="92"/>
      <c r="L195" s="92"/>
      <c r="M195" s="92"/>
      <c r="N195" s="92"/>
      <c r="O195" s="92"/>
      <c r="P195" s="92"/>
    </row>
    <row r="196" spans="1:16" ht="15" customHeight="1" x14ac:dyDescent="0.25">
      <c r="A196" s="53">
        <v>9</v>
      </c>
      <c r="B196" s="319" t="s">
        <v>375</v>
      </c>
      <c r="C196" s="328"/>
      <c r="D196" s="328"/>
      <c r="E196" s="328"/>
      <c r="F196" s="328"/>
      <c r="G196" s="328"/>
      <c r="H196" s="328"/>
      <c r="I196" s="328"/>
      <c r="J196" s="328"/>
      <c r="K196" s="328"/>
      <c r="L196" s="328"/>
      <c r="M196" s="328"/>
      <c r="N196" s="328"/>
      <c r="O196" s="328"/>
      <c r="P196" s="329"/>
    </row>
    <row r="197" spans="1:16" x14ac:dyDescent="0.25">
      <c r="B197" s="330"/>
      <c r="C197" s="371"/>
      <c r="D197" s="371"/>
      <c r="E197" s="371"/>
      <c r="F197" s="371"/>
      <c r="G197" s="371"/>
      <c r="H197" s="371"/>
      <c r="I197" s="371"/>
      <c r="J197" s="371"/>
      <c r="K197" s="371"/>
      <c r="L197" s="371"/>
      <c r="M197" s="371"/>
      <c r="N197" s="371"/>
      <c r="O197" s="371"/>
      <c r="P197" s="332"/>
    </row>
    <row r="198" spans="1:16" x14ac:dyDescent="0.25">
      <c r="B198" s="330"/>
      <c r="C198" s="371"/>
      <c r="D198" s="371"/>
      <c r="E198" s="371"/>
      <c r="F198" s="371"/>
      <c r="G198" s="371"/>
      <c r="H198" s="371"/>
      <c r="I198" s="371"/>
      <c r="J198" s="371"/>
      <c r="K198" s="371"/>
      <c r="L198" s="371"/>
      <c r="M198" s="371"/>
      <c r="N198" s="371"/>
      <c r="O198" s="371"/>
      <c r="P198" s="332"/>
    </row>
    <row r="199" spans="1:16" x14ac:dyDescent="0.25">
      <c r="B199" s="330"/>
      <c r="C199" s="371"/>
      <c r="D199" s="371"/>
      <c r="E199" s="371"/>
      <c r="F199" s="371"/>
      <c r="G199" s="371"/>
      <c r="H199" s="371"/>
      <c r="I199" s="371"/>
      <c r="J199" s="371"/>
      <c r="K199" s="371"/>
      <c r="L199" s="371"/>
      <c r="M199" s="371"/>
      <c r="N199" s="371"/>
      <c r="O199" s="371"/>
      <c r="P199" s="332"/>
    </row>
    <row r="200" spans="1:16" x14ac:dyDescent="0.25">
      <c r="B200" s="330"/>
      <c r="C200" s="371"/>
      <c r="D200" s="371"/>
      <c r="E200" s="371"/>
      <c r="F200" s="371"/>
      <c r="G200" s="371"/>
      <c r="H200" s="371"/>
      <c r="I200" s="371"/>
      <c r="J200" s="371"/>
      <c r="K200" s="371"/>
      <c r="L200" s="371"/>
      <c r="M200" s="371"/>
      <c r="N200" s="371"/>
      <c r="O200" s="371"/>
      <c r="P200" s="332"/>
    </row>
    <row r="201" spans="1:16" x14ac:dyDescent="0.25">
      <c r="B201" s="330"/>
      <c r="C201" s="371"/>
      <c r="D201" s="371"/>
      <c r="E201" s="371"/>
      <c r="F201" s="371"/>
      <c r="G201" s="371"/>
      <c r="H201" s="371"/>
      <c r="I201" s="371"/>
      <c r="J201" s="371"/>
      <c r="K201" s="371"/>
      <c r="L201" s="371"/>
      <c r="M201" s="371"/>
      <c r="N201" s="371"/>
      <c r="O201" s="371"/>
      <c r="P201" s="332"/>
    </row>
    <row r="202" spans="1:16" x14ac:dyDescent="0.25">
      <c r="B202" s="330"/>
      <c r="C202" s="371"/>
      <c r="D202" s="371"/>
      <c r="E202" s="371"/>
      <c r="F202" s="371"/>
      <c r="G202" s="371"/>
      <c r="H202" s="371"/>
      <c r="I202" s="371"/>
      <c r="J202" s="371"/>
      <c r="K202" s="371"/>
      <c r="L202" s="371"/>
      <c r="M202" s="371"/>
      <c r="N202" s="371"/>
      <c r="O202" s="371"/>
      <c r="P202" s="332"/>
    </row>
    <row r="203" spans="1:16" x14ac:dyDescent="0.25">
      <c r="B203" s="330"/>
      <c r="C203" s="371"/>
      <c r="D203" s="371"/>
      <c r="E203" s="371"/>
      <c r="F203" s="371"/>
      <c r="G203" s="371"/>
      <c r="H203" s="371"/>
      <c r="I203" s="371"/>
      <c r="J203" s="371"/>
      <c r="K203" s="371"/>
      <c r="L203" s="371"/>
      <c r="M203" s="371"/>
      <c r="N203" s="371"/>
      <c r="O203" s="371"/>
      <c r="P203" s="332"/>
    </row>
    <row r="204" spans="1:16" x14ac:dyDescent="0.25">
      <c r="B204" s="330"/>
      <c r="C204" s="371"/>
      <c r="D204" s="371"/>
      <c r="E204" s="371"/>
      <c r="F204" s="371"/>
      <c r="G204" s="371"/>
      <c r="H204" s="371"/>
      <c r="I204" s="371"/>
      <c r="J204" s="371"/>
      <c r="K204" s="371"/>
      <c r="L204" s="371"/>
      <c r="M204" s="371"/>
      <c r="N204" s="371"/>
      <c r="O204" s="371"/>
      <c r="P204" s="332"/>
    </row>
    <row r="205" spans="1:16" x14ac:dyDescent="0.25">
      <c r="B205" s="330"/>
      <c r="C205" s="371"/>
      <c r="D205" s="371"/>
      <c r="E205" s="371"/>
      <c r="F205" s="371"/>
      <c r="G205" s="371"/>
      <c r="H205" s="371"/>
      <c r="I205" s="371"/>
      <c r="J205" s="371"/>
      <c r="K205" s="371"/>
      <c r="L205" s="371"/>
      <c r="M205" s="371"/>
      <c r="N205" s="371"/>
      <c r="O205" s="371"/>
      <c r="P205" s="332"/>
    </row>
    <row r="206" spans="1:16" x14ac:dyDescent="0.25">
      <c r="B206" s="330"/>
      <c r="C206" s="371"/>
      <c r="D206" s="371"/>
      <c r="E206" s="371"/>
      <c r="F206" s="371"/>
      <c r="G206" s="371"/>
      <c r="H206" s="371"/>
      <c r="I206" s="371"/>
      <c r="J206" s="371"/>
      <c r="K206" s="371"/>
      <c r="L206" s="371"/>
      <c r="M206" s="371"/>
      <c r="N206" s="371"/>
      <c r="O206" s="371"/>
      <c r="P206" s="332"/>
    </row>
    <row r="207" spans="1:16" x14ac:dyDescent="0.25">
      <c r="B207" s="330"/>
      <c r="C207" s="371"/>
      <c r="D207" s="371"/>
      <c r="E207" s="371"/>
      <c r="F207" s="371"/>
      <c r="G207" s="371"/>
      <c r="H207" s="371"/>
      <c r="I207" s="371"/>
      <c r="J207" s="371"/>
      <c r="K207" s="371"/>
      <c r="L207" s="371"/>
      <c r="M207" s="371"/>
      <c r="N207" s="371"/>
      <c r="O207" s="371"/>
      <c r="P207" s="332"/>
    </row>
    <row r="208" spans="1:16" x14ac:dyDescent="0.25">
      <c r="B208" s="330"/>
      <c r="C208" s="371"/>
      <c r="D208" s="371"/>
      <c r="E208" s="371"/>
      <c r="F208" s="371"/>
      <c r="G208" s="371"/>
      <c r="H208" s="371"/>
      <c r="I208" s="371"/>
      <c r="J208" s="371"/>
      <c r="K208" s="371"/>
      <c r="L208" s="371"/>
      <c r="M208" s="371"/>
      <c r="N208" s="371"/>
      <c r="O208" s="371"/>
      <c r="P208" s="332"/>
    </row>
    <row r="209" spans="1:16" x14ac:dyDescent="0.25">
      <c r="B209" s="330"/>
      <c r="C209" s="371"/>
      <c r="D209" s="371"/>
      <c r="E209" s="371"/>
      <c r="F209" s="371"/>
      <c r="G209" s="371"/>
      <c r="H209" s="371"/>
      <c r="I209" s="371"/>
      <c r="J209" s="371"/>
      <c r="K209" s="371"/>
      <c r="L209" s="371"/>
      <c r="M209" s="371"/>
      <c r="N209" s="371"/>
      <c r="O209" s="371"/>
      <c r="P209" s="332"/>
    </row>
    <row r="210" spans="1:16" x14ac:dyDescent="0.25">
      <c r="B210" s="330"/>
      <c r="C210" s="371"/>
      <c r="D210" s="371"/>
      <c r="E210" s="371"/>
      <c r="F210" s="371"/>
      <c r="G210" s="371"/>
      <c r="H210" s="371"/>
      <c r="I210" s="371"/>
      <c r="J210" s="371"/>
      <c r="K210" s="371"/>
      <c r="L210" s="371"/>
      <c r="M210" s="371"/>
      <c r="N210" s="371"/>
      <c r="O210" s="371"/>
      <c r="P210" s="332"/>
    </row>
    <row r="211" spans="1:16" x14ac:dyDescent="0.25">
      <c r="B211" s="330"/>
      <c r="C211" s="371"/>
      <c r="D211" s="371"/>
      <c r="E211" s="371"/>
      <c r="F211" s="371"/>
      <c r="G211" s="371"/>
      <c r="H211" s="371"/>
      <c r="I211" s="371"/>
      <c r="J211" s="371"/>
      <c r="K211" s="371"/>
      <c r="L211" s="371"/>
      <c r="M211" s="371"/>
      <c r="N211" s="371"/>
      <c r="O211" s="371"/>
      <c r="P211" s="332"/>
    </row>
    <row r="212" spans="1:16" x14ac:dyDescent="0.25">
      <c r="B212" s="333"/>
      <c r="C212" s="334"/>
      <c r="D212" s="334"/>
      <c r="E212" s="334"/>
      <c r="F212" s="334"/>
      <c r="G212" s="334"/>
      <c r="H212" s="334"/>
      <c r="I212" s="334"/>
      <c r="J212" s="334"/>
      <c r="K212" s="334"/>
      <c r="L212" s="334"/>
      <c r="M212" s="334"/>
      <c r="N212" s="334"/>
      <c r="O212" s="334"/>
      <c r="P212" s="335"/>
    </row>
    <row r="213" spans="1:16" x14ac:dyDescent="0.25">
      <c r="B213" s="73"/>
      <c r="C213" s="73"/>
      <c r="D213" s="73"/>
      <c r="E213" s="73"/>
      <c r="F213" s="73"/>
      <c r="G213" s="73"/>
      <c r="H213" s="73"/>
      <c r="I213" s="73"/>
      <c r="J213" s="73"/>
      <c r="K213" s="73"/>
      <c r="L213" s="73"/>
      <c r="M213" s="73"/>
      <c r="N213" s="73"/>
      <c r="O213" s="73"/>
      <c r="P213" s="73"/>
    </row>
    <row r="214" spans="1:16" ht="15" customHeight="1" x14ac:dyDescent="0.25">
      <c r="A214" s="53">
        <v>10</v>
      </c>
      <c r="B214" s="353" t="s">
        <v>325</v>
      </c>
      <c r="C214" s="354"/>
      <c r="D214" s="354"/>
      <c r="E214" s="354"/>
      <c r="F214" s="354"/>
      <c r="G214" s="354"/>
      <c r="H214" s="354"/>
      <c r="I214" s="354"/>
      <c r="J214" s="354"/>
      <c r="K214" s="354"/>
      <c r="L214" s="354"/>
      <c r="M214" s="354"/>
      <c r="N214" s="354"/>
      <c r="O214" s="354"/>
      <c r="P214" s="355"/>
    </row>
    <row r="215" spans="1:16" x14ac:dyDescent="0.25">
      <c r="B215" s="356"/>
      <c r="C215" s="340"/>
      <c r="D215" s="340"/>
      <c r="E215" s="340"/>
      <c r="F215" s="340"/>
      <c r="G215" s="340"/>
      <c r="H215" s="340"/>
      <c r="I215" s="340"/>
      <c r="J215" s="340"/>
      <c r="K215" s="340"/>
      <c r="L215" s="340"/>
      <c r="M215" s="340"/>
      <c r="N215" s="340"/>
      <c r="O215" s="340"/>
      <c r="P215" s="357"/>
    </row>
    <row r="216" spans="1:16" x14ac:dyDescent="0.25">
      <c r="B216" s="356"/>
      <c r="C216" s="340"/>
      <c r="D216" s="340"/>
      <c r="E216" s="340"/>
      <c r="F216" s="340"/>
      <c r="G216" s="340"/>
      <c r="H216" s="340"/>
      <c r="I216" s="340"/>
      <c r="J216" s="340"/>
      <c r="K216" s="340"/>
      <c r="L216" s="340"/>
      <c r="M216" s="340"/>
      <c r="N216" s="340"/>
      <c r="O216" s="340"/>
      <c r="P216" s="357"/>
    </row>
    <row r="217" spans="1:16" x14ac:dyDescent="0.25">
      <c r="B217" s="356"/>
      <c r="C217" s="340"/>
      <c r="D217" s="340"/>
      <c r="E217" s="340"/>
      <c r="F217" s="340"/>
      <c r="G217" s="340"/>
      <c r="H217" s="340"/>
      <c r="I217" s="340"/>
      <c r="J217" s="340"/>
      <c r="K217" s="340"/>
      <c r="L217" s="340"/>
      <c r="M217" s="340"/>
      <c r="N217" s="340"/>
      <c r="O217" s="340"/>
      <c r="P217" s="357"/>
    </row>
    <row r="218" spans="1:16" x14ac:dyDescent="0.25">
      <c r="B218" s="356"/>
      <c r="C218" s="340"/>
      <c r="D218" s="340"/>
      <c r="E218" s="340"/>
      <c r="F218" s="340"/>
      <c r="G218" s="340"/>
      <c r="H218" s="340"/>
      <c r="I218" s="340"/>
      <c r="J218" s="340"/>
      <c r="K218" s="340"/>
      <c r="L218" s="340"/>
      <c r="M218" s="340"/>
      <c r="N218" s="340"/>
      <c r="O218" s="340"/>
      <c r="P218" s="357"/>
    </row>
    <row r="219" spans="1:16" x14ac:dyDescent="0.25">
      <c r="B219" s="356"/>
      <c r="C219" s="340"/>
      <c r="D219" s="340"/>
      <c r="E219" s="340"/>
      <c r="F219" s="340"/>
      <c r="G219" s="340"/>
      <c r="H219" s="340"/>
      <c r="I219" s="340"/>
      <c r="J219" s="340"/>
      <c r="K219" s="340"/>
      <c r="L219" s="340"/>
      <c r="M219" s="340"/>
      <c r="N219" s="340"/>
      <c r="O219" s="340"/>
      <c r="P219" s="357"/>
    </row>
    <row r="220" spans="1:16" x14ac:dyDescent="0.25">
      <c r="B220" s="356"/>
      <c r="C220" s="340"/>
      <c r="D220" s="340"/>
      <c r="E220" s="340"/>
      <c r="F220" s="340"/>
      <c r="G220" s="340"/>
      <c r="H220" s="340"/>
      <c r="I220" s="340"/>
      <c r="J220" s="340"/>
      <c r="K220" s="340"/>
      <c r="L220" s="340"/>
      <c r="M220" s="340"/>
      <c r="N220" s="340"/>
      <c r="O220" s="340"/>
      <c r="P220" s="357"/>
    </row>
    <row r="221" spans="1:16" x14ac:dyDescent="0.25">
      <c r="B221" s="356"/>
      <c r="C221" s="340"/>
      <c r="D221" s="340"/>
      <c r="E221" s="340"/>
      <c r="F221" s="340"/>
      <c r="G221" s="340"/>
      <c r="H221" s="340"/>
      <c r="I221" s="340"/>
      <c r="J221" s="340"/>
      <c r="K221" s="340"/>
      <c r="L221" s="340"/>
      <c r="M221" s="340"/>
      <c r="N221" s="340"/>
      <c r="O221" s="340"/>
      <c r="P221" s="357"/>
    </row>
    <row r="222" spans="1:16" x14ac:dyDescent="0.25">
      <c r="B222" s="356"/>
      <c r="C222" s="340"/>
      <c r="D222" s="340"/>
      <c r="E222" s="340"/>
      <c r="F222" s="340"/>
      <c r="G222" s="340"/>
      <c r="H222" s="340"/>
      <c r="I222" s="340"/>
      <c r="J222" s="340"/>
      <c r="K222" s="340"/>
      <c r="L222" s="340"/>
      <c r="M222" s="340"/>
      <c r="N222" s="340"/>
      <c r="O222" s="340"/>
      <c r="P222" s="357"/>
    </row>
    <row r="223" spans="1:16" x14ac:dyDescent="0.25">
      <c r="B223" s="356"/>
      <c r="C223" s="340"/>
      <c r="D223" s="340"/>
      <c r="E223" s="340"/>
      <c r="F223" s="340"/>
      <c r="G223" s="340"/>
      <c r="H223" s="340"/>
      <c r="I223" s="340"/>
      <c r="J223" s="340"/>
      <c r="K223" s="340"/>
      <c r="L223" s="340"/>
      <c r="M223" s="340"/>
      <c r="N223" s="340"/>
      <c r="O223" s="340"/>
      <c r="P223" s="357"/>
    </row>
    <row r="224" spans="1:16" x14ac:dyDescent="0.25">
      <c r="B224" s="356"/>
      <c r="C224" s="340"/>
      <c r="D224" s="340"/>
      <c r="E224" s="340"/>
      <c r="F224" s="340"/>
      <c r="G224" s="340"/>
      <c r="H224" s="340"/>
      <c r="I224" s="340"/>
      <c r="J224" s="340"/>
      <c r="K224" s="340"/>
      <c r="L224" s="340"/>
      <c r="M224" s="340"/>
      <c r="N224" s="340"/>
      <c r="O224" s="340"/>
      <c r="P224" s="357"/>
    </row>
    <row r="225" spans="2:16" x14ac:dyDescent="0.25">
      <c r="B225" s="356"/>
      <c r="C225" s="340"/>
      <c r="D225" s="340"/>
      <c r="E225" s="340"/>
      <c r="F225" s="340"/>
      <c r="G225" s="340"/>
      <c r="H225" s="340"/>
      <c r="I225" s="340"/>
      <c r="J225" s="340"/>
      <c r="K225" s="340"/>
      <c r="L225" s="340"/>
      <c r="M225" s="340"/>
      <c r="N225" s="340"/>
      <c r="O225" s="340"/>
      <c r="P225" s="357"/>
    </row>
    <row r="226" spans="2:16" x14ac:dyDescent="0.25">
      <c r="B226" s="356"/>
      <c r="C226" s="340"/>
      <c r="D226" s="340"/>
      <c r="E226" s="340"/>
      <c r="F226" s="340"/>
      <c r="G226" s="340"/>
      <c r="H226" s="340"/>
      <c r="I226" s="340"/>
      <c r="J226" s="340"/>
      <c r="K226" s="340"/>
      <c r="L226" s="340"/>
      <c r="M226" s="340"/>
      <c r="N226" s="340"/>
      <c r="O226" s="340"/>
      <c r="P226" s="357"/>
    </row>
    <row r="227" spans="2:16" x14ac:dyDescent="0.25">
      <c r="B227" s="356"/>
      <c r="C227" s="340"/>
      <c r="D227" s="340"/>
      <c r="E227" s="340"/>
      <c r="F227" s="340"/>
      <c r="G227" s="340"/>
      <c r="H227" s="340"/>
      <c r="I227" s="340"/>
      <c r="J227" s="340"/>
      <c r="K227" s="340"/>
      <c r="L227" s="340"/>
      <c r="M227" s="340"/>
      <c r="N227" s="340"/>
      <c r="O227" s="340"/>
      <c r="P227" s="357"/>
    </row>
    <row r="228" spans="2:16" x14ac:dyDescent="0.25">
      <c r="B228" s="356"/>
      <c r="C228" s="340"/>
      <c r="D228" s="340"/>
      <c r="E228" s="340"/>
      <c r="F228" s="340"/>
      <c r="G228" s="340"/>
      <c r="H228" s="340"/>
      <c r="I228" s="340"/>
      <c r="J228" s="340"/>
      <c r="K228" s="340"/>
      <c r="L228" s="340"/>
      <c r="M228" s="340"/>
      <c r="N228" s="340"/>
      <c r="O228" s="340"/>
      <c r="P228" s="357"/>
    </row>
    <row r="229" spans="2:16" x14ac:dyDescent="0.25">
      <c r="B229" s="356"/>
      <c r="C229" s="340"/>
      <c r="D229" s="340"/>
      <c r="E229" s="340"/>
      <c r="F229" s="340"/>
      <c r="G229" s="340"/>
      <c r="H229" s="340"/>
      <c r="I229" s="340"/>
      <c r="J229" s="340"/>
      <c r="K229" s="340"/>
      <c r="L229" s="340"/>
      <c r="M229" s="340"/>
      <c r="N229" s="340"/>
      <c r="O229" s="340"/>
      <c r="P229" s="357"/>
    </row>
    <row r="230" spans="2:16" x14ac:dyDescent="0.25">
      <c r="B230" s="356"/>
      <c r="C230" s="340"/>
      <c r="D230" s="340"/>
      <c r="E230" s="340"/>
      <c r="F230" s="340"/>
      <c r="G230" s="340"/>
      <c r="H230" s="340"/>
      <c r="I230" s="340"/>
      <c r="J230" s="340"/>
      <c r="K230" s="340"/>
      <c r="L230" s="340"/>
      <c r="M230" s="340"/>
      <c r="N230" s="340"/>
      <c r="O230" s="340"/>
      <c r="P230" s="357"/>
    </row>
    <row r="231" spans="2:16" x14ac:dyDescent="0.25">
      <c r="B231" s="356"/>
      <c r="C231" s="340"/>
      <c r="D231" s="340"/>
      <c r="E231" s="340"/>
      <c r="F231" s="340"/>
      <c r="G231" s="340"/>
      <c r="H231" s="340"/>
      <c r="I231" s="340"/>
      <c r="J231" s="340"/>
      <c r="K231" s="340"/>
      <c r="L231" s="340"/>
      <c r="M231" s="340"/>
      <c r="N231" s="340"/>
      <c r="O231" s="340"/>
      <c r="P231" s="357"/>
    </row>
    <row r="232" spans="2:16" x14ac:dyDescent="0.25">
      <c r="B232" s="356"/>
      <c r="C232" s="340"/>
      <c r="D232" s="340"/>
      <c r="E232" s="340"/>
      <c r="F232" s="340"/>
      <c r="G232" s="340"/>
      <c r="H232" s="340"/>
      <c r="I232" s="340"/>
      <c r="J232" s="340"/>
      <c r="K232" s="340"/>
      <c r="L232" s="340"/>
      <c r="M232" s="340"/>
      <c r="N232" s="340"/>
      <c r="O232" s="340"/>
      <c r="P232" s="357"/>
    </row>
    <row r="233" spans="2:16" x14ac:dyDescent="0.25">
      <c r="B233" s="356"/>
      <c r="C233" s="340"/>
      <c r="D233" s="340"/>
      <c r="E233" s="340"/>
      <c r="F233" s="340"/>
      <c r="G233" s="340"/>
      <c r="H233" s="340"/>
      <c r="I233" s="340"/>
      <c r="J233" s="340"/>
      <c r="K233" s="340"/>
      <c r="L233" s="340"/>
      <c r="M233" s="340"/>
      <c r="N233" s="340"/>
      <c r="O233" s="340"/>
      <c r="P233" s="357"/>
    </row>
    <row r="234" spans="2:16" x14ac:dyDescent="0.25">
      <c r="B234" s="356"/>
      <c r="C234" s="340"/>
      <c r="D234" s="340"/>
      <c r="E234" s="340"/>
      <c r="F234" s="340"/>
      <c r="G234" s="340"/>
      <c r="H234" s="340"/>
      <c r="I234" s="340"/>
      <c r="J234" s="340"/>
      <c r="K234" s="340"/>
      <c r="L234" s="340"/>
      <c r="M234" s="340"/>
      <c r="N234" s="340"/>
      <c r="O234" s="340"/>
      <c r="P234" s="357"/>
    </row>
    <row r="235" spans="2:16" x14ac:dyDescent="0.25">
      <c r="B235" s="356"/>
      <c r="C235" s="340"/>
      <c r="D235" s="340"/>
      <c r="E235" s="340"/>
      <c r="F235" s="340"/>
      <c r="G235" s="340"/>
      <c r="H235" s="340"/>
      <c r="I235" s="340"/>
      <c r="J235" s="340"/>
      <c r="K235" s="340"/>
      <c r="L235" s="340"/>
      <c r="M235" s="340"/>
      <c r="N235" s="340"/>
      <c r="O235" s="340"/>
      <c r="P235" s="357"/>
    </row>
    <row r="236" spans="2:16" x14ac:dyDescent="0.25">
      <c r="B236" s="356"/>
      <c r="C236" s="340"/>
      <c r="D236" s="340"/>
      <c r="E236" s="340"/>
      <c r="F236" s="340"/>
      <c r="G236" s="340"/>
      <c r="H236" s="340"/>
      <c r="I236" s="340"/>
      <c r="J236" s="340"/>
      <c r="K236" s="340"/>
      <c r="L236" s="340"/>
      <c r="M236" s="340"/>
      <c r="N236" s="340"/>
      <c r="O236" s="340"/>
      <c r="P236" s="357"/>
    </row>
    <row r="237" spans="2:16" x14ac:dyDescent="0.25">
      <c r="B237" s="356"/>
      <c r="C237" s="340"/>
      <c r="D237" s="340"/>
      <c r="E237" s="340"/>
      <c r="F237" s="340"/>
      <c r="G237" s="340"/>
      <c r="H237" s="340"/>
      <c r="I237" s="340"/>
      <c r="J237" s="340"/>
      <c r="K237" s="340"/>
      <c r="L237" s="340"/>
      <c r="M237" s="340"/>
      <c r="N237" s="340"/>
      <c r="O237" s="340"/>
      <c r="P237" s="357"/>
    </row>
    <row r="238" spans="2:16" x14ac:dyDescent="0.25">
      <c r="B238" s="356"/>
      <c r="C238" s="340"/>
      <c r="D238" s="340"/>
      <c r="E238" s="340"/>
      <c r="F238" s="340"/>
      <c r="G238" s="340"/>
      <c r="H238" s="340"/>
      <c r="I238" s="340"/>
      <c r="J238" s="340"/>
      <c r="K238" s="340"/>
      <c r="L238" s="340"/>
      <c r="M238" s="340"/>
      <c r="N238" s="340"/>
      <c r="O238" s="340"/>
      <c r="P238" s="357"/>
    </row>
    <row r="239" spans="2:16" x14ac:dyDescent="0.25">
      <c r="B239" s="356"/>
      <c r="C239" s="340"/>
      <c r="D239" s="340"/>
      <c r="E239" s="340"/>
      <c r="F239" s="340"/>
      <c r="G239" s="340"/>
      <c r="H239" s="340"/>
      <c r="I239" s="340"/>
      <c r="J239" s="340"/>
      <c r="K239" s="340"/>
      <c r="L239" s="340"/>
      <c r="M239" s="340"/>
      <c r="N239" s="340"/>
      <c r="O239" s="340"/>
      <c r="P239" s="357"/>
    </row>
    <row r="240" spans="2:16" x14ac:dyDescent="0.25">
      <c r="B240" s="358"/>
      <c r="C240" s="359"/>
      <c r="D240" s="359"/>
      <c r="E240" s="359"/>
      <c r="F240" s="359"/>
      <c r="G240" s="359"/>
      <c r="H240" s="359"/>
      <c r="I240" s="359"/>
      <c r="J240" s="359"/>
      <c r="K240" s="359"/>
      <c r="L240" s="359"/>
      <c r="M240" s="359"/>
      <c r="N240" s="359"/>
      <c r="O240" s="359"/>
      <c r="P240" s="360"/>
    </row>
    <row r="241" spans="1:16" x14ac:dyDescent="0.25">
      <c r="B241" s="83"/>
      <c r="C241" s="83"/>
      <c r="D241" s="83"/>
      <c r="E241" s="83"/>
      <c r="F241" s="83"/>
      <c r="G241" s="83"/>
      <c r="H241" s="83"/>
      <c r="I241" s="83"/>
      <c r="J241" s="83"/>
      <c r="K241" s="83"/>
      <c r="L241" s="83"/>
      <c r="M241" s="83"/>
      <c r="N241" s="83"/>
      <c r="O241" s="83"/>
      <c r="P241" s="83"/>
    </row>
    <row r="242" spans="1:16" ht="15" customHeight="1" x14ac:dyDescent="0.25">
      <c r="A242" s="53">
        <v>11</v>
      </c>
      <c r="B242" s="345" t="s">
        <v>374</v>
      </c>
      <c r="C242" s="346"/>
      <c r="D242" s="346"/>
      <c r="E242" s="346"/>
      <c r="F242" s="346"/>
      <c r="G242" s="346"/>
      <c r="H242" s="346"/>
      <c r="I242" s="346"/>
      <c r="J242" s="346"/>
      <c r="K242" s="346"/>
      <c r="L242" s="346"/>
      <c r="M242" s="346"/>
      <c r="N242" s="346"/>
      <c r="O242" s="346"/>
      <c r="P242" s="347"/>
    </row>
    <row r="243" spans="1:16" x14ac:dyDescent="0.25">
      <c r="B243" s="348"/>
      <c r="C243" s="340"/>
      <c r="D243" s="340"/>
      <c r="E243" s="340"/>
      <c r="F243" s="340"/>
      <c r="G243" s="340"/>
      <c r="H243" s="340"/>
      <c r="I243" s="340"/>
      <c r="J243" s="340"/>
      <c r="K243" s="340"/>
      <c r="L243" s="340"/>
      <c r="M243" s="340"/>
      <c r="N243" s="340"/>
      <c r="O243" s="340"/>
      <c r="P243" s="349"/>
    </row>
    <row r="244" spans="1:16" x14ac:dyDescent="0.25">
      <c r="B244" s="348"/>
      <c r="C244" s="340"/>
      <c r="D244" s="340"/>
      <c r="E244" s="340"/>
      <c r="F244" s="340"/>
      <c r="G244" s="340"/>
      <c r="H244" s="340"/>
      <c r="I244" s="340"/>
      <c r="J244" s="340"/>
      <c r="K244" s="340"/>
      <c r="L244" s="340"/>
      <c r="M244" s="340"/>
      <c r="N244" s="340"/>
      <c r="O244" s="340"/>
      <c r="P244" s="349"/>
    </row>
    <row r="245" spans="1:16" x14ac:dyDescent="0.25">
      <c r="B245" s="348"/>
      <c r="C245" s="340"/>
      <c r="D245" s="340"/>
      <c r="E245" s="340"/>
      <c r="F245" s="340"/>
      <c r="G245" s="340"/>
      <c r="H245" s="340"/>
      <c r="I245" s="340"/>
      <c r="J245" s="340"/>
      <c r="K245" s="340"/>
      <c r="L245" s="340"/>
      <c r="M245" s="340"/>
      <c r="N245" s="340"/>
      <c r="O245" s="340"/>
      <c r="P245" s="349"/>
    </row>
    <row r="246" spans="1:16" x14ac:dyDescent="0.25">
      <c r="B246" s="348"/>
      <c r="C246" s="340"/>
      <c r="D246" s="340"/>
      <c r="E246" s="340"/>
      <c r="F246" s="340"/>
      <c r="G246" s="340"/>
      <c r="H246" s="340"/>
      <c r="I246" s="340"/>
      <c r="J246" s="340"/>
      <c r="K246" s="340"/>
      <c r="L246" s="340"/>
      <c r="M246" s="340"/>
      <c r="N246" s="340"/>
      <c r="O246" s="340"/>
      <c r="P246" s="349"/>
    </row>
    <row r="247" spans="1:16" x14ac:dyDescent="0.25">
      <c r="B247" s="348"/>
      <c r="C247" s="340"/>
      <c r="D247" s="340"/>
      <c r="E247" s="340"/>
      <c r="F247" s="340"/>
      <c r="G247" s="340"/>
      <c r="H247" s="340"/>
      <c r="I247" s="340"/>
      <c r="J247" s="340"/>
      <c r="K247" s="340"/>
      <c r="L247" s="340"/>
      <c r="M247" s="340"/>
      <c r="N247" s="340"/>
      <c r="O247" s="340"/>
      <c r="P247" s="349"/>
    </row>
    <row r="248" spans="1:16" x14ac:dyDescent="0.25">
      <c r="B248" s="348"/>
      <c r="C248" s="340"/>
      <c r="D248" s="340"/>
      <c r="E248" s="340"/>
      <c r="F248" s="340"/>
      <c r="G248" s="340"/>
      <c r="H248" s="340"/>
      <c r="I248" s="340"/>
      <c r="J248" s="340"/>
      <c r="K248" s="340"/>
      <c r="L248" s="340"/>
      <c r="M248" s="340"/>
      <c r="N248" s="340"/>
      <c r="O248" s="340"/>
      <c r="P248" s="349"/>
    </row>
    <row r="249" spans="1:16" x14ac:dyDescent="0.25">
      <c r="B249" s="348"/>
      <c r="C249" s="340"/>
      <c r="D249" s="340"/>
      <c r="E249" s="340"/>
      <c r="F249" s="340"/>
      <c r="G249" s="340"/>
      <c r="H249" s="340"/>
      <c r="I249" s="340"/>
      <c r="J249" s="340"/>
      <c r="K249" s="340"/>
      <c r="L249" s="340"/>
      <c r="M249" s="340"/>
      <c r="N249" s="340"/>
      <c r="O249" s="340"/>
      <c r="P249" s="349"/>
    </row>
    <row r="250" spans="1:16" x14ac:dyDescent="0.25">
      <c r="B250" s="348"/>
      <c r="C250" s="340"/>
      <c r="D250" s="340"/>
      <c r="E250" s="340"/>
      <c r="F250" s="340"/>
      <c r="G250" s="340"/>
      <c r="H250" s="340"/>
      <c r="I250" s="340"/>
      <c r="J250" s="340"/>
      <c r="K250" s="340"/>
      <c r="L250" s="340"/>
      <c r="M250" s="340"/>
      <c r="N250" s="340"/>
      <c r="O250" s="340"/>
      <c r="P250" s="349"/>
    </row>
    <row r="251" spans="1:16" x14ac:dyDescent="0.25">
      <c r="B251" s="348"/>
      <c r="C251" s="340"/>
      <c r="D251" s="340"/>
      <c r="E251" s="340"/>
      <c r="F251" s="340"/>
      <c r="G251" s="340"/>
      <c r="H251" s="340"/>
      <c r="I251" s="340"/>
      <c r="J251" s="340"/>
      <c r="K251" s="340"/>
      <c r="L251" s="340"/>
      <c r="M251" s="340"/>
      <c r="N251" s="340"/>
      <c r="O251" s="340"/>
      <c r="P251" s="349"/>
    </row>
    <row r="252" spans="1:16" x14ac:dyDescent="0.25">
      <c r="B252" s="348"/>
      <c r="C252" s="340"/>
      <c r="D252" s="340"/>
      <c r="E252" s="340"/>
      <c r="F252" s="340"/>
      <c r="G252" s="340"/>
      <c r="H252" s="340"/>
      <c r="I252" s="340"/>
      <c r="J252" s="340"/>
      <c r="K252" s="340"/>
      <c r="L252" s="340"/>
      <c r="M252" s="340"/>
      <c r="N252" s="340"/>
      <c r="O252" s="340"/>
      <c r="P252" s="349"/>
    </row>
    <row r="253" spans="1:16" x14ac:dyDescent="0.25">
      <c r="B253" s="348"/>
      <c r="C253" s="340"/>
      <c r="D253" s="340"/>
      <c r="E253" s="340"/>
      <c r="F253" s="340"/>
      <c r="G253" s="340"/>
      <c r="H253" s="340"/>
      <c r="I253" s="340"/>
      <c r="J253" s="340"/>
      <c r="K253" s="340"/>
      <c r="L253" s="340"/>
      <c r="M253" s="340"/>
      <c r="N253" s="340"/>
      <c r="O253" s="340"/>
      <c r="P253" s="349"/>
    </row>
    <row r="254" spans="1:16" x14ac:dyDescent="0.25">
      <c r="B254" s="348"/>
      <c r="C254" s="340"/>
      <c r="D254" s="340"/>
      <c r="E254" s="340"/>
      <c r="F254" s="340"/>
      <c r="G254" s="340"/>
      <c r="H254" s="340"/>
      <c r="I254" s="340"/>
      <c r="J254" s="340"/>
      <c r="K254" s="340"/>
      <c r="L254" s="340"/>
      <c r="M254" s="340"/>
      <c r="N254" s="340"/>
      <c r="O254" s="340"/>
      <c r="P254" s="349"/>
    </row>
    <row r="255" spans="1:16" x14ac:dyDescent="0.25">
      <c r="B255" s="348"/>
      <c r="C255" s="340"/>
      <c r="D255" s="340"/>
      <c r="E255" s="340"/>
      <c r="F255" s="340"/>
      <c r="G255" s="340"/>
      <c r="H255" s="340"/>
      <c r="I255" s="340"/>
      <c r="J255" s="340"/>
      <c r="K255" s="340"/>
      <c r="L255" s="340"/>
      <c r="M255" s="340"/>
      <c r="N255" s="340"/>
      <c r="O255" s="340"/>
      <c r="P255" s="349"/>
    </row>
    <row r="256" spans="1:16" x14ac:dyDescent="0.25">
      <c r="B256" s="348"/>
      <c r="C256" s="340"/>
      <c r="D256" s="340"/>
      <c r="E256" s="340"/>
      <c r="F256" s="340"/>
      <c r="G256" s="340"/>
      <c r="H256" s="340"/>
      <c r="I256" s="340"/>
      <c r="J256" s="340"/>
      <c r="K256" s="340"/>
      <c r="L256" s="340"/>
      <c r="M256" s="340"/>
      <c r="N256" s="340"/>
      <c r="O256" s="340"/>
      <c r="P256" s="349"/>
    </row>
    <row r="257" spans="1:16" x14ac:dyDescent="0.25">
      <c r="B257" s="348"/>
      <c r="C257" s="340"/>
      <c r="D257" s="340"/>
      <c r="E257" s="340"/>
      <c r="F257" s="340"/>
      <c r="G257" s="340"/>
      <c r="H257" s="340"/>
      <c r="I257" s="340"/>
      <c r="J257" s="340"/>
      <c r="K257" s="340"/>
      <c r="L257" s="340"/>
      <c r="M257" s="340"/>
      <c r="N257" s="340"/>
      <c r="O257" s="340"/>
      <c r="P257" s="349"/>
    </row>
    <row r="258" spans="1:16" x14ac:dyDescent="0.25">
      <c r="B258" s="348"/>
      <c r="C258" s="340"/>
      <c r="D258" s="340"/>
      <c r="E258" s="340"/>
      <c r="F258" s="340"/>
      <c r="G258" s="340"/>
      <c r="H258" s="340"/>
      <c r="I258" s="340"/>
      <c r="J258" s="340"/>
      <c r="K258" s="340"/>
      <c r="L258" s="340"/>
      <c r="M258" s="340"/>
      <c r="N258" s="340"/>
      <c r="O258" s="340"/>
      <c r="P258" s="349"/>
    </row>
    <row r="259" spans="1:16" x14ac:dyDescent="0.25">
      <c r="B259" s="350"/>
      <c r="C259" s="351"/>
      <c r="D259" s="351"/>
      <c r="E259" s="351"/>
      <c r="F259" s="351"/>
      <c r="G259" s="351"/>
      <c r="H259" s="351"/>
      <c r="I259" s="351"/>
      <c r="J259" s="351"/>
      <c r="K259" s="351"/>
      <c r="L259" s="351"/>
      <c r="M259" s="351"/>
      <c r="N259" s="351"/>
      <c r="O259" s="351"/>
      <c r="P259" s="352"/>
    </row>
    <row r="260" spans="1:16" x14ac:dyDescent="0.25">
      <c r="B260" s="83"/>
      <c r="C260" s="83"/>
      <c r="D260" s="83"/>
      <c r="E260" s="83"/>
      <c r="F260" s="83"/>
      <c r="G260" s="83"/>
      <c r="H260" s="83"/>
      <c r="I260" s="83"/>
      <c r="J260" s="83"/>
      <c r="K260" s="83"/>
      <c r="L260" s="83"/>
      <c r="M260" s="83"/>
      <c r="N260" s="83"/>
      <c r="O260" s="83"/>
      <c r="P260" s="83"/>
    </row>
    <row r="261" spans="1:16" ht="15" customHeight="1" x14ac:dyDescent="0.25">
      <c r="A261" s="53">
        <v>12</v>
      </c>
      <c r="B261" s="353" t="s">
        <v>360</v>
      </c>
      <c r="C261" s="354"/>
      <c r="D261" s="354"/>
      <c r="E261" s="354"/>
      <c r="F261" s="354"/>
      <c r="G261" s="354"/>
      <c r="H261" s="354"/>
      <c r="I261" s="354"/>
      <c r="J261" s="354"/>
      <c r="K261" s="354"/>
      <c r="L261" s="354"/>
      <c r="M261" s="354"/>
      <c r="N261" s="354"/>
      <c r="O261" s="354"/>
      <c r="P261" s="355"/>
    </row>
    <row r="262" spans="1:16" x14ac:dyDescent="0.25">
      <c r="B262" s="356"/>
      <c r="C262" s="340"/>
      <c r="D262" s="340"/>
      <c r="E262" s="340"/>
      <c r="F262" s="340"/>
      <c r="G262" s="340"/>
      <c r="H262" s="340"/>
      <c r="I262" s="340"/>
      <c r="J262" s="340"/>
      <c r="K262" s="340"/>
      <c r="L262" s="340"/>
      <c r="M262" s="340"/>
      <c r="N262" s="340"/>
      <c r="O262" s="340"/>
      <c r="P262" s="357"/>
    </row>
    <row r="263" spans="1:16" x14ac:dyDescent="0.25">
      <c r="B263" s="356"/>
      <c r="C263" s="340"/>
      <c r="D263" s="340"/>
      <c r="E263" s="340"/>
      <c r="F263" s="340"/>
      <c r="G263" s="340"/>
      <c r="H263" s="340"/>
      <c r="I263" s="340"/>
      <c r="J263" s="340"/>
      <c r="K263" s="340"/>
      <c r="L263" s="340"/>
      <c r="M263" s="340"/>
      <c r="N263" s="340"/>
      <c r="O263" s="340"/>
      <c r="P263" s="357"/>
    </row>
    <row r="264" spans="1:16" x14ac:dyDescent="0.25">
      <c r="B264" s="356"/>
      <c r="C264" s="340"/>
      <c r="D264" s="340"/>
      <c r="E264" s="340"/>
      <c r="F264" s="340"/>
      <c r="G264" s="340"/>
      <c r="H264" s="340"/>
      <c r="I264" s="340"/>
      <c r="J264" s="340"/>
      <c r="K264" s="340"/>
      <c r="L264" s="340"/>
      <c r="M264" s="340"/>
      <c r="N264" s="340"/>
      <c r="O264" s="340"/>
      <c r="P264" s="357"/>
    </row>
    <row r="265" spans="1:16" x14ac:dyDescent="0.25">
      <c r="B265" s="356"/>
      <c r="C265" s="340"/>
      <c r="D265" s="340"/>
      <c r="E265" s="340"/>
      <c r="F265" s="340"/>
      <c r="G265" s="340"/>
      <c r="H265" s="340"/>
      <c r="I265" s="340"/>
      <c r="J265" s="340"/>
      <c r="K265" s="340"/>
      <c r="L265" s="340"/>
      <c r="M265" s="340"/>
      <c r="N265" s="340"/>
      <c r="O265" s="340"/>
      <c r="P265" s="357"/>
    </row>
    <row r="266" spans="1:16" x14ac:dyDescent="0.25">
      <c r="B266" s="358"/>
      <c r="C266" s="359"/>
      <c r="D266" s="359"/>
      <c r="E266" s="359"/>
      <c r="F266" s="359"/>
      <c r="G266" s="359"/>
      <c r="H266" s="359"/>
      <c r="I266" s="359"/>
      <c r="J266" s="359"/>
      <c r="K266" s="359"/>
      <c r="L266" s="359"/>
      <c r="M266" s="359"/>
      <c r="N266" s="359"/>
      <c r="O266" s="359"/>
      <c r="P266" s="360"/>
    </row>
    <row r="267" spans="1:16" x14ac:dyDescent="0.25">
      <c r="B267" s="83"/>
      <c r="C267" s="83"/>
      <c r="D267" s="83"/>
      <c r="E267" s="83"/>
      <c r="F267" s="83"/>
      <c r="G267" s="83"/>
      <c r="H267" s="83"/>
      <c r="I267" s="83"/>
      <c r="J267" s="83"/>
      <c r="K267" s="83"/>
      <c r="L267" s="83"/>
      <c r="M267" s="83"/>
      <c r="N267" s="83"/>
      <c r="O267" s="83"/>
      <c r="P267" s="83"/>
    </row>
    <row r="268" spans="1:16" x14ac:dyDescent="0.25">
      <c r="A268" s="53">
        <v>13</v>
      </c>
      <c r="B268" s="336" t="s">
        <v>326</v>
      </c>
      <c r="C268" s="337"/>
      <c r="D268" s="337"/>
      <c r="E268" s="337"/>
      <c r="F268" s="337"/>
      <c r="G268" s="337"/>
      <c r="H268" s="337"/>
      <c r="I268" s="337"/>
      <c r="J268" s="337"/>
      <c r="K268" s="337"/>
      <c r="L268" s="337"/>
      <c r="M268" s="337"/>
      <c r="N268" s="337"/>
      <c r="O268" s="337"/>
      <c r="P268" s="338"/>
    </row>
    <row r="269" spans="1:16" x14ac:dyDescent="0.25">
      <c r="B269" s="339"/>
      <c r="C269" s="340"/>
      <c r="D269" s="340"/>
      <c r="E269" s="340"/>
      <c r="F269" s="340"/>
      <c r="G269" s="340"/>
      <c r="H269" s="340"/>
      <c r="I269" s="340"/>
      <c r="J269" s="340"/>
      <c r="K269" s="340"/>
      <c r="L269" s="340"/>
      <c r="M269" s="340"/>
      <c r="N269" s="340"/>
      <c r="O269" s="340"/>
      <c r="P269" s="341"/>
    </row>
    <row r="270" spans="1:16" x14ac:dyDescent="0.25">
      <c r="B270" s="339"/>
      <c r="C270" s="340"/>
      <c r="D270" s="340"/>
      <c r="E270" s="340"/>
      <c r="F270" s="340"/>
      <c r="G270" s="340"/>
      <c r="H270" s="340"/>
      <c r="I270" s="340"/>
      <c r="J270" s="340"/>
      <c r="K270" s="340"/>
      <c r="L270" s="340"/>
      <c r="M270" s="340"/>
      <c r="N270" s="340"/>
      <c r="O270" s="340"/>
      <c r="P270" s="341"/>
    </row>
    <row r="271" spans="1:16" x14ac:dyDescent="0.25">
      <c r="B271" s="339"/>
      <c r="C271" s="340"/>
      <c r="D271" s="340"/>
      <c r="E271" s="340"/>
      <c r="F271" s="340"/>
      <c r="G271" s="340"/>
      <c r="H271" s="340"/>
      <c r="I271" s="340"/>
      <c r="J271" s="340"/>
      <c r="K271" s="340"/>
      <c r="L271" s="340"/>
      <c r="M271" s="340"/>
      <c r="N271" s="340"/>
      <c r="O271" s="340"/>
      <c r="P271" s="341"/>
    </row>
    <row r="272" spans="1:16" x14ac:dyDescent="0.25">
      <c r="B272" s="342"/>
      <c r="C272" s="343"/>
      <c r="D272" s="343"/>
      <c r="E272" s="343"/>
      <c r="F272" s="343"/>
      <c r="G272" s="343"/>
      <c r="H272" s="343"/>
      <c r="I272" s="343"/>
      <c r="J272" s="343"/>
      <c r="K272" s="343"/>
      <c r="L272" s="343"/>
      <c r="M272" s="343"/>
      <c r="N272" s="343"/>
      <c r="O272" s="343"/>
      <c r="P272" s="344"/>
    </row>
    <row r="274" spans="1:16" ht="15.75" x14ac:dyDescent="0.25">
      <c r="B274" s="75" t="s">
        <v>258</v>
      </c>
      <c r="C274" s="76"/>
      <c r="D274" s="76"/>
      <c r="E274" s="76"/>
      <c r="F274" s="76"/>
      <c r="G274" s="76"/>
      <c r="H274" s="76"/>
      <c r="I274" s="76"/>
      <c r="J274" s="76"/>
      <c r="K274" s="76"/>
      <c r="L274" s="76"/>
      <c r="M274" s="76"/>
      <c r="N274" s="76"/>
      <c r="O274" s="76"/>
      <c r="P274" s="76"/>
    </row>
    <row r="276" spans="1:16" ht="15" customHeight="1" x14ac:dyDescent="0.25">
      <c r="A276" s="53">
        <v>1</v>
      </c>
      <c r="B276" s="319" t="s">
        <v>361</v>
      </c>
      <c r="C276" s="328"/>
      <c r="D276" s="328"/>
      <c r="E276" s="328"/>
      <c r="F276" s="328"/>
      <c r="G276" s="328"/>
      <c r="H276" s="328"/>
      <c r="I276" s="328"/>
      <c r="J276" s="328"/>
      <c r="K276" s="328"/>
      <c r="L276" s="328"/>
      <c r="M276" s="328"/>
      <c r="N276" s="328"/>
      <c r="O276" s="328"/>
      <c r="P276" s="329"/>
    </row>
    <row r="277" spans="1:16" x14ac:dyDescent="0.25">
      <c r="B277" s="330"/>
      <c r="C277" s="331"/>
      <c r="D277" s="331"/>
      <c r="E277" s="331"/>
      <c r="F277" s="331"/>
      <c r="G277" s="331"/>
      <c r="H277" s="331"/>
      <c r="I277" s="331"/>
      <c r="J277" s="331"/>
      <c r="K277" s="331"/>
      <c r="L277" s="331"/>
      <c r="M277" s="331"/>
      <c r="N277" s="331"/>
      <c r="O277" s="331"/>
      <c r="P277" s="332"/>
    </row>
    <row r="278" spans="1:16" x14ac:dyDescent="0.25">
      <c r="B278" s="330"/>
      <c r="C278" s="331"/>
      <c r="D278" s="331"/>
      <c r="E278" s="331"/>
      <c r="F278" s="331"/>
      <c r="G278" s="331"/>
      <c r="H278" s="331"/>
      <c r="I278" s="331"/>
      <c r="J278" s="331"/>
      <c r="K278" s="331"/>
      <c r="L278" s="331"/>
      <c r="M278" s="331"/>
      <c r="N278" s="331"/>
      <c r="O278" s="331"/>
      <c r="P278" s="332"/>
    </row>
    <row r="279" spans="1:16" x14ac:dyDescent="0.25">
      <c r="B279" s="330"/>
      <c r="C279" s="331"/>
      <c r="D279" s="331"/>
      <c r="E279" s="331"/>
      <c r="F279" s="331"/>
      <c r="G279" s="331"/>
      <c r="H279" s="331"/>
      <c r="I279" s="331"/>
      <c r="J279" s="331"/>
      <c r="K279" s="331"/>
      <c r="L279" s="331"/>
      <c r="M279" s="331"/>
      <c r="N279" s="331"/>
      <c r="O279" s="331"/>
      <c r="P279" s="332"/>
    </row>
    <row r="280" spans="1:16" x14ac:dyDescent="0.25">
      <c r="B280" s="330"/>
      <c r="C280" s="331"/>
      <c r="D280" s="331"/>
      <c r="E280" s="331"/>
      <c r="F280" s="331"/>
      <c r="G280" s="331"/>
      <c r="H280" s="331"/>
      <c r="I280" s="331"/>
      <c r="J280" s="331"/>
      <c r="K280" s="331"/>
      <c r="L280" s="331"/>
      <c r="M280" s="331"/>
      <c r="N280" s="331"/>
      <c r="O280" s="331"/>
      <c r="P280" s="332"/>
    </row>
    <row r="281" spans="1:16" x14ac:dyDescent="0.25">
      <c r="B281" s="330"/>
      <c r="C281" s="331"/>
      <c r="D281" s="331"/>
      <c r="E281" s="331"/>
      <c r="F281" s="331"/>
      <c r="G281" s="331"/>
      <c r="H281" s="331"/>
      <c r="I281" s="331"/>
      <c r="J281" s="331"/>
      <c r="K281" s="331"/>
      <c r="L281" s="331"/>
      <c r="M281" s="331"/>
      <c r="N281" s="331"/>
      <c r="O281" s="331"/>
      <c r="P281" s="332"/>
    </row>
    <row r="282" spans="1:16" x14ac:dyDescent="0.25">
      <c r="B282" s="330"/>
      <c r="C282" s="331"/>
      <c r="D282" s="331"/>
      <c r="E282" s="331"/>
      <c r="F282" s="331"/>
      <c r="G282" s="331"/>
      <c r="H282" s="331"/>
      <c r="I282" s="331"/>
      <c r="J282" s="331"/>
      <c r="K282" s="331"/>
      <c r="L282" s="331"/>
      <c r="M282" s="331"/>
      <c r="N282" s="331"/>
      <c r="O282" s="331"/>
      <c r="P282" s="332"/>
    </row>
    <row r="283" spans="1:16" x14ac:dyDescent="0.25">
      <c r="B283" s="330"/>
      <c r="C283" s="331"/>
      <c r="D283" s="331"/>
      <c r="E283" s="331"/>
      <c r="F283" s="331"/>
      <c r="G283" s="331"/>
      <c r="H283" s="331"/>
      <c r="I283" s="331"/>
      <c r="J283" s="331"/>
      <c r="K283" s="331"/>
      <c r="L283" s="331"/>
      <c r="M283" s="331"/>
      <c r="N283" s="331"/>
      <c r="O283" s="331"/>
      <c r="P283" s="332"/>
    </row>
    <row r="284" spans="1:16" x14ac:dyDescent="0.25">
      <c r="B284" s="330"/>
      <c r="C284" s="331"/>
      <c r="D284" s="331"/>
      <c r="E284" s="331"/>
      <c r="F284" s="331"/>
      <c r="G284" s="331"/>
      <c r="H284" s="331"/>
      <c r="I284" s="331"/>
      <c r="J284" s="331"/>
      <c r="K284" s="331"/>
      <c r="L284" s="331"/>
      <c r="M284" s="331"/>
      <c r="N284" s="331"/>
      <c r="O284" s="331"/>
      <c r="P284" s="332"/>
    </row>
    <row r="285" spans="1:16" x14ac:dyDescent="0.25">
      <c r="B285" s="330"/>
      <c r="C285" s="331"/>
      <c r="D285" s="331"/>
      <c r="E285" s="331"/>
      <c r="F285" s="331"/>
      <c r="G285" s="331"/>
      <c r="H285" s="331"/>
      <c r="I285" s="331"/>
      <c r="J285" s="331"/>
      <c r="K285" s="331"/>
      <c r="L285" s="331"/>
      <c r="M285" s="331"/>
      <c r="N285" s="331"/>
      <c r="O285" s="331"/>
      <c r="P285" s="332"/>
    </row>
    <row r="286" spans="1:16" ht="30.75" customHeight="1" x14ac:dyDescent="0.25">
      <c r="B286" s="330"/>
      <c r="C286" s="331"/>
      <c r="D286" s="331"/>
      <c r="E286" s="331"/>
      <c r="F286" s="331"/>
      <c r="G286" s="331"/>
      <c r="H286" s="331"/>
      <c r="I286" s="331"/>
      <c r="J286" s="331"/>
      <c r="K286" s="331"/>
      <c r="L286" s="331"/>
      <c r="M286" s="331"/>
      <c r="N286" s="331"/>
      <c r="O286" s="331"/>
      <c r="P286" s="332"/>
    </row>
    <row r="287" spans="1:16" x14ac:dyDescent="0.25">
      <c r="B287" s="330"/>
      <c r="C287" s="331"/>
      <c r="D287" s="331"/>
      <c r="E287" s="331"/>
      <c r="F287" s="331"/>
      <c r="G287" s="331"/>
      <c r="H287" s="331"/>
      <c r="I287" s="331"/>
      <c r="J287" s="331"/>
      <c r="K287" s="331"/>
      <c r="L287" s="331"/>
      <c r="M287" s="331"/>
      <c r="N287" s="331"/>
      <c r="O287" s="331"/>
      <c r="P287" s="332"/>
    </row>
    <row r="288" spans="1:16" x14ac:dyDescent="0.25">
      <c r="B288" s="333"/>
      <c r="C288" s="334"/>
      <c r="D288" s="334"/>
      <c r="E288" s="334"/>
      <c r="F288" s="334"/>
      <c r="G288" s="334"/>
      <c r="H288" s="334"/>
      <c r="I288" s="334"/>
      <c r="J288" s="334"/>
      <c r="K288" s="334"/>
      <c r="L288" s="334"/>
      <c r="M288" s="334"/>
      <c r="N288" s="334"/>
      <c r="O288" s="334"/>
      <c r="P288" s="335"/>
    </row>
    <row r="290" spans="1:16" ht="15" customHeight="1" x14ac:dyDescent="0.25">
      <c r="A290" s="53">
        <v>2</v>
      </c>
      <c r="B290" s="361" t="s">
        <v>362</v>
      </c>
      <c r="C290" s="362"/>
      <c r="D290" s="362"/>
      <c r="E290" s="362"/>
      <c r="F290" s="362"/>
      <c r="G290" s="362"/>
      <c r="H290" s="362"/>
      <c r="I290" s="362"/>
      <c r="J290" s="362"/>
      <c r="K290" s="362"/>
      <c r="L290" s="362"/>
      <c r="M290" s="362"/>
      <c r="N290" s="362"/>
      <c r="O290" s="362"/>
      <c r="P290" s="363"/>
    </row>
    <row r="291" spans="1:16" ht="15" customHeight="1" x14ac:dyDescent="0.25">
      <c r="B291" s="364"/>
      <c r="C291" s="365"/>
      <c r="D291" s="365"/>
      <c r="E291" s="365"/>
      <c r="F291" s="365"/>
      <c r="G291" s="365"/>
      <c r="H291" s="365"/>
      <c r="I291" s="365"/>
      <c r="J291" s="365"/>
      <c r="K291" s="365"/>
      <c r="L291" s="365"/>
      <c r="M291" s="365"/>
      <c r="N291" s="365"/>
      <c r="O291" s="365"/>
      <c r="P291" s="366"/>
    </row>
    <row r="292" spans="1:16" ht="15" customHeight="1" x14ac:dyDescent="0.25">
      <c r="B292" s="364"/>
      <c r="C292" s="365"/>
      <c r="D292" s="365"/>
      <c r="E292" s="365"/>
      <c r="F292" s="365"/>
      <c r="G292" s="365"/>
      <c r="H292" s="365"/>
      <c r="I292" s="365"/>
      <c r="J292" s="365"/>
      <c r="K292" s="365"/>
      <c r="L292" s="365"/>
      <c r="M292" s="365"/>
      <c r="N292" s="365"/>
      <c r="O292" s="365"/>
      <c r="P292" s="366"/>
    </row>
    <row r="293" spans="1:16" ht="15" customHeight="1" x14ac:dyDescent="0.25">
      <c r="B293" s="364"/>
      <c r="C293" s="365"/>
      <c r="D293" s="365"/>
      <c r="E293" s="365"/>
      <c r="F293" s="365"/>
      <c r="G293" s="365"/>
      <c r="H293" s="365"/>
      <c r="I293" s="365"/>
      <c r="J293" s="365"/>
      <c r="K293" s="365"/>
      <c r="L293" s="365"/>
      <c r="M293" s="365"/>
      <c r="N293" s="365"/>
      <c r="O293" s="365"/>
      <c r="P293" s="366"/>
    </row>
    <row r="294" spans="1:16" x14ac:dyDescent="0.25">
      <c r="B294" s="364"/>
      <c r="C294" s="365"/>
      <c r="D294" s="365"/>
      <c r="E294" s="365"/>
      <c r="F294" s="365"/>
      <c r="G294" s="365"/>
      <c r="H294" s="365"/>
      <c r="I294" s="365"/>
      <c r="J294" s="365"/>
      <c r="K294" s="365"/>
      <c r="L294" s="365"/>
      <c r="M294" s="365"/>
      <c r="N294" s="365"/>
      <c r="O294" s="365"/>
      <c r="P294" s="366"/>
    </row>
    <row r="295" spans="1:16" x14ac:dyDescent="0.25">
      <c r="B295" s="364"/>
      <c r="C295" s="365"/>
      <c r="D295" s="365"/>
      <c r="E295" s="365"/>
      <c r="F295" s="365"/>
      <c r="G295" s="365"/>
      <c r="H295" s="365"/>
      <c r="I295" s="365"/>
      <c r="J295" s="365"/>
      <c r="K295" s="365"/>
      <c r="L295" s="365"/>
      <c r="M295" s="365"/>
      <c r="N295" s="365"/>
      <c r="O295" s="365"/>
      <c r="P295" s="366"/>
    </row>
    <row r="296" spans="1:16" x14ac:dyDescent="0.25">
      <c r="B296" s="364"/>
      <c r="C296" s="365"/>
      <c r="D296" s="365"/>
      <c r="E296" s="365"/>
      <c r="F296" s="365"/>
      <c r="G296" s="365"/>
      <c r="H296" s="365"/>
      <c r="I296" s="365"/>
      <c r="J296" s="365"/>
      <c r="K296" s="365"/>
      <c r="L296" s="365"/>
      <c r="M296" s="365"/>
      <c r="N296" s="365"/>
      <c r="O296" s="365"/>
      <c r="P296" s="366"/>
    </row>
    <row r="297" spans="1:16" x14ac:dyDescent="0.25">
      <c r="B297" s="364"/>
      <c r="C297" s="365"/>
      <c r="D297" s="365"/>
      <c r="E297" s="365"/>
      <c r="F297" s="365"/>
      <c r="G297" s="365"/>
      <c r="H297" s="365"/>
      <c r="I297" s="365"/>
      <c r="J297" s="365"/>
      <c r="K297" s="365"/>
      <c r="L297" s="365"/>
      <c r="M297" s="365"/>
      <c r="N297" s="365"/>
      <c r="O297" s="365"/>
      <c r="P297" s="366"/>
    </row>
    <row r="298" spans="1:16" x14ac:dyDescent="0.25">
      <c r="B298" s="364"/>
      <c r="C298" s="365"/>
      <c r="D298" s="365"/>
      <c r="E298" s="365"/>
      <c r="F298" s="365"/>
      <c r="G298" s="365"/>
      <c r="H298" s="365"/>
      <c r="I298" s="365"/>
      <c r="J298" s="365"/>
      <c r="K298" s="365"/>
      <c r="L298" s="365"/>
      <c r="M298" s="365"/>
      <c r="N298" s="365"/>
      <c r="O298" s="365"/>
      <c r="P298" s="366"/>
    </row>
    <row r="299" spans="1:16" x14ac:dyDescent="0.25">
      <c r="B299" s="364"/>
      <c r="C299" s="365"/>
      <c r="D299" s="365"/>
      <c r="E299" s="365"/>
      <c r="F299" s="365"/>
      <c r="G299" s="365"/>
      <c r="H299" s="365"/>
      <c r="I299" s="365"/>
      <c r="J299" s="365"/>
      <c r="K299" s="365"/>
      <c r="L299" s="365"/>
      <c r="M299" s="365"/>
      <c r="N299" s="365"/>
      <c r="O299" s="365"/>
      <c r="P299" s="366"/>
    </row>
    <row r="300" spans="1:16" x14ac:dyDescent="0.25">
      <c r="B300" s="364"/>
      <c r="C300" s="365"/>
      <c r="D300" s="365"/>
      <c r="E300" s="365"/>
      <c r="F300" s="365"/>
      <c r="G300" s="365"/>
      <c r="H300" s="365"/>
      <c r="I300" s="365"/>
      <c r="J300" s="365"/>
      <c r="K300" s="365"/>
      <c r="L300" s="365"/>
      <c r="M300" s="365"/>
      <c r="N300" s="365"/>
      <c r="O300" s="365"/>
      <c r="P300" s="366"/>
    </row>
    <row r="301" spans="1:16" x14ac:dyDescent="0.25">
      <c r="B301" s="364"/>
      <c r="C301" s="365"/>
      <c r="D301" s="365"/>
      <c r="E301" s="365"/>
      <c r="F301" s="365"/>
      <c r="G301" s="365"/>
      <c r="H301" s="365"/>
      <c r="I301" s="365"/>
      <c r="J301" s="365"/>
      <c r="K301" s="365"/>
      <c r="L301" s="365"/>
      <c r="M301" s="365"/>
      <c r="N301" s="365"/>
      <c r="O301" s="365"/>
      <c r="P301" s="366"/>
    </row>
    <row r="302" spans="1:16" x14ac:dyDescent="0.25">
      <c r="B302" s="364"/>
      <c r="C302" s="365"/>
      <c r="D302" s="365"/>
      <c r="E302" s="365"/>
      <c r="F302" s="365"/>
      <c r="G302" s="365"/>
      <c r="H302" s="365"/>
      <c r="I302" s="365"/>
      <c r="J302" s="365"/>
      <c r="K302" s="365"/>
      <c r="L302" s="365"/>
      <c r="M302" s="365"/>
      <c r="N302" s="365"/>
      <c r="O302" s="365"/>
      <c r="P302" s="366"/>
    </row>
    <row r="303" spans="1:16" x14ac:dyDescent="0.25">
      <c r="B303" s="364"/>
      <c r="C303" s="365"/>
      <c r="D303" s="365"/>
      <c r="E303" s="365"/>
      <c r="F303" s="365"/>
      <c r="G303" s="365"/>
      <c r="H303" s="365"/>
      <c r="I303" s="365"/>
      <c r="J303" s="365"/>
      <c r="K303" s="365"/>
      <c r="L303" s="365"/>
      <c r="M303" s="365"/>
      <c r="N303" s="365"/>
      <c r="O303" s="365"/>
      <c r="P303" s="366"/>
    </row>
    <row r="304" spans="1:16" x14ac:dyDescent="0.25">
      <c r="B304" s="364"/>
      <c r="C304" s="365"/>
      <c r="D304" s="365"/>
      <c r="E304" s="365"/>
      <c r="F304" s="365"/>
      <c r="G304" s="365"/>
      <c r="H304" s="365"/>
      <c r="I304" s="365"/>
      <c r="J304" s="365"/>
      <c r="K304" s="365"/>
      <c r="L304" s="365"/>
      <c r="M304" s="365"/>
      <c r="N304" s="365"/>
      <c r="O304" s="365"/>
      <c r="P304" s="366"/>
    </row>
    <row r="305" spans="1:16" x14ac:dyDescent="0.25">
      <c r="B305" s="364"/>
      <c r="C305" s="365"/>
      <c r="D305" s="365"/>
      <c r="E305" s="365"/>
      <c r="F305" s="365"/>
      <c r="G305" s="365"/>
      <c r="H305" s="365"/>
      <c r="I305" s="365"/>
      <c r="J305" s="365"/>
      <c r="K305" s="365"/>
      <c r="L305" s="365"/>
      <c r="M305" s="365"/>
      <c r="N305" s="365"/>
      <c r="O305" s="365"/>
      <c r="P305" s="366"/>
    </row>
    <row r="306" spans="1:16" x14ac:dyDescent="0.25">
      <c r="B306" s="367"/>
      <c r="C306" s="368"/>
      <c r="D306" s="368"/>
      <c r="E306" s="368"/>
      <c r="F306" s="368"/>
      <c r="G306" s="368"/>
      <c r="H306" s="368"/>
      <c r="I306" s="368"/>
      <c r="J306" s="368"/>
      <c r="K306" s="368"/>
      <c r="L306" s="368"/>
      <c r="M306" s="368"/>
      <c r="N306" s="368"/>
      <c r="O306" s="368"/>
      <c r="P306" s="369"/>
    </row>
    <row r="307" spans="1:16" x14ac:dyDescent="0.25">
      <c r="B307" s="74"/>
      <c r="C307" s="74"/>
      <c r="D307" s="74"/>
      <c r="E307" s="74"/>
      <c r="F307" s="74"/>
      <c r="G307" s="74"/>
      <c r="H307" s="74"/>
      <c r="I307" s="74"/>
      <c r="J307" s="74"/>
      <c r="K307" s="74"/>
      <c r="L307" s="74"/>
      <c r="M307" s="74"/>
      <c r="N307" s="74"/>
      <c r="O307" s="74"/>
      <c r="P307" s="74"/>
    </row>
    <row r="308" spans="1:16" ht="15" customHeight="1" x14ac:dyDescent="0.25">
      <c r="A308" s="53">
        <v>3</v>
      </c>
      <c r="B308" s="319" t="s">
        <v>363</v>
      </c>
      <c r="C308" s="328"/>
      <c r="D308" s="328"/>
      <c r="E308" s="328"/>
      <c r="F308" s="328"/>
      <c r="G308" s="328"/>
      <c r="H308" s="328"/>
      <c r="I308" s="328"/>
      <c r="J308" s="328"/>
      <c r="K308" s="328"/>
      <c r="L308" s="328"/>
      <c r="M308" s="328"/>
      <c r="N308" s="328"/>
      <c r="O308" s="328"/>
      <c r="P308" s="329"/>
    </row>
    <row r="309" spans="1:16" x14ac:dyDescent="0.25">
      <c r="B309" s="330"/>
      <c r="C309" s="331"/>
      <c r="D309" s="331"/>
      <c r="E309" s="331"/>
      <c r="F309" s="331"/>
      <c r="G309" s="331"/>
      <c r="H309" s="331"/>
      <c r="I309" s="331"/>
      <c r="J309" s="331"/>
      <c r="K309" s="331"/>
      <c r="L309" s="331"/>
      <c r="M309" s="331"/>
      <c r="N309" s="331"/>
      <c r="O309" s="331"/>
      <c r="P309" s="332"/>
    </row>
    <row r="310" spans="1:16" x14ac:dyDescent="0.25">
      <c r="B310" s="330"/>
      <c r="C310" s="331"/>
      <c r="D310" s="331"/>
      <c r="E310" s="331"/>
      <c r="F310" s="331"/>
      <c r="G310" s="331"/>
      <c r="H310" s="331"/>
      <c r="I310" s="331"/>
      <c r="J310" s="331"/>
      <c r="K310" s="331"/>
      <c r="L310" s="331"/>
      <c r="M310" s="331"/>
      <c r="N310" s="331"/>
      <c r="O310" s="331"/>
      <c r="P310" s="332"/>
    </row>
    <row r="311" spans="1:16" x14ac:dyDescent="0.25">
      <c r="B311" s="330"/>
      <c r="C311" s="331"/>
      <c r="D311" s="331"/>
      <c r="E311" s="331"/>
      <c r="F311" s="331"/>
      <c r="G311" s="331"/>
      <c r="H311" s="331"/>
      <c r="I311" s="331"/>
      <c r="J311" s="331"/>
      <c r="K311" s="331"/>
      <c r="L311" s="331"/>
      <c r="M311" s="331"/>
      <c r="N311" s="331"/>
      <c r="O311" s="331"/>
      <c r="P311" s="332"/>
    </row>
    <row r="312" spans="1:16" x14ac:dyDescent="0.25">
      <c r="B312" s="333"/>
      <c r="C312" s="334"/>
      <c r="D312" s="334"/>
      <c r="E312" s="334"/>
      <c r="F312" s="334"/>
      <c r="G312" s="334"/>
      <c r="H312" s="334"/>
      <c r="I312" s="334"/>
      <c r="J312" s="334"/>
      <c r="K312" s="334"/>
      <c r="L312" s="334"/>
      <c r="M312" s="334"/>
      <c r="N312" s="334"/>
      <c r="O312" s="334"/>
      <c r="P312" s="335"/>
    </row>
    <row r="313" spans="1:16" x14ac:dyDescent="0.25">
      <c r="B313" s="420"/>
      <c r="C313" s="420"/>
      <c r="D313" s="420"/>
      <c r="E313" s="420"/>
      <c r="F313" s="420"/>
      <c r="G313" s="420"/>
      <c r="H313" s="420"/>
      <c r="I313" s="420"/>
      <c r="J313" s="420"/>
      <c r="K313" s="420"/>
      <c r="L313" s="420"/>
      <c r="M313" s="420"/>
      <c r="N313" s="420"/>
      <c r="O313" s="420"/>
      <c r="P313" s="420"/>
    </row>
    <row r="314" spans="1:16" x14ac:dyDescent="0.25">
      <c r="A314" s="53">
        <v>4</v>
      </c>
      <c r="B314" s="319" t="s">
        <v>319</v>
      </c>
      <c r="C314" s="320"/>
      <c r="D314" s="320"/>
      <c r="E314" s="320"/>
      <c r="F314" s="320"/>
      <c r="G314" s="320"/>
      <c r="H314" s="320"/>
      <c r="I314" s="320"/>
      <c r="J314" s="320"/>
      <c r="K314" s="320"/>
      <c r="L314" s="320"/>
      <c r="M314" s="320"/>
      <c r="N314" s="320"/>
      <c r="O314" s="320"/>
      <c r="P314" s="321"/>
    </row>
    <row r="315" spans="1:16" x14ac:dyDescent="0.25">
      <c r="B315" s="322"/>
      <c r="C315" s="323"/>
      <c r="D315" s="323"/>
      <c r="E315" s="323"/>
      <c r="F315" s="323"/>
      <c r="G315" s="323"/>
      <c r="H315" s="323"/>
      <c r="I315" s="323"/>
      <c r="J315" s="323"/>
      <c r="K315" s="323"/>
      <c r="L315" s="323"/>
      <c r="M315" s="323"/>
      <c r="N315" s="323"/>
      <c r="O315" s="323"/>
      <c r="P315" s="324"/>
    </row>
    <row r="316" spans="1:16" x14ac:dyDescent="0.25">
      <c r="B316" s="322"/>
      <c r="C316" s="323"/>
      <c r="D316" s="323"/>
      <c r="E316" s="323"/>
      <c r="F316" s="323"/>
      <c r="G316" s="323"/>
      <c r="H316" s="323"/>
      <c r="I316" s="323"/>
      <c r="J316" s="323"/>
      <c r="K316" s="323"/>
      <c r="L316" s="323"/>
      <c r="M316" s="323"/>
      <c r="N316" s="323"/>
      <c r="O316" s="323"/>
      <c r="P316" s="324"/>
    </row>
    <row r="317" spans="1:16" x14ac:dyDescent="0.25">
      <c r="B317" s="322"/>
      <c r="C317" s="323"/>
      <c r="D317" s="323"/>
      <c r="E317" s="323"/>
      <c r="F317" s="323"/>
      <c r="G317" s="323"/>
      <c r="H317" s="323"/>
      <c r="I317" s="323"/>
      <c r="J317" s="323"/>
      <c r="K317" s="323"/>
      <c r="L317" s="323"/>
      <c r="M317" s="323"/>
      <c r="N317" s="323"/>
      <c r="O317" s="323"/>
      <c r="P317" s="324"/>
    </row>
    <row r="318" spans="1:16" x14ac:dyDescent="0.25">
      <c r="B318" s="322"/>
      <c r="C318" s="323"/>
      <c r="D318" s="323"/>
      <c r="E318" s="323"/>
      <c r="F318" s="323"/>
      <c r="G318" s="323"/>
      <c r="H318" s="323"/>
      <c r="I318" s="323"/>
      <c r="J318" s="323"/>
      <c r="K318" s="323"/>
      <c r="L318" s="323"/>
      <c r="M318" s="323"/>
      <c r="N318" s="323"/>
      <c r="O318" s="323"/>
      <c r="P318" s="324"/>
    </row>
    <row r="319" spans="1:16" x14ac:dyDescent="0.25">
      <c r="B319" s="322"/>
      <c r="C319" s="323"/>
      <c r="D319" s="323"/>
      <c r="E319" s="323"/>
      <c r="F319" s="323"/>
      <c r="G319" s="323"/>
      <c r="H319" s="323"/>
      <c r="I319" s="323"/>
      <c r="J319" s="323"/>
      <c r="K319" s="323"/>
      <c r="L319" s="323"/>
      <c r="M319" s="323"/>
      <c r="N319" s="323"/>
      <c r="O319" s="323"/>
      <c r="P319" s="324"/>
    </row>
    <row r="320" spans="1:16" x14ac:dyDescent="0.25">
      <c r="B320" s="325"/>
      <c r="C320" s="326"/>
      <c r="D320" s="326"/>
      <c r="E320" s="326"/>
      <c r="F320" s="326"/>
      <c r="G320" s="326"/>
      <c r="H320" s="326"/>
      <c r="I320" s="326"/>
      <c r="J320" s="326"/>
      <c r="K320" s="326"/>
      <c r="L320" s="326"/>
      <c r="M320" s="326"/>
      <c r="N320" s="326"/>
      <c r="O320" s="326"/>
      <c r="P320" s="327"/>
    </row>
    <row r="322" spans="1:16" x14ac:dyDescent="0.25">
      <c r="A322" s="53">
        <v>5</v>
      </c>
      <c r="B322" s="14" t="s">
        <v>327</v>
      </c>
      <c r="C322" s="85"/>
      <c r="D322" s="85"/>
      <c r="E322" s="85"/>
      <c r="F322" s="85"/>
      <c r="G322" s="85"/>
      <c r="H322" s="85"/>
      <c r="I322" s="85"/>
      <c r="J322" s="85"/>
      <c r="K322" s="85"/>
      <c r="L322" s="85"/>
      <c r="M322" s="85"/>
      <c r="N322" s="85"/>
      <c r="O322" s="85"/>
      <c r="P322" s="86"/>
    </row>
    <row r="324" spans="1:16" x14ac:dyDescent="0.25">
      <c r="A324" s="53">
        <v>6</v>
      </c>
      <c r="B324" s="388" t="s">
        <v>304</v>
      </c>
      <c r="C324" s="389"/>
      <c r="D324" s="389"/>
      <c r="E324" s="389"/>
      <c r="F324" s="389"/>
      <c r="G324" s="389"/>
      <c r="H324" s="389"/>
      <c r="I324" s="389"/>
      <c r="J324" s="389"/>
      <c r="K324" s="389"/>
      <c r="L324" s="389"/>
      <c r="M324" s="389"/>
      <c r="N324" s="389"/>
      <c r="O324" s="389"/>
      <c r="P324" s="390"/>
    </row>
    <row r="325" spans="1:16" x14ac:dyDescent="0.25">
      <c r="A325"/>
      <c r="B325" s="391"/>
      <c r="C325" s="331"/>
      <c r="D325" s="331"/>
      <c r="E325" s="331"/>
      <c r="F325" s="331"/>
      <c r="G325" s="331"/>
      <c r="H325" s="331"/>
      <c r="I325" s="331"/>
      <c r="J325" s="331"/>
      <c r="K325" s="331"/>
      <c r="L325" s="331"/>
      <c r="M325" s="331"/>
      <c r="N325" s="331"/>
      <c r="O325" s="331"/>
      <c r="P325" s="392"/>
    </row>
    <row r="326" spans="1:16" x14ac:dyDescent="0.25">
      <c r="A326"/>
      <c r="B326" s="391"/>
      <c r="C326" s="331"/>
      <c r="D326" s="331"/>
      <c r="E326" s="331"/>
      <c r="F326" s="331"/>
      <c r="G326" s="331"/>
      <c r="H326" s="331"/>
      <c r="I326" s="331"/>
      <c r="J326" s="331"/>
      <c r="K326" s="331"/>
      <c r="L326" s="331"/>
      <c r="M326" s="331"/>
      <c r="N326" s="331"/>
      <c r="O326" s="331"/>
      <c r="P326" s="392"/>
    </row>
    <row r="327" spans="1:16" x14ac:dyDescent="0.25">
      <c r="A327"/>
      <c r="B327" s="393"/>
      <c r="C327" s="394"/>
      <c r="D327" s="394"/>
      <c r="E327" s="394"/>
      <c r="F327" s="394"/>
      <c r="G327" s="394"/>
      <c r="H327" s="394"/>
      <c r="I327" s="394"/>
      <c r="J327" s="394"/>
      <c r="K327" s="394"/>
      <c r="L327" s="394"/>
      <c r="M327" s="394"/>
      <c r="N327" s="394"/>
      <c r="O327" s="394"/>
      <c r="P327" s="395"/>
    </row>
    <row r="328" spans="1:16" x14ac:dyDescent="0.25">
      <c r="A328"/>
    </row>
    <row r="329" spans="1:16" ht="15" customHeight="1" x14ac:dyDescent="0.25">
      <c r="A329" s="53">
        <v>7</v>
      </c>
      <c r="B329" s="319" t="s">
        <v>318</v>
      </c>
      <c r="C329" s="328"/>
      <c r="D329" s="328"/>
      <c r="E329" s="328"/>
      <c r="F329" s="328"/>
      <c r="G329" s="328"/>
      <c r="H329" s="328"/>
      <c r="I329" s="328"/>
      <c r="J329" s="328"/>
      <c r="K329" s="328"/>
      <c r="L329" s="328"/>
      <c r="M329" s="328"/>
      <c r="N329" s="328"/>
      <c r="O329" s="328"/>
      <c r="P329" s="329"/>
    </row>
    <row r="330" spans="1:16" x14ac:dyDescent="0.25">
      <c r="A330"/>
      <c r="B330" s="330"/>
      <c r="C330" s="331"/>
      <c r="D330" s="331"/>
      <c r="E330" s="331"/>
      <c r="F330" s="331"/>
      <c r="G330" s="331"/>
      <c r="H330" s="331"/>
      <c r="I330" s="331"/>
      <c r="J330" s="331"/>
      <c r="K330" s="331"/>
      <c r="L330" s="331"/>
      <c r="M330" s="331"/>
      <c r="N330" s="331"/>
      <c r="O330" s="331"/>
      <c r="P330" s="332"/>
    </row>
    <row r="331" spans="1:16" x14ac:dyDescent="0.25">
      <c r="A331"/>
      <c r="B331" s="330"/>
      <c r="C331" s="331"/>
      <c r="D331" s="331"/>
      <c r="E331" s="331"/>
      <c r="F331" s="331"/>
      <c r="G331" s="331"/>
      <c r="H331" s="331"/>
      <c r="I331" s="331"/>
      <c r="J331" s="331"/>
      <c r="K331" s="331"/>
      <c r="L331" s="331"/>
      <c r="M331" s="331"/>
      <c r="N331" s="331"/>
      <c r="O331" s="331"/>
      <c r="P331" s="332"/>
    </row>
    <row r="332" spans="1:16" x14ac:dyDescent="0.25">
      <c r="B332" s="330"/>
      <c r="C332" s="331"/>
      <c r="D332" s="331"/>
      <c r="E332" s="331"/>
      <c r="F332" s="331"/>
      <c r="G332" s="331"/>
      <c r="H332" s="331"/>
      <c r="I332" s="331"/>
      <c r="J332" s="331"/>
      <c r="K332" s="331"/>
      <c r="L332" s="331"/>
      <c r="M332" s="331"/>
      <c r="N332" s="331"/>
      <c r="O332" s="331"/>
      <c r="P332" s="332"/>
    </row>
    <row r="333" spans="1:16" x14ac:dyDescent="0.25">
      <c r="B333" s="330"/>
      <c r="C333" s="331"/>
      <c r="D333" s="331"/>
      <c r="E333" s="331"/>
      <c r="F333" s="331"/>
      <c r="G333" s="331"/>
      <c r="H333" s="331"/>
      <c r="I333" s="331"/>
      <c r="J333" s="331"/>
      <c r="K333" s="331"/>
      <c r="L333" s="331"/>
      <c r="M333" s="331"/>
      <c r="N333" s="331"/>
      <c r="O333" s="331"/>
      <c r="P333" s="332"/>
    </row>
    <row r="334" spans="1:16" x14ac:dyDescent="0.25">
      <c r="B334" s="330"/>
      <c r="C334" s="331"/>
      <c r="D334" s="331"/>
      <c r="E334" s="331"/>
      <c r="F334" s="331"/>
      <c r="G334" s="331"/>
      <c r="H334" s="331"/>
      <c r="I334" s="331"/>
      <c r="J334" s="331"/>
      <c r="K334" s="331"/>
      <c r="L334" s="331"/>
      <c r="M334" s="331"/>
      <c r="N334" s="331"/>
      <c r="O334" s="331"/>
      <c r="P334" s="332"/>
    </row>
    <row r="335" spans="1:16" x14ac:dyDescent="0.25">
      <c r="B335" s="330"/>
      <c r="C335" s="331"/>
      <c r="D335" s="331"/>
      <c r="E335" s="331"/>
      <c r="F335" s="331"/>
      <c r="G335" s="331"/>
      <c r="H335" s="331"/>
      <c r="I335" s="331"/>
      <c r="J335" s="331"/>
      <c r="K335" s="331"/>
      <c r="L335" s="331"/>
      <c r="M335" s="331"/>
      <c r="N335" s="331"/>
      <c r="O335" s="331"/>
      <c r="P335" s="332"/>
    </row>
    <row r="336" spans="1:16" x14ac:dyDescent="0.25">
      <c r="B336" s="330"/>
      <c r="C336" s="331"/>
      <c r="D336" s="331"/>
      <c r="E336" s="331"/>
      <c r="F336" s="331"/>
      <c r="G336" s="331"/>
      <c r="H336" s="331"/>
      <c r="I336" s="331"/>
      <c r="J336" s="331"/>
      <c r="K336" s="331"/>
      <c r="L336" s="331"/>
      <c r="M336" s="331"/>
      <c r="N336" s="331"/>
      <c r="O336" s="331"/>
      <c r="P336" s="332"/>
    </row>
    <row r="337" spans="1:16" x14ac:dyDescent="0.25">
      <c r="B337" s="330"/>
      <c r="C337" s="331"/>
      <c r="D337" s="331"/>
      <c r="E337" s="331"/>
      <c r="F337" s="331"/>
      <c r="G337" s="331"/>
      <c r="H337" s="331"/>
      <c r="I337" s="331"/>
      <c r="J337" s="331"/>
      <c r="K337" s="331"/>
      <c r="L337" s="331"/>
      <c r="M337" s="331"/>
      <c r="N337" s="331"/>
      <c r="O337" s="331"/>
      <c r="P337" s="332"/>
    </row>
    <row r="338" spans="1:16" x14ac:dyDescent="0.25">
      <c r="B338" s="330"/>
      <c r="C338" s="331"/>
      <c r="D338" s="331"/>
      <c r="E338" s="331"/>
      <c r="F338" s="331"/>
      <c r="G338" s="331"/>
      <c r="H338" s="331"/>
      <c r="I338" s="331"/>
      <c r="J338" s="331"/>
      <c r="K338" s="331"/>
      <c r="L338" s="331"/>
      <c r="M338" s="331"/>
      <c r="N338" s="331"/>
      <c r="O338" s="331"/>
      <c r="P338" s="332"/>
    </row>
    <row r="339" spans="1:16" x14ac:dyDescent="0.25">
      <c r="B339" s="330"/>
      <c r="C339" s="331"/>
      <c r="D339" s="331"/>
      <c r="E339" s="331"/>
      <c r="F339" s="331"/>
      <c r="G339" s="331"/>
      <c r="H339" s="331"/>
      <c r="I339" s="331"/>
      <c r="J339" s="331"/>
      <c r="K339" s="331"/>
      <c r="L339" s="331"/>
      <c r="M339" s="331"/>
      <c r="N339" s="331"/>
      <c r="O339" s="331"/>
      <c r="P339" s="332"/>
    </row>
    <row r="340" spans="1:16" x14ac:dyDescent="0.25">
      <c r="B340" s="330"/>
      <c r="C340" s="331"/>
      <c r="D340" s="331"/>
      <c r="E340" s="331"/>
      <c r="F340" s="331"/>
      <c r="G340" s="331"/>
      <c r="H340" s="331"/>
      <c r="I340" s="331"/>
      <c r="J340" s="331"/>
      <c r="K340" s="331"/>
      <c r="L340" s="331"/>
      <c r="M340" s="331"/>
      <c r="N340" s="331"/>
      <c r="O340" s="331"/>
      <c r="P340" s="332"/>
    </row>
    <row r="341" spans="1:16" x14ac:dyDescent="0.25">
      <c r="B341" s="330"/>
      <c r="C341" s="331"/>
      <c r="D341" s="331"/>
      <c r="E341" s="331"/>
      <c r="F341" s="331"/>
      <c r="G341" s="331"/>
      <c r="H341" s="331"/>
      <c r="I341" s="331"/>
      <c r="J341" s="331"/>
      <c r="K341" s="331"/>
      <c r="L341" s="331"/>
      <c r="M341" s="331"/>
      <c r="N341" s="331"/>
      <c r="O341" s="331"/>
      <c r="P341" s="332"/>
    </row>
    <row r="342" spans="1:16" x14ac:dyDescent="0.25">
      <c r="B342" s="330"/>
      <c r="C342" s="331"/>
      <c r="D342" s="331"/>
      <c r="E342" s="331"/>
      <c r="F342" s="331"/>
      <c r="G342" s="331"/>
      <c r="H342" s="331"/>
      <c r="I342" s="331"/>
      <c r="J342" s="331"/>
      <c r="K342" s="331"/>
      <c r="L342" s="331"/>
      <c r="M342" s="331"/>
      <c r="N342" s="331"/>
      <c r="O342" s="331"/>
      <c r="P342" s="332"/>
    </row>
    <row r="343" spans="1:16" x14ac:dyDescent="0.25">
      <c r="B343" s="330"/>
      <c r="C343" s="331"/>
      <c r="D343" s="331"/>
      <c r="E343" s="331"/>
      <c r="F343" s="331"/>
      <c r="G343" s="331"/>
      <c r="H343" s="331"/>
      <c r="I343" s="331"/>
      <c r="J343" s="331"/>
      <c r="K343" s="331"/>
      <c r="L343" s="331"/>
      <c r="M343" s="331"/>
      <c r="N343" s="331"/>
      <c r="O343" s="331"/>
      <c r="P343" s="332"/>
    </row>
    <row r="344" spans="1:16" x14ac:dyDescent="0.25">
      <c r="B344" s="330"/>
      <c r="C344" s="331"/>
      <c r="D344" s="331"/>
      <c r="E344" s="331"/>
      <c r="F344" s="331"/>
      <c r="G344" s="331"/>
      <c r="H344" s="331"/>
      <c r="I344" s="331"/>
      <c r="J344" s="331"/>
      <c r="K344" s="331"/>
      <c r="L344" s="331"/>
      <c r="M344" s="331"/>
      <c r="N344" s="331"/>
      <c r="O344" s="331"/>
      <c r="P344" s="332"/>
    </row>
    <row r="345" spans="1:16" x14ac:dyDescent="0.25">
      <c r="B345" s="330"/>
      <c r="C345" s="331"/>
      <c r="D345" s="331"/>
      <c r="E345" s="331"/>
      <c r="F345" s="331"/>
      <c r="G345" s="331"/>
      <c r="H345" s="331"/>
      <c r="I345" s="331"/>
      <c r="J345" s="331"/>
      <c r="K345" s="331"/>
      <c r="L345" s="331"/>
      <c r="M345" s="331"/>
      <c r="N345" s="331"/>
      <c r="O345" s="331"/>
      <c r="P345" s="332"/>
    </row>
    <row r="346" spans="1:16" x14ac:dyDescent="0.25">
      <c r="B346" s="333"/>
      <c r="C346" s="334"/>
      <c r="D346" s="334"/>
      <c r="E346" s="334"/>
      <c r="F346" s="334"/>
      <c r="G346" s="334"/>
      <c r="H346" s="334"/>
      <c r="I346" s="334"/>
      <c r="J346" s="334"/>
      <c r="K346" s="334"/>
      <c r="L346" s="334"/>
      <c r="M346" s="334"/>
      <c r="N346" s="334"/>
      <c r="O346" s="334"/>
      <c r="P346" s="335"/>
    </row>
    <row r="348" spans="1:16" x14ac:dyDescent="0.25">
      <c r="A348" s="53">
        <v>8</v>
      </c>
      <c r="B348" s="336" t="s">
        <v>364</v>
      </c>
      <c r="C348" s="413"/>
      <c r="D348" s="413"/>
      <c r="E348" s="413"/>
      <c r="F348" s="413"/>
      <c r="G348" s="413"/>
      <c r="H348" s="413"/>
      <c r="I348" s="413"/>
      <c r="J348" s="413"/>
      <c r="K348" s="413"/>
      <c r="L348" s="413"/>
      <c r="M348" s="413"/>
      <c r="N348" s="413"/>
      <c r="O348" s="413"/>
      <c r="P348" s="414"/>
    </row>
    <row r="349" spans="1:16" x14ac:dyDescent="0.25">
      <c r="B349" s="415"/>
      <c r="C349" s="323"/>
      <c r="D349" s="323"/>
      <c r="E349" s="323"/>
      <c r="F349" s="323"/>
      <c r="G349" s="323"/>
      <c r="H349" s="323"/>
      <c r="I349" s="323"/>
      <c r="J349" s="323"/>
      <c r="K349" s="323"/>
      <c r="L349" s="323"/>
      <c r="M349" s="323"/>
      <c r="N349" s="323"/>
      <c r="O349" s="323"/>
      <c r="P349" s="416"/>
    </row>
    <row r="350" spans="1:16" x14ac:dyDescent="0.25">
      <c r="B350" s="415"/>
      <c r="C350" s="323"/>
      <c r="D350" s="323"/>
      <c r="E350" s="323"/>
      <c r="F350" s="323"/>
      <c r="G350" s="323"/>
      <c r="H350" s="323"/>
      <c r="I350" s="323"/>
      <c r="J350" s="323"/>
      <c r="K350" s="323"/>
      <c r="L350" s="323"/>
      <c r="M350" s="323"/>
      <c r="N350" s="323"/>
      <c r="O350" s="323"/>
      <c r="P350" s="416"/>
    </row>
    <row r="351" spans="1:16" x14ac:dyDescent="0.25">
      <c r="B351" s="415"/>
      <c r="C351" s="323"/>
      <c r="D351" s="323"/>
      <c r="E351" s="323"/>
      <c r="F351" s="323"/>
      <c r="G351" s="323"/>
      <c r="H351" s="323"/>
      <c r="I351" s="323"/>
      <c r="J351" s="323"/>
      <c r="K351" s="323"/>
      <c r="L351" s="323"/>
      <c r="M351" s="323"/>
      <c r="N351" s="323"/>
      <c r="O351" s="323"/>
      <c r="P351" s="416"/>
    </row>
    <row r="352" spans="1:16" x14ac:dyDescent="0.25">
      <c r="B352" s="415"/>
      <c r="C352" s="323"/>
      <c r="D352" s="323"/>
      <c r="E352" s="323"/>
      <c r="F352" s="323"/>
      <c r="G352" s="323"/>
      <c r="H352" s="323"/>
      <c r="I352" s="323"/>
      <c r="J352" s="323"/>
      <c r="K352" s="323"/>
      <c r="L352" s="323"/>
      <c r="M352" s="323"/>
      <c r="N352" s="323"/>
      <c r="O352" s="323"/>
      <c r="P352" s="416"/>
    </row>
    <row r="353" spans="1:16" x14ac:dyDescent="0.25">
      <c r="B353" s="415"/>
      <c r="C353" s="323"/>
      <c r="D353" s="323"/>
      <c r="E353" s="323"/>
      <c r="F353" s="323"/>
      <c r="G353" s="323"/>
      <c r="H353" s="323"/>
      <c r="I353" s="323"/>
      <c r="J353" s="323"/>
      <c r="K353" s="323"/>
      <c r="L353" s="323"/>
      <c r="M353" s="323"/>
      <c r="N353" s="323"/>
      <c r="O353" s="323"/>
      <c r="P353" s="416"/>
    </row>
    <row r="354" spans="1:16" x14ac:dyDescent="0.25">
      <c r="B354" s="415"/>
      <c r="C354" s="323"/>
      <c r="D354" s="323"/>
      <c r="E354" s="323"/>
      <c r="F354" s="323"/>
      <c r="G354" s="323"/>
      <c r="H354" s="323"/>
      <c r="I354" s="323"/>
      <c r="J354" s="323"/>
      <c r="K354" s="323"/>
      <c r="L354" s="323"/>
      <c r="M354" s="323"/>
      <c r="N354" s="323"/>
      <c r="O354" s="323"/>
      <c r="P354" s="416"/>
    </row>
    <row r="355" spans="1:16" x14ac:dyDescent="0.25">
      <c r="B355" s="415"/>
      <c r="C355" s="323"/>
      <c r="D355" s="323"/>
      <c r="E355" s="323"/>
      <c r="F355" s="323"/>
      <c r="G355" s="323"/>
      <c r="H355" s="323"/>
      <c r="I355" s="323"/>
      <c r="J355" s="323"/>
      <c r="K355" s="323"/>
      <c r="L355" s="323"/>
      <c r="M355" s="323"/>
      <c r="N355" s="323"/>
      <c r="O355" s="323"/>
      <c r="P355" s="416"/>
    </row>
    <row r="356" spans="1:16" x14ac:dyDescent="0.25">
      <c r="B356" s="417"/>
      <c r="C356" s="418"/>
      <c r="D356" s="418"/>
      <c r="E356" s="418"/>
      <c r="F356" s="418"/>
      <c r="G356" s="418"/>
      <c r="H356" s="418"/>
      <c r="I356" s="418"/>
      <c r="J356" s="418"/>
      <c r="K356" s="418"/>
      <c r="L356" s="418"/>
      <c r="M356" s="418"/>
      <c r="N356" s="418"/>
      <c r="O356" s="418"/>
      <c r="P356" s="419"/>
    </row>
    <row r="357" spans="1:16" x14ac:dyDescent="0.25">
      <c r="A357" s="32"/>
      <c r="B357" s="24"/>
    </row>
    <row r="358" spans="1:16" ht="15" customHeight="1" x14ac:dyDescent="0.25">
      <c r="A358" s="53">
        <v>9</v>
      </c>
      <c r="B358" s="353" t="s">
        <v>371</v>
      </c>
      <c r="C358" s="354"/>
      <c r="D358" s="354"/>
      <c r="E358" s="354"/>
      <c r="F358" s="354"/>
      <c r="G358" s="354"/>
      <c r="H358" s="354"/>
      <c r="I358" s="354"/>
      <c r="J358" s="354"/>
      <c r="K358" s="354"/>
      <c r="L358" s="354"/>
      <c r="M358" s="354"/>
      <c r="N358" s="354"/>
      <c r="O358" s="354"/>
      <c r="P358" s="355"/>
    </row>
    <row r="359" spans="1:16" x14ac:dyDescent="0.25">
      <c r="A359"/>
      <c r="B359" s="356"/>
      <c r="C359" s="340"/>
      <c r="D359" s="340"/>
      <c r="E359" s="340"/>
      <c r="F359" s="340"/>
      <c r="G359" s="340"/>
      <c r="H359" s="340"/>
      <c r="I359" s="340"/>
      <c r="J359" s="340"/>
      <c r="K359" s="340"/>
      <c r="L359" s="340"/>
      <c r="M359" s="340"/>
      <c r="N359" s="340"/>
      <c r="O359" s="340"/>
      <c r="P359" s="357"/>
    </row>
    <row r="360" spans="1:16" x14ac:dyDescent="0.25">
      <c r="A360"/>
      <c r="B360" s="356"/>
      <c r="C360" s="340"/>
      <c r="D360" s="340"/>
      <c r="E360" s="340"/>
      <c r="F360" s="340"/>
      <c r="G360" s="340"/>
      <c r="H360" s="340"/>
      <c r="I360" s="340"/>
      <c r="J360" s="340"/>
      <c r="K360" s="340"/>
      <c r="L360" s="340"/>
      <c r="M360" s="340"/>
      <c r="N360" s="340"/>
      <c r="O360" s="340"/>
      <c r="P360" s="357"/>
    </row>
    <row r="361" spans="1:16" x14ac:dyDescent="0.25">
      <c r="A361"/>
      <c r="B361" s="356"/>
      <c r="C361" s="340"/>
      <c r="D361" s="340"/>
      <c r="E361" s="340"/>
      <c r="F361" s="340"/>
      <c r="G361" s="340"/>
      <c r="H361" s="340"/>
      <c r="I361" s="340"/>
      <c r="J361" s="340"/>
      <c r="K361" s="340"/>
      <c r="L361" s="340"/>
      <c r="M361" s="340"/>
      <c r="N361" s="340"/>
      <c r="O361" s="340"/>
      <c r="P361" s="357"/>
    </row>
    <row r="362" spans="1:16" x14ac:dyDescent="0.25">
      <c r="A362"/>
      <c r="B362" s="356"/>
      <c r="C362" s="340"/>
      <c r="D362" s="340"/>
      <c r="E362" s="340"/>
      <c r="F362" s="340"/>
      <c r="G362" s="340"/>
      <c r="H362" s="340"/>
      <c r="I362" s="340"/>
      <c r="J362" s="340"/>
      <c r="K362" s="340"/>
      <c r="L362" s="340"/>
      <c r="M362" s="340"/>
      <c r="N362" s="340"/>
      <c r="O362" s="340"/>
      <c r="P362" s="357"/>
    </row>
    <row r="363" spans="1:16" x14ac:dyDescent="0.25">
      <c r="A363"/>
      <c r="B363" s="356"/>
      <c r="C363" s="340"/>
      <c r="D363" s="340"/>
      <c r="E363" s="340"/>
      <c r="F363" s="340"/>
      <c r="G363" s="340"/>
      <c r="H363" s="340"/>
      <c r="I363" s="340"/>
      <c r="J363" s="340"/>
      <c r="K363" s="340"/>
      <c r="L363" s="340"/>
      <c r="M363" s="340"/>
      <c r="N363" s="340"/>
      <c r="O363" s="340"/>
      <c r="P363" s="357"/>
    </row>
    <row r="364" spans="1:16" x14ac:dyDescent="0.25">
      <c r="A364"/>
      <c r="B364" s="358"/>
      <c r="C364" s="359"/>
      <c r="D364" s="359"/>
      <c r="E364" s="359"/>
      <c r="F364" s="359"/>
      <c r="G364" s="359"/>
      <c r="H364" s="359"/>
      <c r="I364" s="359"/>
      <c r="J364" s="359"/>
      <c r="K364" s="359"/>
      <c r="L364" s="359"/>
      <c r="M364" s="359"/>
      <c r="N364" s="359"/>
      <c r="O364" s="359"/>
      <c r="P364" s="360"/>
    </row>
    <row r="365" spans="1:16" x14ac:dyDescent="0.25">
      <c r="A365"/>
    </row>
    <row r="366" spans="1:16" x14ac:dyDescent="0.25">
      <c r="A366"/>
    </row>
    <row r="367" spans="1:16" x14ac:dyDescent="0.25">
      <c r="A367"/>
    </row>
    <row r="368" spans="1:16" x14ac:dyDescent="0.25">
      <c r="A368"/>
    </row>
    <row r="374" spans="1:1" x14ac:dyDescent="0.25">
      <c r="A374"/>
    </row>
    <row r="375" spans="1:1" x14ac:dyDescent="0.25">
      <c r="A375"/>
    </row>
  </sheetData>
  <sheetProtection algorithmName="SHA-512" hashValue="aRrVq/56IVEZOSg8yTH+1P34hMbkzsBCSS8PsinFggc7GJw+RVPHSzj4TOGbmL82qiOHiSslETfuQ0BMZ/pmkw==" saltValue="ylN+Wwhz9bKCuzdDWWgaMg==" spinCount="100000" sheet="1" objects="1" scenarios="1"/>
  <mergeCells count="23">
    <mergeCell ref="B358:P364"/>
    <mergeCell ref="B53:P54"/>
    <mergeCell ref="B10:P32"/>
    <mergeCell ref="B56:P65"/>
    <mergeCell ref="B67:P82"/>
    <mergeCell ref="B214:P240"/>
    <mergeCell ref="B196:P212"/>
    <mergeCell ref="B154:P159"/>
    <mergeCell ref="B84:P112"/>
    <mergeCell ref="B161:P172"/>
    <mergeCell ref="B174:P194"/>
    <mergeCell ref="B114:P152"/>
    <mergeCell ref="B348:P356"/>
    <mergeCell ref="B324:P327"/>
    <mergeCell ref="B329:P346"/>
    <mergeCell ref="B313:P313"/>
    <mergeCell ref="B314:P320"/>
    <mergeCell ref="B308:P312"/>
    <mergeCell ref="B268:P272"/>
    <mergeCell ref="B242:P259"/>
    <mergeCell ref="B261:P266"/>
    <mergeCell ref="B276:P288"/>
    <mergeCell ref="B290:P30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2978-039D-4C2B-807B-0754FBA8B049}">
  <sheetPr>
    <tabColor theme="3"/>
  </sheetPr>
  <dimension ref="A1"/>
  <sheetViews>
    <sheetView workbookViewId="0">
      <selection activeCell="D10" sqref="D10"/>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3674A-1FF2-4513-AF64-E5319EC16D85}">
  <dimension ref="B1:L32"/>
  <sheetViews>
    <sheetView showGridLines="0" zoomScale="90" zoomScaleNormal="90" workbookViewId="0">
      <selection activeCell="D4" sqref="D4"/>
    </sheetView>
  </sheetViews>
  <sheetFormatPr defaultRowHeight="15" x14ac:dyDescent="0.25"/>
  <cols>
    <col min="1" max="1" width="2.140625" style="120" customWidth="1"/>
    <col min="2" max="2" width="64.5703125" style="120" customWidth="1"/>
    <col min="3" max="3" width="2.28515625" style="120" customWidth="1"/>
    <col min="4" max="4" width="13.140625" style="120" customWidth="1"/>
    <col min="5" max="5" width="1.85546875" style="120" customWidth="1"/>
    <col min="6" max="6" width="9.140625" style="148"/>
    <col min="7" max="16384" width="9.140625" style="120"/>
  </cols>
  <sheetData>
    <row r="1" spans="2:12" ht="18.75" x14ac:dyDescent="0.3">
      <c r="B1" s="144" t="s">
        <v>263</v>
      </c>
      <c r="F1" s="120"/>
    </row>
    <row r="2" spans="2:12" ht="6" customHeight="1" x14ac:dyDescent="0.25">
      <c r="F2" s="120"/>
    </row>
    <row r="3" spans="2:12" x14ac:dyDescent="0.25">
      <c r="F3" s="120"/>
    </row>
    <row r="4" spans="2:12" x14ac:dyDescent="0.25">
      <c r="B4" s="120" t="s">
        <v>264</v>
      </c>
      <c r="D4" s="145">
        <v>37.5</v>
      </c>
      <c r="F4" s="120"/>
    </row>
    <row r="6" spans="2:12" x14ac:dyDescent="0.25">
      <c r="B6" s="146" t="s">
        <v>94</v>
      </c>
      <c r="D6" s="147">
        <v>150</v>
      </c>
      <c r="F6" s="148" t="s">
        <v>260</v>
      </c>
    </row>
    <row r="7" spans="2:12" x14ac:dyDescent="0.25">
      <c r="D7" s="149"/>
    </row>
    <row r="8" spans="2:12" x14ac:dyDescent="0.25">
      <c r="B8" s="146" t="s">
        <v>83</v>
      </c>
      <c r="D8" s="147">
        <v>75</v>
      </c>
      <c r="F8" s="148" t="s">
        <v>261</v>
      </c>
    </row>
    <row r="10" spans="2:12" x14ac:dyDescent="0.25">
      <c r="B10" s="120" t="s">
        <v>93</v>
      </c>
      <c r="D10" s="150">
        <v>0.17499999999999999</v>
      </c>
    </row>
    <row r="12" spans="2:12" x14ac:dyDescent="0.25">
      <c r="B12" s="120" t="s">
        <v>222</v>
      </c>
      <c r="D12" s="151" t="s">
        <v>133</v>
      </c>
    </row>
    <row r="14" spans="2:12" ht="15.75" x14ac:dyDescent="0.25">
      <c r="B14" s="152" t="s">
        <v>262</v>
      </c>
      <c r="C14" s="153"/>
      <c r="D14" s="154" t="s">
        <v>74</v>
      </c>
      <c r="E14" s="153"/>
      <c r="F14" s="155"/>
      <c r="G14" s="153"/>
      <c r="H14" s="153"/>
      <c r="I14" s="153"/>
      <c r="J14" s="153"/>
      <c r="K14" s="153"/>
      <c r="L14" s="153"/>
    </row>
    <row r="15" spans="2:12" x14ac:dyDescent="0.25">
      <c r="B15" s="153"/>
      <c r="C15" s="153"/>
      <c r="D15" s="153"/>
      <c r="E15" s="153"/>
      <c r="F15" s="155"/>
      <c r="G15" s="153"/>
      <c r="H15" s="153"/>
      <c r="I15" s="153"/>
      <c r="J15" s="153"/>
      <c r="K15" s="153"/>
      <c r="L15" s="153"/>
    </row>
    <row r="16" spans="2:12" x14ac:dyDescent="0.25">
      <c r="B16" s="156" t="str">
        <f>"Annual hours worked per full-time  employee (52 weeks x "&amp;$D$4&amp;")"</f>
        <v>Annual hours worked per full-time  employee (52 weeks x 37.5)</v>
      </c>
      <c r="C16" s="153"/>
      <c r="D16" s="97">
        <f>52*$D$4</f>
        <v>1950</v>
      </c>
      <c r="E16" s="153"/>
      <c r="F16" s="155"/>
      <c r="G16" s="153"/>
      <c r="H16" s="153"/>
      <c r="I16" s="153"/>
      <c r="J16" s="153"/>
      <c r="K16" s="153"/>
      <c r="L16" s="153"/>
    </row>
    <row r="17" spans="2:12" x14ac:dyDescent="0.25">
      <c r="B17" s="153"/>
      <c r="C17" s="153"/>
      <c r="D17" s="153"/>
      <c r="E17" s="153"/>
      <c r="F17" s="155"/>
      <c r="G17" s="153"/>
      <c r="H17" s="153"/>
      <c r="I17" s="153"/>
      <c r="J17" s="153"/>
      <c r="K17" s="153"/>
      <c r="L17" s="153"/>
    </row>
    <row r="18" spans="2:12" hidden="1" x14ac:dyDescent="0.25">
      <c r="B18" s="156" t="s">
        <v>290</v>
      </c>
      <c r="C18" s="153"/>
      <c r="D18" s="97">
        <f>48*D4</f>
        <v>1800</v>
      </c>
      <c r="E18" s="153"/>
      <c r="F18" s="155"/>
      <c r="G18" s="153"/>
      <c r="H18" s="153"/>
      <c r="I18" s="153"/>
      <c r="J18" s="153"/>
      <c r="K18" s="153"/>
      <c r="L18" s="153"/>
    </row>
    <row r="19" spans="2:12" hidden="1" x14ac:dyDescent="0.25">
      <c r="B19" s="153"/>
      <c r="C19" s="153"/>
      <c r="D19" s="157"/>
      <c r="E19" s="153"/>
      <c r="F19" s="155"/>
      <c r="G19" s="153"/>
      <c r="H19" s="153"/>
      <c r="I19" s="153"/>
      <c r="J19" s="153"/>
      <c r="K19" s="153"/>
      <c r="L19" s="153"/>
    </row>
    <row r="20" spans="2:12" x14ac:dyDescent="0.25">
      <c r="B20" s="156" t="s">
        <v>303</v>
      </c>
      <c r="C20" s="155"/>
      <c r="D20" s="98">
        <f>D16-D18</f>
        <v>150</v>
      </c>
      <c r="E20" s="153"/>
      <c r="F20" s="155" t="s">
        <v>365</v>
      </c>
      <c r="G20" s="153"/>
      <c r="H20" s="153"/>
      <c r="I20" s="153"/>
      <c r="J20" s="153"/>
      <c r="K20" s="153"/>
      <c r="L20" s="153"/>
    </row>
    <row r="21" spans="2:12" x14ac:dyDescent="0.25">
      <c r="B21" s="157"/>
      <c r="C21" s="157"/>
      <c r="D21" s="157"/>
      <c r="E21" s="157"/>
      <c r="F21" s="158"/>
      <c r="G21" s="157"/>
      <c r="H21" s="157"/>
      <c r="I21" s="157"/>
      <c r="J21" s="157"/>
      <c r="K21" s="157"/>
      <c r="L21" s="157"/>
    </row>
    <row r="23" spans="2:12" x14ac:dyDescent="0.25">
      <c r="F23" s="120"/>
    </row>
    <row r="24" spans="2:12" x14ac:dyDescent="0.25">
      <c r="F24" s="120"/>
    </row>
    <row r="25" spans="2:12" x14ac:dyDescent="0.25">
      <c r="F25" s="120"/>
    </row>
    <row r="26" spans="2:12" ht="15" customHeight="1" x14ac:dyDescent="0.25">
      <c r="F26" s="120"/>
    </row>
    <row r="27" spans="2:12" x14ac:dyDescent="0.25">
      <c r="F27" s="120"/>
    </row>
    <row r="28" spans="2:12" x14ac:dyDescent="0.25">
      <c r="F28" s="120"/>
    </row>
    <row r="29" spans="2:12" x14ac:dyDescent="0.25">
      <c r="F29" s="120"/>
    </row>
    <row r="30" spans="2:12" x14ac:dyDescent="0.25">
      <c r="F30" s="120"/>
    </row>
    <row r="31" spans="2:12" x14ac:dyDescent="0.25">
      <c r="F31" s="120"/>
    </row>
    <row r="32" spans="2:12" x14ac:dyDescent="0.25">
      <c r="F32" s="120"/>
    </row>
  </sheetData>
  <sheetProtection algorithmName="SHA-512" hashValue="Vr9tg3UYcBPMX9YtVTf6MjlWcesHtxU5S1zmmuHoD6PQ3GdQQXxAoDWGKYsNbWQwJdwku3T/t++jiXPc9xjSng==" saltValue="QgbrQYGY+QsqAhCR7PmFhA==" spinCount="100000" sheet="1" objects="1" scenarios="1"/>
  <conditionalFormatting sqref="D6">
    <cfRule type="expression" dxfId="350" priority="5">
      <formula>_xlfn.ISFORMULA(D6)</formula>
    </cfRule>
  </conditionalFormatting>
  <conditionalFormatting sqref="D8">
    <cfRule type="expression" dxfId="349" priority="3">
      <formula>_xlfn.ISFORMULA(D8)</formula>
    </cfRule>
  </conditionalFormatting>
  <conditionalFormatting sqref="D10">
    <cfRule type="expression" dxfId="348" priority="1">
      <formula>_xlfn.ISFORMULA(D10)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E5E08E9-5A89-4A98-9E43-6880AD3B0EAE}">
          <x14:formula1>
            <xm:f>'Ref table'!$C$2:$C$4</xm:f>
          </x14:formula1>
          <xm:sqref>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217B-3E2D-4AC8-B703-0E10AD9704C4}">
  <dimension ref="A1:J14"/>
  <sheetViews>
    <sheetView showGridLines="0" zoomScale="90" zoomScaleNormal="90" workbookViewId="0">
      <selection activeCell="H10" sqref="H10"/>
    </sheetView>
  </sheetViews>
  <sheetFormatPr defaultRowHeight="15" x14ac:dyDescent="0.25"/>
  <cols>
    <col min="1" max="1" width="63.140625" customWidth="1"/>
    <col min="2" max="2" width="13" customWidth="1"/>
    <col min="3" max="3" width="3.42578125" customWidth="1"/>
    <col min="4" max="4" width="13.28515625" bestFit="1" customWidth="1"/>
    <col min="5" max="5" width="2.28515625" customWidth="1"/>
    <col min="6" max="6" width="20.7109375" style="3" customWidth="1"/>
    <col min="7" max="7" width="2.85546875" style="3" customWidth="1"/>
    <col min="8" max="8" width="20.7109375" style="3" customWidth="1"/>
    <col min="9" max="9" width="1.140625" style="3" customWidth="1"/>
    <col min="10" max="10" width="20.7109375" customWidth="1"/>
  </cols>
  <sheetData>
    <row r="1" spans="1:10" ht="18.75" x14ac:dyDescent="0.3">
      <c r="A1" s="65" t="s">
        <v>273</v>
      </c>
    </row>
    <row r="3" spans="1:10" x14ac:dyDescent="0.25">
      <c r="A3" t="s">
        <v>275</v>
      </c>
    </row>
    <row r="5" spans="1:10" x14ac:dyDescent="0.25">
      <c r="A5" t="s">
        <v>276</v>
      </c>
    </row>
    <row r="6" spans="1:10" x14ac:dyDescent="0.25">
      <c r="A6" t="s">
        <v>277</v>
      </c>
    </row>
    <row r="8" spans="1:10" x14ac:dyDescent="0.25">
      <c r="B8" s="53" t="s">
        <v>283</v>
      </c>
      <c r="C8" s="53"/>
      <c r="D8" s="53" t="s">
        <v>279</v>
      </c>
      <c r="F8" s="78" t="s">
        <v>281</v>
      </c>
      <c r="G8" s="53"/>
      <c r="H8" s="78" t="s">
        <v>282</v>
      </c>
      <c r="I8" s="53"/>
      <c r="J8" s="78" t="s">
        <v>284</v>
      </c>
    </row>
    <row r="9" spans="1:10" x14ac:dyDescent="0.25">
      <c r="F9" s="79"/>
      <c r="H9" s="79"/>
      <c r="J9" s="79"/>
    </row>
    <row r="10" spans="1:10" x14ac:dyDescent="0.25">
      <c r="A10" s="77" t="s">
        <v>280</v>
      </c>
      <c r="B10" s="72">
        <v>7.5</v>
      </c>
      <c r="D10" s="72">
        <f>B10*5</f>
        <v>37.5</v>
      </c>
      <c r="F10" s="79">
        <f>D10*52</f>
        <v>1950</v>
      </c>
      <c r="H10" s="79">
        <f>F10/B10</f>
        <v>260</v>
      </c>
      <c r="J10" s="79">
        <f>F10/12</f>
        <v>162.5</v>
      </c>
    </row>
    <row r="11" spans="1:10" x14ac:dyDescent="0.25">
      <c r="A11" s="77"/>
      <c r="B11" s="77"/>
      <c r="D11" s="77"/>
      <c r="F11" s="79"/>
      <c r="H11" s="79"/>
      <c r="J11" s="79"/>
    </row>
    <row r="12" spans="1:10" x14ac:dyDescent="0.25">
      <c r="A12" t="s">
        <v>278</v>
      </c>
      <c r="B12" s="72">
        <v>7.5</v>
      </c>
      <c r="D12" s="72">
        <f>B12*5</f>
        <v>37.5</v>
      </c>
      <c r="F12" s="80">
        <f>(20*12)*$B$12</f>
        <v>1800</v>
      </c>
      <c r="H12" s="80">
        <f>F12/B12</f>
        <v>240</v>
      </c>
      <c r="J12" s="80">
        <f>F12/12</f>
        <v>150</v>
      </c>
    </row>
    <row r="14" spans="1:10" x14ac:dyDescent="0.25">
      <c r="A14" t="s">
        <v>285</v>
      </c>
      <c r="F14" s="81">
        <f>F10/F12</f>
        <v>1.0833333333333333</v>
      </c>
      <c r="H14" s="81">
        <f>H10/H12</f>
        <v>1.0833333333333333</v>
      </c>
      <c r="J14" s="81">
        <f>J10/J12</f>
        <v>1.0833333333333333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EEB3F-FECB-46FB-A173-08E0E22F1B0C}">
  <dimension ref="A1:AQ37"/>
  <sheetViews>
    <sheetView showGridLines="0" zoomScale="80" zoomScaleNormal="80" workbookViewId="0">
      <pane xSplit="2" ySplit="3" topLeftCell="C4" activePane="bottomRight" state="frozen"/>
      <selection pane="topRight" activeCell="C1" sqref="C1"/>
      <selection pane="bottomLeft" activeCell="A2" sqref="A2"/>
      <selection pane="bottomRight" activeCell="E16" sqref="E16"/>
    </sheetView>
  </sheetViews>
  <sheetFormatPr defaultRowHeight="15" x14ac:dyDescent="0.25"/>
  <cols>
    <col min="1" max="1" width="10.28515625" style="120" customWidth="1"/>
    <col min="2" max="2" width="28.140625" style="120" customWidth="1"/>
    <col min="3" max="3" width="15" style="120" bestFit="1" customWidth="1"/>
    <col min="4" max="4" width="12.5703125" style="120" customWidth="1"/>
    <col min="5" max="5" width="12" style="120" customWidth="1"/>
    <col min="6" max="7" width="12.28515625" style="120" customWidth="1"/>
    <col min="8" max="9" width="14.7109375" style="120" customWidth="1"/>
    <col min="10" max="11" width="16.7109375" style="120" customWidth="1"/>
    <col min="12" max="12" width="10.85546875" style="120" bestFit="1" customWidth="1"/>
    <col min="13" max="13" width="14.85546875" style="120" hidden="1" customWidth="1"/>
    <col min="14" max="14" width="26" style="226" bestFit="1" customWidth="1"/>
    <col min="15" max="15" width="14.28515625" style="120" customWidth="1"/>
    <col min="16" max="20" width="12.42578125" style="120" customWidth="1"/>
    <col min="21" max="21" width="14.5703125" style="120" customWidth="1"/>
    <col min="22" max="22" width="14.28515625" style="120" customWidth="1"/>
    <col min="23" max="26" width="12.5703125" style="120" customWidth="1"/>
    <col min="27" max="27" width="14.85546875" style="120" customWidth="1"/>
    <col min="28" max="31" width="12.5703125" style="120" customWidth="1"/>
    <col min="32" max="32" width="11.85546875" style="161" customWidth="1"/>
    <col min="33" max="34" width="31" style="120" customWidth="1"/>
    <col min="35" max="37" width="22.5703125" style="120" customWidth="1"/>
    <col min="38" max="38" width="19.42578125" style="120" customWidth="1"/>
    <col min="39" max="43" width="28.5703125" style="120" customWidth="1"/>
    <col min="44" max="16384" width="9.140625" style="120"/>
  </cols>
  <sheetData>
    <row r="1" spans="1:43" ht="5.25" customHeight="1" thickBot="1" x14ac:dyDescent="0.3">
      <c r="N1" s="159"/>
      <c r="O1" s="160"/>
      <c r="P1" s="160"/>
    </row>
    <row r="2" spans="1:43" ht="15.75" thickBot="1" x14ac:dyDescent="0.3">
      <c r="D2" s="162"/>
      <c r="H2" s="162"/>
      <c r="I2" s="162"/>
      <c r="J2" s="162"/>
      <c r="K2" s="162"/>
      <c r="L2" s="162"/>
      <c r="N2" s="163"/>
      <c r="O2" s="164"/>
      <c r="P2" s="164"/>
      <c r="Q2" s="164"/>
      <c r="R2" s="164"/>
      <c r="S2" s="164"/>
      <c r="T2" s="421" t="s">
        <v>60</v>
      </c>
      <c r="U2" s="422"/>
      <c r="V2" s="422"/>
      <c r="W2" s="422"/>
      <c r="X2" s="422"/>
      <c r="Y2" s="423"/>
      <c r="Z2" s="421" t="s">
        <v>61</v>
      </c>
      <c r="AA2" s="422"/>
      <c r="AB2" s="422"/>
      <c r="AC2" s="422"/>
      <c r="AD2" s="422"/>
      <c r="AE2" s="423"/>
      <c r="AF2" s="424" t="s">
        <v>88</v>
      </c>
      <c r="AG2" s="425"/>
      <c r="AH2" s="425"/>
      <c r="AI2" s="425"/>
      <c r="AJ2" s="425"/>
      <c r="AK2" s="425"/>
      <c r="AL2" s="426"/>
    </row>
    <row r="3" spans="1:43" s="149" customFormat="1" ht="60" x14ac:dyDescent="0.25">
      <c r="A3" s="165" t="s">
        <v>18</v>
      </c>
      <c r="B3" s="165" t="s">
        <v>5</v>
      </c>
      <c r="C3" s="166" t="s">
        <v>19</v>
      </c>
      <c r="D3" s="167" t="s">
        <v>20</v>
      </c>
      <c r="E3" s="167" t="s">
        <v>21</v>
      </c>
      <c r="F3" s="168" t="s">
        <v>22</v>
      </c>
      <c r="G3" s="167" t="s">
        <v>137</v>
      </c>
      <c r="H3" s="167" t="s">
        <v>23</v>
      </c>
      <c r="I3" s="168" t="s">
        <v>130</v>
      </c>
      <c r="J3" s="168" t="s">
        <v>134</v>
      </c>
      <c r="K3" s="168" t="s">
        <v>182</v>
      </c>
      <c r="L3" s="168" t="s">
        <v>208</v>
      </c>
      <c r="M3" s="168" t="s">
        <v>192</v>
      </c>
      <c r="N3" s="167" t="s">
        <v>24</v>
      </c>
      <c r="O3" s="169" t="s">
        <v>225</v>
      </c>
      <c r="P3" s="170" t="s">
        <v>226</v>
      </c>
      <c r="Q3" s="170" t="s">
        <v>89</v>
      </c>
      <c r="R3" s="170" t="s">
        <v>81</v>
      </c>
      <c r="S3" s="171" t="s">
        <v>82</v>
      </c>
      <c r="T3" s="172" t="s">
        <v>85</v>
      </c>
      <c r="U3" s="172" t="s">
        <v>68</v>
      </c>
      <c r="V3" s="172" t="s">
        <v>50</v>
      </c>
      <c r="W3" s="172" t="s">
        <v>49</v>
      </c>
      <c r="X3" s="172" t="s">
        <v>65</v>
      </c>
      <c r="Y3" s="173" t="s">
        <v>86</v>
      </c>
      <c r="Z3" s="174" t="s">
        <v>58</v>
      </c>
      <c r="AA3" s="172" t="s">
        <v>66</v>
      </c>
      <c r="AB3" s="172" t="s">
        <v>56</v>
      </c>
      <c r="AC3" s="172" t="s">
        <v>57</v>
      </c>
      <c r="AD3" s="172" t="s">
        <v>67</v>
      </c>
      <c r="AE3" s="173" t="s">
        <v>87</v>
      </c>
      <c r="AF3" s="175" t="s">
        <v>25</v>
      </c>
      <c r="AG3" s="165" t="s">
        <v>26</v>
      </c>
      <c r="AH3" s="165" t="s">
        <v>27</v>
      </c>
      <c r="AI3" s="165" t="s">
        <v>55</v>
      </c>
      <c r="AJ3" s="165" t="s">
        <v>28</v>
      </c>
      <c r="AK3" s="165" t="s">
        <v>53</v>
      </c>
      <c r="AL3" s="176" t="s">
        <v>54</v>
      </c>
      <c r="AM3" s="120"/>
      <c r="AN3" s="120"/>
      <c r="AO3" s="120"/>
      <c r="AP3" s="120"/>
      <c r="AQ3" s="120"/>
    </row>
    <row r="4" spans="1:43" ht="4.5" customHeight="1" x14ac:dyDescent="0.25">
      <c r="A4" s="177"/>
      <c r="B4" s="178"/>
      <c r="C4" s="178"/>
      <c r="D4" s="179"/>
      <c r="E4" s="179"/>
      <c r="F4" s="180"/>
      <c r="G4" s="179"/>
      <c r="H4" s="179"/>
      <c r="I4" s="179"/>
      <c r="J4" s="179"/>
      <c r="K4" s="179"/>
      <c r="L4" s="179"/>
      <c r="M4" s="179"/>
      <c r="N4" s="181"/>
      <c r="O4" s="182"/>
      <c r="P4" s="182"/>
      <c r="Q4" s="182"/>
      <c r="R4" s="182"/>
      <c r="S4" s="182"/>
      <c r="T4" s="182"/>
      <c r="U4" s="182"/>
      <c r="V4" s="182"/>
      <c r="W4" s="182"/>
      <c r="X4" s="182"/>
      <c r="Y4" s="182"/>
      <c r="Z4" s="182"/>
      <c r="AA4" s="182"/>
      <c r="AB4" s="182"/>
      <c r="AC4" s="182"/>
      <c r="AD4" s="182"/>
      <c r="AE4" s="182"/>
      <c r="AF4" s="183"/>
      <c r="AG4" s="136"/>
      <c r="AH4" s="136"/>
      <c r="AI4" s="136"/>
    </row>
    <row r="5" spans="1:43" x14ac:dyDescent="0.25">
      <c r="A5" s="99">
        <f>IF(B5="","",ROW()-4)</f>
        <v>1</v>
      </c>
      <c r="B5" s="184" t="s">
        <v>12</v>
      </c>
      <c r="C5" s="185">
        <v>123456789</v>
      </c>
      <c r="D5" s="186">
        <v>43832</v>
      </c>
      <c r="E5" s="186"/>
      <c r="F5" s="186" t="s">
        <v>29</v>
      </c>
      <c r="G5" s="186" t="s">
        <v>109</v>
      </c>
      <c r="H5" s="187">
        <v>9.5000000000000001E-2</v>
      </c>
      <c r="I5" s="187" t="s">
        <v>133</v>
      </c>
      <c r="J5" s="187" t="s">
        <v>135</v>
      </c>
      <c r="K5" s="188"/>
      <c r="L5" s="189" t="s">
        <v>132</v>
      </c>
      <c r="M5" s="190">
        <f xml:space="preserve">
IF(AND($C5&lt;&gt;"",$I5="No",$J5="Resident",$K5="",$L5=""),1,
IF(AND($C5&lt;&gt;"",$I5="Yes",$J5="Resident",$K5="",$L5=""),2,
IF(AND($C5&lt;&gt;"",$J5="Foreign resident",$K5="",$L5=""),3,
IF(AND($C5="",$B5&lt;&gt;""),4,
IF(AND($C5&lt;&gt;"",$J5="Resident",$K5="Full exemption",$L5=""),5,
IF(AND($C5&lt;&gt;"",$J5="Resident",$K5="Half exemption",$L5=""),6,
IF(AND($C5&lt;&gt;"",$I5="No",$J5="Resident",$K5="",$L5="Yes"),11,
IF(AND($C5&lt;&gt;"",$I5="Yes",$J5="Resident",$K5="",$L5="Yes"),22,
IF(AND($C5&lt;&gt;"",$J5="Foreign resident",$K5="",$L5="Yes"),33,
IF(AND($C5="",$B5&lt;&gt;""),4,
IF(AND($C5&lt;&gt;"",$J5="Resident",$K5="Full exemption",$L5="Yes"),55,
IF(AND($C5&lt;&gt;"",$J5="Resident",$K5="Half exemption",$L5="Yes"),66,
IF($B5="","",
"")))))))))))))</f>
        <v>11</v>
      </c>
      <c r="N5" s="191" t="s">
        <v>30</v>
      </c>
      <c r="O5" s="192">
        <v>96136.986301369863</v>
      </c>
      <c r="P5" s="193">
        <f>IF(OR($F5="Full-time",$F5="Part-time"),
$O5/52/'Basic payroll data'!$D$4,
0)</f>
        <v>49.301018616087106</v>
      </c>
      <c r="Q5" s="194">
        <v>37.5</v>
      </c>
      <c r="R5" s="100">
        <f>IF($Q5="",0,
($Q5*52)/26)</f>
        <v>75</v>
      </c>
      <c r="S5" s="100">
        <f>IF($Q5="",0,
($Q5*52)/12)</f>
        <v>162.5</v>
      </c>
      <c r="T5" s="101">
        <f>IF(NOT(OR($F5="Full-time",$F5="Part-time")),"",
FT_entitlement/('Basic payroll data'!$D$4*52))</f>
        <v>7.6923076923076927E-2</v>
      </c>
      <c r="U5" s="195"/>
      <c r="V5" s="102">
        <f>IF(OR($F5="Full-time",$F5="Part-time"),SUMIFS('PAYG worksheet'!$O:$O,'PAYG worksheet'!$C:$C,'Employee information'!$B5)*$T5,"")</f>
        <v>150</v>
      </c>
      <c r="W5" s="103">
        <f>IF($T5="","",SUMIFS('PAYG worksheet'!$T:$T,'PAYG worksheet'!$C:$C,'Employee information'!$B5))</f>
        <v>0</v>
      </c>
      <c r="X5" s="104">
        <f>IFERROR($U5+$V5-$W5,"")</f>
        <v>150</v>
      </c>
      <c r="Y5" s="105">
        <f t="shared" ref="Y5:Y33" si="0">IFERROR($X5*$P5,"")</f>
        <v>7395.152792413066</v>
      </c>
      <c r="Z5" s="101">
        <f>IF(NOT(OR($F5="Full-time",$F5="Part-time")),"",
SL_entitlement/('Basic payroll data'!$D$4*52))</f>
        <v>3.8461538461538464E-2</v>
      </c>
      <c r="AA5" s="195">
        <v>10</v>
      </c>
      <c r="AB5" s="102">
        <f>IF(OR($F5="Full-time",$F5="Part-time"),SUMIFS('PAYG worksheet'!$O:$O,'PAYG worksheet'!$C:$C,'Employee information'!$B5)*$Z5,"")</f>
        <v>75</v>
      </c>
      <c r="AC5" s="103">
        <f>IF($Z5="","",SUMIFS('PAYG worksheet'!$U:$U,'PAYG worksheet'!$C:$C,'Employee information'!$B5))</f>
        <v>0</v>
      </c>
      <c r="AD5" s="107">
        <f>IFERROR($AA5+$AB5-$AC5,"")</f>
        <v>85</v>
      </c>
      <c r="AE5" s="105">
        <f t="shared" ref="AE5:AE33" si="1">IFERROR($AD5*$P5,"")</f>
        <v>4190.5865823674039</v>
      </c>
      <c r="AF5" s="196"/>
      <c r="AG5" s="184"/>
      <c r="AH5" s="197"/>
      <c r="AI5" s="197"/>
      <c r="AJ5" s="184"/>
      <c r="AK5" s="198" t="s">
        <v>227</v>
      </c>
      <c r="AL5" s="199"/>
      <c r="AM5" s="200"/>
      <c r="AN5" s="200"/>
      <c r="AO5" s="200"/>
      <c r="AP5" s="200"/>
      <c r="AQ5" s="200"/>
    </row>
    <row r="6" spans="1:43" x14ac:dyDescent="0.25">
      <c r="A6" s="99">
        <f t="shared" ref="A6:A23" si="2">IF(B6="","",ROW()-4)</f>
        <v>2</v>
      </c>
      <c r="B6" s="201" t="s">
        <v>13</v>
      </c>
      <c r="C6" s="184">
        <v>123456789</v>
      </c>
      <c r="D6" s="202">
        <v>42919</v>
      </c>
      <c r="E6" s="202"/>
      <c r="F6" s="186" t="s">
        <v>31</v>
      </c>
      <c r="G6" s="203" t="s">
        <v>109</v>
      </c>
      <c r="H6" s="188">
        <v>9.5000000000000001E-2</v>
      </c>
      <c r="I6" s="188" t="s">
        <v>133</v>
      </c>
      <c r="J6" s="188" t="s">
        <v>135</v>
      </c>
      <c r="K6" s="188"/>
      <c r="L6" s="189" t="s">
        <v>132</v>
      </c>
      <c r="M6" s="190">
        <f t="shared" ref="M6:M33" si="3" xml:space="preserve">
IF(AND($C6&lt;&gt;"",$I6="No",$J6="Resident",$K6="",$L6=""),1,
IF(AND($C6&lt;&gt;"",$I6="Yes",$J6="Resident",$K6="",$L6=""),2,
IF(AND($C6&lt;&gt;"",$J6="Foreign resident",$K6="",$L6=""),3,
IF(AND($C6="",$B6&lt;&gt;""),4,
IF(AND($C6&lt;&gt;"",$J6="Resident",$K6="Full exemption",$L6=""),5,
IF(AND($C6&lt;&gt;"",$J6="Resident",$K6="Half exemption",$L6=""),6,
IF(AND($C6&lt;&gt;"",$I6="No",$J6="Resident",$K6="",$L6="Yes"),11,
IF(AND($C6&lt;&gt;"",$I6="Yes",$J6="Resident",$K6="",$L6="Yes"),22,
IF(AND($C6&lt;&gt;"",$J6="Foreign resident",$K6="",$L6="Yes"),33,
IF(AND($C6="",$B6&lt;&gt;""),4,
IF(AND($C6&lt;&gt;"",$J6="Resident",$K6="Full exemption",$L6="Yes"),55,
IF(AND($C6&lt;&gt;"",$J6="Resident",$K6="Half exemption",$L6="Yes"),66,
IF($B6="","",
"")))))))))))))</f>
        <v>11</v>
      </c>
      <c r="N6" s="204" t="s">
        <v>32</v>
      </c>
      <c r="O6" s="205">
        <v>75000</v>
      </c>
      <c r="P6" s="193">
        <f>IF(OR($F6="Full-time",$F6="Part-time"),
$O6/52/'Basic payroll data'!$D$4,
0)</f>
        <v>38.46153846153846</v>
      </c>
      <c r="Q6" s="194"/>
      <c r="R6" s="100">
        <f t="shared" ref="R6:R33" si="4">IF($Q6="",0,
($Q6*52)/26)</f>
        <v>0</v>
      </c>
      <c r="S6" s="100">
        <f t="shared" ref="S6:S33" si="5">IF($Q6="",0,
($Q6*52)/12)</f>
        <v>0</v>
      </c>
      <c r="T6" s="101">
        <f>IF(NOT(OR($F6="Full-time",$F6="Part-time")),"",
FT_entitlement/('Basic payroll data'!$D$4*52))</f>
        <v>7.6923076923076927E-2</v>
      </c>
      <c r="U6" s="195"/>
      <c r="V6" s="102">
        <f>IF(OR($F6="Full-time",$F6="Part-time"),SUMIFS('PAYG worksheet'!$O:$O,'PAYG worksheet'!$C:$C,'Employee information'!$B6)*$T6,"")</f>
        <v>3.2307692307692308</v>
      </c>
      <c r="W6" s="103">
        <f>IF($T6="","",SUMIFS('PAYG worksheet'!$T:$T,'PAYG worksheet'!$C:$C,'Employee information'!$B6))</f>
        <v>0</v>
      </c>
      <c r="X6" s="104">
        <f t="shared" ref="X6:X33" si="6">IFERROR($U6+$V6-$W6,"")</f>
        <v>3.2307692307692308</v>
      </c>
      <c r="Y6" s="105">
        <f t="shared" si="0"/>
        <v>124.2603550295858</v>
      </c>
      <c r="Z6" s="101">
        <f>IF(NOT(OR($F6="Full-time",$F6="Part-time")),"",
SL_entitlement/('Basic payroll data'!$D$4*52))</f>
        <v>3.8461538461538464E-2</v>
      </c>
      <c r="AA6" s="195"/>
      <c r="AB6" s="102">
        <f>IF(OR($F6="Full-time",$F6="Part-time"),SUMIFS('PAYG worksheet'!$O:$O,'PAYG worksheet'!$C:$C,'Employee information'!$B6)*$Z6,"")</f>
        <v>1.6153846153846154</v>
      </c>
      <c r="AC6" s="103">
        <f>IF($Z6="","",SUMIFS('PAYG worksheet'!$U:$U,'PAYG worksheet'!$C:$C,'Employee information'!$B6))</f>
        <v>7.5</v>
      </c>
      <c r="AD6" s="107">
        <f t="shared" ref="AD6:AD33" si="7">IFERROR($AA6+$AB6-$AC6,"")</f>
        <v>-5.884615384615385</v>
      </c>
      <c r="AE6" s="105">
        <f t="shared" si="1"/>
        <v>-226.33136094674558</v>
      </c>
      <c r="AF6" s="196"/>
      <c r="AG6" s="184"/>
      <c r="AH6" s="197"/>
      <c r="AI6" s="197"/>
      <c r="AJ6" s="184"/>
      <c r="AK6" s="198" t="s">
        <v>227</v>
      </c>
      <c r="AL6" s="199"/>
      <c r="AM6" s="200"/>
      <c r="AN6" s="200"/>
      <c r="AO6" s="200"/>
      <c r="AP6" s="200"/>
      <c r="AQ6" s="200"/>
    </row>
    <row r="7" spans="1:43" x14ac:dyDescent="0.25">
      <c r="A7" s="99">
        <f t="shared" si="2"/>
        <v>3</v>
      </c>
      <c r="B7" s="201" t="s">
        <v>14</v>
      </c>
      <c r="C7" s="184">
        <v>123456789</v>
      </c>
      <c r="D7" s="202">
        <v>43314</v>
      </c>
      <c r="E7" s="202"/>
      <c r="F7" s="186" t="s">
        <v>33</v>
      </c>
      <c r="G7" s="203"/>
      <c r="H7" s="188">
        <v>9.5000000000000001E-2</v>
      </c>
      <c r="I7" s="188" t="s">
        <v>133</v>
      </c>
      <c r="J7" s="188" t="s">
        <v>136</v>
      </c>
      <c r="K7" s="188"/>
      <c r="L7" s="189" t="s">
        <v>132</v>
      </c>
      <c r="M7" s="190">
        <f t="shared" si="3"/>
        <v>33</v>
      </c>
      <c r="N7" s="204" t="s">
        <v>34</v>
      </c>
      <c r="O7" s="205"/>
      <c r="P7" s="193">
        <v>30</v>
      </c>
      <c r="Q7" s="194"/>
      <c r="R7" s="100">
        <f t="shared" si="4"/>
        <v>0</v>
      </c>
      <c r="S7" s="100">
        <f t="shared" si="5"/>
        <v>0</v>
      </c>
      <c r="T7" s="101" t="str">
        <f>IF(NOT(OR($F7="Full-time",$F7="Part-time")),"",
FT_entitlement/('Basic payroll data'!$D$4*52))</f>
        <v/>
      </c>
      <c r="U7" s="195"/>
      <c r="V7" s="102" t="str">
        <f>IF(OR($F7="Full-time",$F7="Part-time"),SUMIFS('PAYG worksheet'!$O:$O,'PAYG worksheet'!$C:$C,'Employee information'!$B7)*$T7,"")</f>
        <v/>
      </c>
      <c r="W7" s="103" t="str">
        <f>IF($T7="","",SUMIFS('PAYG worksheet'!$T:$T,'PAYG worksheet'!$C:$C,'Employee information'!$B7))</f>
        <v/>
      </c>
      <c r="X7" s="104" t="str">
        <f t="shared" si="6"/>
        <v/>
      </c>
      <c r="Y7" s="105" t="str">
        <f t="shared" si="0"/>
        <v/>
      </c>
      <c r="Z7" s="101" t="str">
        <f>IF(NOT(OR($F7="Full-time",$F7="Part-time")),"",
SL_entitlement/('Basic payroll data'!$D$4*52))</f>
        <v/>
      </c>
      <c r="AA7" s="195"/>
      <c r="AB7" s="102" t="str">
        <f>IF(OR($F7="Full-time",$F7="Part-time"),SUMIFS('PAYG worksheet'!$O:$O,'PAYG worksheet'!$C:$C,'Employee information'!$B7)*$Z7,"")</f>
        <v/>
      </c>
      <c r="AC7" s="103" t="str">
        <f>IF($Z7="","",SUMIFS('PAYG worksheet'!$U:$U,'PAYG worksheet'!$C:$C,'Employee information'!$B7))</f>
        <v/>
      </c>
      <c r="AD7" s="107" t="str">
        <f t="shared" si="7"/>
        <v/>
      </c>
      <c r="AE7" s="105" t="str">
        <f t="shared" si="1"/>
        <v/>
      </c>
      <c r="AF7" s="196"/>
      <c r="AG7" s="184"/>
      <c r="AH7" s="197"/>
      <c r="AI7" s="197"/>
      <c r="AJ7" s="184"/>
      <c r="AK7" s="198" t="s">
        <v>227</v>
      </c>
      <c r="AL7" s="199"/>
      <c r="AM7" s="200"/>
      <c r="AN7" s="200"/>
      <c r="AO7" s="200"/>
      <c r="AP7" s="200"/>
      <c r="AQ7" s="200"/>
    </row>
    <row r="8" spans="1:43" x14ac:dyDescent="0.25">
      <c r="A8" s="99">
        <f t="shared" si="2"/>
        <v>4</v>
      </c>
      <c r="B8" s="201" t="s">
        <v>15</v>
      </c>
      <c r="C8" s="184">
        <v>123456789</v>
      </c>
      <c r="D8" s="202">
        <v>44013</v>
      </c>
      <c r="E8" s="202"/>
      <c r="F8" s="186" t="s">
        <v>29</v>
      </c>
      <c r="G8" s="203" t="s">
        <v>109</v>
      </c>
      <c r="H8" s="188">
        <v>9.5000000000000001E-2</v>
      </c>
      <c r="I8" s="188" t="s">
        <v>132</v>
      </c>
      <c r="J8" s="188" t="s">
        <v>135</v>
      </c>
      <c r="K8" s="188" t="s">
        <v>183</v>
      </c>
      <c r="L8" s="189" t="s">
        <v>132</v>
      </c>
      <c r="M8" s="190">
        <f t="shared" si="3"/>
        <v>55</v>
      </c>
      <c r="N8" s="204" t="s">
        <v>35</v>
      </c>
      <c r="O8" s="205">
        <v>200000</v>
      </c>
      <c r="P8" s="193">
        <f>IF(OR($F8="Full-time",$F8="Part-time"),
$O8/52/'Basic payroll data'!$D$4,
0)</f>
        <v>102.56410256410257</v>
      </c>
      <c r="Q8" s="194">
        <v>37.5</v>
      </c>
      <c r="R8" s="100">
        <f t="shared" si="4"/>
        <v>75</v>
      </c>
      <c r="S8" s="100">
        <f t="shared" si="5"/>
        <v>162.5</v>
      </c>
      <c r="T8" s="101">
        <f>IF(NOT(OR($F8="Full-time",$F8="Part-time")),"",
FT_entitlement/('Basic payroll data'!$D$4*52))</f>
        <v>7.6923076923076927E-2</v>
      </c>
      <c r="U8" s="195">
        <v>100</v>
      </c>
      <c r="V8" s="102">
        <f>IF(OR($F8="Full-time",$F8="Part-time"),SUMIFS('PAYG worksheet'!$O:$O,'PAYG worksheet'!$C:$C,'Employee information'!$B8)*$T8,"")</f>
        <v>150</v>
      </c>
      <c r="W8" s="103">
        <f>IF($T8="","",SUMIFS('PAYG worksheet'!$T:$T,'PAYG worksheet'!$C:$C,'Employee information'!$B8))</f>
        <v>15</v>
      </c>
      <c r="X8" s="104">
        <f t="shared" si="6"/>
        <v>235</v>
      </c>
      <c r="Y8" s="105">
        <f t="shared" si="0"/>
        <v>24102.564102564105</v>
      </c>
      <c r="Z8" s="101">
        <f>IF(NOT(OR($F8="Full-time",$F8="Part-time")),"",
SL_entitlement/('Basic payroll data'!$D$4*52))</f>
        <v>3.8461538461538464E-2</v>
      </c>
      <c r="AA8" s="195">
        <v>5</v>
      </c>
      <c r="AB8" s="102">
        <f>IF(OR($F8="Full-time",$F8="Part-time"),SUMIFS('PAYG worksheet'!$O:$O,'PAYG worksheet'!$C:$C,'Employee information'!$B8)*$Z8,"")</f>
        <v>75</v>
      </c>
      <c r="AC8" s="103">
        <f>IF($Z8="","",SUMIFS('PAYG worksheet'!$U:$U,'PAYG worksheet'!$C:$C,'Employee information'!$B8))</f>
        <v>5</v>
      </c>
      <c r="AD8" s="107">
        <f t="shared" si="7"/>
        <v>75</v>
      </c>
      <c r="AE8" s="105">
        <f t="shared" si="1"/>
        <v>7692.3076923076924</v>
      </c>
      <c r="AF8" s="196"/>
      <c r="AG8" s="184"/>
      <c r="AH8" s="197"/>
      <c r="AI8" s="197"/>
      <c r="AJ8" s="184"/>
      <c r="AK8" s="198" t="s">
        <v>227</v>
      </c>
      <c r="AL8" s="199"/>
      <c r="AM8" s="200"/>
      <c r="AN8" s="200"/>
      <c r="AO8" s="200"/>
      <c r="AP8" s="200"/>
      <c r="AQ8" s="200"/>
    </row>
    <row r="9" spans="1:43" x14ac:dyDescent="0.25">
      <c r="A9" s="99">
        <f t="shared" si="2"/>
        <v>5</v>
      </c>
      <c r="B9" s="201" t="s">
        <v>16</v>
      </c>
      <c r="C9" s="184">
        <v>123456789</v>
      </c>
      <c r="D9" s="202">
        <v>44082</v>
      </c>
      <c r="E9" s="202"/>
      <c r="F9" s="186" t="s">
        <v>36</v>
      </c>
      <c r="G9" s="203"/>
      <c r="H9" s="188">
        <v>9.5000000000000001E-2</v>
      </c>
      <c r="I9" s="188" t="s">
        <v>133</v>
      </c>
      <c r="J9" s="188" t="s">
        <v>135</v>
      </c>
      <c r="K9" s="188"/>
      <c r="L9" s="189" t="s">
        <v>132</v>
      </c>
      <c r="M9" s="190">
        <f t="shared" si="3"/>
        <v>11</v>
      </c>
      <c r="N9" s="204" t="s">
        <v>37</v>
      </c>
      <c r="O9" s="205"/>
      <c r="P9" s="193">
        <v>55</v>
      </c>
      <c r="Q9" s="194">
        <v>37.5</v>
      </c>
      <c r="R9" s="100">
        <f t="shared" si="4"/>
        <v>75</v>
      </c>
      <c r="S9" s="100">
        <f t="shared" si="5"/>
        <v>162.5</v>
      </c>
      <c r="T9" s="101" t="str">
        <f>IF(NOT(OR($F9="Full-time",$F9="Part-time")),"",
FT_entitlement/('Basic payroll data'!$D$4*52))</f>
        <v/>
      </c>
      <c r="U9" s="195"/>
      <c r="V9" s="102" t="str">
        <f>IF(OR($F9="Full-time",$F9="Part-time"),SUMIFS('PAYG worksheet'!$O:$O,'PAYG worksheet'!$C:$C,'Employee information'!$B9)*$T9,"")</f>
        <v/>
      </c>
      <c r="W9" s="103" t="str">
        <f>IF($T9="","",SUMIFS('PAYG worksheet'!$T:$T,'PAYG worksheet'!$C:$C,'Employee information'!$B9))</f>
        <v/>
      </c>
      <c r="X9" s="104" t="str">
        <f t="shared" si="6"/>
        <v/>
      </c>
      <c r="Y9" s="105" t="str">
        <f t="shared" si="0"/>
        <v/>
      </c>
      <c r="Z9" s="101" t="str">
        <f>IF(NOT(OR($F9="Full-time",$F9="Part-time")),"",
SL_entitlement/('Basic payroll data'!$D$4*52))</f>
        <v/>
      </c>
      <c r="AA9" s="195"/>
      <c r="AB9" s="102" t="str">
        <f>IF(OR($F9="Full-time",$F9="Part-time"),SUMIFS('PAYG worksheet'!$O:$O,'PAYG worksheet'!$C:$C,'Employee information'!$B9)*$Z9,"")</f>
        <v/>
      </c>
      <c r="AC9" s="103" t="str">
        <f>IF($Z9="","",SUMIFS('PAYG worksheet'!$U:$U,'PAYG worksheet'!$C:$C,'Employee information'!$B9))</f>
        <v/>
      </c>
      <c r="AD9" s="107" t="str">
        <f t="shared" si="7"/>
        <v/>
      </c>
      <c r="AE9" s="105" t="str">
        <f t="shared" si="1"/>
        <v/>
      </c>
      <c r="AF9" s="196"/>
      <c r="AG9" s="184"/>
      <c r="AH9" s="197"/>
      <c r="AI9" s="197"/>
      <c r="AJ9" s="184"/>
      <c r="AK9" s="198" t="s">
        <v>227</v>
      </c>
      <c r="AL9" s="199"/>
      <c r="AM9" s="200"/>
      <c r="AN9" s="200"/>
      <c r="AO9" s="200"/>
      <c r="AP9" s="200"/>
      <c r="AQ9" s="200"/>
    </row>
    <row r="10" spans="1:43" x14ac:dyDescent="0.25">
      <c r="A10" s="99">
        <f t="shared" si="2"/>
        <v>6</v>
      </c>
      <c r="B10" s="201" t="s">
        <v>17</v>
      </c>
      <c r="C10" s="201"/>
      <c r="D10" s="202">
        <v>44013</v>
      </c>
      <c r="E10" s="202">
        <v>44377</v>
      </c>
      <c r="F10" s="186" t="s">
        <v>29</v>
      </c>
      <c r="G10" s="203" t="s">
        <v>109</v>
      </c>
      <c r="H10" s="188">
        <v>9.5000000000000001E-2</v>
      </c>
      <c r="I10" s="188" t="s">
        <v>132</v>
      </c>
      <c r="J10" s="188" t="s">
        <v>135</v>
      </c>
      <c r="K10" s="188"/>
      <c r="L10" s="189" t="s">
        <v>132</v>
      </c>
      <c r="M10" s="190">
        <f t="shared" si="3"/>
        <v>4</v>
      </c>
      <c r="N10" s="204" t="s">
        <v>38</v>
      </c>
      <c r="O10" s="205">
        <v>65000</v>
      </c>
      <c r="P10" s="193">
        <f>IF(OR($F10="Full-time",$F10="Part-time"),
$O10/52/'Basic payroll data'!$D$4,
0)</f>
        <v>33.333333333333336</v>
      </c>
      <c r="Q10" s="194">
        <v>37.5</v>
      </c>
      <c r="R10" s="100">
        <f t="shared" si="4"/>
        <v>75</v>
      </c>
      <c r="S10" s="100">
        <f t="shared" si="5"/>
        <v>162.5</v>
      </c>
      <c r="T10" s="101">
        <f>IF(NOT(OR($F10="Full-time",$F10="Part-time")),"",
FT_entitlement/('Basic payroll data'!$D$4*52))</f>
        <v>7.6923076923076927E-2</v>
      </c>
      <c r="U10" s="195"/>
      <c r="V10" s="102">
        <f>IF(OR($F10="Full-time",$F10="Part-time"),SUMIFS('PAYG worksheet'!$O:$O,'PAYG worksheet'!$C:$C,'Employee information'!$B10)*$T10,"")</f>
        <v>150</v>
      </c>
      <c r="W10" s="103">
        <f>IF($T10="","",SUMIFS('PAYG worksheet'!$T:$T,'PAYG worksheet'!$C:$C,'Employee information'!$B10))</f>
        <v>0</v>
      </c>
      <c r="X10" s="104">
        <f t="shared" si="6"/>
        <v>150</v>
      </c>
      <c r="Y10" s="105">
        <f t="shared" si="0"/>
        <v>5000</v>
      </c>
      <c r="Z10" s="101">
        <f>IF(NOT(OR($F10="Full-time",$F10="Part-time")),"",
SL_entitlement/('Basic payroll data'!$D$4*52))</f>
        <v>3.8461538461538464E-2</v>
      </c>
      <c r="AA10" s="195"/>
      <c r="AB10" s="102">
        <f>IF(OR($F10="Full-time",$F10="Part-time"),SUMIFS('PAYG worksheet'!$O:$O,'PAYG worksheet'!$C:$C,'Employee information'!$B10)*$Z10,"")</f>
        <v>75</v>
      </c>
      <c r="AC10" s="103">
        <f>IF($Z10="","",SUMIFS('PAYG worksheet'!$U:$U,'PAYG worksheet'!$C:$C,'Employee information'!$B10))</f>
        <v>0</v>
      </c>
      <c r="AD10" s="107">
        <f t="shared" si="7"/>
        <v>75</v>
      </c>
      <c r="AE10" s="105">
        <f t="shared" si="1"/>
        <v>2500</v>
      </c>
      <c r="AF10" s="196"/>
      <c r="AG10" s="184"/>
      <c r="AH10" s="197"/>
      <c r="AI10" s="197"/>
      <c r="AJ10" s="184"/>
      <c r="AK10" s="198" t="s">
        <v>227</v>
      </c>
      <c r="AL10" s="199"/>
      <c r="AM10" s="200"/>
      <c r="AN10" s="200"/>
      <c r="AO10" s="200"/>
      <c r="AP10" s="200"/>
      <c r="AQ10" s="200"/>
    </row>
    <row r="11" spans="1:43" x14ac:dyDescent="0.25">
      <c r="A11" s="99">
        <f t="shared" si="2"/>
        <v>7</v>
      </c>
      <c r="B11" s="201" t="s">
        <v>95</v>
      </c>
      <c r="C11" s="184">
        <v>123456789</v>
      </c>
      <c r="D11" s="202">
        <v>44013</v>
      </c>
      <c r="E11" s="202"/>
      <c r="F11" s="186" t="s">
        <v>31</v>
      </c>
      <c r="G11" s="203" t="s">
        <v>109</v>
      </c>
      <c r="H11" s="188">
        <v>9.5000000000000001E-2</v>
      </c>
      <c r="I11" s="188" t="s">
        <v>132</v>
      </c>
      <c r="J11" s="188" t="s">
        <v>135</v>
      </c>
      <c r="K11" s="188" t="s">
        <v>184</v>
      </c>
      <c r="L11" s="189" t="s">
        <v>132</v>
      </c>
      <c r="M11" s="190">
        <f t="shared" si="3"/>
        <v>66</v>
      </c>
      <c r="N11" s="204" t="s">
        <v>185</v>
      </c>
      <c r="O11" s="205">
        <v>48000</v>
      </c>
      <c r="P11" s="193">
        <f>IF(OR($F11="Full-time",$F11="Part-time"),
$O11/52/'Basic payroll data'!$D$4,
0)</f>
        <v>24.615384615384617</v>
      </c>
      <c r="Q11" s="194">
        <v>22.5</v>
      </c>
      <c r="R11" s="100">
        <f t="shared" si="4"/>
        <v>45</v>
      </c>
      <c r="S11" s="100">
        <f t="shared" si="5"/>
        <v>97.5</v>
      </c>
      <c r="T11" s="101">
        <f>IF(NOT(OR($F11="Full-time",$F11="Part-time")),"",
FT_entitlement/('Basic payroll data'!$D$4*52))</f>
        <v>7.6923076923076927E-2</v>
      </c>
      <c r="U11" s="195"/>
      <c r="V11" s="102">
        <f>IF(OR($F11="Full-time",$F11="Part-time"),SUMIFS('PAYG worksheet'!$O:$O,'PAYG worksheet'!$C:$C,'Employee information'!$B11)*$T11,"")</f>
        <v>90</v>
      </c>
      <c r="W11" s="103">
        <f>IF($T11="","",SUMIFS('PAYG worksheet'!$T:$T,'PAYG worksheet'!$C:$C,'Employee information'!$B11))</f>
        <v>0</v>
      </c>
      <c r="X11" s="104">
        <f t="shared" si="6"/>
        <v>90</v>
      </c>
      <c r="Y11" s="105">
        <f t="shared" si="0"/>
        <v>2215.3846153846157</v>
      </c>
      <c r="Z11" s="101">
        <f>IF(NOT(OR($F11="Full-time",$F11="Part-time")),"",
SL_entitlement/('Basic payroll data'!$D$4*52))</f>
        <v>3.8461538461538464E-2</v>
      </c>
      <c r="AA11" s="195"/>
      <c r="AB11" s="102">
        <f>IF(OR($F11="Full-time",$F11="Part-time"),SUMIFS('PAYG worksheet'!$O:$O,'PAYG worksheet'!$C:$C,'Employee information'!$B11)*$Z11,"")</f>
        <v>45</v>
      </c>
      <c r="AC11" s="103">
        <f>IF($Z11="","",SUMIFS('PAYG worksheet'!$U:$U,'PAYG worksheet'!$C:$C,'Employee information'!$B11))</f>
        <v>0</v>
      </c>
      <c r="AD11" s="107">
        <f t="shared" si="7"/>
        <v>45</v>
      </c>
      <c r="AE11" s="105">
        <f t="shared" si="1"/>
        <v>1107.6923076923078</v>
      </c>
      <c r="AF11" s="196"/>
      <c r="AG11" s="184"/>
      <c r="AH11" s="197"/>
      <c r="AI11" s="197"/>
      <c r="AJ11" s="184"/>
      <c r="AK11" s="198" t="s">
        <v>227</v>
      </c>
      <c r="AL11" s="199"/>
      <c r="AM11" s="200"/>
      <c r="AN11" s="200"/>
      <c r="AO11" s="200"/>
      <c r="AP11" s="200"/>
      <c r="AQ11" s="200"/>
    </row>
    <row r="12" spans="1:43" x14ac:dyDescent="0.25">
      <c r="A12" s="99">
        <f t="shared" si="2"/>
        <v>8</v>
      </c>
      <c r="B12" s="201" t="s">
        <v>96</v>
      </c>
      <c r="C12" s="184">
        <v>123456789</v>
      </c>
      <c r="D12" s="202">
        <v>43647</v>
      </c>
      <c r="E12" s="202"/>
      <c r="F12" s="186" t="s">
        <v>31</v>
      </c>
      <c r="G12" s="203" t="s">
        <v>109</v>
      </c>
      <c r="H12" s="188">
        <v>9.5000000000000001E-2</v>
      </c>
      <c r="I12" s="188" t="s">
        <v>132</v>
      </c>
      <c r="J12" s="188" t="s">
        <v>135</v>
      </c>
      <c r="K12" s="188"/>
      <c r="L12" s="189" t="s">
        <v>132</v>
      </c>
      <c r="M12" s="190">
        <f t="shared" si="3"/>
        <v>22</v>
      </c>
      <c r="N12" s="204" t="s">
        <v>186</v>
      </c>
      <c r="O12" s="205">
        <v>50000</v>
      </c>
      <c r="P12" s="193">
        <f>IF(OR($F12="Full-time",$F12="Part-time"),
$O12/52/'Basic payroll data'!$D$4,
0)</f>
        <v>25.641025641025642</v>
      </c>
      <c r="Q12" s="194">
        <v>15</v>
      </c>
      <c r="R12" s="100">
        <f t="shared" si="4"/>
        <v>30</v>
      </c>
      <c r="S12" s="100">
        <f t="shared" si="5"/>
        <v>65</v>
      </c>
      <c r="T12" s="101">
        <f>IF(NOT(OR($F12="Full-time",$F12="Part-time")),"",
FT_entitlement/('Basic payroll data'!$D$4*52))</f>
        <v>7.6923076923076927E-2</v>
      </c>
      <c r="U12" s="195"/>
      <c r="V12" s="102">
        <f>IF(OR($F12="Full-time",$F12="Part-time"),SUMIFS('PAYG worksheet'!$O:$O,'PAYG worksheet'!$C:$C,'Employee information'!$B12)*$T12,"")</f>
        <v>0</v>
      </c>
      <c r="W12" s="103">
        <f>IF($T12="","",SUMIFS('PAYG worksheet'!$T:$T,'PAYG worksheet'!$C:$C,'Employee information'!$B12))</f>
        <v>0</v>
      </c>
      <c r="X12" s="104">
        <f t="shared" si="6"/>
        <v>0</v>
      </c>
      <c r="Y12" s="105">
        <f t="shared" si="0"/>
        <v>0</v>
      </c>
      <c r="Z12" s="101">
        <f>IF(NOT(OR($F12="Full-time",$F12="Part-time")),"",
SL_entitlement/('Basic payroll data'!$D$4*52))</f>
        <v>3.8461538461538464E-2</v>
      </c>
      <c r="AA12" s="195"/>
      <c r="AB12" s="102">
        <f>IF(OR($F12="Full-time",$F12="Part-time"),SUMIFS('PAYG worksheet'!$O:$O,'PAYG worksheet'!$C:$C,'Employee information'!$B12)*$Z12,"")</f>
        <v>0</v>
      </c>
      <c r="AC12" s="103">
        <f>IF($Z12="","",SUMIFS('PAYG worksheet'!$U:$U,'PAYG worksheet'!$C:$C,'Employee information'!$B12))</f>
        <v>0</v>
      </c>
      <c r="AD12" s="107">
        <f t="shared" si="7"/>
        <v>0</v>
      </c>
      <c r="AE12" s="105">
        <f t="shared" si="1"/>
        <v>0</v>
      </c>
      <c r="AF12" s="196"/>
      <c r="AG12" s="184"/>
      <c r="AH12" s="197"/>
      <c r="AI12" s="197"/>
      <c r="AJ12" s="184"/>
      <c r="AK12" s="198" t="s">
        <v>227</v>
      </c>
      <c r="AL12" s="199"/>
      <c r="AM12" s="200"/>
      <c r="AN12" s="200"/>
      <c r="AO12" s="200"/>
      <c r="AP12" s="200"/>
      <c r="AQ12" s="200"/>
    </row>
    <row r="13" spans="1:43" x14ac:dyDescent="0.25">
      <c r="A13" s="99">
        <f t="shared" si="2"/>
        <v>9</v>
      </c>
      <c r="B13" s="201" t="s">
        <v>97</v>
      </c>
      <c r="C13" s="184">
        <v>123456789</v>
      </c>
      <c r="D13" s="202"/>
      <c r="E13" s="202"/>
      <c r="F13" s="186"/>
      <c r="G13" s="203"/>
      <c r="H13" s="202"/>
      <c r="I13" s="188"/>
      <c r="J13" s="188" t="s">
        <v>135</v>
      </c>
      <c r="K13" s="188"/>
      <c r="L13" s="189"/>
      <c r="M13" s="190" t="str">
        <f t="shared" si="3"/>
        <v/>
      </c>
      <c r="N13" s="204"/>
      <c r="O13" s="205"/>
      <c r="P13" s="193"/>
      <c r="Q13" s="194"/>
      <c r="R13" s="100">
        <f t="shared" si="4"/>
        <v>0</v>
      </c>
      <c r="S13" s="100">
        <f t="shared" si="5"/>
        <v>0</v>
      </c>
      <c r="T13" s="101" t="str">
        <f>IF(NOT(OR($F13="Full-time",$F13="Part-time")),"",
FT_entitlement/('Basic payroll data'!$D$4*52))</f>
        <v/>
      </c>
      <c r="U13" s="195"/>
      <c r="V13" s="102" t="str">
        <f>IF(OR($F13="Full-time",$F13="Part-time"),SUMIFS('PAYG worksheet'!$O:$O,'PAYG worksheet'!$C:$C,'Employee information'!$B13)*$T13,"")</f>
        <v/>
      </c>
      <c r="W13" s="106" t="str">
        <f>IF($T13="","",SUMIFS('PAYG worksheet'!$T:$T,'PAYG worksheet'!$C:$C,'Employee information'!$B13))</f>
        <v/>
      </c>
      <c r="X13" s="104" t="str">
        <f t="shared" si="6"/>
        <v/>
      </c>
      <c r="Y13" s="105" t="str">
        <f t="shared" si="0"/>
        <v/>
      </c>
      <c r="Z13" s="101" t="str">
        <f>IF(NOT(OR($F13="Full-time",$F13="Part-time")),"",
SL_entitlement/('Basic payroll data'!$D$4*52))</f>
        <v/>
      </c>
      <c r="AA13" s="195"/>
      <c r="AB13" s="102" t="str">
        <f>IF(OR($F13="Full-time",$F13="Part-time"),SUMIFS('PAYG worksheet'!$O:$O,'PAYG worksheet'!$C:$C,'Employee information'!$B13)*$Z13,"")</f>
        <v/>
      </c>
      <c r="AC13" s="103" t="str">
        <f>IF($Z13="","",SUMIFS('PAYG worksheet'!$U:$U,'PAYG worksheet'!$C:$C,'Employee information'!$B13))</f>
        <v/>
      </c>
      <c r="AD13" s="107" t="str">
        <f t="shared" si="7"/>
        <v/>
      </c>
      <c r="AE13" s="105" t="str">
        <f t="shared" si="1"/>
        <v/>
      </c>
      <c r="AF13" s="196"/>
      <c r="AG13" s="184"/>
      <c r="AH13" s="197"/>
      <c r="AI13" s="197"/>
      <c r="AJ13" s="184"/>
      <c r="AK13" s="198" t="s">
        <v>227</v>
      </c>
      <c r="AL13" s="199"/>
      <c r="AM13" s="200"/>
      <c r="AN13" s="200"/>
      <c r="AO13" s="200"/>
      <c r="AP13" s="200"/>
      <c r="AQ13" s="200"/>
    </row>
    <row r="14" spans="1:43" x14ac:dyDescent="0.25">
      <c r="A14" s="99">
        <f t="shared" si="2"/>
        <v>10</v>
      </c>
      <c r="B14" s="201" t="s">
        <v>98</v>
      </c>
      <c r="C14" s="184">
        <v>123456789</v>
      </c>
      <c r="D14" s="202"/>
      <c r="E14" s="202"/>
      <c r="F14" s="186"/>
      <c r="G14" s="203"/>
      <c r="H14" s="202"/>
      <c r="I14" s="188"/>
      <c r="J14" s="188" t="s">
        <v>135</v>
      </c>
      <c r="K14" s="188"/>
      <c r="L14" s="189"/>
      <c r="M14" s="190" t="str">
        <f t="shared" si="3"/>
        <v/>
      </c>
      <c r="N14" s="204"/>
      <c r="O14" s="205"/>
      <c r="P14" s="193"/>
      <c r="Q14" s="194"/>
      <c r="R14" s="100">
        <f t="shared" si="4"/>
        <v>0</v>
      </c>
      <c r="S14" s="100">
        <f t="shared" si="5"/>
        <v>0</v>
      </c>
      <c r="T14" s="101" t="str">
        <f>IF(NOT(OR($F14="Full-time",$F14="Part-time")),"",
FT_entitlement/('Basic payroll data'!$D$4*52))</f>
        <v/>
      </c>
      <c r="U14" s="195"/>
      <c r="V14" s="102" t="str">
        <f>IF(OR($F14="Full-time",$F14="Part-time"),SUMIFS('PAYG worksheet'!$O:$O,'PAYG worksheet'!$C:$C,'Employee information'!$B14)*$T14,"")</f>
        <v/>
      </c>
      <c r="W14" s="106" t="str">
        <f>IF($T14="","",SUMIFS('PAYG worksheet'!$T:$T,'PAYG worksheet'!$C:$C,'Employee information'!$B14))</f>
        <v/>
      </c>
      <c r="X14" s="104" t="str">
        <f t="shared" si="6"/>
        <v/>
      </c>
      <c r="Y14" s="105" t="str">
        <f t="shared" si="0"/>
        <v/>
      </c>
      <c r="Z14" s="101" t="str">
        <f>IF(NOT(OR($F14="Full-time",$F14="Part-time")),"",
SL_entitlement/('Basic payroll data'!$D$4*52))</f>
        <v/>
      </c>
      <c r="AA14" s="195"/>
      <c r="AB14" s="102" t="str">
        <f>IF(OR($F14="Full-time",$F14="Part-time"),SUMIFS('PAYG worksheet'!$O:$O,'PAYG worksheet'!$C:$C,'Employee information'!$B14)*$Z14,"")</f>
        <v/>
      </c>
      <c r="AC14" s="103" t="str">
        <f>IF($Z14="","",SUMIFS('PAYG worksheet'!$U:$U,'PAYG worksheet'!$C:$C,'Employee information'!$B14))</f>
        <v/>
      </c>
      <c r="AD14" s="107" t="str">
        <f t="shared" si="7"/>
        <v/>
      </c>
      <c r="AE14" s="105" t="str">
        <f t="shared" si="1"/>
        <v/>
      </c>
      <c r="AF14" s="196"/>
      <c r="AG14" s="184"/>
      <c r="AH14" s="197"/>
      <c r="AI14" s="197"/>
      <c r="AJ14" s="184"/>
      <c r="AK14" s="198" t="s">
        <v>227</v>
      </c>
      <c r="AL14" s="199"/>
      <c r="AM14" s="200"/>
      <c r="AN14" s="200"/>
      <c r="AO14" s="200"/>
      <c r="AP14" s="200"/>
      <c r="AQ14" s="200"/>
    </row>
    <row r="15" spans="1:43" x14ac:dyDescent="0.25">
      <c r="A15" s="99">
        <f t="shared" si="2"/>
        <v>11</v>
      </c>
      <c r="B15" s="201" t="s">
        <v>99</v>
      </c>
      <c r="C15" s="184">
        <v>123456789</v>
      </c>
      <c r="D15" s="202"/>
      <c r="E15" s="202"/>
      <c r="F15" s="186"/>
      <c r="G15" s="203"/>
      <c r="H15" s="202"/>
      <c r="I15" s="188"/>
      <c r="J15" s="188" t="s">
        <v>135</v>
      </c>
      <c r="K15" s="188"/>
      <c r="L15" s="189"/>
      <c r="M15" s="190" t="str">
        <f t="shared" si="3"/>
        <v/>
      </c>
      <c r="N15" s="204"/>
      <c r="O15" s="205"/>
      <c r="P15" s="193"/>
      <c r="Q15" s="194"/>
      <c r="R15" s="100">
        <f t="shared" si="4"/>
        <v>0</v>
      </c>
      <c r="S15" s="100">
        <f t="shared" si="5"/>
        <v>0</v>
      </c>
      <c r="T15" s="101" t="str">
        <f>IF(NOT(OR($F15="Full-time",$F15="Part-time")),"",
FT_entitlement/('Basic payroll data'!$D$4*52))</f>
        <v/>
      </c>
      <c r="U15" s="195"/>
      <c r="V15" s="102" t="str">
        <f>IF(OR($F15="Full-time",$F15="Part-time"),SUMIFS('PAYG worksheet'!$O:$O,'PAYG worksheet'!$C:$C,'Employee information'!$B15)*$T15,"")</f>
        <v/>
      </c>
      <c r="W15" s="106" t="str">
        <f>IF($T15="","",SUMIFS('PAYG worksheet'!$T:$T,'PAYG worksheet'!$C:$C,'Employee information'!$B15))</f>
        <v/>
      </c>
      <c r="X15" s="104" t="str">
        <f t="shared" si="6"/>
        <v/>
      </c>
      <c r="Y15" s="105" t="str">
        <f t="shared" si="0"/>
        <v/>
      </c>
      <c r="Z15" s="101" t="str">
        <f>IF(NOT(OR($F15="Full-time",$F15="Part-time")),"",
SL_entitlement/('Basic payroll data'!$D$4*52))</f>
        <v/>
      </c>
      <c r="AA15" s="195"/>
      <c r="AB15" s="102" t="str">
        <f>IF(OR($F15="Full-time",$F15="Part-time"),SUMIFS('PAYG worksheet'!$O:$O,'PAYG worksheet'!$C:$C,'Employee information'!$B15)*$Z15,"")</f>
        <v/>
      </c>
      <c r="AC15" s="103" t="str">
        <f>IF($Z15="","",SUMIFS('PAYG worksheet'!$U:$U,'PAYG worksheet'!$C:$C,'Employee information'!$B15))</f>
        <v/>
      </c>
      <c r="AD15" s="107" t="str">
        <f t="shared" si="7"/>
        <v/>
      </c>
      <c r="AE15" s="105" t="str">
        <f t="shared" si="1"/>
        <v/>
      </c>
      <c r="AF15" s="196"/>
      <c r="AG15" s="184"/>
      <c r="AH15" s="197"/>
      <c r="AI15" s="197"/>
      <c r="AJ15" s="184"/>
      <c r="AK15" s="198" t="s">
        <v>227</v>
      </c>
      <c r="AL15" s="199"/>
      <c r="AM15" s="200"/>
      <c r="AN15" s="200"/>
      <c r="AO15" s="200"/>
      <c r="AP15" s="200"/>
      <c r="AQ15" s="200"/>
    </row>
    <row r="16" spans="1:43" x14ac:dyDescent="0.25">
      <c r="A16" s="99">
        <f t="shared" si="2"/>
        <v>12</v>
      </c>
      <c r="B16" s="201" t="s">
        <v>100</v>
      </c>
      <c r="C16" s="184">
        <v>123456789</v>
      </c>
      <c r="D16" s="202"/>
      <c r="E16" s="202"/>
      <c r="F16" s="186"/>
      <c r="G16" s="203"/>
      <c r="H16" s="202"/>
      <c r="I16" s="188"/>
      <c r="J16" s="188" t="s">
        <v>135</v>
      </c>
      <c r="K16" s="188"/>
      <c r="L16" s="189"/>
      <c r="M16" s="190" t="str">
        <f t="shared" si="3"/>
        <v/>
      </c>
      <c r="N16" s="204"/>
      <c r="O16" s="205"/>
      <c r="P16" s="193"/>
      <c r="Q16" s="194"/>
      <c r="R16" s="100">
        <f t="shared" si="4"/>
        <v>0</v>
      </c>
      <c r="S16" s="100">
        <f t="shared" si="5"/>
        <v>0</v>
      </c>
      <c r="T16" s="101" t="str">
        <f>IF(NOT(OR($F16="Full-time",$F16="Part-time")),"",
FT_entitlement/('Basic payroll data'!$D$4*52))</f>
        <v/>
      </c>
      <c r="U16" s="195"/>
      <c r="V16" s="102" t="str">
        <f>IF(OR($F16="Full-time",$F16="Part-time"),SUMIFS('PAYG worksheet'!$O:$O,'PAYG worksheet'!$C:$C,'Employee information'!$B16)*$T16,"")</f>
        <v/>
      </c>
      <c r="W16" s="106" t="str">
        <f>IF($T16="","",SUMIFS('PAYG worksheet'!$T:$T,'PAYG worksheet'!$C:$C,'Employee information'!$B16))</f>
        <v/>
      </c>
      <c r="X16" s="104" t="str">
        <f t="shared" si="6"/>
        <v/>
      </c>
      <c r="Y16" s="105" t="str">
        <f t="shared" si="0"/>
        <v/>
      </c>
      <c r="Z16" s="101" t="str">
        <f>IF(NOT(OR($F16="Full-time",$F16="Part-time")),"",
SL_entitlement/('Basic payroll data'!$D$4*52))</f>
        <v/>
      </c>
      <c r="AA16" s="195"/>
      <c r="AB16" s="102" t="str">
        <f>IF(OR($F16="Full-time",$F16="Part-time"),SUMIFS('PAYG worksheet'!$O:$O,'PAYG worksheet'!$C:$C,'Employee information'!$B16)*$Z16,"")</f>
        <v/>
      </c>
      <c r="AC16" s="103" t="str">
        <f>IF($Z16="","",SUMIFS('PAYG worksheet'!$U:$U,'PAYG worksheet'!$C:$C,'Employee information'!$B16))</f>
        <v/>
      </c>
      <c r="AD16" s="107" t="str">
        <f t="shared" si="7"/>
        <v/>
      </c>
      <c r="AE16" s="105" t="str">
        <f t="shared" si="1"/>
        <v/>
      </c>
      <c r="AF16" s="196"/>
      <c r="AG16" s="184"/>
      <c r="AH16" s="197"/>
      <c r="AI16" s="197"/>
      <c r="AJ16" s="184"/>
      <c r="AK16" s="198" t="s">
        <v>227</v>
      </c>
      <c r="AL16" s="199"/>
      <c r="AM16" s="200"/>
      <c r="AN16" s="200"/>
      <c r="AO16" s="200"/>
      <c r="AP16" s="200"/>
      <c r="AQ16" s="200"/>
    </row>
    <row r="17" spans="1:43" x14ac:dyDescent="0.25">
      <c r="A17" s="99">
        <f t="shared" si="2"/>
        <v>13</v>
      </c>
      <c r="B17" s="201" t="s">
        <v>101</v>
      </c>
      <c r="C17" s="184">
        <v>123456789</v>
      </c>
      <c r="D17" s="202"/>
      <c r="E17" s="202"/>
      <c r="F17" s="186"/>
      <c r="G17" s="203"/>
      <c r="H17" s="202"/>
      <c r="I17" s="188"/>
      <c r="J17" s="188" t="s">
        <v>135</v>
      </c>
      <c r="K17" s="188"/>
      <c r="L17" s="189"/>
      <c r="M17" s="190" t="str">
        <f t="shared" si="3"/>
        <v/>
      </c>
      <c r="N17" s="204"/>
      <c r="O17" s="205"/>
      <c r="P17" s="193"/>
      <c r="Q17" s="194"/>
      <c r="R17" s="100">
        <f t="shared" si="4"/>
        <v>0</v>
      </c>
      <c r="S17" s="100">
        <f t="shared" si="5"/>
        <v>0</v>
      </c>
      <c r="T17" s="101" t="str">
        <f>IF(NOT(OR($F17="Full-time",$F17="Part-time")),"",
FT_entitlement/('Basic payroll data'!$D$4*52))</f>
        <v/>
      </c>
      <c r="U17" s="195"/>
      <c r="V17" s="102" t="str">
        <f>IF(OR($F17="Full-time",$F17="Part-time"),SUMIFS('PAYG worksheet'!$O:$O,'PAYG worksheet'!$C:$C,'Employee information'!$B17)*$T17,"")</f>
        <v/>
      </c>
      <c r="W17" s="106" t="str">
        <f>IF($T17="","",SUMIFS('PAYG worksheet'!$T:$T,'PAYG worksheet'!$C:$C,'Employee information'!$B17))</f>
        <v/>
      </c>
      <c r="X17" s="104" t="str">
        <f t="shared" si="6"/>
        <v/>
      </c>
      <c r="Y17" s="105" t="str">
        <f t="shared" si="0"/>
        <v/>
      </c>
      <c r="Z17" s="101" t="str">
        <f>IF(NOT(OR($F17="Full-time",$F17="Part-time")),"",
SL_entitlement/('Basic payroll data'!$D$4*52))</f>
        <v/>
      </c>
      <c r="AA17" s="195"/>
      <c r="AB17" s="102" t="str">
        <f>IF(OR($F17="Full-time",$F17="Part-time"),SUMIFS('PAYG worksheet'!$O:$O,'PAYG worksheet'!$C:$C,'Employee information'!$B17)*$Z17,"")</f>
        <v/>
      </c>
      <c r="AC17" s="103" t="str">
        <f>IF($Z17="","",SUMIFS('PAYG worksheet'!$U:$U,'PAYG worksheet'!$C:$C,'Employee information'!$B17))</f>
        <v/>
      </c>
      <c r="AD17" s="107" t="str">
        <f t="shared" si="7"/>
        <v/>
      </c>
      <c r="AE17" s="105" t="str">
        <f t="shared" si="1"/>
        <v/>
      </c>
      <c r="AF17" s="196"/>
      <c r="AG17" s="184"/>
      <c r="AH17" s="197"/>
      <c r="AI17" s="197"/>
      <c r="AJ17" s="184"/>
      <c r="AK17" s="198" t="s">
        <v>227</v>
      </c>
      <c r="AL17" s="199"/>
      <c r="AM17" s="200"/>
      <c r="AN17" s="200"/>
      <c r="AO17" s="200"/>
      <c r="AP17" s="200"/>
      <c r="AQ17" s="200"/>
    </row>
    <row r="18" spans="1:43" x14ac:dyDescent="0.25">
      <c r="A18" s="99">
        <f t="shared" si="2"/>
        <v>14</v>
      </c>
      <c r="B18" s="201" t="s">
        <v>102</v>
      </c>
      <c r="C18" s="184">
        <v>123456789</v>
      </c>
      <c r="D18" s="202"/>
      <c r="E18" s="202"/>
      <c r="F18" s="186"/>
      <c r="G18" s="203"/>
      <c r="H18" s="202"/>
      <c r="I18" s="188"/>
      <c r="J18" s="188" t="s">
        <v>135</v>
      </c>
      <c r="K18" s="188"/>
      <c r="L18" s="189"/>
      <c r="M18" s="190" t="str">
        <f t="shared" si="3"/>
        <v/>
      </c>
      <c r="N18" s="204"/>
      <c r="O18" s="205"/>
      <c r="P18" s="193"/>
      <c r="Q18" s="194"/>
      <c r="R18" s="100">
        <f t="shared" si="4"/>
        <v>0</v>
      </c>
      <c r="S18" s="100">
        <f t="shared" si="5"/>
        <v>0</v>
      </c>
      <c r="T18" s="101" t="str">
        <f>IF(NOT(OR($F18="Full-time",$F18="Part-time")),"",
FT_entitlement/('Basic payroll data'!$D$4*52))</f>
        <v/>
      </c>
      <c r="U18" s="195"/>
      <c r="V18" s="102" t="str">
        <f>IF(OR($F18="Full-time",$F18="Part-time"),SUMIFS('PAYG worksheet'!$O:$O,'PAYG worksheet'!$C:$C,'Employee information'!$B18)*$T18,"")</f>
        <v/>
      </c>
      <c r="W18" s="106" t="str">
        <f>IF($T18="","",SUMIFS('PAYG worksheet'!$T:$T,'PAYG worksheet'!$C:$C,'Employee information'!$B18))</f>
        <v/>
      </c>
      <c r="X18" s="104" t="str">
        <f t="shared" si="6"/>
        <v/>
      </c>
      <c r="Y18" s="105" t="str">
        <f t="shared" si="0"/>
        <v/>
      </c>
      <c r="Z18" s="101" t="str">
        <f>IF(NOT(OR($F18="Full-time",$F18="Part-time")),"",
SL_entitlement/('Basic payroll data'!$D$4*52))</f>
        <v/>
      </c>
      <c r="AA18" s="195"/>
      <c r="AB18" s="102" t="str">
        <f>IF(OR($F18="Full-time",$F18="Part-time"),SUMIFS('PAYG worksheet'!$O:$O,'PAYG worksheet'!$C:$C,'Employee information'!$B18)*$Z18,"")</f>
        <v/>
      </c>
      <c r="AC18" s="103" t="str">
        <f>IF($Z18="","",SUMIFS('PAYG worksheet'!$U:$U,'PAYG worksheet'!$C:$C,'Employee information'!$B18))</f>
        <v/>
      </c>
      <c r="AD18" s="107" t="str">
        <f t="shared" si="7"/>
        <v/>
      </c>
      <c r="AE18" s="105" t="str">
        <f t="shared" si="1"/>
        <v/>
      </c>
      <c r="AF18" s="196"/>
      <c r="AG18" s="184"/>
      <c r="AH18" s="197"/>
      <c r="AI18" s="197"/>
      <c r="AJ18" s="184"/>
      <c r="AK18" s="198" t="s">
        <v>227</v>
      </c>
      <c r="AL18" s="199"/>
      <c r="AM18" s="200"/>
      <c r="AN18" s="200"/>
      <c r="AO18" s="200"/>
      <c r="AP18" s="200"/>
      <c r="AQ18" s="200"/>
    </row>
    <row r="19" spans="1:43" x14ac:dyDescent="0.25">
      <c r="A19" s="99">
        <f t="shared" si="2"/>
        <v>15</v>
      </c>
      <c r="B19" s="201" t="s">
        <v>103</v>
      </c>
      <c r="C19" s="184">
        <v>123456789</v>
      </c>
      <c r="D19" s="202"/>
      <c r="E19" s="202"/>
      <c r="F19" s="186"/>
      <c r="G19" s="203"/>
      <c r="H19" s="202"/>
      <c r="I19" s="188"/>
      <c r="J19" s="188" t="s">
        <v>135</v>
      </c>
      <c r="K19" s="188"/>
      <c r="L19" s="189"/>
      <c r="M19" s="190" t="str">
        <f t="shared" si="3"/>
        <v/>
      </c>
      <c r="N19" s="204"/>
      <c r="O19" s="205"/>
      <c r="P19" s="193"/>
      <c r="Q19" s="194"/>
      <c r="R19" s="100">
        <f t="shared" si="4"/>
        <v>0</v>
      </c>
      <c r="S19" s="100">
        <f t="shared" si="5"/>
        <v>0</v>
      </c>
      <c r="T19" s="101" t="str">
        <f>IF(NOT(OR($F19="Full-time",$F19="Part-time")),"",
FT_entitlement/('Basic payroll data'!$D$4*52))</f>
        <v/>
      </c>
      <c r="U19" s="195"/>
      <c r="V19" s="102" t="str">
        <f>IF(OR($F19="Full-time",$F19="Part-time"),SUMIFS('PAYG worksheet'!$O:$O,'PAYG worksheet'!$C:$C,'Employee information'!$B19)*$T19,"")</f>
        <v/>
      </c>
      <c r="W19" s="106" t="str">
        <f>IF($T19="","",SUMIFS('PAYG worksheet'!$T:$T,'PAYG worksheet'!$C:$C,'Employee information'!$B19))</f>
        <v/>
      </c>
      <c r="X19" s="104" t="str">
        <f t="shared" si="6"/>
        <v/>
      </c>
      <c r="Y19" s="105" t="str">
        <f t="shared" si="0"/>
        <v/>
      </c>
      <c r="Z19" s="101" t="str">
        <f>IF(NOT(OR($F19="Full-time",$F19="Part-time")),"",
SL_entitlement/('Basic payroll data'!$D$4*52))</f>
        <v/>
      </c>
      <c r="AA19" s="195"/>
      <c r="AB19" s="102" t="str">
        <f>IF(OR($F19="Full-time",$F19="Part-time"),SUMIFS('PAYG worksheet'!$O:$O,'PAYG worksheet'!$C:$C,'Employee information'!$B19)*$Z19,"")</f>
        <v/>
      </c>
      <c r="AC19" s="103" t="str">
        <f>IF($Z19="","",SUMIFS('PAYG worksheet'!$U:$U,'PAYG worksheet'!$C:$C,'Employee information'!$B19))</f>
        <v/>
      </c>
      <c r="AD19" s="107" t="str">
        <f t="shared" si="7"/>
        <v/>
      </c>
      <c r="AE19" s="105" t="str">
        <f t="shared" si="1"/>
        <v/>
      </c>
      <c r="AF19" s="196"/>
      <c r="AG19" s="184"/>
      <c r="AH19" s="197"/>
      <c r="AI19" s="197"/>
      <c r="AJ19" s="184"/>
      <c r="AK19" s="198" t="s">
        <v>227</v>
      </c>
      <c r="AL19" s="199"/>
      <c r="AM19" s="200"/>
      <c r="AN19" s="200"/>
      <c r="AO19" s="200"/>
      <c r="AP19" s="200"/>
      <c r="AQ19" s="200"/>
    </row>
    <row r="20" spans="1:43" x14ac:dyDescent="0.25">
      <c r="A20" s="99">
        <f t="shared" si="2"/>
        <v>16</v>
      </c>
      <c r="B20" s="201" t="s">
        <v>104</v>
      </c>
      <c r="C20" s="184">
        <v>123456789</v>
      </c>
      <c r="D20" s="202"/>
      <c r="E20" s="202"/>
      <c r="F20" s="186"/>
      <c r="G20" s="203"/>
      <c r="H20" s="202"/>
      <c r="I20" s="188"/>
      <c r="J20" s="188" t="s">
        <v>135</v>
      </c>
      <c r="K20" s="188"/>
      <c r="L20" s="189"/>
      <c r="M20" s="190" t="str">
        <f t="shared" si="3"/>
        <v/>
      </c>
      <c r="N20" s="204"/>
      <c r="O20" s="205"/>
      <c r="P20" s="193"/>
      <c r="Q20" s="194"/>
      <c r="R20" s="100">
        <f t="shared" si="4"/>
        <v>0</v>
      </c>
      <c r="S20" s="100">
        <f t="shared" si="5"/>
        <v>0</v>
      </c>
      <c r="T20" s="101" t="str">
        <f>IF(NOT(OR($F20="Full-time",$F20="Part-time")),"",
FT_entitlement/('Basic payroll data'!$D$4*52))</f>
        <v/>
      </c>
      <c r="U20" s="195"/>
      <c r="V20" s="102" t="str">
        <f>IF(OR($F20="Full-time",$F20="Part-time"),SUMIFS('PAYG worksheet'!$O:$O,'PAYG worksheet'!$C:$C,'Employee information'!$B20)*$T20,"")</f>
        <v/>
      </c>
      <c r="W20" s="106" t="str">
        <f>IF($T20="","",SUMIFS('PAYG worksheet'!$T:$T,'PAYG worksheet'!$C:$C,'Employee information'!$B20))</f>
        <v/>
      </c>
      <c r="X20" s="104" t="str">
        <f t="shared" si="6"/>
        <v/>
      </c>
      <c r="Y20" s="105" t="str">
        <f t="shared" si="0"/>
        <v/>
      </c>
      <c r="Z20" s="101" t="str">
        <f>IF(NOT(OR($F20="Full-time",$F20="Part-time")),"",
SL_entitlement/('Basic payroll data'!$D$4*52))</f>
        <v/>
      </c>
      <c r="AA20" s="195"/>
      <c r="AB20" s="102" t="str">
        <f>IF(OR($F20="Full-time",$F20="Part-time"),SUMIFS('PAYG worksheet'!$O:$O,'PAYG worksheet'!$C:$C,'Employee information'!$B20)*$Z20,"")</f>
        <v/>
      </c>
      <c r="AC20" s="103" t="str">
        <f>IF($Z20="","",SUMIFS('PAYG worksheet'!$U:$U,'PAYG worksheet'!$C:$C,'Employee information'!$B20))</f>
        <v/>
      </c>
      <c r="AD20" s="107" t="str">
        <f t="shared" si="7"/>
        <v/>
      </c>
      <c r="AE20" s="105" t="str">
        <f t="shared" si="1"/>
        <v/>
      </c>
      <c r="AF20" s="196"/>
      <c r="AG20" s="184"/>
      <c r="AH20" s="197"/>
      <c r="AI20" s="197"/>
      <c r="AJ20" s="184"/>
      <c r="AK20" s="198" t="s">
        <v>227</v>
      </c>
      <c r="AL20" s="199"/>
      <c r="AM20" s="200"/>
      <c r="AN20" s="200"/>
      <c r="AO20" s="200"/>
      <c r="AP20" s="200"/>
      <c r="AQ20" s="200"/>
    </row>
    <row r="21" spans="1:43" x14ac:dyDescent="0.25">
      <c r="A21" s="99">
        <f t="shared" si="2"/>
        <v>17</v>
      </c>
      <c r="B21" s="201" t="s">
        <v>105</v>
      </c>
      <c r="C21" s="184">
        <v>123456789</v>
      </c>
      <c r="D21" s="202"/>
      <c r="E21" s="202"/>
      <c r="F21" s="186"/>
      <c r="G21" s="203"/>
      <c r="H21" s="202"/>
      <c r="I21" s="188"/>
      <c r="J21" s="188" t="s">
        <v>135</v>
      </c>
      <c r="K21" s="188"/>
      <c r="L21" s="189"/>
      <c r="M21" s="190" t="str">
        <f t="shared" si="3"/>
        <v/>
      </c>
      <c r="N21" s="204"/>
      <c r="O21" s="205"/>
      <c r="P21" s="193"/>
      <c r="Q21" s="194"/>
      <c r="R21" s="100">
        <f t="shared" si="4"/>
        <v>0</v>
      </c>
      <c r="S21" s="100">
        <f t="shared" si="5"/>
        <v>0</v>
      </c>
      <c r="T21" s="101" t="str">
        <f>IF(NOT(OR($F21="Full-time",$F21="Part-time")),"",
FT_entitlement/('Basic payroll data'!$D$4*52))</f>
        <v/>
      </c>
      <c r="U21" s="195"/>
      <c r="V21" s="102" t="str">
        <f>IF(OR($F21="Full-time",$F21="Part-time"),SUMIFS('PAYG worksheet'!$O:$O,'PAYG worksheet'!$C:$C,'Employee information'!$B21)*$T21,"")</f>
        <v/>
      </c>
      <c r="W21" s="106" t="str">
        <f>IF($T21="","",SUMIFS('PAYG worksheet'!$T:$T,'PAYG worksheet'!$C:$C,'Employee information'!$B21))</f>
        <v/>
      </c>
      <c r="X21" s="104" t="str">
        <f t="shared" si="6"/>
        <v/>
      </c>
      <c r="Y21" s="105" t="str">
        <f t="shared" si="0"/>
        <v/>
      </c>
      <c r="Z21" s="101" t="str">
        <f>IF(NOT(OR($F21="Full-time",$F21="Part-time")),"",
SL_entitlement/('Basic payroll data'!$D$4*52))</f>
        <v/>
      </c>
      <c r="AA21" s="195"/>
      <c r="AB21" s="102" t="str">
        <f>IF(OR($F21="Full-time",$F21="Part-time"),SUMIFS('PAYG worksheet'!$O:$O,'PAYG worksheet'!$C:$C,'Employee information'!$B21)*$Z21,"")</f>
        <v/>
      </c>
      <c r="AC21" s="103" t="str">
        <f>IF($Z21="","",SUMIFS('PAYG worksheet'!$U:$U,'PAYG worksheet'!$C:$C,'Employee information'!$B21))</f>
        <v/>
      </c>
      <c r="AD21" s="107" t="str">
        <f t="shared" si="7"/>
        <v/>
      </c>
      <c r="AE21" s="105" t="str">
        <f t="shared" si="1"/>
        <v/>
      </c>
      <c r="AF21" s="196"/>
      <c r="AG21" s="184"/>
      <c r="AH21" s="197"/>
      <c r="AI21" s="197"/>
      <c r="AJ21" s="184"/>
      <c r="AK21" s="198" t="s">
        <v>227</v>
      </c>
      <c r="AL21" s="199"/>
      <c r="AM21" s="200"/>
      <c r="AN21" s="200"/>
      <c r="AO21" s="200"/>
      <c r="AP21" s="200"/>
      <c r="AQ21" s="200"/>
    </row>
    <row r="22" spans="1:43" x14ac:dyDescent="0.25">
      <c r="A22" s="99">
        <f t="shared" si="2"/>
        <v>18</v>
      </c>
      <c r="B22" s="201" t="s">
        <v>106</v>
      </c>
      <c r="C22" s="184">
        <v>123456789</v>
      </c>
      <c r="D22" s="202"/>
      <c r="E22" s="202"/>
      <c r="F22" s="186"/>
      <c r="G22" s="203"/>
      <c r="H22" s="202"/>
      <c r="I22" s="188"/>
      <c r="J22" s="188" t="s">
        <v>135</v>
      </c>
      <c r="K22" s="188"/>
      <c r="L22" s="189"/>
      <c r="M22" s="190" t="str">
        <f t="shared" si="3"/>
        <v/>
      </c>
      <c r="N22" s="204"/>
      <c r="O22" s="205"/>
      <c r="P22" s="193"/>
      <c r="Q22" s="194"/>
      <c r="R22" s="100">
        <f t="shared" si="4"/>
        <v>0</v>
      </c>
      <c r="S22" s="100">
        <f t="shared" si="5"/>
        <v>0</v>
      </c>
      <c r="T22" s="101" t="str">
        <f>IF(NOT(OR($F22="Full-time",$F22="Part-time")),"",
FT_entitlement/('Basic payroll data'!$D$4*52))</f>
        <v/>
      </c>
      <c r="U22" s="195"/>
      <c r="V22" s="102" t="str">
        <f>IF(OR($F22="Full-time",$F22="Part-time"),SUMIFS('PAYG worksheet'!$O:$O,'PAYG worksheet'!$C:$C,'Employee information'!$B22)*$T22,"")</f>
        <v/>
      </c>
      <c r="W22" s="106" t="str">
        <f>IF($T22="","",SUMIFS('PAYG worksheet'!$T:$T,'PAYG worksheet'!$C:$C,'Employee information'!$B22))</f>
        <v/>
      </c>
      <c r="X22" s="104" t="str">
        <f t="shared" si="6"/>
        <v/>
      </c>
      <c r="Y22" s="105" t="str">
        <f t="shared" si="0"/>
        <v/>
      </c>
      <c r="Z22" s="101" t="str">
        <f>IF(NOT(OR($F22="Full-time",$F22="Part-time")),"",
SL_entitlement/('Basic payroll data'!$D$4*52))</f>
        <v/>
      </c>
      <c r="AA22" s="195"/>
      <c r="AB22" s="102" t="str">
        <f>IF(OR($F22="Full-time",$F22="Part-time"),SUMIFS('PAYG worksheet'!$O:$O,'PAYG worksheet'!$C:$C,'Employee information'!$B22)*$Z22,"")</f>
        <v/>
      </c>
      <c r="AC22" s="103" t="str">
        <f>IF($Z22="","",SUMIFS('PAYG worksheet'!$U:$U,'PAYG worksheet'!$C:$C,'Employee information'!$B22))</f>
        <v/>
      </c>
      <c r="AD22" s="107" t="str">
        <f t="shared" si="7"/>
        <v/>
      </c>
      <c r="AE22" s="105" t="str">
        <f t="shared" si="1"/>
        <v/>
      </c>
      <c r="AF22" s="196"/>
      <c r="AG22" s="184"/>
      <c r="AH22" s="197"/>
      <c r="AI22" s="197"/>
      <c r="AJ22" s="184"/>
      <c r="AK22" s="198" t="s">
        <v>227</v>
      </c>
      <c r="AL22" s="199"/>
      <c r="AM22" s="200"/>
      <c r="AN22" s="200"/>
      <c r="AO22" s="200"/>
      <c r="AP22" s="200"/>
      <c r="AQ22" s="200"/>
    </row>
    <row r="23" spans="1:43" x14ac:dyDescent="0.25">
      <c r="A23" s="99">
        <f t="shared" si="2"/>
        <v>19</v>
      </c>
      <c r="B23" s="201" t="s">
        <v>107</v>
      </c>
      <c r="C23" s="184">
        <v>123456789</v>
      </c>
      <c r="D23" s="202"/>
      <c r="E23" s="202"/>
      <c r="F23" s="186"/>
      <c r="G23" s="203"/>
      <c r="H23" s="202"/>
      <c r="I23" s="188"/>
      <c r="J23" s="188" t="s">
        <v>135</v>
      </c>
      <c r="K23" s="188"/>
      <c r="L23" s="189"/>
      <c r="M23" s="190" t="str">
        <f t="shared" si="3"/>
        <v/>
      </c>
      <c r="N23" s="204"/>
      <c r="O23" s="205"/>
      <c r="P23" s="193"/>
      <c r="Q23" s="194"/>
      <c r="R23" s="100">
        <f t="shared" si="4"/>
        <v>0</v>
      </c>
      <c r="S23" s="100">
        <f t="shared" si="5"/>
        <v>0</v>
      </c>
      <c r="T23" s="101" t="str">
        <f>IF(NOT(OR($F23="Full-time",$F23="Part-time")),"",
FT_entitlement/('Basic payroll data'!$D$4*52))</f>
        <v/>
      </c>
      <c r="U23" s="195"/>
      <c r="V23" s="102" t="str">
        <f>IF(OR($F23="Full-time",$F23="Part-time"),SUMIFS('PAYG worksheet'!$O:$O,'PAYG worksheet'!$C:$C,'Employee information'!$B23)*$T23,"")</f>
        <v/>
      </c>
      <c r="W23" s="106" t="str">
        <f>IF($T23="","",SUMIFS('PAYG worksheet'!$T:$T,'PAYG worksheet'!$C:$C,'Employee information'!$B23))</f>
        <v/>
      </c>
      <c r="X23" s="104" t="str">
        <f t="shared" si="6"/>
        <v/>
      </c>
      <c r="Y23" s="105" t="str">
        <f t="shared" si="0"/>
        <v/>
      </c>
      <c r="Z23" s="101" t="str">
        <f>IF(NOT(OR($F23="Full-time",$F23="Part-time")),"",
SL_entitlement/('Basic payroll data'!$D$4*52))</f>
        <v/>
      </c>
      <c r="AA23" s="195"/>
      <c r="AB23" s="102" t="str">
        <f>IF(OR($F23="Full-time",$F23="Part-time"),SUMIFS('PAYG worksheet'!$O:$O,'PAYG worksheet'!$C:$C,'Employee information'!$B23)*$Z23,"")</f>
        <v/>
      </c>
      <c r="AC23" s="103" t="str">
        <f>IF($Z23="","",SUMIFS('PAYG worksheet'!$U:$U,'PAYG worksheet'!$C:$C,'Employee information'!$B23))</f>
        <v/>
      </c>
      <c r="AD23" s="107" t="str">
        <f t="shared" si="7"/>
        <v/>
      </c>
      <c r="AE23" s="105" t="str">
        <f t="shared" si="1"/>
        <v/>
      </c>
      <c r="AF23" s="196"/>
      <c r="AG23" s="184"/>
      <c r="AH23" s="197"/>
      <c r="AI23" s="197"/>
      <c r="AJ23" s="184"/>
      <c r="AK23" s="198" t="s">
        <v>227</v>
      </c>
      <c r="AL23" s="199"/>
      <c r="AM23" s="200"/>
      <c r="AN23" s="200"/>
      <c r="AO23" s="200"/>
      <c r="AP23" s="200"/>
      <c r="AQ23" s="200"/>
    </row>
    <row r="24" spans="1:43" x14ac:dyDescent="0.25">
      <c r="A24" s="99" t="str">
        <f t="shared" ref="A24:A33" si="8">IF(B24="","",ROW()-4)</f>
        <v/>
      </c>
      <c r="B24" s="201"/>
      <c r="C24" s="201"/>
      <c r="D24" s="202"/>
      <c r="E24" s="202"/>
      <c r="F24" s="186"/>
      <c r="G24" s="203"/>
      <c r="H24" s="188"/>
      <c r="I24" s="188"/>
      <c r="J24" s="188"/>
      <c r="K24" s="188"/>
      <c r="L24" s="189"/>
      <c r="M24" s="190" t="str">
        <f t="shared" si="3"/>
        <v/>
      </c>
      <c r="N24" s="204"/>
      <c r="O24" s="205"/>
      <c r="P24" s="193"/>
      <c r="Q24" s="194"/>
      <c r="R24" s="100">
        <f t="shared" si="4"/>
        <v>0</v>
      </c>
      <c r="S24" s="100">
        <f t="shared" si="5"/>
        <v>0</v>
      </c>
      <c r="T24" s="101" t="str">
        <f>IF(NOT(OR($F24="Full-time",$F24="Part-time")),"",
FT_entitlement/('Basic payroll data'!$D$4*52))</f>
        <v/>
      </c>
      <c r="U24" s="195"/>
      <c r="V24" s="102" t="str">
        <f>IF(OR($F24="Full-time",$F24="Part-time"),SUMIFS('PAYG worksheet'!$O:$O,'PAYG worksheet'!$C:$C,'Employee information'!$B24)*$T24,"")</f>
        <v/>
      </c>
      <c r="W24" s="106" t="str">
        <f>IF($T24="","",SUMIFS('PAYG worksheet'!$T:$T,'PAYG worksheet'!$C:$C,'Employee information'!$B24))</f>
        <v/>
      </c>
      <c r="X24" s="104" t="str">
        <f t="shared" si="6"/>
        <v/>
      </c>
      <c r="Y24" s="105" t="str">
        <f t="shared" si="0"/>
        <v/>
      </c>
      <c r="Z24" s="101" t="str">
        <f>IF(NOT(OR($F24="Full-time",$F24="Part-time")),"",
SL_entitlement/('Basic payroll data'!$D$4*52))</f>
        <v/>
      </c>
      <c r="AA24" s="195"/>
      <c r="AB24" s="102" t="str">
        <f>IF(OR($F24="Full-time",$F24="Part-time"),SUMIFS('PAYG worksheet'!$O:$O,'PAYG worksheet'!$C:$C,'Employee information'!$B24)*$Z24,"")</f>
        <v/>
      </c>
      <c r="AC24" s="103" t="str">
        <f>IF($Z24="","",SUMIFS('PAYG worksheet'!$U:$U,'PAYG worksheet'!$C:$C,'Employee information'!$B24))</f>
        <v/>
      </c>
      <c r="AD24" s="107" t="str">
        <f t="shared" si="7"/>
        <v/>
      </c>
      <c r="AE24" s="105" t="str">
        <f t="shared" si="1"/>
        <v/>
      </c>
      <c r="AF24" s="196"/>
      <c r="AG24" s="184"/>
      <c r="AH24" s="197"/>
      <c r="AI24" s="197"/>
      <c r="AJ24" s="184"/>
      <c r="AK24" s="198"/>
      <c r="AL24" s="199"/>
      <c r="AM24" s="200"/>
      <c r="AN24" s="200"/>
      <c r="AO24" s="200"/>
      <c r="AP24" s="200"/>
      <c r="AQ24" s="200"/>
    </row>
    <row r="25" spans="1:43" x14ac:dyDescent="0.25">
      <c r="A25" s="99" t="str">
        <f t="shared" si="8"/>
        <v/>
      </c>
      <c r="B25" s="201"/>
      <c r="C25" s="201"/>
      <c r="D25" s="202"/>
      <c r="E25" s="202"/>
      <c r="F25" s="186"/>
      <c r="G25" s="203"/>
      <c r="H25" s="202"/>
      <c r="I25" s="188"/>
      <c r="J25" s="188"/>
      <c r="K25" s="188"/>
      <c r="L25" s="189"/>
      <c r="M25" s="190" t="str">
        <f t="shared" si="3"/>
        <v/>
      </c>
      <c r="N25" s="204"/>
      <c r="O25" s="205"/>
      <c r="P25" s="193"/>
      <c r="Q25" s="194"/>
      <c r="R25" s="100">
        <f t="shared" si="4"/>
        <v>0</v>
      </c>
      <c r="S25" s="100">
        <f t="shared" si="5"/>
        <v>0</v>
      </c>
      <c r="T25" s="101" t="str">
        <f>IF(NOT(OR($F25="Full-time",$F25="Part-time")),"",
FT_entitlement/('Basic payroll data'!$D$4*52))</f>
        <v/>
      </c>
      <c r="U25" s="195"/>
      <c r="V25" s="102" t="str">
        <f>IF(OR($F25="Full-time",$F25="Part-time"),SUMIFS('PAYG worksheet'!$O:$O,'PAYG worksheet'!$C:$C,'Employee information'!$B25)*$T25,"")</f>
        <v/>
      </c>
      <c r="W25" s="106" t="str">
        <f>IF($T25="","",SUMIFS('PAYG worksheet'!$T:$T,'PAYG worksheet'!$C:$C,'Employee information'!$B25))</f>
        <v/>
      </c>
      <c r="X25" s="104" t="str">
        <f t="shared" si="6"/>
        <v/>
      </c>
      <c r="Y25" s="105" t="str">
        <f t="shared" si="0"/>
        <v/>
      </c>
      <c r="Z25" s="101" t="str">
        <f>IF(NOT(OR($F25="Full-time",$F25="Part-time")),"",
SL_entitlement/('Basic payroll data'!$D$4*52))</f>
        <v/>
      </c>
      <c r="AA25" s="195"/>
      <c r="AB25" s="102" t="str">
        <f>IF(OR($F25="Full-time",$F25="Part-time"),SUMIFS('PAYG worksheet'!$O:$O,'PAYG worksheet'!$C:$C,'Employee information'!$B25)*$Z25,"")</f>
        <v/>
      </c>
      <c r="AC25" s="103" t="str">
        <f>IF($Z25="","",SUMIFS('PAYG worksheet'!$U:$U,'PAYG worksheet'!$C:$C,'Employee information'!$B25))</f>
        <v/>
      </c>
      <c r="AD25" s="107" t="str">
        <f t="shared" si="7"/>
        <v/>
      </c>
      <c r="AE25" s="105" t="str">
        <f t="shared" si="1"/>
        <v/>
      </c>
      <c r="AF25" s="196"/>
      <c r="AG25" s="184"/>
      <c r="AH25" s="197"/>
      <c r="AI25" s="197"/>
      <c r="AJ25" s="184"/>
      <c r="AK25" s="198"/>
      <c r="AL25" s="199"/>
      <c r="AM25" s="200"/>
      <c r="AN25" s="200"/>
      <c r="AO25" s="200"/>
      <c r="AP25" s="200"/>
      <c r="AQ25" s="200"/>
    </row>
    <row r="26" spans="1:43" x14ac:dyDescent="0.25">
      <c r="A26" s="99" t="str">
        <f t="shared" si="8"/>
        <v/>
      </c>
      <c r="B26" s="201"/>
      <c r="C26" s="201"/>
      <c r="D26" s="202"/>
      <c r="E26" s="202"/>
      <c r="F26" s="186"/>
      <c r="G26" s="203"/>
      <c r="H26" s="202"/>
      <c r="I26" s="188"/>
      <c r="J26" s="188"/>
      <c r="K26" s="188"/>
      <c r="L26" s="189"/>
      <c r="M26" s="190" t="str">
        <f t="shared" si="3"/>
        <v/>
      </c>
      <c r="N26" s="204"/>
      <c r="O26" s="205"/>
      <c r="P26" s="193"/>
      <c r="Q26" s="194"/>
      <c r="R26" s="100">
        <f t="shared" si="4"/>
        <v>0</v>
      </c>
      <c r="S26" s="100">
        <f t="shared" si="5"/>
        <v>0</v>
      </c>
      <c r="T26" s="101" t="str">
        <f>IF(NOT(OR($F26="Full-time",$F26="Part-time")),"",
FT_entitlement/('Basic payroll data'!$D$4*52))</f>
        <v/>
      </c>
      <c r="U26" s="195"/>
      <c r="V26" s="102" t="str">
        <f>IF(OR($F26="Full-time",$F26="Part-time"),SUMIFS('PAYG worksheet'!$O:$O,'PAYG worksheet'!$C:$C,'Employee information'!$B26)*$T26,"")</f>
        <v/>
      </c>
      <c r="W26" s="106" t="str">
        <f>IF($T26="","",SUMIFS('PAYG worksheet'!$T:$T,'PAYG worksheet'!$C:$C,'Employee information'!$B26))</f>
        <v/>
      </c>
      <c r="X26" s="104" t="str">
        <f t="shared" si="6"/>
        <v/>
      </c>
      <c r="Y26" s="105" t="str">
        <f t="shared" si="0"/>
        <v/>
      </c>
      <c r="Z26" s="101" t="str">
        <f>IF(NOT(OR($F26="Full-time",$F26="Part-time")),"",
SL_entitlement/('Basic payroll data'!$D$4*52))</f>
        <v/>
      </c>
      <c r="AA26" s="195"/>
      <c r="AB26" s="102" t="str">
        <f>IF(OR($F26="Full-time",$F26="Part-time"),SUMIFS('PAYG worksheet'!$O:$O,'PAYG worksheet'!$C:$C,'Employee information'!$B26)*$Z26,"")</f>
        <v/>
      </c>
      <c r="AC26" s="103" t="str">
        <f>IF($Z26="","",SUMIFS('PAYG worksheet'!$U:$U,'PAYG worksheet'!$C:$C,'Employee information'!$B26))</f>
        <v/>
      </c>
      <c r="AD26" s="107" t="str">
        <f t="shared" si="7"/>
        <v/>
      </c>
      <c r="AE26" s="105" t="str">
        <f t="shared" si="1"/>
        <v/>
      </c>
      <c r="AF26" s="196"/>
      <c r="AG26" s="184"/>
      <c r="AH26" s="197"/>
      <c r="AI26" s="197"/>
      <c r="AJ26" s="184"/>
      <c r="AK26" s="198"/>
      <c r="AL26" s="199"/>
      <c r="AM26" s="200"/>
      <c r="AN26" s="200"/>
      <c r="AO26" s="200"/>
      <c r="AP26" s="200"/>
      <c r="AQ26" s="200"/>
    </row>
    <row r="27" spans="1:43" x14ac:dyDescent="0.25">
      <c r="A27" s="99" t="str">
        <f t="shared" si="8"/>
        <v/>
      </c>
      <c r="B27" s="201"/>
      <c r="C27" s="201"/>
      <c r="D27" s="202"/>
      <c r="E27" s="202"/>
      <c r="F27" s="186"/>
      <c r="G27" s="203"/>
      <c r="H27" s="202"/>
      <c r="I27" s="188"/>
      <c r="J27" s="188"/>
      <c r="K27" s="188"/>
      <c r="L27" s="189"/>
      <c r="M27" s="190" t="str">
        <f t="shared" si="3"/>
        <v/>
      </c>
      <c r="N27" s="204"/>
      <c r="O27" s="205"/>
      <c r="P27" s="193"/>
      <c r="Q27" s="194"/>
      <c r="R27" s="100">
        <f t="shared" si="4"/>
        <v>0</v>
      </c>
      <c r="S27" s="100">
        <f t="shared" si="5"/>
        <v>0</v>
      </c>
      <c r="T27" s="101" t="str">
        <f>IF(NOT(OR($F27="Full-time",$F27="Part-time")),"",
FT_entitlement/('Basic payroll data'!$D$4*52))</f>
        <v/>
      </c>
      <c r="U27" s="195"/>
      <c r="V27" s="102" t="str">
        <f>IF(OR($F27="Full-time",$F27="Part-time"),SUMIFS('PAYG worksheet'!$O:$O,'PAYG worksheet'!$C:$C,'Employee information'!$B27)*$T27,"")</f>
        <v/>
      </c>
      <c r="W27" s="106" t="str">
        <f>IF($T27="","",SUMIFS('PAYG worksheet'!$T:$T,'PAYG worksheet'!$C:$C,'Employee information'!$B27))</f>
        <v/>
      </c>
      <c r="X27" s="104" t="str">
        <f t="shared" si="6"/>
        <v/>
      </c>
      <c r="Y27" s="105" t="str">
        <f t="shared" si="0"/>
        <v/>
      </c>
      <c r="Z27" s="101" t="str">
        <f>IF(NOT(OR($F27="Full-time",$F27="Part-time")),"",
SL_entitlement/('Basic payroll data'!$D$4*52))</f>
        <v/>
      </c>
      <c r="AA27" s="195"/>
      <c r="AB27" s="102" t="str">
        <f>IF(OR($F27="Full-time",$F27="Part-time"),SUMIFS('PAYG worksheet'!$O:$O,'PAYG worksheet'!$C:$C,'Employee information'!$B27)*$Z27,"")</f>
        <v/>
      </c>
      <c r="AC27" s="103" t="str">
        <f>IF($Z27="","",SUMIFS('PAYG worksheet'!$U:$U,'PAYG worksheet'!$C:$C,'Employee information'!$B27))</f>
        <v/>
      </c>
      <c r="AD27" s="107" t="str">
        <f t="shared" si="7"/>
        <v/>
      </c>
      <c r="AE27" s="105" t="str">
        <f t="shared" si="1"/>
        <v/>
      </c>
      <c r="AF27" s="196"/>
      <c r="AG27" s="184"/>
      <c r="AH27" s="197"/>
      <c r="AI27" s="197"/>
      <c r="AJ27" s="184"/>
      <c r="AK27" s="198"/>
      <c r="AL27" s="199"/>
      <c r="AM27" s="200"/>
      <c r="AN27" s="200"/>
      <c r="AO27" s="200"/>
      <c r="AP27" s="200"/>
      <c r="AQ27" s="200"/>
    </row>
    <row r="28" spans="1:43" x14ac:dyDescent="0.25">
      <c r="A28" s="99" t="str">
        <f t="shared" si="8"/>
        <v/>
      </c>
      <c r="B28" s="201"/>
      <c r="C28" s="201"/>
      <c r="D28" s="202"/>
      <c r="E28" s="202"/>
      <c r="F28" s="186"/>
      <c r="G28" s="203"/>
      <c r="H28" s="202"/>
      <c r="I28" s="188"/>
      <c r="J28" s="188"/>
      <c r="K28" s="188"/>
      <c r="L28" s="189"/>
      <c r="M28" s="190" t="str">
        <f t="shared" si="3"/>
        <v/>
      </c>
      <c r="N28" s="204"/>
      <c r="O28" s="205"/>
      <c r="P28" s="193"/>
      <c r="Q28" s="194"/>
      <c r="R28" s="100">
        <f t="shared" si="4"/>
        <v>0</v>
      </c>
      <c r="S28" s="100">
        <f t="shared" si="5"/>
        <v>0</v>
      </c>
      <c r="T28" s="101" t="str">
        <f>IF(NOT(OR($F28="Full-time",$F28="Part-time")),"",
FT_entitlement/('Basic payroll data'!$D$4*52))</f>
        <v/>
      </c>
      <c r="U28" s="195"/>
      <c r="V28" s="102" t="str">
        <f>IF(OR($F28="Full-time",$F28="Part-time"),SUMIFS('PAYG worksheet'!$O:$O,'PAYG worksheet'!$C:$C,'Employee information'!$B28)*$T28,"")</f>
        <v/>
      </c>
      <c r="W28" s="106" t="str">
        <f>IF($T28="","",SUMIFS('PAYG worksheet'!$T:$T,'PAYG worksheet'!$C:$C,'Employee information'!$B28))</f>
        <v/>
      </c>
      <c r="X28" s="104" t="str">
        <f t="shared" si="6"/>
        <v/>
      </c>
      <c r="Y28" s="105" t="str">
        <f t="shared" si="0"/>
        <v/>
      </c>
      <c r="Z28" s="101" t="str">
        <f>IF(NOT(OR($F28="Full-time",$F28="Part-time")),"",
SL_entitlement/('Basic payroll data'!$D$4*52))</f>
        <v/>
      </c>
      <c r="AA28" s="195"/>
      <c r="AB28" s="102" t="str">
        <f>IF(OR($F28="Full-time",$F28="Part-time"),SUMIFS('PAYG worksheet'!$O:$O,'PAYG worksheet'!$C:$C,'Employee information'!$B28)*$Z28,"")</f>
        <v/>
      </c>
      <c r="AC28" s="103" t="str">
        <f>IF($Z28="","",SUMIFS('PAYG worksheet'!$U:$U,'PAYG worksheet'!$C:$C,'Employee information'!$B28))</f>
        <v/>
      </c>
      <c r="AD28" s="107" t="str">
        <f t="shared" si="7"/>
        <v/>
      </c>
      <c r="AE28" s="105" t="str">
        <f t="shared" si="1"/>
        <v/>
      </c>
      <c r="AF28" s="196"/>
      <c r="AG28" s="184"/>
      <c r="AH28" s="197"/>
      <c r="AI28" s="197"/>
      <c r="AJ28" s="184"/>
      <c r="AK28" s="198"/>
      <c r="AL28" s="199"/>
      <c r="AM28" s="200"/>
      <c r="AN28" s="200"/>
      <c r="AO28" s="200"/>
      <c r="AP28" s="200"/>
      <c r="AQ28" s="200"/>
    </row>
    <row r="29" spans="1:43" x14ac:dyDescent="0.25">
      <c r="A29" s="99" t="str">
        <f t="shared" si="8"/>
        <v/>
      </c>
      <c r="B29" s="201"/>
      <c r="C29" s="201"/>
      <c r="D29" s="202"/>
      <c r="E29" s="202"/>
      <c r="F29" s="186"/>
      <c r="G29" s="203"/>
      <c r="H29" s="202"/>
      <c r="I29" s="188"/>
      <c r="J29" s="188"/>
      <c r="K29" s="188"/>
      <c r="L29" s="189"/>
      <c r="M29" s="190" t="str">
        <f t="shared" si="3"/>
        <v/>
      </c>
      <c r="N29" s="204"/>
      <c r="O29" s="205"/>
      <c r="P29" s="193"/>
      <c r="Q29" s="194"/>
      <c r="R29" s="100">
        <f t="shared" si="4"/>
        <v>0</v>
      </c>
      <c r="S29" s="100">
        <f t="shared" si="5"/>
        <v>0</v>
      </c>
      <c r="T29" s="101" t="str">
        <f>IF(NOT(OR($F29="Full-time",$F29="Part-time")),"",
FT_entitlement/('Basic payroll data'!$D$4*52))</f>
        <v/>
      </c>
      <c r="U29" s="195"/>
      <c r="V29" s="102" t="str">
        <f>IF(OR($F29="Full-time",$F29="Part-time"),SUMIFS('PAYG worksheet'!$O:$O,'PAYG worksheet'!$C:$C,'Employee information'!$B29)*$T29,"")</f>
        <v/>
      </c>
      <c r="W29" s="106" t="str">
        <f>IF($T29="","",SUMIFS('PAYG worksheet'!$T:$T,'PAYG worksheet'!$C:$C,'Employee information'!$B29))</f>
        <v/>
      </c>
      <c r="X29" s="104" t="str">
        <f t="shared" si="6"/>
        <v/>
      </c>
      <c r="Y29" s="105" t="str">
        <f t="shared" si="0"/>
        <v/>
      </c>
      <c r="Z29" s="101" t="str">
        <f>IF(NOT(OR($F29="Full-time",$F29="Part-time")),"",
SL_entitlement/('Basic payroll data'!$D$4*52))</f>
        <v/>
      </c>
      <c r="AA29" s="195"/>
      <c r="AB29" s="102" t="str">
        <f>IF(OR($F29="Full-time",$F29="Part-time"),SUMIFS('PAYG worksheet'!$O:$O,'PAYG worksheet'!$C:$C,'Employee information'!$B29)*$Z29,"")</f>
        <v/>
      </c>
      <c r="AC29" s="103" t="str">
        <f>IF($Z29="","",SUMIFS('PAYG worksheet'!$U:$U,'PAYG worksheet'!$C:$C,'Employee information'!$B29))</f>
        <v/>
      </c>
      <c r="AD29" s="107" t="str">
        <f t="shared" si="7"/>
        <v/>
      </c>
      <c r="AE29" s="105" t="str">
        <f t="shared" si="1"/>
        <v/>
      </c>
      <c r="AF29" s="196"/>
      <c r="AG29" s="184"/>
      <c r="AH29" s="197"/>
      <c r="AI29" s="197"/>
      <c r="AJ29" s="184"/>
      <c r="AK29" s="198"/>
      <c r="AL29" s="199"/>
      <c r="AM29" s="200"/>
      <c r="AN29" s="200"/>
      <c r="AO29" s="200"/>
      <c r="AP29" s="200"/>
      <c r="AQ29" s="200"/>
    </row>
    <row r="30" spans="1:43" x14ac:dyDescent="0.25">
      <c r="A30" s="99" t="str">
        <f t="shared" si="8"/>
        <v/>
      </c>
      <c r="B30" s="201"/>
      <c r="C30" s="201"/>
      <c r="D30" s="202"/>
      <c r="E30" s="202"/>
      <c r="F30" s="186"/>
      <c r="G30" s="203"/>
      <c r="H30" s="202"/>
      <c r="I30" s="188"/>
      <c r="J30" s="188"/>
      <c r="K30" s="188"/>
      <c r="L30" s="189"/>
      <c r="M30" s="190" t="str">
        <f t="shared" si="3"/>
        <v/>
      </c>
      <c r="N30" s="204"/>
      <c r="O30" s="205"/>
      <c r="P30" s="193"/>
      <c r="Q30" s="194"/>
      <c r="R30" s="100">
        <f t="shared" si="4"/>
        <v>0</v>
      </c>
      <c r="S30" s="100">
        <f t="shared" si="5"/>
        <v>0</v>
      </c>
      <c r="T30" s="101" t="str">
        <f>IF(NOT(OR($F30="Full-time",$F30="Part-time")),"",
FT_entitlement/('Basic payroll data'!$D$4*52))</f>
        <v/>
      </c>
      <c r="U30" s="195"/>
      <c r="V30" s="102" t="str">
        <f>IF(OR($F30="Full-time",$F30="Part-time"),SUMIFS('PAYG worksheet'!$O:$O,'PAYG worksheet'!$C:$C,'Employee information'!$B30)*$T30,"")</f>
        <v/>
      </c>
      <c r="W30" s="106" t="str">
        <f>IF($T30="","",SUMIFS('PAYG worksheet'!$T:$T,'PAYG worksheet'!$C:$C,'Employee information'!$B30))</f>
        <v/>
      </c>
      <c r="X30" s="104" t="str">
        <f t="shared" si="6"/>
        <v/>
      </c>
      <c r="Y30" s="105" t="str">
        <f t="shared" si="0"/>
        <v/>
      </c>
      <c r="Z30" s="101" t="str">
        <f>IF(NOT(OR($F30="Full-time",$F30="Part-time")),"",
SL_entitlement/('Basic payroll data'!$D$4*52))</f>
        <v/>
      </c>
      <c r="AA30" s="195"/>
      <c r="AB30" s="102" t="str">
        <f>IF(OR($F30="Full-time",$F30="Part-time"),SUMIFS('PAYG worksheet'!$O:$O,'PAYG worksheet'!$C:$C,'Employee information'!$B30)*$Z30,"")</f>
        <v/>
      </c>
      <c r="AC30" s="103" t="str">
        <f>IF($Z30="","",SUMIFS('PAYG worksheet'!$U:$U,'PAYG worksheet'!$C:$C,'Employee information'!$B30))</f>
        <v/>
      </c>
      <c r="AD30" s="107" t="str">
        <f t="shared" si="7"/>
        <v/>
      </c>
      <c r="AE30" s="105" t="str">
        <f t="shared" si="1"/>
        <v/>
      </c>
      <c r="AF30" s="196"/>
      <c r="AG30" s="184"/>
      <c r="AH30" s="197"/>
      <c r="AI30" s="197"/>
      <c r="AJ30" s="184"/>
      <c r="AK30" s="198"/>
      <c r="AL30" s="199"/>
      <c r="AM30" s="200"/>
      <c r="AN30" s="200"/>
      <c r="AO30" s="200"/>
      <c r="AP30" s="200"/>
      <c r="AQ30" s="200"/>
    </row>
    <row r="31" spans="1:43" x14ac:dyDescent="0.25">
      <c r="A31" s="99" t="str">
        <f t="shared" si="8"/>
        <v/>
      </c>
      <c r="B31" s="201"/>
      <c r="C31" s="201"/>
      <c r="D31" s="202"/>
      <c r="E31" s="202"/>
      <c r="F31" s="186"/>
      <c r="G31" s="203"/>
      <c r="H31" s="202"/>
      <c r="I31" s="188"/>
      <c r="J31" s="188"/>
      <c r="K31" s="188"/>
      <c r="L31" s="189"/>
      <c r="M31" s="190" t="str">
        <f t="shared" si="3"/>
        <v/>
      </c>
      <c r="N31" s="204"/>
      <c r="O31" s="205"/>
      <c r="P31" s="193"/>
      <c r="Q31" s="194"/>
      <c r="R31" s="100">
        <f t="shared" si="4"/>
        <v>0</v>
      </c>
      <c r="S31" s="100">
        <f t="shared" si="5"/>
        <v>0</v>
      </c>
      <c r="T31" s="101" t="str">
        <f>IF(NOT(OR($F31="Full-time",$F31="Part-time")),"",
FT_entitlement/('Basic payroll data'!$D$4*52))</f>
        <v/>
      </c>
      <c r="U31" s="195"/>
      <c r="V31" s="102" t="str">
        <f>IF(OR($F31="Full-time",$F31="Part-time"),SUMIFS('PAYG worksheet'!$O:$O,'PAYG worksheet'!$C:$C,'Employee information'!$B31)*$T31,"")</f>
        <v/>
      </c>
      <c r="W31" s="106" t="str">
        <f>IF($T31="","",SUMIFS('PAYG worksheet'!$T:$T,'PAYG worksheet'!$C:$C,'Employee information'!$B31))</f>
        <v/>
      </c>
      <c r="X31" s="104" t="str">
        <f t="shared" si="6"/>
        <v/>
      </c>
      <c r="Y31" s="105" t="str">
        <f t="shared" si="0"/>
        <v/>
      </c>
      <c r="Z31" s="101" t="str">
        <f>IF(NOT(OR($F31="Full-time",$F31="Part-time")),"",
SL_entitlement/('Basic payroll data'!$D$4*52))</f>
        <v/>
      </c>
      <c r="AA31" s="195"/>
      <c r="AB31" s="102" t="str">
        <f>IF(OR($F31="Full-time",$F31="Part-time"),SUMIFS('PAYG worksheet'!$O:$O,'PAYG worksheet'!$C:$C,'Employee information'!$B31)*$Z31,"")</f>
        <v/>
      </c>
      <c r="AC31" s="103" t="str">
        <f>IF($Z31="","",SUMIFS('PAYG worksheet'!$U:$U,'PAYG worksheet'!$C:$C,'Employee information'!$B31))</f>
        <v/>
      </c>
      <c r="AD31" s="107" t="str">
        <f t="shared" si="7"/>
        <v/>
      </c>
      <c r="AE31" s="105" t="str">
        <f t="shared" si="1"/>
        <v/>
      </c>
      <c r="AF31" s="196"/>
      <c r="AG31" s="184"/>
      <c r="AH31" s="197"/>
      <c r="AI31" s="197"/>
      <c r="AJ31" s="184"/>
      <c r="AK31" s="198"/>
      <c r="AL31" s="199"/>
      <c r="AM31" s="200"/>
      <c r="AN31" s="200"/>
      <c r="AO31" s="200"/>
      <c r="AP31" s="200"/>
      <c r="AQ31" s="200"/>
    </row>
    <row r="32" spans="1:43" x14ac:dyDescent="0.25">
      <c r="A32" s="99" t="str">
        <f t="shared" si="8"/>
        <v/>
      </c>
      <c r="B32" s="206"/>
      <c r="C32" s="206"/>
      <c r="D32" s="207"/>
      <c r="E32" s="207"/>
      <c r="F32" s="186"/>
      <c r="G32" s="203"/>
      <c r="H32" s="207"/>
      <c r="I32" s="188"/>
      <c r="J32" s="188"/>
      <c r="K32" s="188"/>
      <c r="L32" s="189"/>
      <c r="M32" s="190" t="str">
        <f t="shared" si="3"/>
        <v/>
      </c>
      <c r="N32" s="208"/>
      <c r="O32" s="209"/>
      <c r="P32" s="193"/>
      <c r="Q32" s="194"/>
      <c r="R32" s="100">
        <f t="shared" si="4"/>
        <v>0</v>
      </c>
      <c r="S32" s="100">
        <f t="shared" si="5"/>
        <v>0</v>
      </c>
      <c r="T32" s="101" t="str">
        <f>IF(NOT(OR($F32="Full-time",$F32="Part-time")),"",
FT_entitlement/('Basic payroll data'!$D$4*52))</f>
        <v/>
      </c>
      <c r="U32" s="195"/>
      <c r="V32" s="102" t="str">
        <f>IF(OR($F32="Full-time",$F32="Part-time"),SUMIFS('PAYG worksheet'!$O:$O,'PAYG worksheet'!$C:$C,'Employee information'!$B32)*$T32,"")</f>
        <v/>
      </c>
      <c r="W32" s="106" t="str">
        <f>IF($T32="","",SUMIFS('PAYG worksheet'!$T:$T,'PAYG worksheet'!$C:$C,'Employee information'!$B32))</f>
        <v/>
      </c>
      <c r="X32" s="104" t="str">
        <f t="shared" si="6"/>
        <v/>
      </c>
      <c r="Y32" s="105" t="str">
        <f t="shared" si="0"/>
        <v/>
      </c>
      <c r="Z32" s="101" t="str">
        <f>IF(NOT(OR($F32="Full-time",$F32="Part-time")),"",
SL_entitlement/('Basic payroll data'!$D$4*52))</f>
        <v/>
      </c>
      <c r="AA32" s="195"/>
      <c r="AB32" s="102" t="str">
        <f>IF(OR($F32="Full-time",$F32="Part-time"),SUMIFS('PAYG worksheet'!$O:$O,'PAYG worksheet'!$C:$C,'Employee information'!$B32)*$Z32,"")</f>
        <v/>
      </c>
      <c r="AC32" s="103" t="str">
        <f>IF($Z32="","",SUMIFS('PAYG worksheet'!$U:$U,'PAYG worksheet'!$C:$C,'Employee information'!$B32))</f>
        <v/>
      </c>
      <c r="AD32" s="107" t="str">
        <f t="shared" si="7"/>
        <v/>
      </c>
      <c r="AE32" s="105" t="str">
        <f t="shared" si="1"/>
        <v/>
      </c>
      <c r="AF32" s="210"/>
      <c r="AG32" s="211"/>
      <c r="AH32" s="212"/>
      <c r="AI32" s="212"/>
      <c r="AJ32" s="184"/>
      <c r="AK32" s="198"/>
      <c r="AL32" s="199"/>
      <c r="AM32" s="200"/>
      <c r="AN32" s="200"/>
      <c r="AO32" s="200"/>
      <c r="AP32" s="200"/>
      <c r="AQ32" s="200"/>
    </row>
    <row r="33" spans="1:43" x14ac:dyDescent="0.25">
      <c r="A33" s="99" t="str">
        <f t="shared" si="8"/>
        <v/>
      </c>
      <c r="B33" s="213"/>
      <c r="C33" s="213"/>
      <c r="D33" s="214"/>
      <c r="E33" s="214"/>
      <c r="F33" s="186"/>
      <c r="G33" s="203"/>
      <c r="H33" s="214"/>
      <c r="I33" s="188"/>
      <c r="J33" s="188"/>
      <c r="K33" s="188"/>
      <c r="L33" s="189"/>
      <c r="M33" s="190" t="str">
        <f t="shared" si="3"/>
        <v/>
      </c>
      <c r="N33" s="215"/>
      <c r="O33" s="216"/>
      <c r="P33" s="217"/>
      <c r="Q33" s="218"/>
      <c r="R33" s="100">
        <f t="shared" si="4"/>
        <v>0</v>
      </c>
      <c r="S33" s="100">
        <f t="shared" si="5"/>
        <v>0</v>
      </c>
      <c r="T33" s="101" t="str">
        <f>IF(NOT(OR($F33="Full-time",$F33="Part-time")),"",
FT_entitlement/('Basic payroll data'!$D$4*52))</f>
        <v/>
      </c>
      <c r="U33" s="195"/>
      <c r="V33" s="102" t="str">
        <f>IF(OR($F33="Full-time",$F33="Part-time"),SUMIFS('PAYG worksheet'!$O:$O,'PAYG worksheet'!$C:$C,'Employee information'!$B33)*$T33,"")</f>
        <v/>
      </c>
      <c r="W33" s="106" t="str">
        <f>IF($T33="","",SUMIFS('PAYG worksheet'!$T:$T,'PAYG worksheet'!$C:$C,'Employee information'!$B33))</f>
        <v/>
      </c>
      <c r="X33" s="104" t="str">
        <f t="shared" si="6"/>
        <v/>
      </c>
      <c r="Y33" s="105" t="str">
        <f t="shared" si="0"/>
        <v/>
      </c>
      <c r="Z33" s="101" t="str">
        <f>IF(NOT(OR($F33="Full-time",$F33="Part-time")),"",
SL_entitlement/('Basic payroll data'!$D$4*52))</f>
        <v/>
      </c>
      <c r="AA33" s="195"/>
      <c r="AB33" s="102" t="str">
        <f>IF(OR($F33="Full-time",$F33="Part-time"),SUMIFS('PAYG worksheet'!$O:$O,'PAYG worksheet'!$C:$C,'Employee information'!$B33)*$Z33,"")</f>
        <v/>
      </c>
      <c r="AC33" s="103" t="str">
        <f>IF($Z33="","",SUMIFS('PAYG worksheet'!$U:$U,'PAYG worksheet'!$C:$C,'Employee information'!$B33))</f>
        <v/>
      </c>
      <c r="AD33" s="107" t="str">
        <f t="shared" si="7"/>
        <v/>
      </c>
      <c r="AE33" s="105" t="str">
        <f t="shared" si="1"/>
        <v/>
      </c>
      <c r="AF33" s="219"/>
      <c r="AG33" s="220"/>
      <c r="AH33" s="221"/>
      <c r="AI33" s="221"/>
      <c r="AJ33" s="184"/>
      <c r="AK33" s="198"/>
      <c r="AL33" s="199"/>
      <c r="AM33" s="200"/>
      <c r="AN33" s="200"/>
      <c r="AO33" s="200"/>
      <c r="AP33" s="200"/>
      <c r="AQ33" s="200"/>
    </row>
    <row r="34" spans="1:43" s="136" customFormat="1" x14ac:dyDescent="0.25">
      <c r="A34" s="222"/>
      <c r="B34" s="223"/>
      <c r="C34" s="223"/>
      <c r="D34" s="223"/>
      <c r="E34" s="223"/>
      <c r="F34" s="223"/>
      <c r="G34" s="223"/>
      <c r="H34" s="223"/>
      <c r="I34" s="223"/>
      <c r="J34" s="223"/>
      <c r="K34" s="223"/>
      <c r="L34" s="223"/>
      <c r="M34" s="223"/>
      <c r="N34" s="224"/>
      <c r="O34" s="223"/>
      <c r="P34" s="223"/>
      <c r="Q34" s="223"/>
      <c r="R34" s="223"/>
      <c r="S34" s="223"/>
      <c r="T34" s="225"/>
      <c r="U34" s="108">
        <f t="shared" ref="U34:AA34" si="9">SUM(U5:U33)</f>
        <v>100</v>
      </c>
      <c r="V34" s="108">
        <f t="shared" si="9"/>
        <v>543.23076923076928</v>
      </c>
      <c r="W34" s="108">
        <f t="shared" si="9"/>
        <v>15</v>
      </c>
      <c r="X34" s="108">
        <f t="shared" si="9"/>
        <v>628.23076923076928</v>
      </c>
      <c r="Y34" s="109">
        <f t="shared" si="9"/>
        <v>38837.361865391373</v>
      </c>
      <c r="Z34" s="108"/>
      <c r="AA34" s="108">
        <f t="shared" si="9"/>
        <v>15</v>
      </c>
      <c r="AB34" s="108">
        <f t="shared" ref="AB34" si="10">SUM(AB5:AB33)</f>
        <v>271.61538461538464</v>
      </c>
      <c r="AC34" s="108">
        <f t="shared" ref="AC34" si="11">SUM(AC5:AC33)</f>
        <v>12.5</v>
      </c>
      <c r="AD34" s="110">
        <f t="shared" ref="AD34:AE34" si="12">SUM(AD5:AD33)</f>
        <v>274.11538461538464</v>
      </c>
      <c r="AE34" s="109">
        <f t="shared" si="12"/>
        <v>15264.255221420659</v>
      </c>
      <c r="AF34" s="183"/>
    </row>
    <row r="36" spans="1:43" x14ac:dyDescent="0.25">
      <c r="AC36" s="227"/>
    </row>
    <row r="37" spans="1:43" x14ac:dyDescent="0.25">
      <c r="X37" s="227"/>
    </row>
  </sheetData>
  <sheetProtection algorithmName="SHA-512" hashValue="0oJsdcREfeRF8tWR/zE2ni88qs5H24dcgNT/vYGdEt67OyKw/Ry6ZR25OFzv7/oOY7c5jZGUIpmRLoLF4h/HcA==" saltValue="AgYFhWo85H5fAx9Lj5m8WQ==" spinCount="100000" sheet="1" objects="1" scenarios="1"/>
  <mergeCells count="3">
    <mergeCell ref="T2:Y2"/>
    <mergeCell ref="Z2:AE2"/>
    <mergeCell ref="AF2:AL2"/>
  </mergeCells>
  <conditionalFormatting sqref="Z2:AA2 AF2 D1:O1 Q1:XFD1 A35:O1048576 A6:A34 B34:O34 N6:O23 H6:H23 A3:O5 AR2:XFD3 T2:U2 D2:L2 Q3:AL3 Q34:XFD1048576 Q4:XFD4 Q5:T5 R6:T33 N25:O33 B6:F23 B25:F33 B24 H25:H33 W5:Z33 M5:M33 AC5:XFD33">
    <cfRule type="expression" dxfId="347" priority="22">
      <formula>_xlfn.ISFORMULA(A1)</formula>
    </cfRule>
  </conditionalFormatting>
  <conditionalFormatting sqref="V5:V33">
    <cfRule type="expression" dxfId="346" priority="19">
      <formula>_xlfn.ISFORMULA(V5)</formula>
    </cfRule>
  </conditionalFormatting>
  <conditionalFormatting sqref="AB5:AB33">
    <cfRule type="expression" dxfId="345" priority="18">
      <formula>_xlfn.ISFORMULA(AB5)</formula>
    </cfRule>
  </conditionalFormatting>
  <conditionalFormatting sqref="G6:G23 G25:G33">
    <cfRule type="expression" dxfId="344" priority="17">
      <formula>_xlfn.ISFORMULA(G6)</formula>
    </cfRule>
  </conditionalFormatting>
  <conditionalFormatting sqref="I6:I23 I25:I33">
    <cfRule type="expression" dxfId="343" priority="16">
      <formula>_xlfn.ISFORMULA(I6)</formula>
    </cfRule>
  </conditionalFormatting>
  <conditionalFormatting sqref="J6:J23 J25:J33">
    <cfRule type="expression" dxfId="342" priority="15">
      <formula>_xlfn.ISFORMULA(J6)</formula>
    </cfRule>
  </conditionalFormatting>
  <conditionalFormatting sqref="K6:K33">
    <cfRule type="expression" dxfId="341" priority="14">
      <formula>_xlfn.ISFORMULA(K6)</formula>
    </cfRule>
  </conditionalFormatting>
  <conditionalFormatting sqref="L13:L33">
    <cfRule type="expression" dxfId="340" priority="11">
      <formula>_xlfn.ISFORMULA(L13)</formula>
    </cfRule>
  </conditionalFormatting>
  <conditionalFormatting sqref="N24:O24">
    <cfRule type="expression" dxfId="339" priority="9">
      <formula>_xlfn.ISFORMULA(N24)</formula>
    </cfRule>
  </conditionalFormatting>
  <conditionalFormatting sqref="H24 C24:F24">
    <cfRule type="expression" dxfId="338" priority="8">
      <formula>_xlfn.ISFORMULA(C24)</formula>
    </cfRule>
  </conditionalFormatting>
  <conditionalFormatting sqref="G24">
    <cfRule type="expression" dxfId="337" priority="7">
      <formula>_xlfn.ISFORMULA(G24)</formula>
    </cfRule>
  </conditionalFormatting>
  <conditionalFormatting sqref="I24">
    <cfRule type="expression" dxfId="336" priority="6">
      <formula>_xlfn.ISFORMULA(I24)</formula>
    </cfRule>
  </conditionalFormatting>
  <conditionalFormatting sqref="J24">
    <cfRule type="expression" dxfId="335" priority="5">
      <formula>_xlfn.ISFORMULA(J24)</formula>
    </cfRule>
  </conditionalFormatting>
  <conditionalFormatting sqref="Q6:Q7 Q11:Q33">
    <cfRule type="expression" dxfId="334" priority="4">
      <formula>_xlfn.ISFORMULA(Q6)</formula>
    </cfRule>
  </conditionalFormatting>
  <conditionalFormatting sqref="Q8:Q10">
    <cfRule type="expression" dxfId="333" priority="3">
      <formula>_xlfn.ISFORMULA(Q8)</formula>
    </cfRule>
  </conditionalFormatting>
  <conditionalFormatting sqref="L6:L12">
    <cfRule type="expression" dxfId="332" priority="1">
      <formula>_xlfn.ISFORMULA(L6)</formula>
    </cfRule>
  </conditionalFormatting>
  <dataValidations xWindow="309" yWindow="328" count="4">
    <dataValidation allowBlank="1" showInputMessage="1" showErrorMessage="1" error="Select employment type from dropdown." sqref="R3:T33 AA4 Q3:Q4 U4:U33 V3:Z33 N3:P33 M5:M33 H3:H33 I3:M4 AB3:AE33" xr:uid="{50886586-08E6-4293-B2A5-7C3C0A8F58FA}"/>
    <dataValidation allowBlank="1" showInputMessage="1" showErrorMessage="1" error="Select employment type from dropdown." prompt="Enter the employee balance from prior years." sqref="U3 AA3" xr:uid="{2D35EA9E-7FD4-42FE-96DF-E6775239AAEE}"/>
    <dataValidation allowBlank="1" showInputMessage="1" showErrorMessage="1" error="Select employment type from dropdown." prompt="Enter the employee's balance from prior years." sqref="U3 AA3" xr:uid="{C0BCA905-36C4-4C3E-A9C7-3871378B47AE}"/>
    <dataValidation operator="lessThanOrEqual" allowBlank="1" showInputMessage="1" showErrorMessage="1" error="Maximum ordinary hours per week are 38." sqref="Q5:Q33" xr:uid="{C41A358E-DAAB-4AB5-9C8B-1932D41A43E2}"/>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309" yWindow="328" count="6">
        <x14:dataValidation type="list" allowBlank="1" showInputMessage="1" showErrorMessage="1" error="Select employment type from dropdown." xr:uid="{0CCAC839-BA4E-458B-BE49-657EA3B8B0C5}">
          <x14:formula1>
            <xm:f>'Ref table'!$C$2:$C$4</xm:f>
          </x14:formula1>
          <xm:sqref>I5:I33</xm:sqref>
        </x14:dataValidation>
        <x14:dataValidation type="list" allowBlank="1" showInputMessage="1" showErrorMessage="1" error="Select employment type from dropdown." xr:uid="{71E66544-5E1F-4218-9387-E6D94FE11F08}">
          <x14:formula1>
            <xm:f>'Ref table'!$D$2:$D$4</xm:f>
          </x14:formula1>
          <xm:sqref>J5:J33</xm:sqref>
        </x14:dataValidation>
        <x14:dataValidation type="list" allowBlank="1" showInputMessage="1" showErrorMessage="1" xr:uid="{43DE3A73-C081-4958-ADDB-46062B9F4C0B}">
          <x14:formula1>
            <xm:f>'Ref table'!$H$2:$H$6</xm:f>
          </x14:formula1>
          <xm:sqref>F5:F33</xm:sqref>
        </x14:dataValidation>
        <x14:dataValidation type="list" allowBlank="1" showInputMessage="1" showErrorMessage="1" error="Select employment type from dropdown." xr:uid="{A1DACDC2-1787-4652-B3D7-06E9499F3D67}">
          <x14:formula1>
            <xm:f>'Ref table'!$G$2:$G$4</xm:f>
          </x14:formula1>
          <xm:sqref>K5:K33</xm:sqref>
        </x14:dataValidation>
        <x14:dataValidation type="list" allowBlank="1" showInputMessage="1" showErrorMessage="1" error="Select employment type from dropdown." xr:uid="{1BC86B43-D1D6-422A-AC22-E0FC90747DAA}">
          <x14:formula1>
            <xm:f>'Ref table'!$I$2:$I$3</xm:f>
          </x14:formula1>
          <xm:sqref>L5:L33</xm:sqref>
        </x14:dataValidation>
        <x14:dataValidation type="list" allowBlank="1" showInputMessage="1" showErrorMessage="1" xr:uid="{B98EDF72-6323-4C82-8EC7-549A50422C68}">
          <x14:formula1>
            <xm:f>'Ref table'!$B$2:$B$3</xm:f>
          </x14:formula1>
          <xm:sqref>G5:G33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13862-1668-4C63-A06B-E30D980A9CD3}">
  <sheetPr>
    <tabColor theme="1"/>
  </sheetPr>
  <dimension ref="A1:I22"/>
  <sheetViews>
    <sheetView showGridLines="0" zoomScale="85" zoomScaleNormal="85" workbookViewId="0">
      <selection activeCell="E3" sqref="E3"/>
    </sheetView>
  </sheetViews>
  <sheetFormatPr defaultRowHeight="15" x14ac:dyDescent="0.25"/>
  <cols>
    <col min="1" max="1" width="11.5703125" bestFit="1" customWidth="1"/>
    <col min="2" max="2" width="1.5703125" customWidth="1"/>
    <col min="3" max="3" width="19.85546875" style="3" customWidth="1"/>
    <col min="4" max="4" width="11.5703125" style="3" bestFit="1" customWidth="1"/>
    <col min="5" max="5" width="39.85546875" style="3" customWidth="1"/>
    <col min="6" max="6" width="11.5703125" style="3" bestFit="1" customWidth="1"/>
    <col min="7" max="7" width="23.140625" style="3" customWidth="1"/>
    <col min="9" max="9" width="10.7109375" bestFit="1" customWidth="1"/>
  </cols>
  <sheetData>
    <row r="1" spans="1:9" s="4" customFormat="1" ht="30" x14ac:dyDescent="0.25">
      <c r="A1" s="25"/>
      <c r="B1" s="25"/>
      <c r="C1" s="26" t="s">
        <v>71</v>
      </c>
      <c r="D1" s="26"/>
      <c r="E1" s="26" t="s">
        <v>72</v>
      </c>
      <c r="F1" s="26"/>
      <c r="G1" s="26" t="s">
        <v>77</v>
      </c>
    </row>
    <row r="2" spans="1:9" x14ac:dyDescent="0.25">
      <c r="A2" t="s">
        <v>70</v>
      </c>
      <c r="C2" s="3">
        <v>152</v>
      </c>
      <c r="D2" t="s">
        <v>70</v>
      </c>
      <c r="E2" s="3">
        <v>152</v>
      </c>
      <c r="F2" t="s">
        <v>70</v>
      </c>
      <c r="G2" s="3">
        <v>152</v>
      </c>
    </row>
    <row r="3" spans="1:9" x14ac:dyDescent="0.25">
      <c r="A3" t="s">
        <v>69</v>
      </c>
      <c r="C3" s="16">
        <v>52</v>
      </c>
      <c r="D3" t="s">
        <v>74</v>
      </c>
      <c r="E3" s="31">
        <f>38*52</f>
        <v>1976</v>
      </c>
      <c r="F3" t="s">
        <v>75</v>
      </c>
      <c r="G3" s="16">
        <v>261</v>
      </c>
    </row>
    <row r="4" spans="1:9" x14ac:dyDescent="0.25">
      <c r="C4" s="29">
        <f>C2/C3</f>
        <v>2.9230769230769229</v>
      </c>
      <c r="E4" s="28">
        <f>E2/E3</f>
        <v>7.6923076923076927E-2</v>
      </c>
      <c r="G4" s="29">
        <f>G2/G3</f>
        <v>0.58237547892720309</v>
      </c>
    </row>
    <row r="6" spans="1:9" x14ac:dyDescent="0.25">
      <c r="C6" s="22">
        <f>(38/38)*C4</f>
        <v>2.9230769230769229</v>
      </c>
      <c r="D6" s="22"/>
      <c r="E6" s="23">
        <f>(38*52)/(38*52)*E4</f>
        <v>7.6923076923076927E-2</v>
      </c>
      <c r="F6" s="22"/>
      <c r="G6" s="23">
        <f>(130/261)*G4</f>
        <v>0.29007207762657622</v>
      </c>
      <c r="H6" s="24"/>
      <c r="I6" s="24"/>
    </row>
    <row r="8" spans="1:9" x14ac:dyDescent="0.25">
      <c r="C8" s="3">
        <f>52*C4</f>
        <v>152</v>
      </c>
      <c r="E8" s="30">
        <f>1976*E4</f>
        <v>152</v>
      </c>
      <c r="G8" s="30">
        <f>261*G6</f>
        <v>75.708812260536391</v>
      </c>
    </row>
    <row r="9" spans="1:9" x14ac:dyDescent="0.25">
      <c r="I9" s="27"/>
    </row>
    <row r="10" spans="1:9" x14ac:dyDescent="0.25">
      <c r="A10" s="13" t="s">
        <v>76</v>
      </c>
      <c r="B10" s="13"/>
      <c r="C10" s="19">
        <f>C6*26</f>
        <v>76</v>
      </c>
      <c r="D10" s="17"/>
      <c r="E10" s="20">
        <f>E6*1976</f>
        <v>152</v>
      </c>
      <c r="F10" s="18"/>
      <c r="G10" s="20">
        <f>G6*261</f>
        <v>75.708812260536391</v>
      </c>
      <c r="I10" s="27"/>
    </row>
    <row r="12" spans="1:9" x14ac:dyDescent="0.25">
      <c r="A12" t="s">
        <v>73</v>
      </c>
    </row>
    <row r="15" spans="1:9" x14ac:dyDescent="0.25">
      <c r="A15" s="21" t="s">
        <v>79</v>
      </c>
    </row>
    <row r="16" spans="1:9" x14ac:dyDescent="0.25">
      <c r="A16" s="427" t="s">
        <v>78</v>
      </c>
      <c r="B16" s="428"/>
      <c r="C16" s="428"/>
      <c r="D16" s="428"/>
      <c r="E16" s="429"/>
    </row>
    <row r="17" spans="1:5" x14ac:dyDescent="0.25">
      <c r="A17" s="430"/>
      <c r="B17" s="431"/>
      <c r="C17" s="431"/>
      <c r="D17" s="431"/>
      <c r="E17" s="432"/>
    </row>
    <row r="18" spans="1:5" x14ac:dyDescent="0.25">
      <c r="A18" s="430"/>
      <c r="B18" s="431"/>
      <c r="C18" s="431"/>
      <c r="D18" s="431"/>
      <c r="E18" s="432"/>
    </row>
    <row r="19" spans="1:5" x14ac:dyDescent="0.25">
      <c r="A19" s="430"/>
      <c r="B19" s="431"/>
      <c r="C19" s="431"/>
      <c r="D19" s="431"/>
      <c r="E19" s="432"/>
    </row>
    <row r="20" spans="1:5" x14ac:dyDescent="0.25">
      <c r="A20" s="430"/>
      <c r="B20" s="431"/>
      <c r="C20" s="431"/>
      <c r="D20" s="431"/>
      <c r="E20" s="432"/>
    </row>
    <row r="21" spans="1:5" ht="100.5" customHeight="1" x14ac:dyDescent="0.25">
      <c r="A21" s="433"/>
      <c r="B21" s="434"/>
      <c r="C21" s="434"/>
      <c r="D21" s="434"/>
      <c r="E21" s="435"/>
    </row>
    <row r="22" spans="1:5" x14ac:dyDescent="0.25">
      <c r="A22" t="s">
        <v>80</v>
      </c>
    </row>
  </sheetData>
  <mergeCells count="1">
    <mergeCell ref="A16:E21"/>
  </mergeCells>
  <conditionalFormatting sqref="A16">
    <cfRule type="expression" dxfId="331" priority="1">
      <formula>_xlfn.ISFORMULA(A16)</formula>
    </cfRule>
  </conditionalFormatting>
  <dataValidations count="1">
    <dataValidation allowBlank="1" showInputMessage="1" showErrorMessage="1" error="Select employment type from dropdown." sqref="A16" xr:uid="{2087823B-7CA4-414F-AC23-558A2BBA7E37}"/>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Overview</vt:lpstr>
      <vt:lpstr>Terms of use</vt:lpstr>
      <vt:lpstr>Business Info</vt:lpstr>
      <vt:lpstr>Instructions</vt:lpstr>
      <vt:lpstr>PAYROLL</vt:lpstr>
      <vt:lpstr>Basic payroll data</vt:lpstr>
      <vt:lpstr>Notes - ordinary hours</vt:lpstr>
      <vt:lpstr>Employee information</vt:lpstr>
      <vt:lpstr>Part time AL calc</vt:lpstr>
      <vt:lpstr>PAYG worksheet</vt:lpstr>
      <vt:lpstr>Monthly payrun timesheet</vt:lpstr>
      <vt:lpstr>New starters &amp; terminations</vt:lpstr>
      <vt:lpstr>Employee pay advice &amp; report</vt:lpstr>
      <vt:lpstr>Payroll journal template</vt:lpstr>
      <vt:lpstr>Tax scales - NAT 1004</vt:lpstr>
      <vt:lpstr>Tax scales - NAT 3539</vt:lpstr>
      <vt:lpstr>Ref table</vt:lpstr>
      <vt:lpstr>AL_loading_perc</vt:lpstr>
      <vt:lpstr>FT_entitlement</vt:lpstr>
      <vt:lpstr>'Employee pay advice &amp; report'!Print_Area</vt:lpstr>
      <vt:lpstr>SL_entitlement</vt:lpstr>
    </vt:vector>
  </TitlesOfParts>
  <Company>The Small Biz Excel Whiz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Biz Payroll Module</dc:title>
  <dc:creator>Jason</dc:creator>
  <cp:lastModifiedBy>Jason</cp:lastModifiedBy>
  <dcterms:created xsi:type="dcterms:W3CDTF">2020-10-22T00:55:04Z</dcterms:created>
  <dcterms:modified xsi:type="dcterms:W3CDTF">2021-01-12T17:12:50Z</dcterms:modified>
</cp:coreProperties>
</file>