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OneDrive\Documents\4. WORK\6. Portfolio\"/>
    </mc:Choice>
  </mc:AlternateContent>
  <xr:revisionPtr revIDLastSave="0" documentId="8_{A50DEBE4-A0B4-4FA7-A321-5EAD7EDB3274}" xr6:coauthVersionLast="47" xr6:coauthVersionMax="47" xr10:uidLastSave="{00000000-0000-0000-0000-000000000000}"/>
  <bookViews>
    <workbookView xWindow="-110" yWindow="-110" windowWidth="22620" windowHeight="13500" xr2:uid="{16E2211F-F3AB-46D5-8762-C30BA4E8F6B6}"/>
  </bookViews>
  <sheets>
    <sheet name="3-statement model" sheetId="5" r:id="rId1"/>
    <sheet name="Ratio analysis" sheetId="2" r:id="rId2"/>
    <sheet name="Inventory forecast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4" l="1"/>
  <c r="J35" i="5"/>
  <c r="K35" i="5"/>
  <c r="L35" i="5"/>
  <c r="M35" i="5"/>
  <c r="I35" i="5"/>
  <c r="B9" i="4"/>
  <c r="B8" i="4"/>
  <c r="C6" i="4"/>
  <c r="D6" i="4"/>
  <c r="E6" i="4"/>
  <c r="F6" i="4"/>
  <c r="B6" i="4"/>
  <c r="E6" i="5"/>
  <c r="F6" i="5"/>
  <c r="G6" i="5"/>
  <c r="H6" i="5"/>
  <c r="D6" i="5"/>
  <c r="G16" i="2" l="1"/>
  <c r="G13" i="2"/>
  <c r="D3" i="5"/>
  <c r="M71" i="5"/>
  <c r="L71" i="5"/>
  <c r="K71" i="5"/>
  <c r="J71" i="5"/>
  <c r="I71" i="5"/>
  <c r="H71" i="5"/>
  <c r="G71" i="5"/>
  <c r="F71" i="5"/>
  <c r="E71" i="5"/>
  <c r="D71" i="5"/>
  <c r="A6" i="2"/>
  <c r="A7" i="2" s="1"/>
  <c r="E20" i="5"/>
  <c r="E69" i="5" s="1"/>
  <c r="F20" i="5"/>
  <c r="G20" i="5"/>
  <c r="H20" i="5"/>
  <c r="M73" i="5"/>
  <c r="L73" i="5"/>
  <c r="K73" i="5"/>
  <c r="J73" i="5"/>
  <c r="I73" i="5"/>
  <c r="H73" i="5"/>
  <c r="G73" i="5"/>
  <c r="F73" i="5"/>
  <c r="E73" i="5"/>
  <c r="D73" i="5"/>
  <c r="M83" i="5"/>
  <c r="M84" i="5" s="1"/>
  <c r="L83" i="5"/>
  <c r="L84" i="5" s="1"/>
  <c r="K83" i="5"/>
  <c r="K84" i="5" s="1"/>
  <c r="J83" i="5"/>
  <c r="J84" i="5" s="1"/>
  <c r="I83" i="5"/>
  <c r="I84" i="5" s="1"/>
  <c r="H83" i="5"/>
  <c r="H84" i="5" s="1"/>
  <c r="G83" i="5"/>
  <c r="G84" i="5" s="1"/>
  <c r="F83" i="5"/>
  <c r="F84" i="5" s="1"/>
  <c r="E83" i="5"/>
  <c r="E84" i="5" s="1"/>
  <c r="D83" i="5"/>
  <c r="D84" i="5" s="1"/>
  <c r="M77" i="5"/>
  <c r="M80" i="5" s="1"/>
  <c r="L77" i="5"/>
  <c r="L80" i="5" s="1"/>
  <c r="K77" i="5"/>
  <c r="K80" i="5" s="1"/>
  <c r="J77" i="5"/>
  <c r="J80" i="5" s="1"/>
  <c r="I77" i="5"/>
  <c r="I80" i="5" s="1"/>
  <c r="H77" i="5"/>
  <c r="H80" i="5" s="1"/>
  <c r="G77" i="5"/>
  <c r="G80" i="5" s="1"/>
  <c r="F77" i="5"/>
  <c r="F80" i="5" s="1"/>
  <c r="E77" i="5"/>
  <c r="E80" i="5" s="1"/>
  <c r="D77" i="5"/>
  <c r="D80" i="5" s="1"/>
  <c r="D70" i="5"/>
  <c r="D72" i="5"/>
  <c r="D74" i="5"/>
  <c r="C42" i="5"/>
  <c r="C43" i="5" s="1"/>
  <c r="H74" i="5"/>
  <c r="G74" i="5"/>
  <c r="F74" i="5"/>
  <c r="E74" i="5"/>
  <c r="H72" i="5"/>
  <c r="G72" i="5"/>
  <c r="F72" i="5"/>
  <c r="E72" i="5"/>
  <c r="H70" i="5"/>
  <c r="G70" i="5"/>
  <c r="F70" i="5"/>
  <c r="E70" i="5"/>
  <c r="E52" i="5"/>
  <c r="F52" i="5"/>
  <c r="G52" i="5"/>
  <c r="H52" i="5"/>
  <c r="C52" i="5"/>
  <c r="M52" i="5"/>
  <c r="L52" i="5"/>
  <c r="K52" i="5"/>
  <c r="J52" i="5"/>
  <c r="I52" i="5"/>
  <c r="D52" i="5"/>
  <c r="H48" i="5"/>
  <c r="G48" i="5"/>
  <c r="F48" i="5"/>
  <c r="E48" i="5"/>
  <c r="D48" i="5"/>
  <c r="C48" i="5"/>
  <c r="C36" i="5"/>
  <c r="D20" i="5"/>
  <c r="D5" i="5" s="1"/>
  <c r="H15" i="5"/>
  <c r="H16" i="5" s="1"/>
  <c r="G15" i="5"/>
  <c r="G16" i="5" s="1"/>
  <c r="F15" i="5"/>
  <c r="F16" i="5" s="1"/>
  <c r="E15" i="5"/>
  <c r="E16" i="5" s="1"/>
  <c r="D15" i="5"/>
  <c r="D16" i="5" s="1"/>
  <c r="M11" i="5"/>
  <c r="L11" i="5"/>
  <c r="K11" i="5"/>
  <c r="J11" i="5"/>
  <c r="I11" i="5"/>
  <c r="H4" i="5"/>
  <c r="G4" i="5"/>
  <c r="F4" i="5"/>
  <c r="E4" i="5"/>
  <c r="D4" i="5"/>
  <c r="H3" i="5"/>
  <c r="G3" i="5"/>
  <c r="F3" i="5"/>
  <c r="E3" i="5"/>
  <c r="I13" i="5" l="1"/>
  <c r="I6" i="5" s="1"/>
  <c r="G11" i="2"/>
  <c r="D22" i="5"/>
  <c r="G17" i="2"/>
  <c r="B3" i="4"/>
  <c r="C8" i="4" s="1"/>
  <c r="C9" i="4" s="1"/>
  <c r="D42" i="5"/>
  <c r="D43" i="5" s="1"/>
  <c r="C44" i="5"/>
  <c r="C62" i="5" s="1"/>
  <c r="E42" i="5"/>
  <c r="F53" i="5"/>
  <c r="G53" i="5"/>
  <c r="H53" i="5"/>
  <c r="E53" i="5"/>
  <c r="D69" i="5"/>
  <c r="E21" i="5"/>
  <c r="E5" i="5" s="1"/>
  <c r="D53" i="5"/>
  <c r="C53" i="5"/>
  <c r="I72" i="5"/>
  <c r="I14" i="5"/>
  <c r="I4" i="5" s="1"/>
  <c r="J13" i="5"/>
  <c r="I74" i="5"/>
  <c r="I3" i="5"/>
  <c r="I70" i="5"/>
  <c r="D25" i="5"/>
  <c r="G14" i="2"/>
  <c r="B11" i="4"/>
  <c r="B10" i="4"/>
  <c r="J6" i="5" l="1"/>
  <c r="J14" i="5"/>
  <c r="J15" i="5"/>
  <c r="J16" i="5" s="1"/>
  <c r="E22" i="5"/>
  <c r="G24" i="2"/>
  <c r="C54" i="5"/>
  <c r="I15" i="5"/>
  <c r="F42" i="5"/>
  <c r="E43" i="5"/>
  <c r="C56" i="5"/>
  <c r="C59" i="5" s="1"/>
  <c r="C63" i="5" s="1"/>
  <c r="E25" i="5"/>
  <c r="E26" i="5" s="1"/>
  <c r="E27" i="5" s="1"/>
  <c r="E68" i="5" s="1"/>
  <c r="E75" i="5" s="1"/>
  <c r="E85" i="5" s="1"/>
  <c r="I16" i="5"/>
  <c r="J72" i="5"/>
  <c r="J4" i="5"/>
  <c r="K13" i="5"/>
  <c r="K6" i="5" s="1"/>
  <c r="J74" i="5"/>
  <c r="J3" i="5"/>
  <c r="J70" i="5"/>
  <c r="F69" i="5"/>
  <c r="F21" i="5"/>
  <c r="F22" i="5" s="1"/>
  <c r="D26" i="5"/>
  <c r="D27" i="5" s="1"/>
  <c r="I48" i="5"/>
  <c r="I53" i="5" s="1"/>
  <c r="G19" i="2"/>
  <c r="C10" i="4"/>
  <c r="C12" i="4" s="1"/>
  <c r="D8" i="4"/>
  <c r="E8" i="4" s="1"/>
  <c r="F8" i="4" s="1"/>
  <c r="G42" i="5" l="1"/>
  <c r="F43" i="5"/>
  <c r="C60" i="5"/>
  <c r="D68" i="5"/>
  <c r="D75" i="5" s="1"/>
  <c r="D85" i="5" s="1"/>
  <c r="D57" i="5"/>
  <c r="F5" i="5"/>
  <c r="F25" i="5"/>
  <c r="J48" i="5"/>
  <c r="J53" i="5" s="1"/>
  <c r="G69" i="5"/>
  <c r="G21" i="5"/>
  <c r="G22" i="5" s="1"/>
  <c r="K72" i="5"/>
  <c r="K14" i="5"/>
  <c r="K4" i="5" s="1"/>
  <c r="K3" i="5"/>
  <c r="L13" i="5"/>
  <c r="L6" i="5" s="1"/>
  <c r="K74" i="5"/>
  <c r="K70" i="5"/>
  <c r="D9" i="4"/>
  <c r="D10" i="4" s="1"/>
  <c r="D12" i="4" s="1"/>
  <c r="H42" i="5" l="1"/>
  <c r="G43" i="5"/>
  <c r="K15" i="5"/>
  <c r="H69" i="5"/>
  <c r="H21" i="5"/>
  <c r="H22" i="5" s="1"/>
  <c r="G25" i="2" s="1"/>
  <c r="I20" i="5"/>
  <c r="F26" i="5"/>
  <c r="F27" i="5" s="1"/>
  <c r="F68" i="5" s="1"/>
  <c r="F75" i="5" s="1"/>
  <c r="F85" i="5" s="1"/>
  <c r="G5" i="5"/>
  <c r="G25" i="5"/>
  <c r="K48" i="5"/>
  <c r="K53" i="5" s="1"/>
  <c r="E57" i="5"/>
  <c r="E59" i="5" s="1"/>
  <c r="D59" i="5"/>
  <c r="D63" i="5" s="1"/>
  <c r="K16" i="5"/>
  <c r="L72" i="5"/>
  <c r="L14" i="5"/>
  <c r="L4" i="5" s="1"/>
  <c r="M13" i="5"/>
  <c r="M6" i="5" s="1"/>
  <c r="L74" i="5"/>
  <c r="L3" i="5"/>
  <c r="L70" i="5"/>
  <c r="D86" i="5"/>
  <c r="D32" i="5"/>
  <c r="E9" i="4"/>
  <c r="E10" i="4" s="1"/>
  <c r="E12" i="4" s="1"/>
  <c r="F9" i="4" l="1"/>
  <c r="F10" i="4" s="1"/>
  <c r="F12" i="4" s="1"/>
  <c r="L15" i="5"/>
  <c r="H43" i="5"/>
  <c r="I42" i="5"/>
  <c r="J20" i="5"/>
  <c r="M3" i="5"/>
  <c r="M74" i="5"/>
  <c r="M70" i="5"/>
  <c r="M72" i="5"/>
  <c r="M14" i="5"/>
  <c r="M4" i="5" s="1"/>
  <c r="L48" i="5"/>
  <c r="L53" i="5" s="1"/>
  <c r="I69" i="5"/>
  <c r="I21" i="5"/>
  <c r="I22" i="5" s="1"/>
  <c r="G26" i="5"/>
  <c r="G27" i="5" s="1"/>
  <c r="H5" i="5"/>
  <c r="H25" i="5"/>
  <c r="E86" i="5"/>
  <c r="D36" i="5"/>
  <c r="E32" i="5"/>
  <c r="F57" i="5"/>
  <c r="E63" i="5"/>
  <c r="L16" i="5" l="1"/>
  <c r="G68" i="5"/>
  <c r="G75" i="5" s="1"/>
  <c r="G85" i="5" s="1"/>
  <c r="C7" i="2"/>
  <c r="J42" i="5"/>
  <c r="I43" i="5"/>
  <c r="G57" i="5"/>
  <c r="F59" i="5"/>
  <c r="F63" i="5" s="1"/>
  <c r="M48" i="5"/>
  <c r="M53" i="5" s="1"/>
  <c r="H26" i="5"/>
  <c r="M15" i="5"/>
  <c r="K20" i="5"/>
  <c r="J69" i="5"/>
  <c r="J21" i="5"/>
  <c r="J22" i="5" s="1"/>
  <c r="D44" i="5"/>
  <c r="I5" i="5"/>
  <c r="I25" i="5"/>
  <c r="F86" i="5"/>
  <c r="E36" i="5"/>
  <c r="E44" i="5" s="1"/>
  <c r="F32" i="5"/>
  <c r="H27" i="5" l="1"/>
  <c r="K42" i="5"/>
  <c r="J43" i="5"/>
  <c r="K69" i="5"/>
  <c r="K21" i="5"/>
  <c r="K22" i="5" s="1"/>
  <c r="D54" i="5"/>
  <c r="D60" i="5" s="1"/>
  <c r="D62" i="5"/>
  <c r="M16" i="5"/>
  <c r="J5" i="5"/>
  <c r="J25" i="5"/>
  <c r="L20" i="5"/>
  <c r="I26" i="5"/>
  <c r="I27" i="5" s="1"/>
  <c r="I68" i="5" s="1"/>
  <c r="I75" i="5" s="1"/>
  <c r="I85" i="5" s="1"/>
  <c r="E54" i="5"/>
  <c r="E60" i="5" s="1"/>
  <c r="E62" i="5"/>
  <c r="G86" i="5"/>
  <c r="F36" i="5"/>
  <c r="F44" i="5" s="1"/>
  <c r="G32" i="5"/>
  <c r="G59" i="5"/>
  <c r="H57" i="5" l="1"/>
  <c r="C6" i="2"/>
  <c r="G63" i="5"/>
  <c r="B7" i="2"/>
  <c r="H68" i="5"/>
  <c r="H75" i="5" s="1"/>
  <c r="H85" i="5" s="1"/>
  <c r="H32" i="5" s="1"/>
  <c r="L42" i="5"/>
  <c r="K43" i="5"/>
  <c r="M20" i="5"/>
  <c r="L69" i="5"/>
  <c r="L21" i="5"/>
  <c r="L22" i="5" s="1"/>
  <c r="J26" i="5"/>
  <c r="J27" i="5" s="1"/>
  <c r="J68" i="5" s="1"/>
  <c r="J75" i="5" s="1"/>
  <c r="J85" i="5" s="1"/>
  <c r="G36" i="5"/>
  <c r="G44" i="5" s="1"/>
  <c r="I57" i="5"/>
  <c r="H59" i="5"/>
  <c r="B6" i="2" s="1"/>
  <c r="F54" i="5"/>
  <c r="F60" i="5" s="1"/>
  <c r="F62" i="5"/>
  <c r="K5" i="5"/>
  <c r="K25" i="5"/>
  <c r="D7" i="2" l="1"/>
  <c r="E7" i="2"/>
  <c r="H86" i="5"/>
  <c r="H63" i="5"/>
  <c r="M42" i="5"/>
  <c r="M43" i="5" s="1"/>
  <c r="L43" i="5"/>
  <c r="J57" i="5"/>
  <c r="I59" i="5"/>
  <c r="I63" i="5" s="1"/>
  <c r="I32" i="5"/>
  <c r="I86" i="5"/>
  <c r="H36" i="5"/>
  <c r="G54" i="5"/>
  <c r="G60" i="5" s="1"/>
  <c r="G62" i="5"/>
  <c r="L5" i="5"/>
  <c r="L25" i="5"/>
  <c r="K26" i="5"/>
  <c r="K27" i="5" s="1"/>
  <c r="K68" i="5" s="1"/>
  <c r="K75" i="5" s="1"/>
  <c r="K85" i="5" s="1"/>
  <c r="M69" i="5"/>
  <c r="M21" i="5"/>
  <c r="M22" i="5" s="1"/>
  <c r="G7" i="2" l="1"/>
  <c r="H44" i="5"/>
  <c r="H62" i="5" s="1"/>
  <c r="G21" i="2"/>
  <c r="L26" i="5"/>
  <c r="L27" i="5" s="1"/>
  <c r="L68" i="5" s="1"/>
  <c r="L75" i="5" s="1"/>
  <c r="L85" i="5" s="1"/>
  <c r="J32" i="5"/>
  <c r="J86" i="5"/>
  <c r="I36" i="5"/>
  <c r="I44" i="5" s="1"/>
  <c r="M5" i="5"/>
  <c r="M25" i="5"/>
  <c r="K57" i="5"/>
  <c r="J59" i="5"/>
  <c r="J63" i="5" s="1"/>
  <c r="H54" i="5" l="1"/>
  <c r="G22" i="2"/>
  <c r="E6" i="2"/>
  <c r="D6" i="2"/>
  <c r="G23" i="2"/>
  <c r="H60" i="5"/>
  <c r="M26" i="5"/>
  <c r="M27" i="5" s="1"/>
  <c r="M68" i="5" s="1"/>
  <c r="M75" i="5" s="1"/>
  <c r="M85" i="5" s="1"/>
  <c r="I54" i="5"/>
  <c r="I60" i="5" s="1"/>
  <c r="I62" i="5"/>
  <c r="L57" i="5"/>
  <c r="K59" i="5"/>
  <c r="K63" i="5" s="1"/>
  <c r="K32" i="5"/>
  <c r="K86" i="5"/>
  <c r="J36" i="5"/>
  <c r="J44" i="5" s="1"/>
  <c r="G6" i="2" l="1"/>
  <c r="J62" i="5"/>
  <c r="J54" i="5"/>
  <c r="J60" i="5" s="1"/>
  <c r="L32" i="5"/>
  <c r="L86" i="5"/>
  <c r="K36" i="5"/>
  <c r="K44" i="5" s="1"/>
  <c r="M57" i="5"/>
  <c r="M59" i="5" s="1"/>
  <c r="M63" i="5" s="1"/>
  <c r="L59" i="5"/>
  <c r="L63" i="5" s="1"/>
  <c r="M86" i="5" l="1"/>
  <c r="L36" i="5"/>
  <c r="L44" i="5" s="1"/>
  <c r="M32" i="5"/>
  <c r="M36" i="5" s="1"/>
  <c r="M44" i="5" s="1"/>
  <c r="K62" i="5"/>
  <c r="K54" i="5"/>
  <c r="K60" i="5" s="1"/>
  <c r="M54" i="5" l="1"/>
  <c r="M60" i="5" s="1"/>
  <c r="M62" i="5"/>
  <c r="L62" i="5"/>
  <c r="L54" i="5"/>
  <c r="L60" i="5" s="1"/>
</calcChain>
</file>

<file path=xl/sharedStrings.xml><?xml version="1.0" encoding="utf-8"?>
<sst xmlns="http://schemas.openxmlformats.org/spreadsheetml/2006/main" count="113" uniqueCount="103">
  <si>
    <t>Revenue</t>
  </si>
  <si>
    <t>COGS</t>
  </si>
  <si>
    <t>Gross profit</t>
  </si>
  <si>
    <t>OPERATING EXPENSES</t>
  </si>
  <si>
    <t>Salaries &amp; wages</t>
  </si>
  <si>
    <t>Depreciation</t>
  </si>
  <si>
    <t>NET INCOME</t>
  </si>
  <si>
    <t>Interest expense</t>
  </si>
  <si>
    <t>Income tax</t>
  </si>
  <si>
    <t>Other</t>
  </si>
  <si>
    <t>NON-OPERATING EXPENSES</t>
  </si>
  <si>
    <t>REVENUE &amp; GROSS PROFIT</t>
  </si>
  <si>
    <t>GP %</t>
  </si>
  <si>
    <t>Total OE</t>
  </si>
  <si>
    <t>INCOME BEFORE TAX</t>
  </si>
  <si>
    <t>INCOME STATEMENT</t>
  </si>
  <si>
    <t>CURRENT ASSETS</t>
  </si>
  <si>
    <t>NON-CURRENT ASSETS</t>
  </si>
  <si>
    <t>BALANCE SHEET</t>
  </si>
  <si>
    <t>Cash &amp; cash equivalents</t>
  </si>
  <si>
    <t>Accounts receivable</t>
  </si>
  <si>
    <t>Inventory</t>
  </si>
  <si>
    <t>Total CA</t>
  </si>
  <si>
    <t>PPE</t>
  </si>
  <si>
    <t>Less: accumulated depreciation</t>
  </si>
  <si>
    <t>Intangible assets</t>
  </si>
  <si>
    <t>Less: accumulated amortisation</t>
  </si>
  <si>
    <t>CURRENT LIABILITIES</t>
  </si>
  <si>
    <t>NON-CURRENT LIABILITIES</t>
  </si>
  <si>
    <t>Accounts payable</t>
  </si>
  <si>
    <t>Wages payable</t>
  </si>
  <si>
    <t>Loans</t>
  </si>
  <si>
    <t>Other liabilities</t>
  </si>
  <si>
    <t>Other receivables</t>
  </si>
  <si>
    <t>CASH FLOW STATEMENT</t>
  </si>
  <si>
    <t>EQUITY</t>
  </si>
  <si>
    <t>NET ASSETS</t>
  </si>
  <si>
    <t>Total NCA</t>
  </si>
  <si>
    <t>Total CL</t>
  </si>
  <si>
    <t>Total NCL</t>
  </si>
  <si>
    <t>TOTAL ASSETS</t>
  </si>
  <si>
    <t>TOTAL LIABILITIES</t>
  </si>
  <si>
    <t>Retained earnings/loss</t>
  </si>
  <si>
    <t>Shareholder's equity</t>
  </si>
  <si>
    <t>Total equity</t>
  </si>
  <si>
    <t>check</t>
  </si>
  <si>
    <t>Net Income</t>
  </si>
  <si>
    <t>Inventories</t>
  </si>
  <si>
    <t>Total Cash from Operations</t>
  </si>
  <si>
    <t>Capital Expenditures</t>
  </si>
  <si>
    <t>Sale/Maturity of Investment</t>
  </si>
  <si>
    <t>Purchase of Investments</t>
  </si>
  <si>
    <t>Total Cash from Investing</t>
  </si>
  <si>
    <t>Total Cash Dividends Paid</t>
  </si>
  <si>
    <t>Total Cash From Financing</t>
  </si>
  <si>
    <t>OPERATING ACTIVITIES</t>
  </si>
  <si>
    <t>INVESTING ACTIVITIES</t>
  </si>
  <si>
    <t>FINANCING ACTIVITIES</t>
  </si>
  <si>
    <t>NET INCREASE (DECREASE) IN CASH</t>
  </si>
  <si>
    <t>Opening balances</t>
  </si>
  <si>
    <t>Assets</t>
  </si>
  <si>
    <t>Liabilities + Owners Equity</t>
  </si>
  <si>
    <t>NET CASH ENDING BALANCE</t>
  </si>
  <si>
    <t>CAGR sales forecast (5-year); variable costs &amp; balances aligned</t>
  </si>
  <si>
    <t>3-statement financial model</t>
  </si>
  <si>
    <t>Profit margin</t>
  </si>
  <si>
    <t>Asset turnover</t>
  </si>
  <si>
    <t>Leverage</t>
  </si>
  <si>
    <t>Net income/sales</t>
  </si>
  <si>
    <t>Assets/equity</t>
  </si>
  <si>
    <t>Sales/assets</t>
  </si>
  <si>
    <t>ROE</t>
  </si>
  <si>
    <t>Du Pont Method</t>
  </si>
  <si>
    <t>Sales</t>
  </si>
  <si>
    <t>Annual COGS</t>
  </si>
  <si>
    <t>Daily COGS</t>
  </si>
  <si>
    <t># days' sales in inventory</t>
  </si>
  <si>
    <t>Actual</t>
  </si>
  <si>
    <t>Forecast</t>
  </si>
  <si>
    <t>Sales uplift assumption</t>
  </si>
  <si>
    <t>Target ratio</t>
  </si>
  <si>
    <t>Financial statement ratios</t>
  </si>
  <si>
    <t>Investments</t>
  </si>
  <si>
    <t>Debt financing</t>
  </si>
  <si>
    <t>Year</t>
  </si>
  <si>
    <t>ROE (PM x AT x L)</t>
  </si>
  <si>
    <r>
      <t xml:space="preserve">Gross profit % </t>
    </r>
    <r>
      <rPr>
        <i/>
        <sz val="11"/>
        <color theme="1"/>
        <rFont val="Calibri"/>
        <family val="2"/>
        <scheme val="minor"/>
      </rPr>
      <t>(gross profit $/sales)</t>
    </r>
  </si>
  <si>
    <r>
      <t xml:space="preserve">Inventory turnover </t>
    </r>
    <r>
      <rPr>
        <i/>
        <sz val="11"/>
        <color theme="1"/>
        <rFont val="Calibri"/>
        <family val="2"/>
        <scheme val="minor"/>
      </rPr>
      <t>(COGS/Inventory)</t>
    </r>
  </si>
  <si>
    <r>
      <t>Accounts receivable turnover</t>
    </r>
    <r>
      <rPr>
        <i/>
        <sz val="11"/>
        <color theme="1"/>
        <rFont val="Calibri"/>
        <family val="2"/>
        <scheme val="minor"/>
      </rPr>
      <t xml:space="preserve"> (debtors/sales)</t>
    </r>
  </si>
  <si>
    <r>
      <t xml:space="preserve">Number of days sales in accounts receivable </t>
    </r>
    <r>
      <rPr>
        <i/>
        <sz val="11"/>
        <color theme="1"/>
        <rFont val="Calibri"/>
        <family val="2"/>
        <scheme val="minor"/>
      </rPr>
      <t>(365/debtors turnover ratio)</t>
    </r>
  </si>
  <si>
    <r>
      <t xml:space="preserve">Operating cycle </t>
    </r>
    <r>
      <rPr>
        <i/>
        <sz val="11"/>
        <color theme="1"/>
        <rFont val="Calibri"/>
        <family val="2"/>
        <scheme val="minor"/>
      </rPr>
      <t>(days sales in inventory + days debtors)</t>
    </r>
  </si>
  <si>
    <r>
      <t>Current ratio</t>
    </r>
    <r>
      <rPr>
        <i/>
        <sz val="11"/>
        <color theme="1"/>
        <rFont val="Calibri"/>
        <family val="2"/>
        <scheme val="minor"/>
      </rPr>
      <t xml:space="preserve"> (current assets/current liabilities)</t>
    </r>
  </si>
  <si>
    <r>
      <t>Assets to equity ratio</t>
    </r>
    <r>
      <rPr>
        <i/>
        <sz val="11"/>
        <color theme="1"/>
        <rFont val="Calibri"/>
        <family val="2"/>
        <scheme val="minor"/>
      </rPr>
      <t xml:space="preserve"> (total assets/total equity)</t>
    </r>
  </si>
  <si>
    <r>
      <t xml:space="preserve">Debt ratio </t>
    </r>
    <r>
      <rPr>
        <i/>
        <sz val="11"/>
        <color theme="1"/>
        <rFont val="Calibri"/>
        <family val="2"/>
        <scheme val="minor"/>
      </rPr>
      <t>(total liabilities/total assets)</t>
    </r>
  </si>
  <si>
    <t>EBIT</t>
  </si>
  <si>
    <r>
      <t>Times interest earned</t>
    </r>
    <r>
      <rPr>
        <i/>
        <sz val="11"/>
        <color theme="1"/>
        <rFont val="Calibri"/>
        <family val="2"/>
        <scheme val="minor"/>
      </rPr>
      <t xml:space="preserve"> (EBIT/interest expense)</t>
    </r>
  </si>
  <si>
    <r>
      <t xml:space="preserve">Debt to equity ratio </t>
    </r>
    <r>
      <rPr>
        <i/>
        <sz val="11"/>
        <color theme="1"/>
        <rFont val="Calibri"/>
        <family val="2"/>
        <scheme val="minor"/>
      </rPr>
      <t>(total liabilities/shareholder's equity)</t>
    </r>
  </si>
  <si>
    <t>COGS % of revenue:</t>
  </si>
  <si>
    <t>Operating expenses % of revenue:</t>
  </si>
  <si>
    <t>Wages % of revenue</t>
  </si>
  <si>
    <t>Revenue growth %:</t>
  </si>
  <si>
    <r>
      <t xml:space="preserve">Number of days sales in inventory </t>
    </r>
    <r>
      <rPr>
        <i/>
        <sz val="11"/>
        <color theme="1"/>
        <rFont val="Calibri"/>
        <family val="2"/>
        <scheme val="minor"/>
      </rPr>
      <t>(365/Inventory turnover ratio)</t>
    </r>
  </si>
  <si>
    <t>Inventory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</si>
</sst>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Red]#;[Red]#"/>
    <numFmt numFmtId="165" formatCode="0.0%"/>
    <numFmt numFmtId="166" formatCode="#,##0.0"/>
    <numFmt numFmtId="173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4" borderId="3" applyNumberFormat="0" applyAlignment="0" applyProtection="0"/>
    <xf numFmtId="0" fontId="12" fillId="5" borderId="3" applyNumberFormat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3" fontId="0" fillId="0" borderId="0" xfId="0" applyNumberFormat="1"/>
    <xf numFmtId="3" fontId="0" fillId="0" borderId="0" xfId="1" applyNumberFormat="1" applyFont="1"/>
    <xf numFmtId="3" fontId="0" fillId="0" borderId="0" xfId="1" applyNumberFormat="1" applyFont="1" applyFill="1"/>
    <xf numFmtId="3" fontId="4" fillId="0" borderId="0" xfId="0" applyNumberFormat="1" applyFont="1"/>
    <xf numFmtId="3" fontId="0" fillId="0" borderId="0" xfId="1" applyNumberFormat="1" applyFont="1" applyFill="1" applyBorder="1"/>
    <xf numFmtId="3" fontId="5" fillId="0" borderId="0" xfId="0" applyNumberFormat="1" applyFont="1"/>
    <xf numFmtId="164" fontId="5" fillId="0" borderId="0" xfId="1" applyNumberFormat="1" applyFont="1"/>
    <xf numFmtId="0" fontId="8" fillId="0" borderId="0" xfId="0" applyFont="1"/>
    <xf numFmtId="0" fontId="3" fillId="3" borderId="0" xfId="0" applyFont="1" applyFill="1"/>
    <xf numFmtId="165" fontId="0" fillId="0" borderId="0" xfId="2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43" fontId="0" fillId="0" borderId="0" xfId="1" applyFont="1" applyAlignment="1">
      <alignment horizontal="right"/>
    </xf>
    <xf numFmtId="3" fontId="0" fillId="0" borderId="0" xfId="1" applyNumberFormat="1" applyFont="1" applyBorder="1"/>
    <xf numFmtId="9" fontId="4" fillId="0" borderId="0" xfId="2" applyFont="1" applyFill="1" applyBorder="1"/>
    <xf numFmtId="3" fontId="4" fillId="0" borderId="0" xfId="1" applyNumberFormat="1" applyFont="1" applyBorder="1"/>
    <xf numFmtId="3" fontId="0" fillId="3" borderId="0" xfId="0" applyNumberFormat="1" applyFill="1"/>
    <xf numFmtId="3" fontId="5" fillId="0" borderId="0" xfId="1" applyNumberFormat="1" applyFont="1" applyBorder="1"/>
    <xf numFmtId="164" fontId="5" fillId="0" borderId="0" xfId="1" applyNumberFormat="1" applyFont="1" applyBorder="1"/>
    <xf numFmtId="3" fontId="0" fillId="0" borderId="2" xfId="1" applyNumberFormat="1" applyFont="1" applyBorder="1"/>
    <xf numFmtId="3" fontId="0" fillId="0" borderId="2" xfId="1" applyNumberFormat="1" applyFont="1" applyFill="1" applyBorder="1"/>
    <xf numFmtId="9" fontId="4" fillId="0" borderId="2" xfId="2" applyFont="1" applyFill="1" applyBorder="1"/>
    <xf numFmtId="3" fontId="0" fillId="0" borderId="2" xfId="0" applyNumberFormat="1" applyBorder="1"/>
    <xf numFmtId="3" fontId="4" fillId="0" borderId="2" xfId="1" applyNumberFormat="1" applyFont="1" applyBorder="1"/>
    <xf numFmtId="0" fontId="0" fillId="0" borderId="2" xfId="0" applyBorder="1"/>
    <xf numFmtId="0" fontId="7" fillId="0" borderId="1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0" fontId="9" fillId="2" borderId="0" xfId="0" applyFont="1" applyFill="1"/>
    <xf numFmtId="0" fontId="2" fillId="2" borderId="0" xfId="0" applyFont="1" applyFill="1"/>
    <xf numFmtId="0" fontId="0" fillId="0" borderId="2" xfId="0" applyBorder="1" applyAlignment="1">
      <alignment horizontal="right"/>
    </xf>
    <xf numFmtId="166" fontId="0" fillId="0" borderId="0" xfId="0" applyNumberFormat="1"/>
    <xf numFmtId="0" fontId="11" fillId="2" borderId="0" xfId="0" applyFont="1" applyFill="1" applyAlignment="1">
      <alignment horizontal="right"/>
    </xf>
    <xf numFmtId="0" fontId="11" fillId="2" borderId="2" xfId="0" applyFont="1" applyFill="1" applyBorder="1" applyAlignment="1">
      <alignment horizontal="right"/>
    </xf>
    <xf numFmtId="3" fontId="10" fillId="4" borderId="4" xfId="3" applyNumberFormat="1" applyBorder="1"/>
    <xf numFmtId="3" fontId="10" fillId="4" borderId="5" xfId="3" applyNumberFormat="1" applyBorder="1"/>
    <xf numFmtId="3" fontId="10" fillId="4" borderId="6" xfId="3" applyNumberFormat="1" applyBorder="1"/>
    <xf numFmtId="165" fontId="0" fillId="0" borderId="0" xfId="2" applyNumberFormat="1" applyFont="1" applyAlignment="1">
      <alignment horizontal="right"/>
    </xf>
    <xf numFmtId="0" fontId="0" fillId="3" borderId="0" xfId="0" applyFill="1"/>
    <xf numFmtId="165" fontId="0" fillId="3" borderId="0" xfId="2" applyNumberFormat="1" applyFont="1" applyFill="1"/>
    <xf numFmtId="165" fontId="0" fillId="3" borderId="2" xfId="2" applyNumberFormat="1" applyFont="1" applyFill="1" applyBorder="1"/>
    <xf numFmtId="0" fontId="3" fillId="0" borderId="1" xfId="0" applyFont="1" applyBorder="1" applyAlignment="1">
      <alignment horizontal="right"/>
    </xf>
    <xf numFmtId="0" fontId="2" fillId="2" borderId="0" xfId="0" applyFont="1" applyFill="1" applyAlignment="1">
      <alignment horizontal="right"/>
    </xf>
    <xf numFmtId="164" fontId="5" fillId="0" borderId="0" xfId="1" applyNumberFormat="1" applyFont="1" applyFill="1" applyBorder="1"/>
    <xf numFmtId="164" fontId="5" fillId="0" borderId="2" xfId="1" applyNumberFormat="1" applyFont="1" applyFill="1" applyBorder="1"/>
    <xf numFmtId="0" fontId="7" fillId="0" borderId="7" xfId="1" applyNumberFormat="1" applyFont="1" applyFill="1" applyBorder="1" applyAlignment="1">
      <alignment horizontal="right"/>
    </xf>
    <xf numFmtId="10" fontId="0" fillId="0" borderId="2" xfId="2" applyNumberFormat="1" applyFont="1" applyBorder="1"/>
    <xf numFmtId="10" fontId="0" fillId="0" borderId="0" xfId="2" applyNumberFormat="1" applyFont="1" applyBorder="1"/>
    <xf numFmtId="3" fontId="0" fillId="0" borderId="1" xfId="1" applyNumberFormat="1" applyFont="1" applyFill="1" applyBorder="1"/>
    <xf numFmtId="3" fontId="0" fillId="0" borderId="9" xfId="1" applyNumberFormat="1" applyFont="1" applyFill="1" applyBorder="1"/>
    <xf numFmtId="3" fontId="0" fillId="0" borderId="1" xfId="0" applyNumberFormat="1" applyBorder="1"/>
    <xf numFmtId="3" fontId="0" fillId="0" borderId="9" xfId="0" applyNumberFormat="1" applyBorder="1"/>
    <xf numFmtId="3" fontId="0" fillId="0" borderId="10" xfId="1" applyNumberFormat="1" applyFont="1" applyFill="1" applyBorder="1"/>
    <xf numFmtId="3" fontId="0" fillId="0" borderId="11" xfId="1" applyNumberFormat="1" applyFont="1" applyFill="1" applyBorder="1"/>
    <xf numFmtId="3" fontId="0" fillId="0" borderId="1" xfId="1" applyNumberFormat="1" applyFont="1" applyBorder="1"/>
    <xf numFmtId="3" fontId="0" fillId="0" borderId="9" xfId="1" applyNumberFormat="1" applyFont="1" applyBorder="1"/>
    <xf numFmtId="3" fontId="4" fillId="0" borderId="1" xfId="0" applyNumberFormat="1" applyFont="1" applyBorder="1"/>
    <xf numFmtId="3" fontId="4" fillId="0" borderId="9" xfId="1" applyNumberFormat="1" applyFont="1" applyBorder="1"/>
    <xf numFmtId="3" fontId="4" fillId="0" borderId="1" xfId="1" applyNumberFormat="1" applyFont="1" applyBorder="1"/>
    <xf numFmtId="3" fontId="0" fillId="0" borderId="1" xfId="0" applyNumberFormat="1" applyBorder="1" applyAlignment="1">
      <alignment horizontal="right"/>
    </xf>
    <xf numFmtId="0" fontId="7" fillId="0" borderId="9" xfId="1" applyNumberFormat="1" applyFont="1" applyFill="1" applyBorder="1" applyAlignment="1">
      <alignment horizontal="right"/>
    </xf>
    <xf numFmtId="3" fontId="12" fillId="5" borderId="3" xfId="4" applyNumberForma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3" fillId="0" borderId="0" xfId="0" applyFont="1"/>
    <xf numFmtId="173" fontId="0" fillId="0" borderId="0" xfId="0" applyNumberFormat="1"/>
    <xf numFmtId="9" fontId="12" fillId="5" borderId="3" xfId="4" applyNumberFormat="1" applyAlignment="1">
      <alignment horizontal="right"/>
    </xf>
    <xf numFmtId="3" fontId="1" fillId="0" borderId="0" xfId="1" applyNumberFormat="1" applyFont="1" applyFill="1" applyBorder="1"/>
    <xf numFmtId="3" fontId="1" fillId="0" borderId="2" xfId="1" applyNumberFormat="1" applyFont="1" applyFill="1" applyBorder="1"/>
    <xf numFmtId="3" fontId="0" fillId="3" borderId="1" xfId="1" applyNumberFormat="1" applyFont="1" applyFill="1" applyBorder="1"/>
    <xf numFmtId="3" fontId="0" fillId="3" borderId="0" xfId="1" applyNumberFormat="1" applyFont="1" applyFill="1" applyBorder="1"/>
    <xf numFmtId="3" fontId="4" fillId="3" borderId="0" xfId="0" applyNumberFormat="1" applyFont="1" applyFill="1"/>
    <xf numFmtId="3" fontId="4" fillId="3" borderId="1" xfId="0" applyNumberFormat="1" applyFont="1" applyFill="1" applyBorder="1"/>
    <xf numFmtId="3" fontId="0" fillId="3" borderId="1" xfId="0" applyNumberFormat="1" applyFill="1" applyBorder="1"/>
    <xf numFmtId="3" fontId="0" fillId="3" borderId="1" xfId="0" applyNumberFormat="1" applyFill="1" applyBorder="1" applyAlignment="1">
      <alignment horizontal="right"/>
    </xf>
    <xf numFmtId="166" fontId="0" fillId="0" borderId="0" xfId="0" applyNumberFormat="1" applyAlignment="1">
      <alignment horizontal="right"/>
    </xf>
    <xf numFmtId="0" fontId="8" fillId="0" borderId="0" xfId="0" applyFont="1" applyAlignment="1">
      <alignment horizontal="left"/>
    </xf>
    <xf numFmtId="4" fontId="0" fillId="0" borderId="0" xfId="0" applyNumberFormat="1"/>
    <xf numFmtId="4" fontId="0" fillId="0" borderId="2" xfId="0" applyNumberFormat="1" applyBorder="1"/>
  </cellXfs>
  <cellStyles count="5">
    <cellStyle name="Calculation" xfId="4" builtinId="22"/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DAEAD-11D6-443C-8135-525A6CEE1362}">
  <dimension ref="A1:N87"/>
  <sheetViews>
    <sheetView showGridLines="0" tabSelected="1" zoomScale="90" zoomScaleNormal="90" workbookViewId="0">
      <selection activeCell="F16" sqref="F16"/>
    </sheetView>
  </sheetViews>
  <sheetFormatPr defaultRowHeight="14.5" outlineLevelRow="1" outlineLevelCol="1" x14ac:dyDescent="0.35"/>
  <cols>
    <col min="1" max="1" width="2.26953125" customWidth="1"/>
    <col min="2" max="2" width="34" customWidth="1"/>
    <col min="3" max="3" width="15.36328125" style="5" customWidth="1" outlineLevel="1"/>
    <col min="4" max="4" width="14" style="6" customWidth="1"/>
    <col min="5" max="8" width="14" style="5" customWidth="1"/>
    <col min="9" max="13" width="14" customWidth="1"/>
    <col min="14" max="14" width="12.26953125" customWidth="1"/>
  </cols>
  <sheetData>
    <row r="1" spans="1:13" ht="18.5" x14ac:dyDescent="0.45">
      <c r="A1" s="12" t="s">
        <v>64</v>
      </c>
      <c r="E1" s="6"/>
      <c r="F1" s="6"/>
      <c r="G1" s="6"/>
      <c r="H1" s="6"/>
      <c r="I1" s="6"/>
      <c r="J1" s="6"/>
      <c r="K1" s="6"/>
      <c r="L1" s="6"/>
      <c r="M1" s="6"/>
    </row>
    <row r="2" spans="1:13" ht="5" customHeight="1" x14ac:dyDescent="0.45">
      <c r="A2" s="12"/>
      <c r="E2" s="6"/>
      <c r="F2" s="6"/>
      <c r="G2" s="6"/>
      <c r="H2" s="6"/>
      <c r="I2" s="6"/>
      <c r="J2" s="6"/>
      <c r="K2" s="6"/>
      <c r="L2" s="6"/>
      <c r="M2" s="6"/>
    </row>
    <row r="3" spans="1:13" ht="18.5" outlineLevel="1" x14ac:dyDescent="0.45">
      <c r="A3" s="12"/>
      <c r="B3" s="43" t="s">
        <v>100</v>
      </c>
      <c r="C3" s="22"/>
      <c r="D3" s="44">
        <f>D13/10-1</f>
        <v>0.5</v>
      </c>
      <c r="E3" s="44">
        <f>E13/D13-1</f>
        <v>0.53333333333333344</v>
      </c>
      <c r="F3" s="44">
        <f t="shared" ref="F3:M3" si="0">F13/E13-1</f>
        <v>0.73913043478260865</v>
      </c>
      <c r="G3" s="44">
        <f t="shared" si="0"/>
        <v>-5.0000000000000044E-2</v>
      </c>
      <c r="H3" s="44">
        <f t="shared" si="0"/>
        <v>0.18421052631578938</v>
      </c>
      <c r="I3" s="45">
        <f t="shared" si="0"/>
        <v>0.2457309396155174</v>
      </c>
      <c r="J3" s="44">
        <f t="shared" si="0"/>
        <v>0.2457309396155174</v>
      </c>
      <c r="K3" s="44">
        <f t="shared" si="0"/>
        <v>0.2457309396155174</v>
      </c>
      <c r="L3" s="44">
        <f t="shared" si="0"/>
        <v>0.2457309396155174</v>
      </c>
      <c r="M3" s="44">
        <f t="shared" si="0"/>
        <v>0.2457309396155174</v>
      </c>
    </row>
    <row r="4" spans="1:13" ht="18.5" outlineLevel="1" x14ac:dyDescent="0.45">
      <c r="A4" s="12"/>
      <c r="B4" s="43" t="s">
        <v>97</v>
      </c>
      <c r="C4" s="22"/>
      <c r="D4" s="44">
        <f>D14/D13</f>
        <v>0.4</v>
      </c>
      <c r="E4" s="44">
        <f t="shared" ref="E4:M4" si="1">E14/E13</f>
        <v>0.56521739130434778</v>
      </c>
      <c r="F4" s="44">
        <f t="shared" si="1"/>
        <v>0.57499999999999996</v>
      </c>
      <c r="G4" s="44">
        <f t="shared" si="1"/>
        <v>0.55263157894736847</v>
      </c>
      <c r="H4" s="44">
        <f t="shared" si="1"/>
        <v>0.53333333333333333</v>
      </c>
      <c r="I4" s="45">
        <f t="shared" si="1"/>
        <v>0.53333333333333333</v>
      </c>
      <c r="J4" s="44">
        <f t="shared" si="1"/>
        <v>0.53333333333333333</v>
      </c>
      <c r="K4" s="44">
        <f t="shared" si="1"/>
        <v>0.53333333333333321</v>
      </c>
      <c r="L4" s="44">
        <f t="shared" si="1"/>
        <v>0.53333333333333333</v>
      </c>
      <c r="M4" s="44">
        <f t="shared" si="1"/>
        <v>0.53333333333333333</v>
      </c>
    </row>
    <row r="5" spans="1:13" ht="18.5" outlineLevel="1" x14ac:dyDescent="0.45">
      <c r="A5" s="12"/>
      <c r="B5" s="43" t="s">
        <v>98</v>
      </c>
      <c r="C5" s="22"/>
      <c r="D5" s="44">
        <f>D21/D13</f>
        <v>0.2</v>
      </c>
      <c r="E5" s="44">
        <f t="shared" ref="E5:M5" si="2">E21/E13</f>
        <v>0.30434782608695654</v>
      </c>
      <c r="F5" s="44">
        <f t="shared" si="2"/>
        <v>0.35</v>
      </c>
      <c r="G5" s="44">
        <f t="shared" si="2"/>
        <v>0.34210526315789475</v>
      </c>
      <c r="H5" s="44">
        <f t="shared" si="2"/>
        <v>0.31111111111111112</v>
      </c>
      <c r="I5" s="45">
        <f t="shared" si="2"/>
        <v>0.26758052058674353</v>
      </c>
      <c r="J5" s="44">
        <f t="shared" si="2"/>
        <v>0.18615827099342896</v>
      </c>
      <c r="K5" s="44">
        <f t="shared" si="2"/>
        <v>0.26438850518557971</v>
      </c>
      <c r="L5" s="44">
        <f t="shared" si="2"/>
        <v>0.24914618792310339</v>
      </c>
      <c r="M5" s="44">
        <f t="shared" si="2"/>
        <v>0.23703703703703694</v>
      </c>
    </row>
    <row r="6" spans="1:13" ht="18.5" outlineLevel="1" x14ac:dyDescent="0.45">
      <c r="A6" s="12"/>
      <c r="B6" s="43" t="s">
        <v>99</v>
      </c>
      <c r="C6" s="22"/>
      <c r="D6" s="44">
        <f>D18/D13</f>
        <v>0.13333333333333333</v>
      </c>
      <c r="E6" s="44">
        <f t="shared" ref="E6:M6" si="3">E18/E13</f>
        <v>0.17391304347826086</v>
      </c>
      <c r="F6" s="44">
        <f t="shared" si="3"/>
        <v>0.15</v>
      </c>
      <c r="G6" s="44">
        <f t="shared" si="3"/>
        <v>0.15789473684210525</v>
      </c>
      <c r="H6" s="44">
        <f t="shared" si="3"/>
        <v>0.15555555555555556</v>
      </c>
      <c r="I6" s="45">
        <f t="shared" si="3"/>
        <v>0.14270961097959656</v>
      </c>
      <c r="J6" s="44">
        <f t="shared" si="3"/>
        <v>0.15751853699443991</v>
      </c>
      <c r="K6" s="44">
        <f t="shared" si="3"/>
        <v>0.1839224383899685</v>
      </c>
      <c r="L6" s="44">
        <f t="shared" si="3"/>
        <v>0.1845527317948914</v>
      </c>
      <c r="M6" s="44">
        <f t="shared" si="3"/>
        <v>0.18518518518518512</v>
      </c>
    </row>
    <row r="7" spans="1:13" ht="18.5" x14ac:dyDescent="0.45">
      <c r="A7" s="12"/>
      <c r="E7" s="6"/>
      <c r="F7" s="6"/>
      <c r="G7" s="6"/>
      <c r="H7" s="6"/>
      <c r="I7" s="6"/>
      <c r="J7" s="6"/>
      <c r="K7" s="6"/>
      <c r="L7" s="6"/>
      <c r="M7" s="6"/>
    </row>
    <row r="8" spans="1:13" x14ac:dyDescent="0.35">
      <c r="A8" s="34" t="s">
        <v>15</v>
      </c>
      <c r="B8" s="33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35">
      <c r="C9"/>
      <c r="D9" s="31">
        <v>2022</v>
      </c>
      <c r="E9" s="31">
        <v>2023</v>
      </c>
      <c r="F9" s="31">
        <v>2024</v>
      </c>
      <c r="G9" s="31">
        <v>2025</v>
      </c>
      <c r="H9" s="31">
        <v>2026</v>
      </c>
      <c r="I9" s="65">
        <v>2027</v>
      </c>
      <c r="J9" s="31">
        <v>2028</v>
      </c>
      <c r="K9" s="31">
        <v>2029</v>
      </c>
      <c r="L9" s="31">
        <v>2030</v>
      </c>
      <c r="M9" s="31">
        <v>2031</v>
      </c>
    </row>
    <row r="10" spans="1:13" outlineLevel="1" x14ac:dyDescent="0.35">
      <c r="I10" s="67" t="s">
        <v>63</v>
      </c>
      <c r="J10" s="68"/>
      <c r="K10" s="68"/>
      <c r="L10" s="68"/>
      <c r="M10" s="68"/>
    </row>
    <row r="11" spans="1:13" outlineLevel="1" x14ac:dyDescent="0.35">
      <c r="I11" s="51">
        <f>($H$13/$D$13)^(1/5)-1</f>
        <v>0.2457309396155174</v>
      </c>
      <c r="J11" s="52">
        <f t="shared" ref="J11:M11" si="4">($H$13/$D$13)^(1/5)-1</f>
        <v>0.2457309396155174</v>
      </c>
      <c r="K11" s="52">
        <f t="shared" si="4"/>
        <v>0.2457309396155174</v>
      </c>
      <c r="L11" s="52">
        <f t="shared" si="4"/>
        <v>0.2457309396155174</v>
      </c>
      <c r="M11" s="52">
        <f t="shared" si="4"/>
        <v>0.2457309396155174</v>
      </c>
    </row>
    <row r="12" spans="1:13" x14ac:dyDescent="0.35">
      <c r="A12" s="1" t="s">
        <v>11</v>
      </c>
      <c r="D12" s="7"/>
      <c r="I12" s="30"/>
    </row>
    <row r="13" spans="1:13" x14ac:dyDescent="0.35">
      <c r="B13" t="s">
        <v>0</v>
      </c>
      <c r="D13" s="19">
        <v>15</v>
      </c>
      <c r="E13" s="19">
        <v>23</v>
      </c>
      <c r="F13" s="19">
        <v>40</v>
      </c>
      <c r="G13" s="19">
        <v>38</v>
      </c>
      <c r="H13" s="19">
        <v>45</v>
      </c>
      <c r="I13" s="25">
        <f>H13*(1+I11)</f>
        <v>56.057892282698283</v>
      </c>
      <c r="J13" s="19">
        <f>I13*(1+J11)</f>
        <v>69.833050826191197</v>
      </c>
      <c r="K13" s="19">
        <f>J13*(1+K11)</f>
        <v>86.993192021929346</v>
      </c>
      <c r="L13" s="19">
        <f>K13*(1+L11)</f>
        <v>108.37011083763117</v>
      </c>
      <c r="M13" s="19">
        <f>L13*(1+M11)</f>
        <v>135.00000000000006</v>
      </c>
    </row>
    <row r="14" spans="1:13" x14ac:dyDescent="0.35">
      <c r="B14" t="s">
        <v>1</v>
      </c>
      <c r="D14" s="9">
        <v>6</v>
      </c>
      <c r="E14" s="19">
        <v>13</v>
      </c>
      <c r="F14" s="19">
        <v>23</v>
      </c>
      <c r="G14" s="19">
        <v>21</v>
      </c>
      <c r="H14" s="19">
        <v>24</v>
      </c>
      <c r="I14" s="25">
        <f>(I$13/H$13)*H14</f>
        <v>29.897542550772418</v>
      </c>
      <c r="J14" s="19">
        <f t="shared" ref="J14:M14" si="5">(J$13/I$13)*I14</f>
        <v>37.244293773968636</v>
      </c>
      <c r="K14" s="19">
        <f t="shared" si="5"/>
        <v>46.396369078362312</v>
      </c>
      <c r="L14" s="19">
        <f t="shared" si="5"/>
        <v>57.797392446736623</v>
      </c>
      <c r="M14" s="19">
        <f t="shared" si="5"/>
        <v>72.000000000000028</v>
      </c>
    </row>
    <row r="15" spans="1:13" x14ac:dyDescent="0.35">
      <c r="B15" t="s">
        <v>2</v>
      </c>
      <c r="D15" s="9">
        <f>D13-D14</f>
        <v>9</v>
      </c>
      <c r="E15" s="9">
        <f t="shared" ref="E15:M15" si="6">E13-E14</f>
        <v>10</v>
      </c>
      <c r="F15" s="9">
        <f t="shared" si="6"/>
        <v>17</v>
      </c>
      <c r="G15" s="9">
        <f t="shared" si="6"/>
        <v>17</v>
      </c>
      <c r="H15" s="9">
        <f t="shared" si="6"/>
        <v>21</v>
      </c>
      <c r="I15" s="26">
        <f t="shared" si="6"/>
        <v>26.160349731925866</v>
      </c>
      <c r="J15" s="9">
        <f t="shared" si="6"/>
        <v>32.588757052222562</v>
      </c>
      <c r="K15" s="9">
        <f t="shared" si="6"/>
        <v>40.596822943567034</v>
      </c>
      <c r="L15" s="9">
        <f t="shared" si="6"/>
        <v>50.572718390894551</v>
      </c>
      <c r="M15" s="9">
        <f t="shared" si="6"/>
        <v>63.000000000000028</v>
      </c>
    </row>
    <row r="16" spans="1:13" x14ac:dyDescent="0.35">
      <c r="B16" s="2" t="s">
        <v>12</v>
      </c>
      <c r="C16" s="8"/>
      <c r="D16" s="20">
        <f>D15/D13</f>
        <v>0.6</v>
      </c>
      <c r="E16" s="20">
        <f t="shared" ref="E16:M16" si="7">E15/E13</f>
        <v>0.43478260869565216</v>
      </c>
      <c r="F16" s="20">
        <f t="shared" si="7"/>
        <v>0.42499999999999999</v>
      </c>
      <c r="G16" s="20">
        <f t="shared" si="7"/>
        <v>0.44736842105263158</v>
      </c>
      <c r="H16" s="20">
        <f t="shared" si="7"/>
        <v>0.46666666666666667</v>
      </c>
      <c r="I16" s="27">
        <f t="shared" si="7"/>
        <v>0.46666666666666667</v>
      </c>
      <c r="J16" s="20">
        <f t="shared" si="7"/>
        <v>0.46666666666666673</v>
      </c>
      <c r="K16" s="20">
        <f t="shared" si="7"/>
        <v>0.46666666666666673</v>
      </c>
      <c r="L16" s="20">
        <f t="shared" si="7"/>
        <v>0.46666666666666667</v>
      </c>
      <c r="M16" s="20">
        <f t="shared" si="7"/>
        <v>0.46666666666666667</v>
      </c>
    </row>
    <row r="17" spans="1:14" x14ac:dyDescent="0.35">
      <c r="A17" s="1" t="s">
        <v>3</v>
      </c>
      <c r="D17" s="9"/>
      <c r="I17" s="28"/>
      <c r="J17" s="5"/>
      <c r="K17" s="5"/>
      <c r="L17" s="5"/>
      <c r="M17" s="5"/>
    </row>
    <row r="18" spans="1:14" x14ac:dyDescent="0.35">
      <c r="B18" t="s">
        <v>4</v>
      </c>
      <c r="D18" s="9">
        <v>2</v>
      </c>
      <c r="E18" s="9">
        <v>4</v>
      </c>
      <c r="F18" s="9">
        <v>6</v>
      </c>
      <c r="G18" s="9">
        <v>6</v>
      </c>
      <c r="H18" s="9">
        <v>7</v>
      </c>
      <c r="I18" s="26">
        <v>8</v>
      </c>
      <c r="J18" s="9">
        <v>11</v>
      </c>
      <c r="K18" s="9">
        <v>16</v>
      </c>
      <c r="L18" s="9">
        <v>20</v>
      </c>
      <c r="M18" s="9">
        <v>25</v>
      </c>
    </row>
    <row r="19" spans="1:14" x14ac:dyDescent="0.35">
      <c r="B19" t="s">
        <v>9</v>
      </c>
      <c r="D19" s="9">
        <v>6</v>
      </c>
      <c r="E19" s="9">
        <v>1</v>
      </c>
      <c r="F19" s="9">
        <v>6</v>
      </c>
      <c r="G19" s="9">
        <v>6</v>
      </c>
      <c r="H19" s="9">
        <v>6</v>
      </c>
      <c r="I19" s="26">
        <v>6</v>
      </c>
      <c r="J19" s="9">
        <v>1</v>
      </c>
      <c r="K19" s="9">
        <v>6</v>
      </c>
      <c r="L19" s="9">
        <v>6</v>
      </c>
      <c r="M19" s="9">
        <v>6</v>
      </c>
    </row>
    <row r="20" spans="1:14" x14ac:dyDescent="0.35">
      <c r="B20" t="s">
        <v>5</v>
      </c>
      <c r="D20" s="66">
        <f>-((D39-C39)+(D41-C41))</f>
        <v>0</v>
      </c>
      <c r="E20" s="66">
        <f t="shared" ref="E20:M20" si="8">-((E39-D39)+(E41-D41))</f>
        <v>2</v>
      </c>
      <c r="F20" s="66">
        <f t="shared" si="8"/>
        <v>2</v>
      </c>
      <c r="G20" s="66">
        <f t="shared" si="8"/>
        <v>1</v>
      </c>
      <c r="H20" s="66">
        <f t="shared" si="8"/>
        <v>1</v>
      </c>
      <c r="I20" s="66">
        <f t="shared" si="8"/>
        <v>1</v>
      </c>
      <c r="J20" s="66">
        <f t="shared" si="8"/>
        <v>1</v>
      </c>
      <c r="K20" s="66">
        <f t="shared" si="8"/>
        <v>1</v>
      </c>
      <c r="L20" s="66">
        <f t="shared" si="8"/>
        <v>1</v>
      </c>
      <c r="M20" s="66">
        <f t="shared" si="8"/>
        <v>1</v>
      </c>
    </row>
    <row r="21" spans="1:14" x14ac:dyDescent="0.35">
      <c r="B21" t="s">
        <v>13</v>
      </c>
      <c r="D21" s="9">
        <v>3</v>
      </c>
      <c r="E21" s="9">
        <f t="shared" ref="E21:M21" si="9">SUM(E18:E20)</f>
        <v>7</v>
      </c>
      <c r="F21" s="9">
        <f t="shared" si="9"/>
        <v>14</v>
      </c>
      <c r="G21" s="9">
        <f t="shared" si="9"/>
        <v>13</v>
      </c>
      <c r="H21" s="9">
        <f t="shared" si="9"/>
        <v>14</v>
      </c>
      <c r="I21" s="26">
        <f t="shared" si="9"/>
        <v>15</v>
      </c>
      <c r="J21" s="9">
        <f t="shared" si="9"/>
        <v>13</v>
      </c>
      <c r="K21" s="9">
        <f t="shared" si="9"/>
        <v>23</v>
      </c>
      <c r="L21" s="9">
        <f t="shared" si="9"/>
        <v>27</v>
      </c>
      <c r="M21" s="9">
        <f t="shared" si="9"/>
        <v>32</v>
      </c>
    </row>
    <row r="22" spans="1:14" x14ac:dyDescent="0.35">
      <c r="A22" s="1" t="s">
        <v>94</v>
      </c>
      <c r="D22" s="72">
        <f>D15-D21</f>
        <v>6</v>
      </c>
      <c r="E22" s="72">
        <f t="shared" ref="E22:M22" si="10">E15-E21</f>
        <v>3</v>
      </c>
      <c r="F22" s="72">
        <f t="shared" si="10"/>
        <v>3</v>
      </c>
      <c r="G22" s="72">
        <f t="shared" si="10"/>
        <v>4</v>
      </c>
      <c r="H22" s="72">
        <f t="shared" si="10"/>
        <v>7</v>
      </c>
      <c r="I22" s="72">
        <f t="shared" si="10"/>
        <v>11.160349731925866</v>
      </c>
      <c r="J22" s="72">
        <f t="shared" si="10"/>
        <v>19.588757052222562</v>
      </c>
      <c r="K22" s="72">
        <f t="shared" si="10"/>
        <v>17.596822943567034</v>
      </c>
      <c r="L22" s="72">
        <f t="shared" si="10"/>
        <v>23.572718390894551</v>
      </c>
      <c r="M22" s="72">
        <f t="shared" si="10"/>
        <v>31.000000000000028</v>
      </c>
    </row>
    <row r="23" spans="1:14" x14ac:dyDescent="0.35">
      <c r="A23" s="1" t="s">
        <v>10</v>
      </c>
      <c r="D23" s="9"/>
      <c r="I23" s="28"/>
      <c r="J23" s="5"/>
      <c r="K23" s="5"/>
      <c r="L23" s="5"/>
      <c r="M23" s="5"/>
    </row>
    <row r="24" spans="1:14" x14ac:dyDescent="0.35">
      <c r="B24" t="s">
        <v>7</v>
      </c>
      <c r="D24" s="9">
        <v>2</v>
      </c>
      <c r="E24" s="9">
        <v>2</v>
      </c>
      <c r="F24" s="9">
        <v>2</v>
      </c>
      <c r="G24" s="9">
        <v>2</v>
      </c>
      <c r="H24" s="9">
        <v>2</v>
      </c>
      <c r="I24" s="26">
        <v>2</v>
      </c>
      <c r="J24" s="9">
        <v>2</v>
      </c>
      <c r="K24" s="9">
        <v>2</v>
      </c>
      <c r="L24" s="9">
        <v>2</v>
      </c>
      <c r="M24" s="9">
        <v>2</v>
      </c>
    </row>
    <row r="25" spans="1:14" x14ac:dyDescent="0.35">
      <c r="A25" s="1" t="s">
        <v>14</v>
      </c>
      <c r="D25" s="72">
        <f>D15-D21-D24</f>
        <v>4</v>
      </c>
      <c r="E25" s="72">
        <f t="shared" ref="E25:M25" si="11">E15-E21-E24</f>
        <v>1</v>
      </c>
      <c r="F25" s="72">
        <f t="shared" si="11"/>
        <v>1</v>
      </c>
      <c r="G25" s="72">
        <f t="shared" si="11"/>
        <v>2</v>
      </c>
      <c r="H25" s="72">
        <f t="shared" si="11"/>
        <v>5</v>
      </c>
      <c r="I25" s="73">
        <f t="shared" si="11"/>
        <v>9.1603497319258658</v>
      </c>
      <c r="J25" s="72">
        <f t="shared" si="11"/>
        <v>17.588757052222562</v>
      </c>
      <c r="K25" s="72">
        <f t="shared" si="11"/>
        <v>15.596822943567034</v>
      </c>
      <c r="L25" s="72">
        <f t="shared" si="11"/>
        <v>21.572718390894551</v>
      </c>
      <c r="M25" s="72">
        <f t="shared" si="11"/>
        <v>29.000000000000028</v>
      </c>
      <c r="N25" s="1"/>
    </row>
    <row r="26" spans="1:14" x14ac:dyDescent="0.35">
      <c r="B26" t="s">
        <v>8</v>
      </c>
      <c r="D26" s="66">
        <f>0.3*D25</f>
        <v>1.2</v>
      </c>
      <c r="E26" s="66">
        <f t="shared" ref="E26:M26" si="12">0.3*E25</f>
        <v>0.3</v>
      </c>
      <c r="F26" s="66">
        <f t="shared" si="12"/>
        <v>0.3</v>
      </c>
      <c r="G26" s="66">
        <f t="shared" si="12"/>
        <v>0.6</v>
      </c>
      <c r="H26" s="66">
        <f t="shared" si="12"/>
        <v>1.5</v>
      </c>
      <c r="I26" s="66">
        <f t="shared" si="12"/>
        <v>2.7481049195777598</v>
      </c>
      <c r="J26" s="66">
        <f t="shared" si="12"/>
        <v>5.2766271156667681</v>
      </c>
      <c r="K26" s="66">
        <f t="shared" si="12"/>
        <v>4.67904688307011</v>
      </c>
      <c r="L26" s="66">
        <f t="shared" si="12"/>
        <v>6.4718155172683653</v>
      </c>
      <c r="M26" s="66">
        <f t="shared" si="12"/>
        <v>8.7000000000000082</v>
      </c>
    </row>
    <row r="27" spans="1:14" x14ac:dyDescent="0.35">
      <c r="A27" s="1" t="s">
        <v>6</v>
      </c>
      <c r="D27" s="72">
        <f>D25-D26</f>
        <v>2.8</v>
      </c>
      <c r="E27" s="72">
        <f t="shared" ref="E27:M27" si="13">E25-E26</f>
        <v>0.7</v>
      </c>
      <c r="F27" s="72">
        <f t="shared" si="13"/>
        <v>0.7</v>
      </c>
      <c r="G27" s="72">
        <f t="shared" si="13"/>
        <v>1.4</v>
      </c>
      <c r="H27" s="72">
        <f>H25-H26</f>
        <v>3.5</v>
      </c>
      <c r="I27" s="73">
        <f t="shared" si="13"/>
        <v>6.4122448123481064</v>
      </c>
      <c r="J27" s="72">
        <f t="shared" si="13"/>
        <v>12.312129936555793</v>
      </c>
      <c r="K27" s="72">
        <f t="shared" si="13"/>
        <v>10.917776060496923</v>
      </c>
      <c r="L27" s="72">
        <f t="shared" si="13"/>
        <v>15.100902873626186</v>
      </c>
      <c r="M27" s="72">
        <f t="shared" si="13"/>
        <v>20.300000000000018</v>
      </c>
    </row>
    <row r="28" spans="1:14" x14ac:dyDescent="0.35">
      <c r="D28" s="9"/>
      <c r="E28"/>
      <c r="F28"/>
      <c r="G28"/>
      <c r="H28"/>
    </row>
    <row r="29" spans="1:14" x14ac:dyDescent="0.35">
      <c r="A29" s="34" t="s">
        <v>18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 x14ac:dyDescent="0.35">
      <c r="C30" s="43" t="s">
        <v>59</v>
      </c>
      <c r="D30" s="31">
        <v>2022</v>
      </c>
      <c r="E30" s="31">
        <v>2023</v>
      </c>
      <c r="F30" s="31">
        <v>2024</v>
      </c>
      <c r="G30" s="31">
        <v>2025</v>
      </c>
      <c r="H30" s="31">
        <v>2026</v>
      </c>
      <c r="I30" s="65">
        <v>2027</v>
      </c>
      <c r="J30" s="31">
        <v>2028</v>
      </c>
      <c r="K30" s="31">
        <v>2029</v>
      </c>
      <c r="L30" s="31">
        <v>2030</v>
      </c>
      <c r="M30" s="31">
        <v>2031</v>
      </c>
    </row>
    <row r="31" spans="1:14" x14ac:dyDescent="0.35">
      <c r="A31" s="1" t="s">
        <v>16</v>
      </c>
      <c r="C31" s="22"/>
      <c r="D31" s="32"/>
      <c r="E31" s="32"/>
      <c r="F31" s="32"/>
      <c r="G31" s="32"/>
      <c r="H31" s="32"/>
      <c r="I31" s="50"/>
      <c r="J31" s="32"/>
      <c r="K31" s="32"/>
      <c r="L31" s="32"/>
      <c r="M31" s="32"/>
    </row>
    <row r="32" spans="1:14" x14ac:dyDescent="0.35">
      <c r="B32" t="s">
        <v>19</v>
      </c>
      <c r="C32" s="22">
        <v>15</v>
      </c>
      <c r="D32" s="66">
        <f t="shared" ref="D32:M32" si="14">C32+D85</f>
        <v>20.8</v>
      </c>
      <c r="E32" s="66">
        <f t="shared" si="14"/>
        <v>16.5</v>
      </c>
      <c r="F32" s="66">
        <f t="shared" si="14"/>
        <v>4.1999999999999993</v>
      </c>
      <c r="G32" s="66">
        <f t="shared" si="14"/>
        <v>16.599999999999998</v>
      </c>
      <c r="H32" s="66">
        <f t="shared" si="14"/>
        <v>17.099999999999998</v>
      </c>
      <c r="I32" s="66">
        <f t="shared" si="14"/>
        <v>28.778469528638325</v>
      </c>
      <c r="J32" s="66">
        <f t="shared" si="14"/>
        <v>22.191829282306742</v>
      </c>
      <c r="K32" s="66">
        <f t="shared" si="14"/>
        <v>24.479783713254104</v>
      </c>
      <c r="L32" s="66">
        <f t="shared" si="14"/>
        <v>16.550367356895826</v>
      </c>
      <c r="M32" s="66">
        <f t="shared" si="14"/>
        <v>97.143053683027006</v>
      </c>
    </row>
    <row r="33" spans="1:14" x14ac:dyDescent="0.35">
      <c r="B33" t="s">
        <v>20</v>
      </c>
      <c r="C33" s="22">
        <v>6</v>
      </c>
      <c r="D33" s="5">
        <v>5</v>
      </c>
      <c r="E33" s="5">
        <v>7</v>
      </c>
      <c r="F33" s="5">
        <v>23</v>
      </c>
      <c r="G33" s="5">
        <v>8</v>
      </c>
      <c r="H33" s="5">
        <v>6</v>
      </c>
      <c r="I33" s="25">
        <v>6</v>
      </c>
      <c r="J33" s="19">
        <v>11</v>
      </c>
      <c r="K33" s="19">
        <v>33</v>
      </c>
      <c r="L33" s="19">
        <v>55</v>
      </c>
      <c r="M33" s="19">
        <v>6</v>
      </c>
    </row>
    <row r="34" spans="1:14" x14ac:dyDescent="0.35">
      <c r="B34" t="s">
        <v>33</v>
      </c>
      <c r="C34" s="22">
        <v>7</v>
      </c>
      <c r="D34" s="5">
        <v>7</v>
      </c>
      <c r="E34" s="5">
        <v>7</v>
      </c>
      <c r="F34" s="5">
        <v>5</v>
      </c>
      <c r="G34" s="5">
        <v>7</v>
      </c>
      <c r="H34" s="5">
        <v>9</v>
      </c>
      <c r="I34" s="25">
        <v>7</v>
      </c>
      <c r="J34" s="19">
        <v>22</v>
      </c>
      <c r="K34" s="19">
        <v>7</v>
      </c>
      <c r="L34" s="19">
        <v>7</v>
      </c>
      <c r="M34" s="19">
        <v>7</v>
      </c>
    </row>
    <row r="35" spans="1:14" x14ac:dyDescent="0.35">
      <c r="B35" t="s">
        <v>21</v>
      </c>
      <c r="C35" s="74">
        <v>10</v>
      </c>
      <c r="D35" s="53">
        <v>5</v>
      </c>
      <c r="E35" s="53">
        <v>6</v>
      </c>
      <c r="F35" s="53">
        <v>7</v>
      </c>
      <c r="G35" s="59">
        <v>7</v>
      </c>
      <c r="H35" s="59">
        <v>8</v>
      </c>
      <c r="I35" s="60">
        <f>'Inventory forecast'!C12</f>
        <v>5.7337752837097788</v>
      </c>
      <c r="J35" s="59">
        <f>'Inventory forecast'!D12</f>
        <v>6.6325454665971542</v>
      </c>
      <c r="K35" s="59">
        <f>'Inventory forecast'!E12</f>
        <v>8.2623670961467148</v>
      </c>
      <c r="L35" s="59">
        <f>'Inventory forecast'!F12</f>
        <v>10.292686326131179</v>
      </c>
      <c r="M35" s="59">
        <f>'Inventory forecast'!G12</f>
        <v>0</v>
      </c>
    </row>
    <row r="36" spans="1:14" x14ac:dyDescent="0.35">
      <c r="B36" t="s">
        <v>22</v>
      </c>
      <c r="C36" s="75">
        <f>SUM(C32:C35)</f>
        <v>38</v>
      </c>
      <c r="D36" s="19">
        <f>SUM(D32:D35)</f>
        <v>37.799999999999997</v>
      </c>
      <c r="E36" s="19">
        <f t="shared" ref="E36:M36" si="15">SUM(E32:E35)</f>
        <v>36.5</v>
      </c>
      <c r="F36" s="19">
        <f t="shared" si="15"/>
        <v>39.200000000000003</v>
      </c>
      <c r="G36" s="19">
        <f t="shared" si="15"/>
        <v>38.599999999999994</v>
      </c>
      <c r="H36" s="19">
        <f t="shared" si="15"/>
        <v>40.099999999999994</v>
      </c>
      <c r="I36" s="25">
        <f t="shared" si="15"/>
        <v>47.512244812348101</v>
      </c>
      <c r="J36" s="19">
        <f t="shared" si="15"/>
        <v>61.824374748903892</v>
      </c>
      <c r="K36" s="19">
        <f t="shared" si="15"/>
        <v>72.742150809400826</v>
      </c>
      <c r="L36" s="19">
        <f t="shared" si="15"/>
        <v>88.843053683027009</v>
      </c>
      <c r="M36" s="19">
        <f t="shared" si="15"/>
        <v>110.14305368302701</v>
      </c>
      <c r="N36" s="5"/>
    </row>
    <row r="37" spans="1:14" x14ac:dyDescent="0.35">
      <c r="A37" s="1" t="s">
        <v>17</v>
      </c>
      <c r="C37" s="22"/>
      <c r="D37" s="19"/>
      <c r="E37" s="19"/>
      <c r="F37" s="19"/>
      <c r="G37" s="19"/>
      <c r="H37" s="19"/>
      <c r="I37" s="25"/>
      <c r="J37" s="19"/>
      <c r="K37" s="19"/>
      <c r="L37" s="19"/>
      <c r="M37" s="19"/>
    </row>
    <row r="38" spans="1:14" x14ac:dyDescent="0.35">
      <c r="B38" t="s">
        <v>23</v>
      </c>
      <c r="C38" s="22">
        <v>10</v>
      </c>
      <c r="D38" s="5">
        <v>10</v>
      </c>
      <c r="E38" s="5">
        <v>12</v>
      </c>
      <c r="F38" s="5">
        <v>12</v>
      </c>
      <c r="G38" s="5">
        <v>13</v>
      </c>
      <c r="H38" s="5">
        <v>14</v>
      </c>
      <c r="I38" s="25">
        <v>14</v>
      </c>
      <c r="J38" s="19">
        <v>14</v>
      </c>
      <c r="K38" s="19">
        <v>14</v>
      </c>
      <c r="L38" s="19">
        <v>14</v>
      </c>
      <c r="M38" s="19">
        <v>14</v>
      </c>
      <c r="N38" s="5"/>
    </row>
    <row r="39" spans="1:14" x14ac:dyDescent="0.35">
      <c r="B39" s="2" t="s">
        <v>24</v>
      </c>
      <c r="C39" s="76">
        <v>-2</v>
      </c>
      <c r="D39" s="8">
        <v>-2</v>
      </c>
      <c r="E39" s="8">
        <v>-3</v>
      </c>
      <c r="F39" s="8">
        <v>-4</v>
      </c>
      <c r="G39" s="8">
        <v>-5</v>
      </c>
      <c r="H39" s="8">
        <v>-6</v>
      </c>
      <c r="I39" s="29">
        <v>-7</v>
      </c>
      <c r="J39" s="21">
        <v>-8</v>
      </c>
      <c r="K39" s="21">
        <v>-9</v>
      </c>
      <c r="L39" s="21">
        <v>-10</v>
      </c>
      <c r="M39" s="21">
        <v>-11</v>
      </c>
    </row>
    <row r="40" spans="1:14" x14ac:dyDescent="0.35">
      <c r="B40" t="s">
        <v>25</v>
      </c>
      <c r="C40" s="22">
        <v>4</v>
      </c>
      <c r="D40" s="5">
        <v>4</v>
      </c>
      <c r="E40" s="5">
        <v>4</v>
      </c>
      <c r="F40" s="5">
        <v>4</v>
      </c>
      <c r="G40" s="5">
        <v>4</v>
      </c>
      <c r="H40" s="5">
        <v>4</v>
      </c>
      <c r="I40" s="25">
        <v>4</v>
      </c>
      <c r="J40" s="9">
        <v>4</v>
      </c>
      <c r="K40" s="19">
        <v>4</v>
      </c>
      <c r="L40" s="19">
        <v>4</v>
      </c>
      <c r="M40" s="19">
        <v>4</v>
      </c>
    </row>
    <row r="41" spans="1:14" x14ac:dyDescent="0.35">
      <c r="B41" s="2" t="s">
        <v>26</v>
      </c>
      <c r="C41" s="76">
        <v>-2</v>
      </c>
      <c r="D41" s="8">
        <v>-2</v>
      </c>
      <c r="E41" s="8">
        <v>-3</v>
      </c>
      <c r="F41" s="8">
        <v>-4</v>
      </c>
      <c r="G41" s="8">
        <v>-4</v>
      </c>
      <c r="H41" s="8">
        <v>-4</v>
      </c>
      <c r="I41" s="29">
        <v>-4</v>
      </c>
      <c r="J41" s="21">
        <v>-4</v>
      </c>
      <c r="K41" s="21">
        <v>-4</v>
      </c>
      <c r="L41" s="21">
        <v>-4</v>
      </c>
      <c r="M41" s="21">
        <v>-4</v>
      </c>
    </row>
    <row r="42" spans="1:14" x14ac:dyDescent="0.35">
      <c r="B42" t="s">
        <v>82</v>
      </c>
      <c r="C42" s="77">
        <f>5-C78-C79</f>
        <v>5</v>
      </c>
      <c r="D42" s="61">
        <f t="shared" ref="D42:M42" si="16">C42-D78-D79</f>
        <v>6</v>
      </c>
      <c r="E42" s="61">
        <f t="shared" si="16"/>
        <v>6</v>
      </c>
      <c r="F42" s="61">
        <f t="shared" si="16"/>
        <v>4</v>
      </c>
      <c r="G42" s="61">
        <f t="shared" si="16"/>
        <v>4</v>
      </c>
      <c r="H42" s="61">
        <f t="shared" si="16"/>
        <v>4</v>
      </c>
      <c r="I42" s="62">
        <f t="shared" si="16"/>
        <v>4</v>
      </c>
      <c r="J42" s="63">
        <f t="shared" si="16"/>
        <v>4</v>
      </c>
      <c r="K42" s="63">
        <f t="shared" si="16"/>
        <v>4</v>
      </c>
      <c r="L42" s="63">
        <f t="shared" si="16"/>
        <v>4</v>
      </c>
      <c r="M42" s="63">
        <f t="shared" si="16"/>
        <v>4</v>
      </c>
    </row>
    <row r="43" spans="1:14" x14ac:dyDescent="0.35">
      <c r="B43" t="s">
        <v>37</v>
      </c>
      <c r="C43" s="75">
        <f t="shared" ref="C43:H43" si="17">SUM(C38:C42)</f>
        <v>15</v>
      </c>
      <c r="D43" s="19">
        <f t="shared" si="17"/>
        <v>16</v>
      </c>
      <c r="E43" s="19">
        <f t="shared" si="17"/>
        <v>16</v>
      </c>
      <c r="F43" s="19">
        <f t="shared" si="17"/>
        <v>12</v>
      </c>
      <c r="G43" s="19">
        <f t="shared" si="17"/>
        <v>12</v>
      </c>
      <c r="H43" s="19">
        <f t="shared" si="17"/>
        <v>12</v>
      </c>
      <c r="I43" s="25">
        <f t="shared" ref="I43:M43" si="18">SUM(I38:I42)</f>
        <v>11</v>
      </c>
      <c r="J43" s="19">
        <f t="shared" si="18"/>
        <v>10</v>
      </c>
      <c r="K43" s="19">
        <f t="shared" si="18"/>
        <v>9</v>
      </c>
      <c r="L43" s="19">
        <f t="shared" si="18"/>
        <v>8</v>
      </c>
      <c r="M43" s="19">
        <f t="shared" si="18"/>
        <v>7</v>
      </c>
      <c r="N43" s="5"/>
    </row>
    <row r="44" spans="1:14" x14ac:dyDescent="0.35">
      <c r="A44" s="1" t="s">
        <v>40</v>
      </c>
      <c r="C44" s="75">
        <f t="shared" ref="C44:M44" si="19">SUM(C36,C43)</f>
        <v>53</v>
      </c>
      <c r="D44" s="19">
        <f t="shared" si="19"/>
        <v>53.8</v>
      </c>
      <c r="E44" s="19">
        <f t="shared" si="19"/>
        <v>52.5</v>
      </c>
      <c r="F44" s="19">
        <f t="shared" si="19"/>
        <v>51.2</v>
      </c>
      <c r="G44" s="19">
        <f t="shared" si="19"/>
        <v>50.599999999999994</v>
      </c>
      <c r="H44" s="19">
        <f t="shared" si="19"/>
        <v>52.099999999999994</v>
      </c>
      <c r="I44" s="25">
        <f t="shared" si="19"/>
        <v>58.512244812348101</v>
      </c>
      <c r="J44" s="19">
        <f t="shared" si="19"/>
        <v>71.824374748903892</v>
      </c>
      <c r="K44" s="19">
        <f t="shared" si="19"/>
        <v>81.742150809400826</v>
      </c>
      <c r="L44" s="19">
        <f t="shared" si="19"/>
        <v>96.843053683027009</v>
      </c>
      <c r="M44" s="19">
        <f t="shared" si="19"/>
        <v>117.14305368302701</v>
      </c>
    </row>
    <row r="45" spans="1:14" x14ac:dyDescent="0.35">
      <c r="A45" s="1" t="s">
        <v>27</v>
      </c>
      <c r="C45" s="22"/>
      <c r="D45" s="19"/>
      <c r="E45" s="19"/>
      <c r="F45" s="19"/>
      <c r="G45" s="19"/>
      <c r="H45" s="19"/>
      <c r="I45" s="25"/>
      <c r="J45" s="19"/>
      <c r="K45" s="19"/>
      <c r="L45" s="19"/>
      <c r="M45" s="19"/>
    </row>
    <row r="46" spans="1:14" x14ac:dyDescent="0.35">
      <c r="B46" t="s">
        <v>29</v>
      </c>
      <c r="C46" s="22">
        <v>9</v>
      </c>
      <c r="D46" s="5">
        <v>9</v>
      </c>
      <c r="E46" s="5">
        <v>10</v>
      </c>
      <c r="F46" s="5">
        <v>9</v>
      </c>
      <c r="G46" s="5">
        <v>9</v>
      </c>
      <c r="H46" s="5">
        <v>9</v>
      </c>
      <c r="I46" s="25">
        <v>9</v>
      </c>
      <c r="J46" s="19">
        <v>9</v>
      </c>
      <c r="K46" s="19">
        <v>9</v>
      </c>
      <c r="L46" s="19">
        <v>9</v>
      </c>
      <c r="M46" s="19">
        <v>9</v>
      </c>
    </row>
    <row r="47" spans="1:14" x14ac:dyDescent="0.35">
      <c r="B47" t="s">
        <v>30</v>
      </c>
      <c r="C47" s="78">
        <v>10</v>
      </c>
      <c r="D47" s="55">
        <v>10</v>
      </c>
      <c r="E47" s="55">
        <v>9</v>
      </c>
      <c r="F47" s="55">
        <v>10</v>
      </c>
      <c r="G47" s="55">
        <v>10</v>
      </c>
      <c r="H47" s="55">
        <v>10</v>
      </c>
      <c r="I47" s="60">
        <v>10</v>
      </c>
      <c r="J47" s="59">
        <v>10</v>
      </c>
      <c r="K47" s="59">
        <v>10</v>
      </c>
      <c r="L47" s="59">
        <v>10</v>
      </c>
      <c r="M47" s="59">
        <v>10</v>
      </c>
    </row>
    <row r="48" spans="1:14" x14ac:dyDescent="0.35">
      <c r="B48" t="s">
        <v>38</v>
      </c>
      <c r="C48" s="75">
        <f>SUM(C46:C47)</f>
        <v>19</v>
      </c>
      <c r="D48" s="19">
        <f>SUM(D46:D47)</f>
        <v>19</v>
      </c>
      <c r="E48" s="19">
        <f t="shared" ref="E48:M48" si="20">SUM(E46:E47)</f>
        <v>19</v>
      </c>
      <c r="F48" s="19">
        <f t="shared" si="20"/>
        <v>19</v>
      </c>
      <c r="G48" s="19">
        <f t="shared" si="20"/>
        <v>19</v>
      </c>
      <c r="H48" s="19">
        <f t="shared" si="20"/>
        <v>19</v>
      </c>
      <c r="I48" s="25">
        <f t="shared" si="20"/>
        <v>19</v>
      </c>
      <c r="J48" s="19">
        <f t="shared" si="20"/>
        <v>19</v>
      </c>
      <c r="K48" s="19">
        <f t="shared" si="20"/>
        <v>19</v>
      </c>
      <c r="L48" s="19">
        <f t="shared" si="20"/>
        <v>19</v>
      </c>
      <c r="M48" s="19">
        <f t="shared" si="20"/>
        <v>19</v>
      </c>
      <c r="N48" s="5"/>
    </row>
    <row r="49" spans="1:14" x14ac:dyDescent="0.35">
      <c r="A49" s="1" t="s">
        <v>28</v>
      </c>
      <c r="C49" s="22"/>
      <c r="D49" s="19"/>
      <c r="E49" s="19"/>
      <c r="F49" s="19"/>
      <c r="G49" s="19"/>
      <c r="H49" s="19"/>
      <c r="I49" s="25"/>
      <c r="J49" s="19"/>
      <c r="K49" s="19"/>
      <c r="L49" s="19"/>
      <c r="M49" s="19"/>
    </row>
    <row r="50" spans="1:14" x14ac:dyDescent="0.35">
      <c r="B50" t="s">
        <v>31</v>
      </c>
      <c r="C50" s="22">
        <v>11</v>
      </c>
      <c r="D50" s="5">
        <v>11</v>
      </c>
      <c r="E50" s="5">
        <v>11</v>
      </c>
      <c r="F50" s="5">
        <v>11</v>
      </c>
      <c r="G50" s="5">
        <v>11</v>
      </c>
      <c r="H50" s="5">
        <v>11</v>
      </c>
      <c r="I50" s="28">
        <v>11</v>
      </c>
      <c r="J50" s="5">
        <v>12</v>
      </c>
      <c r="K50" s="5">
        <v>11</v>
      </c>
      <c r="L50" s="5">
        <v>11</v>
      </c>
      <c r="M50" s="5">
        <v>11</v>
      </c>
    </row>
    <row r="51" spans="1:14" x14ac:dyDescent="0.35">
      <c r="B51" t="s">
        <v>32</v>
      </c>
      <c r="C51" s="79">
        <v>12</v>
      </c>
      <c r="D51" s="64">
        <v>12</v>
      </c>
      <c r="E51" s="64">
        <v>12</v>
      </c>
      <c r="F51" s="64">
        <v>12</v>
      </c>
      <c r="G51" s="64">
        <v>12</v>
      </c>
      <c r="H51" s="64">
        <v>12</v>
      </c>
      <c r="I51" s="60">
        <v>12</v>
      </c>
      <c r="J51" s="59">
        <v>12</v>
      </c>
      <c r="K51" s="59">
        <v>12</v>
      </c>
      <c r="L51" s="59">
        <v>12</v>
      </c>
      <c r="M51" s="59">
        <v>12</v>
      </c>
    </row>
    <row r="52" spans="1:14" x14ac:dyDescent="0.35">
      <c r="B52" t="s">
        <v>39</v>
      </c>
      <c r="C52" s="75">
        <f>SUM(C50:C51)</f>
        <v>23</v>
      </c>
      <c r="D52" s="19">
        <f>SUM(D50:D51)</f>
        <v>23</v>
      </c>
      <c r="E52" s="19">
        <f t="shared" ref="E52:M52" si="21">SUM(E50:E51)</f>
        <v>23</v>
      </c>
      <c r="F52" s="19">
        <f t="shared" si="21"/>
        <v>23</v>
      </c>
      <c r="G52" s="19">
        <f t="shared" si="21"/>
        <v>23</v>
      </c>
      <c r="H52" s="19">
        <f t="shared" si="21"/>
        <v>23</v>
      </c>
      <c r="I52" s="25">
        <f t="shared" si="21"/>
        <v>23</v>
      </c>
      <c r="J52" s="19">
        <f t="shared" si="21"/>
        <v>24</v>
      </c>
      <c r="K52" s="19">
        <f t="shared" si="21"/>
        <v>23</v>
      </c>
      <c r="L52" s="19">
        <f t="shared" si="21"/>
        <v>23</v>
      </c>
      <c r="M52" s="19">
        <f t="shared" si="21"/>
        <v>23</v>
      </c>
      <c r="N52" s="5"/>
    </row>
    <row r="53" spans="1:14" x14ac:dyDescent="0.35">
      <c r="A53" s="1" t="s">
        <v>41</v>
      </c>
      <c r="C53" s="75">
        <f>SUM(C48,C52)</f>
        <v>42</v>
      </c>
      <c r="D53" s="19">
        <f>SUM(D48,D52)</f>
        <v>42</v>
      </c>
      <c r="E53" s="19">
        <f t="shared" ref="E53:M53" si="22">SUM(E48,E52)</f>
        <v>42</v>
      </c>
      <c r="F53" s="19">
        <f t="shared" si="22"/>
        <v>42</v>
      </c>
      <c r="G53" s="19">
        <f t="shared" si="22"/>
        <v>42</v>
      </c>
      <c r="H53" s="19">
        <f t="shared" si="22"/>
        <v>42</v>
      </c>
      <c r="I53" s="25">
        <f t="shared" si="22"/>
        <v>42</v>
      </c>
      <c r="J53" s="19">
        <f t="shared" si="22"/>
        <v>43</v>
      </c>
      <c r="K53" s="19">
        <f t="shared" si="22"/>
        <v>42</v>
      </c>
      <c r="L53" s="19">
        <f t="shared" si="22"/>
        <v>42</v>
      </c>
      <c r="M53" s="19">
        <f t="shared" si="22"/>
        <v>42</v>
      </c>
    </row>
    <row r="54" spans="1:14" x14ac:dyDescent="0.35">
      <c r="A54" s="1" t="s">
        <v>36</v>
      </c>
      <c r="C54" s="75">
        <f>C44-C53</f>
        <v>11</v>
      </c>
      <c r="D54" s="19">
        <f>D44-D53</f>
        <v>11.799999999999997</v>
      </c>
      <c r="E54" s="19">
        <f t="shared" ref="E54:M54" si="23">E44-E53</f>
        <v>10.5</v>
      </c>
      <c r="F54" s="19">
        <f t="shared" si="23"/>
        <v>9.2000000000000028</v>
      </c>
      <c r="G54" s="19">
        <f t="shared" si="23"/>
        <v>8.5999999999999943</v>
      </c>
      <c r="H54" s="19">
        <f t="shared" si="23"/>
        <v>10.099999999999994</v>
      </c>
      <c r="I54" s="25">
        <f t="shared" si="23"/>
        <v>16.512244812348101</v>
      </c>
      <c r="J54" s="19">
        <f t="shared" si="23"/>
        <v>28.824374748903892</v>
      </c>
      <c r="K54" s="19">
        <f t="shared" si="23"/>
        <v>39.742150809400826</v>
      </c>
      <c r="L54" s="19">
        <f t="shared" si="23"/>
        <v>54.843053683027009</v>
      </c>
      <c r="M54" s="19">
        <f t="shared" si="23"/>
        <v>75.143053683027006</v>
      </c>
    </row>
    <row r="55" spans="1:14" x14ac:dyDescent="0.35">
      <c r="A55" s="1" t="s">
        <v>35</v>
      </c>
      <c r="C55" s="22"/>
      <c r="D55" s="19"/>
      <c r="E55" s="19"/>
      <c r="F55" s="19"/>
      <c r="G55" s="19"/>
      <c r="H55" s="19"/>
      <c r="I55" s="25"/>
      <c r="J55" s="19"/>
      <c r="K55" s="19"/>
      <c r="L55" s="19"/>
      <c r="M55" s="19"/>
    </row>
    <row r="56" spans="1:14" x14ac:dyDescent="0.35">
      <c r="A56" s="1"/>
      <c r="B56" t="s">
        <v>59</v>
      </c>
      <c r="C56" s="75">
        <f>C44-C53-500</f>
        <v>-489</v>
      </c>
      <c r="D56" s="19"/>
      <c r="E56" s="19"/>
      <c r="F56" s="19"/>
      <c r="G56" s="19"/>
      <c r="H56" s="19"/>
      <c r="I56" s="25"/>
      <c r="J56" s="19"/>
      <c r="K56" s="19"/>
      <c r="L56" s="19"/>
      <c r="M56" s="19"/>
    </row>
    <row r="57" spans="1:14" x14ac:dyDescent="0.35">
      <c r="B57" t="s">
        <v>42</v>
      </c>
      <c r="C57" s="75">
        <v>0</v>
      </c>
      <c r="D57" s="19">
        <f>C56+D27+D82</f>
        <v>-488.2</v>
      </c>
      <c r="E57" s="19">
        <f t="shared" ref="E57:M57" si="24">D57+E27+E82</f>
        <v>-489.5</v>
      </c>
      <c r="F57" s="19">
        <f t="shared" si="24"/>
        <v>-490.8</v>
      </c>
      <c r="G57" s="19">
        <f t="shared" si="24"/>
        <v>-491.40000000000003</v>
      </c>
      <c r="H57" s="19">
        <f t="shared" si="24"/>
        <v>-489.90000000000003</v>
      </c>
      <c r="I57" s="25">
        <f t="shared" si="24"/>
        <v>-483.48775518765194</v>
      </c>
      <c r="J57" s="19">
        <f t="shared" si="24"/>
        <v>-471.17562525109616</v>
      </c>
      <c r="K57" s="19">
        <f t="shared" si="24"/>
        <v>-460.25784919059925</v>
      </c>
      <c r="L57" s="19">
        <f t="shared" si="24"/>
        <v>-445.15694631697306</v>
      </c>
      <c r="M57" s="19">
        <f t="shared" si="24"/>
        <v>-424.85694631697305</v>
      </c>
      <c r="N57" s="5"/>
    </row>
    <row r="58" spans="1:14" x14ac:dyDescent="0.35">
      <c r="B58" t="s">
        <v>43</v>
      </c>
      <c r="C58" s="74">
        <v>500</v>
      </c>
      <c r="D58" s="59">
        <v>500</v>
      </c>
      <c r="E58" s="59">
        <v>500</v>
      </c>
      <c r="F58" s="59">
        <v>500</v>
      </c>
      <c r="G58" s="59">
        <v>500</v>
      </c>
      <c r="H58" s="59">
        <v>500</v>
      </c>
      <c r="I58" s="60">
        <v>500</v>
      </c>
      <c r="J58" s="59">
        <v>500</v>
      </c>
      <c r="K58" s="59">
        <v>500</v>
      </c>
      <c r="L58" s="59">
        <v>500</v>
      </c>
      <c r="M58" s="59">
        <v>500</v>
      </c>
    </row>
    <row r="59" spans="1:14" x14ac:dyDescent="0.35">
      <c r="B59" t="s">
        <v>44</v>
      </c>
      <c r="C59" s="75">
        <f>SUM(C56:C58)</f>
        <v>11</v>
      </c>
      <c r="D59" s="19">
        <f>SUM(D57:D58)</f>
        <v>11.800000000000011</v>
      </c>
      <c r="E59" s="19">
        <f t="shared" ref="E59:M59" si="25">SUM(E57:E58)</f>
        <v>10.5</v>
      </c>
      <c r="F59" s="19">
        <f t="shared" si="25"/>
        <v>9.1999999999999886</v>
      </c>
      <c r="G59" s="19">
        <f t="shared" si="25"/>
        <v>8.5999999999999659</v>
      </c>
      <c r="H59" s="19">
        <f t="shared" si="25"/>
        <v>10.099999999999966</v>
      </c>
      <c r="I59" s="25">
        <f t="shared" si="25"/>
        <v>16.512244812348058</v>
      </c>
      <c r="J59" s="19">
        <f t="shared" si="25"/>
        <v>28.824374748903836</v>
      </c>
      <c r="K59" s="19">
        <f t="shared" si="25"/>
        <v>39.742150809400755</v>
      </c>
      <c r="L59" s="19">
        <f t="shared" si="25"/>
        <v>54.843053683026938</v>
      </c>
      <c r="M59" s="19">
        <f t="shared" si="25"/>
        <v>75.143053683026949</v>
      </c>
    </row>
    <row r="60" spans="1:14" x14ac:dyDescent="0.35">
      <c r="B60" s="3" t="s">
        <v>45</v>
      </c>
      <c r="C60" s="24">
        <f>C54-C59</f>
        <v>0</v>
      </c>
      <c r="D60" s="48">
        <f t="shared" ref="D60:M60" si="26">D54-D59</f>
        <v>-1.4210854715202004E-14</v>
      </c>
      <c r="E60" s="48">
        <f t="shared" si="26"/>
        <v>0</v>
      </c>
      <c r="F60" s="48">
        <f t="shared" si="26"/>
        <v>1.4210854715202004E-14</v>
      </c>
      <c r="G60" s="48">
        <f t="shared" si="26"/>
        <v>2.8421709430404007E-14</v>
      </c>
      <c r="H60" s="48">
        <f t="shared" si="26"/>
        <v>2.8421709430404007E-14</v>
      </c>
      <c r="I60" s="49">
        <f t="shared" si="26"/>
        <v>4.2632564145606011E-14</v>
      </c>
      <c r="J60" s="48">
        <f t="shared" si="26"/>
        <v>5.6843418860808015E-14</v>
      </c>
      <c r="K60" s="48">
        <f t="shared" si="26"/>
        <v>7.1054273576010019E-14</v>
      </c>
      <c r="L60" s="48">
        <f t="shared" si="26"/>
        <v>7.1054273576010019E-14</v>
      </c>
      <c r="M60" s="48">
        <f t="shared" si="26"/>
        <v>0</v>
      </c>
    </row>
    <row r="61" spans="1:14" x14ac:dyDescent="0.35">
      <c r="B61" s="3"/>
      <c r="C61" s="23"/>
      <c r="D61"/>
      <c r="E61"/>
      <c r="F61"/>
      <c r="G61"/>
      <c r="H61"/>
    </row>
    <row r="62" spans="1:14" x14ac:dyDescent="0.35">
      <c r="B62" s="13" t="s">
        <v>60</v>
      </c>
      <c r="C62" s="22">
        <f>C44</f>
        <v>53</v>
      </c>
      <c r="D62" s="22">
        <f>D44</f>
        <v>53.8</v>
      </c>
      <c r="E62" s="22">
        <f t="shared" ref="E62:M62" si="27">E44</f>
        <v>52.5</v>
      </c>
      <c r="F62" s="22">
        <f t="shared" si="27"/>
        <v>51.2</v>
      </c>
      <c r="G62" s="22">
        <f t="shared" si="27"/>
        <v>50.599999999999994</v>
      </c>
      <c r="H62" s="22">
        <f t="shared" si="27"/>
        <v>52.099999999999994</v>
      </c>
      <c r="I62" s="22">
        <f t="shared" si="27"/>
        <v>58.512244812348101</v>
      </c>
      <c r="J62" s="22">
        <f t="shared" si="27"/>
        <v>71.824374748903892</v>
      </c>
      <c r="K62" s="22">
        <f t="shared" si="27"/>
        <v>81.742150809400826</v>
      </c>
      <c r="L62" s="22">
        <f t="shared" si="27"/>
        <v>96.843053683027009</v>
      </c>
      <c r="M62" s="22">
        <f t="shared" si="27"/>
        <v>117.14305368302701</v>
      </c>
    </row>
    <row r="63" spans="1:14" x14ac:dyDescent="0.35">
      <c r="B63" s="13" t="s">
        <v>61</v>
      </c>
      <c r="C63" s="22">
        <f>C53+C59</f>
        <v>53</v>
      </c>
      <c r="D63" s="22">
        <f>D53+D59</f>
        <v>53.800000000000011</v>
      </c>
      <c r="E63" s="22">
        <f t="shared" ref="E63:M63" si="28">E53+E59</f>
        <v>52.5</v>
      </c>
      <c r="F63" s="22">
        <f t="shared" si="28"/>
        <v>51.199999999999989</v>
      </c>
      <c r="G63" s="22">
        <f t="shared" si="28"/>
        <v>50.599999999999966</v>
      </c>
      <c r="H63" s="22">
        <f t="shared" si="28"/>
        <v>52.099999999999966</v>
      </c>
      <c r="I63" s="22">
        <f t="shared" si="28"/>
        <v>58.512244812348058</v>
      </c>
      <c r="J63" s="22">
        <f t="shared" si="28"/>
        <v>71.824374748903836</v>
      </c>
      <c r="K63" s="22">
        <f t="shared" si="28"/>
        <v>81.742150809400755</v>
      </c>
      <c r="L63" s="22">
        <f t="shared" si="28"/>
        <v>96.843053683026938</v>
      </c>
      <c r="M63" s="22">
        <f t="shared" si="28"/>
        <v>117.14305368302695</v>
      </c>
    </row>
    <row r="64" spans="1:14" x14ac:dyDescent="0.35">
      <c r="B64" s="3"/>
      <c r="C64" s="10"/>
      <c r="D64" s="23"/>
    </row>
    <row r="65" spans="1:13" x14ac:dyDescent="0.35">
      <c r="A65" s="34" t="s">
        <v>34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35">
      <c r="C66"/>
      <c r="D66" s="31">
        <v>2022</v>
      </c>
      <c r="E66" s="31">
        <v>2023</v>
      </c>
      <c r="F66" s="31">
        <v>2024</v>
      </c>
      <c r="G66" s="31">
        <v>2025</v>
      </c>
      <c r="H66" s="31">
        <v>2026</v>
      </c>
      <c r="I66" s="65">
        <v>2027</v>
      </c>
      <c r="J66" s="31">
        <v>2028</v>
      </c>
      <c r="K66" s="31">
        <v>2029</v>
      </c>
      <c r="L66" s="31">
        <v>2030</v>
      </c>
      <c r="M66" s="31">
        <v>2031</v>
      </c>
    </row>
    <row r="67" spans="1:13" x14ac:dyDescent="0.35">
      <c r="A67" s="1" t="s">
        <v>55</v>
      </c>
      <c r="D67" s="19"/>
      <c r="I67" s="30"/>
    </row>
    <row r="68" spans="1:13" x14ac:dyDescent="0.35">
      <c r="B68" t="s">
        <v>46</v>
      </c>
      <c r="D68" s="9">
        <f t="shared" ref="D68:M68" si="29">D27</f>
        <v>2.8</v>
      </c>
      <c r="E68" s="9">
        <f t="shared" si="29"/>
        <v>0.7</v>
      </c>
      <c r="F68" s="19">
        <f t="shared" si="29"/>
        <v>0.7</v>
      </c>
      <c r="G68" s="19">
        <f t="shared" si="29"/>
        <v>1.4</v>
      </c>
      <c r="H68" s="19">
        <f t="shared" si="29"/>
        <v>3.5</v>
      </c>
      <c r="I68" s="25">
        <f t="shared" si="29"/>
        <v>6.4122448123481064</v>
      </c>
      <c r="J68" s="19">
        <f t="shared" si="29"/>
        <v>12.312129936555793</v>
      </c>
      <c r="K68" s="19">
        <f t="shared" si="29"/>
        <v>10.917776060496923</v>
      </c>
      <c r="L68" s="19">
        <f t="shared" si="29"/>
        <v>15.100902873626186</v>
      </c>
      <c r="M68" s="19">
        <f t="shared" si="29"/>
        <v>20.300000000000018</v>
      </c>
    </row>
    <row r="69" spans="1:13" x14ac:dyDescent="0.35">
      <c r="B69" t="s">
        <v>5</v>
      </c>
      <c r="D69" s="9">
        <f t="shared" ref="D69:M69" si="30">D20</f>
        <v>0</v>
      </c>
      <c r="E69" s="9">
        <f t="shared" si="30"/>
        <v>2</v>
      </c>
      <c r="F69" s="9">
        <f t="shared" si="30"/>
        <v>2</v>
      </c>
      <c r="G69" s="9">
        <f t="shared" si="30"/>
        <v>1</v>
      </c>
      <c r="H69" s="9">
        <f t="shared" si="30"/>
        <v>1</v>
      </c>
      <c r="I69" s="26">
        <f t="shared" si="30"/>
        <v>1</v>
      </c>
      <c r="J69" s="9">
        <f t="shared" si="30"/>
        <v>1</v>
      </c>
      <c r="K69" s="9">
        <f t="shared" si="30"/>
        <v>1</v>
      </c>
      <c r="L69" s="9">
        <f t="shared" si="30"/>
        <v>1</v>
      </c>
      <c r="M69" s="9">
        <f t="shared" si="30"/>
        <v>1</v>
      </c>
    </row>
    <row r="70" spans="1:13" x14ac:dyDescent="0.35">
      <c r="B70" t="s">
        <v>20</v>
      </c>
      <c r="D70" s="9">
        <f t="shared" ref="D70:M70" si="31">IF(D33-C33&gt;0,-(D33-C33),-(D33-C33))</f>
        <v>1</v>
      </c>
      <c r="E70" s="9">
        <f t="shared" si="31"/>
        <v>-2</v>
      </c>
      <c r="F70" s="9">
        <f t="shared" si="31"/>
        <v>-16</v>
      </c>
      <c r="G70" s="9">
        <f t="shared" si="31"/>
        <v>15</v>
      </c>
      <c r="H70" s="9">
        <f t="shared" si="31"/>
        <v>2</v>
      </c>
      <c r="I70" s="26">
        <f t="shared" si="31"/>
        <v>0</v>
      </c>
      <c r="J70" s="9">
        <f t="shared" si="31"/>
        <v>-5</v>
      </c>
      <c r="K70" s="9">
        <f t="shared" si="31"/>
        <v>-22</v>
      </c>
      <c r="L70" s="9">
        <f t="shared" si="31"/>
        <v>-22</v>
      </c>
      <c r="M70" s="9">
        <f t="shared" si="31"/>
        <v>49</v>
      </c>
    </row>
    <row r="71" spans="1:13" x14ac:dyDescent="0.35">
      <c r="B71" t="s">
        <v>33</v>
      </c>
      <c r="D71" s="9">
        <f>IF(D34-C34&gt;0,-(D34-C34),-(D34-C34))</f>
        <v>0</v>
      </c>
      <c r="E71" s="9">
        <f t="shared" ref="E71:M71" si="32">IF(E34-D34&gt;0,-(E34-D34),-(E34-D34))</f>
        <v>0</v>
      </c>
      <c r="F71" s="9">
        <f t="shared" si="32"/>
        <v>2</v>
      </c>
      <c r="G71" s="9">
        <f t="shared" si="32"/>
        <v>-2</v>
      </c>
      <c r="H71" s="9">
        <f t="shared" si="32"/>
        <v>-2</v>
      </c>
      <c r="I71" s="26">
        <f t="shared" si="32"/>
        <v>2</v>
      </c>
      <c r="J71" s="9">
        <f t="shared" si="32"/>
        <v>-15</v>
      </c>
      <c r="K71" s="9">
        <f t="shared" si="32"/>
        <v>15</v>
      </c>
      <c r="L71" s="9">
        <f t="shared" si="32"/>
        <v>0</v>
      </c>
      <c r="M71" s="9">
        <f t="shared" si="32"/>
        <v>0</v>
      </c>
    </row>
    <row r="72" spans="1:13" x14ac:dyDescent="0.35">
      <c r="B72" t="s">
        <v>29</v>
      </c>
      <c r="D72" s="9">
        <f>IF(D46-C46&gt;0,(D46-C46),(D46-C46))</f>
        <v>0</v>
      </c>
      <c r="E72" s="9">
        <f>IF(E46-D46&gt;0,(E46-D46),(E46-D46))</f>
        <v>1</v>
      </c>
      <c r="F72" s="9">
        <f t="shared" ref="F72:M72" si="33">IF(F46-E46&gt;0,(F46-E46),(F46-E46))</f>
        <v>-1</v>
      </c>
      <c r="G72" s="9">
        <f t="shared" si="33"/>
        <v>0</v>
      </c>
      <c r="H72" s="9">
        <f t="shared" si="33"/>
        <v>0</v>
      </c>
      <c r="I72" s="26">
        <f t="shared" si="33"/>
        <v>0</v>
      </c>
      <c r="J72" s="9">
        <f t="shared" si="33"/>
        <v>0</v>
      </c>
      <c r="K72" s="9">
        <f t="shared" si="33"/>
        <v>0</v>
      </c>
      <c r="L72" s="9">
        <f t="shared" si="33"/>
        <v>0</v>
      </c>
      <c r="M72" s="9">
        <f t="shared" si="33"/>
        <v>0</v>
      </c>
    </row>
    <row r="73" spans="1:13" x14ac:dyDescent="0.35">
      <c r="B73" t="s">
        <v>30</v>
      </c>
      <c r="D73" s="9">
        <f>IF(D47-C47&gt;0,(D47-C47),(D47-C47))</f>
        <v>0</v>
      </c>
      <c r="E73" s="9">
        <f t="shared" ref="E73:M73" si="34">IF(E47-D47&gt;0,(E47-D47),(E47-D47))</f>
        <v>-1</v>
      </c>
      <c r="F73" s="9">
        <f t="shared" si="34"/>
        <v>1</v>
      </c>
      <c r="G73" s="9">
        <f t="shared" si="34"/>
        <v>0</v>
      </c>
      <c r="H73" s="9">
        <f t="shared" si="34"/>
        <v>0</v>
      </c>
      <c r="I73" s="26">
        <f t="shared" si="34"/>
        <v>0</v>
      </c>
      <c r="J73" s="9">
        <f t="shared" si="34"/>
        <v>0</v>
      </c>
      <c r="K73" s="9">
        <f t="shared" si="34"/>
        <v>0</v>
      </c>
      <c r="L73" s="9">
        <f t="shared" si="34"/>
        <v>0</v>
      </c>
      <c r="M73" s="9">
        <f t="shared" si="34"/>
        <v>0</v>
      </c>
    </row>
    <row r="74" spans="1:13" x14ac:dyDescent="0.35">
      <c r="B74" t="s">
        <v>47</v>
      </c>
      <c r="D74" s="53">
        <f t="shared" ref="D74:M74" si="35">IF(D35-C35&gt;0,-(D35-C35),-(D35-C35))</f>
        <v>5</v>
      </c>
      <c r="E74" s="53">
        <f t="shared" si="35"/>
        <v>-1</v>
      </c>
      <c r="F74" s="53">
        <f t="shared" si="35"/>
        <v>-1</v>
      </c>
      <c r="G74" s="53">
        <f t="shared" si="35"/>
        <v>0</v>
      </c>
      <c r="H74" s="53">
        <f t="shared" si="35"/>
        <v>-1</v>
      </c>
      <c r="I74" s="54">
        <f t="shared" si="35"/>
        <v>2.2662247162902212</v>
      </c>
      <c r="J74" s="53">
        <f t="shared" si="35"/>
        <v>-0.89877018288737531</v>
      </c>
      <c r="K74" s="53">
        <f t="shared" si="35"/>
        <v>-1.6298216295495607</v>
      </c>
      <c r="L74" s="53">
        <f t="shared" si="35"/>
        <v>-2.0303192299844639</v>
      </c>
      <c r="M74" s="53">
        <f t="shared" si="35"/>
        <v>10.292686326131179</v>
      </c>
    </row>
    <row r="75" spans="1:13" x14ac:dyDescent="0.35">
      <c r="B75" t="s">
        <v>48</v>
      </c>
      <c r="D75" s="9">
        <f t="shared" ref="D75:M75" si="36">SUM(D68:D74)</f>
        <v>8.8000000000000007</v>
      </c>
      <c r="E75" s="9">
        <f t="shared" si="36"/>
        <v>-0.29999999999999982</v>
      </c>
      <c r="F75" s="19">
        <f t="shared" si="36"/>
        <v>-12.3</v>
      </c>
      <c r="G75" s="19">
        <f t="shared" si="36"/>
        <v>15.399999999999999</v>
      </c>
      <c r="H75" s="19">
        <f t="shared" si="36"/>
        <v>3.5</v>
      </c>
      <c r="I75" s="25">
        <f t="shared" si="36"/>
        <v>11.678469528638328</v>
      </c>
      <c r="J75" s="19">
        <f t="shared" si="36"/>
        <v>-7.5866402463315818</v>
      </c>
      <c r="K75" s="19">
        <f t="shared" si="36"/>
        <v>3.2879544309473623</v>
      </c>
      <c r="L75" s="19">
        <f t="shared" si="36"/>
        <v>-7.9294163563582778</v>
      </c>
      <c r="M75" s="19">
        <f t="shared" si="36"/>
        <v>80.592686326131187</v>
      </c>
    </row>
    <row r="76" spans="1:13" x14ac:dyDescent="0.35">
      <c r="A76" s="1" t="s">
        <v>56</v>
      </c>
      <c r="D76" s="9"/>
      <c r="I76" s="30"/>
    </row>
    <row r="77" spans="1:13" x14ac:dyDescent="0.35">
      <c r="B77" t="s">
        <v>49</v>
      </c>
      <c r="D77" s="9">
        <f t="shared" ref="D77:M77" si="37">-(D38-C38)-(D40-C40)</f>
        <v>0</v>
      </c>
      <c r="E77" s="9">
        <f t="shared" si="37"/>
        <v>-2</v>
      </c>
      <c r="F77" s="9">
        <f t="shared" si="37"/>
        <v>0</v>
      </c>
      <c r="G77" s="9">
        <f t="shared" si="37"/>
        <v>-1</v>
      </c>
      <c r="H77" s="9">
        <f t="shared" si="37"/>
        <v>-1</v>
      </c>
      <c r="I77" s="26">
        <f t="shared" si="37"/>
        <v>0</v>
      </c>
      <c r="J77" s="9">
        <f t="shared" si="37"/>
        <v>0</v>
      </c>
      <c r="K77" s="9">
        <f t="shared" si="37"/>
        <v>0</v>
      </c>
      <c r="L77" s="9">
        <f t="shared" si="37"/>
        <v>0</v>
      </c>
      <c r="M77" s="9">
        <f t="shared" si="37"/>
        <v>0</v>
      </c>
    </row>
    <row r="78" spans="1:13" x14ac:dyDescent="0.35">
      <c r="B78" t="s">
        <v>50</v>
      </c>
      <c r="D78" s="5">
        <v>1</v>
      </c>
      <c r="E78" s="5">
        <v>1</v>
      </c>
      <c r="F78" s="5">
        <v>2</v>
      </c>
      <c r="G78" s="5">
        <v>1</v>
      </c>
      <c r="H78" s="5">
        <v>1</v>
      </c>
      <c r="I78" s="28">
        <v>1</v>
      </c>
      <c r="J78" s="5">
        <v>1</v>
      </c>
      <c r="K78" s="5">
        <v>1</v>
      </c>
      <c r="L78" s="5">
        <v>1</v>
      </c>
      <c r="M78" s="5">
        <v>1</v>
      </c>
    </row>
    <row r="79" spans="1:13" x14ac:dyDescent="0.35">
      <c r="B79" t="s">
        <v>51</v>
      </c>
      <c r="D79" s="55">
        <v>-2</v>
      </c>
      <c r="E79" s="55">
        <v>-1</v>
      </c>
      <c r="F79" s="55">
        <v>0</v>
      </c>
      <c r="G79" s="55">
        <v>-1</v>
      </c>
      <c r="H79" s="55">
        <v>-1</v>
      </c>
      <c r="I79" s="56">
        <v>-1</v>
      </c>
      <c r="J79" s="55">
        <v>-1</v>
      </c>
      <c r="K79" s="55">
        <v>-1</v>
      </c>
      <c r="L79" s="55">
        <v>-1</v>
      </c>
      <c r="M79" s="55">
        <v>-1</v>
      </c>
    </row>
    <row r="80" spans="1:13" x14ac:dyDescent="0.35">
      <c r="B80" t="s">
        <v>52</v>
      </c>
      <c r="D80" s="9">
        <f>SUM(D77:D79)</f>
        <v>-1</v>
      </c>
      <c r="E80" s="9">
        <f t="shared" ref="E80:M80" si="38">SUM(E77:E79)</f>
        <v>-2</v>
      </c>
      <c r="F80" s="9">
        <f t="shared" si="38"/>
        <v>2</v>
      </c>
      <c r="G80" s="9">
        <f t="shared" si="38"/>
        <v>-1</v>
      </c>
      <c r="H80" s="9">
        <f t="shared" si="38"/>
        <v>-1</v>
      </c>
      <c r="I80" s="26">
        <f t="shared" si="38"/>
        <v>0</v>
      </c>
      <c r="J80" s="9">
        <f t="shared" si="38"/>
        <v>0</v>
      </c>
      <c r="K80" s="9">
        <f t="shared" si="38"/>
        <v>0</v>
      </c>
      <c r="L80" s="9">
        <f t="shared" si="38"/>
        <v>0</v>
      </c>
      <c r="M80" s="9">
        <f t="shared" si="38"/>
        <v>0</v>
      </c>
    </row>
    <row r="81" spans="1:13" x14ac:dyDescent="0.35">
      <c r="A81" s="1" t="s">
        <v>57</v>
      </c>
      <c r="D81" s="9"/>
      <c r="I81" s="30"/>
    </row>
    <row r="82" spans="1:13" x14ac:dyDescent="0.35">
      <c r="B82" t="s">
        <v>53</v>
      </c>
      <c r="D82" s="9">
        <v>-2</v>
      </c>
      <c r="E82" s="9">
        <v>-2</v>
      </c>
      <c r="F82" s="9">
        <v>-2</v>
      </c>
      <c r="G82" s="9">
        <v>-2</v>
      </c>
      <c r="H82" s="9">
        <v>-2</v>
      </c>
      <c r="I82" s="26">
        <v>0</v>
      </c>
      <c r="J82" s="9">
        <v>0</v>
      </c>
      <c r="K82" s="9">
        <v>0</v>
      </c>
      <c r="L82" s="9">
        <v>0</v>
      </c>
      <c r="M82" s="9">
        <v>0</v>
      </c>
    </row>
    <row r="83" spans="1:13" x14ac:dyDescent="0.35">
      <c r="B83" t="s">
        <v>83</v>
      </c>
      <c r="D83" s="53">
        <f t="shared" ref="D83:M83" si="39">IF(D50-C50&gt;0,(D50-C50),(D50-C50))</f>
        <v>0</v>
      </c>
      <c r="E83" s="53">
        <f t="shared" si="39"/>
        <v>0</v>
      </c>
      <c r="F83" s="53">
        <f t="shared" si="39"/>
        <v>0</v>
      </c>
      <c r="G83" s="53">
        <f t="shared" si="39"/>
        <v>0</v>
      </c>
      <c r="H83" s="53">
        <f t="shared" si="39"/>
        <v>0</v>
      </c>
      <c r="I83" s="54">
        <f t="shared" si="39"/>
        <v>0</v>
      </c>
      <c r="J83" s="53">
        <f t="shared" si="39"/>
        <v>1</v>
      </c>
      <c r="K83" s="53">
        <f t="shared" si="39"/>
        <v>-1</v>
      </c>
      <c r="L83" s="53">
        <f t="shared" si="39"/>
        <v>0</v>
      </c>
      <c r="M83" s="53">
        <f t="shared" si="39"/>
        <v>0</v>
      </c>
    </row>
    <row r="84" spans="1:13" x14ac:dyDescent="0.35">
      <c r="B84" t="s">
        <v>54</v>
      </c>
      <c r="D84" s="9">
        <f>SUM(D82:D83)</f>
        <v>-2</v>
      </c>
      <c r="E84" s="9">
        <f t="shared" ref="E84:M84" si="40">SUM(E82:E83)</f>
        <v>-2</v>
      </c>
      <c r="F84" s="9">
        <f t="shared" si="40"/>
        <v>-2</v>
      </c>
      <c r="G84" s="9">
        <f t="shared" si="40"/>
        <v>-2</v>
      </c>
      <c r="H84" s="9">
        <f t="shared" si="40"/>
        <v>-2</v>
      </c>
      <c r="I84" s="26">
        <f t="shared" si="40"/>
        <v>0</v>
      </c>
      <c r="J84" s="9">
        <f t="shared" si="40"/>
        <v>1</v>
      </c>
      <c r="K84" s="9">
        <f t="shared" si="40"/>
        <v>-1</v>
      </c>
      <c r="L84" s="9">
        <f t="shared" si="40"/>
        <v>0</v>
      </c>
      <c r="M84" s="9">
        <f t="shared" si="40"/>
        <v>0</v>
      </c>
    </row>
    <row r="85" spans="1:13" x14ac:dyDescent="0.35">
      <c r="A85" s="1" t="s">
        <v>58</v>
      </c>
      <c r="D85" s="9">
        <f t="shared" ref="D85:M85" si="41">SUM(D75,D80,D84)</f>
        <v>5.8000000000000007</v>
      </c>
      <c r="E85" s="19">
        <f t="shared" si="41"/>
        <v>-4.3</v>
      </c>
      <c r="F85" s="19">
        <f t="shared" si="41"/>
        <v>-12.3</v>
      </c>
      <c r="G85" s="19">
        <f t="shared" si="41"/>
        <v>12.399999999999999</v>
      </c>
      <c r="H85" s="19">
        <f t="shared" si="41"/>
        <v>0.5</v>
      </c>
      <c r="I85" s="25">
        <f t="shared" si="41"/>
        <v>11.678469528638328</v>
      </c>
      <c r="J85" s="19">
        <f t="shared" si="41"/>
        <v>-6.5866402463315818</v>
      </c>
      <c r="K85" s="19">
        <f t="shared" si="41"/>
        <v>2.2879544309473623</v>
      </c>
      <c r="L85" s="19">
        <f t="shared" si="41"/>
        <v>-7.9294163563582778</v>
      </c>
      <c r="M85" s="19">
        <f t="shared" si="41"/>
        <v>80.592686326131187</v>
      </c>
    </row>
    <row r="86" spans="1:13" ht="15" thickBot="1" x14ac:dyDescent="0.4">
      <c r="A86" s="1" t="s">
        <v>62</v>
      </c>
      <c r="D86" s="57">
        <f t="shared" ref="D86:M86" si="42">C32+D85</f>
        <v>20.8</v>
      </c>
      <c r="E86" s="57">
        <f t="shared" si="42"/>
        <v>16.5</v>
      </c>
      <c r="F86" s="57">
        <f t="shared" si="42"/>
        <v>4.1999999999999993</v>
      </c>
      <c r="G86" s="57">
        <f t="shared" si="42"/>
        <v>16.599999999999998</v>
      </c>
      <c r="H86" s="57">
        <f t="shared" si="42"/>
        <v>17.099999999999998</v>
      </c>
      <c r="I86" s="58">
        <f t="shared" si="42"/>
        <v>28.778469528638325</v>
      </c>
      <c r="J86" s="57">
        <f t="shared" si="42"/>
        <v>22.191829282306742</v>
      </c>
      <c r="K86" s="57">
        <f t="shared" si="42"/>
        <v>24.479783713254104</v>
      </c>
      <c r="L86" s="57">
        <f t="shared" si="42"/>
        <v>16.550367356895826</v>
      </c>
      <c r="M86" s="57">
        <f t="shared" si="42"/>
        <v>97.143053683027006</v>
      </c>
    </row>
    <row r="87" spans="1:13" ht="15" thickTop="1" x14ac:dyDescent="0.35">
      <c r="B87" s="3"/>
      <c r="D87" s="11"/>
      <c r="E87" s="11"/>
      <c r="F87" s="11"/>
      <c r="G87" s="11"/>
      <c r="H87" s="11"/>
      <c r="I87" s="11"/>
      <c r="J87" s="11"/>
      <c r="K87" s="11"/>
      <c r="L87" s="11"/>
      <c r="M87" s="11"/>
    </row>
  </sheetData>
  <mergeCells count="1">
    <mergeCell ref="I10:M10"/>
  </mergeCells>
  <pageMargins left="0.7" right="0.7" top="0.75" bottom="0.75" header="0.3" footer="0.3"/>
  <pageSetup orientation="portrait" r:id="rId1"/>
  <ignoredErrors>
    <ignoredError sqref="D72 E72:M72" formula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D17D2A79-2B2D-479F-B602-3916218E46A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'3-statement model'!D26:M26</xm:f>
              <xm:sqref>N26</xm:sqref>
            </x14:sparkline>
          </x14:sparklines>
        </x14:sparklineGroup>
        <x14:sparklineGroup displayEmptyCellsAs="gap" xr2:uid="{26509845-9AAF-4DF6-89EC-8ADEA553356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'3-statement model'!D24:M24</xm:f>
              <xm:sqref>N24</xm:sqref>
            </x14:sparkline>
          </x14:sparklines>
        </x14:sparklineGroup>
        <x14:sparklineGroup displayEmptyCellsAs="gap" xr2:uid="{1B7BA970-9944-4D9B-B9D3-BF33BF8389E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'3-statement model'!D20:M20</xm:f>
              <xm:sqref>N20</xm:sqref>
            </x14:sparkline>
            <x14:sparkline>
              <xm:f>'3-statement model'!D19:M19</xm:f>
              <xm:sqref>N19</xm:sqref>
            </x14:sparkline>
            <x14:sparkline>
              <xm:f>'3-statement model'!D18:M18</xm:f>
              <xm:sqref>N18</xm:sqref>
            </x14:sparkline>
          </x14:sparklines>
        </x14:sparklineGroup>
        <x14:sparklineGroup displayEmptyCellsAs="gap" xr2:uid="{A0ECE2E3-18B3-4BD0-A553-1635FD5869F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'3-statement model'!D15:M15</xm:f>
              <xm:sqref>N15</xm:sqref>
            </x14:sparkline>
            <x14:sparkline>
              <xm:f>'3-statement model'!D14:M14</xm:f>
              <xm:sqref>N14</xm:sqref>
            </x14:sparkline>
            <x14:sparkline>
              <xm:f>'3-statement model'!D13:M13</xm:f>
              <xm:sqref>N13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B5DE-CAA9-4699-B4F1-EEA3878EABE2}">
  <dimension ref="A1:G25"/>
  <sheetViews>
    <sheetView showGridLines="0" zoomScale="90" zoomScaleNormal="90" workbookViewId="0">
      <selection activeCell="J4" sqref="J4"/>
    </sheetView>
  </sheetViews>
  <sheetFormatPr defaultRowHeight="14.5" x14ac:dyDescent="0.35"/>
  <cols>
    <col min="3" max="5" width="18" style="16" customWidth="1"/>
    <col min="6" max="6" width="2.36328125" customWidth="1"/>
    <col min="7" max="7" width="17.1796875" customWidth="1"/>
  </cols>
  <sheetData>
    <row r="1" spans="1:7" ht="18.5" x14ac:dyDescent="0.45">
      <c r="A1" s="69" t="s">
        <v>72</v>
      </c>
    </row>
    <row r="3" spans="1:7" x14ac:dyDescent="0.35">
      <c r="A3" s="47" t="s">
        <v>84</v>
      </c>
      <c r="B3" s="47" t="s">
        <v>71</v>
      </c>
      <c r="C3" s="47" t="s">
        <v>65</v>
      </c>
      <c r="D3" s="47" t="s">
        <v>66</v>
      </c>
      <c r="E3" s="47" t="s">
        <v>67</v>
      </c>
      <c r="G3" s="47" t="s">
        <v>85</v>
      </c>
    </row>
    <row r="4" spans="1:7" x14ac:dyDescent="0.35">
      <c r="C4" s="17" t="s">
        <v>68</v>
      </c>
      <c r="D4" s="17" t="s">
        <v>70</v>
      </c>
      <c r="E4" s="17" t="s">
        <v>69</v>
      </c>
    </row>
    <row r="5" spans="1:7" ht="5.5" customHeight="1" x14ac:dyDescent="0.35">
      <c r="C5" s="17"/>
      <c r="D5" s="17"/>
      <c r="E5" s="17"/>
    </row>
    <row r="6" spans="1:7" x14ac:dyDescent="0.35">
      <c r="A6">
        <f>'3-statement model'!H9</f>
        <v>2026</v>
      </c>
      <c r="B6" s="14">
        <f>'3-statement model'!H27/'3-statement model'!H59</f>
        <v>0.34653465346534773</v>
      </c>
      <c r="C6" s="18">
        <f>'3-statement model'!H27/'3-statement model'!H13</f>
        <v>7.7777777777777779E-2</v>
      </c>
      <c r="D6" s="18">
        <f>'3-statement model'!H13/'3-statement model'!H44</f>
        <v>0.86372360844529761</v>
      </c>
      <c r="E6" s="18">
        <f>'3-statement model'!H44/'3-statement model'!H59</f>
        <v>5.1584158415841754</v>
      </c>
      <c r="G6" s="70">
        <f>PRODUCT(C6,D6,E6)</f>
        <v>0.34653465346534773</v>
      </c>
    </row>
    <row r="7" spans="1:7" x14ac:dyDescent="0.35">
      <c r="A7">
        <f>A6-1</f>
        <v>2025</v>
      </c>
      <c r="B7" s="14">
        <f>'3-statement model'!G27/'3-statement model'!G59</f>
        <v>0.16279069767441923</v>
      </c>
      <c r="C7" s="18">
        <f>'3-statement model'!G27/'3-statement model'!G13</f>
        <v>3.6842105263157891E-2</v>
      </c>
      <c r="D7" s="18">
        <f>'3-statement model'!G13/'3-statement model'!G44</f>
        <v>0.75098814229249022</v>
      </c>
      <c r="E7" s="18">
        <f>'3-statement model'!G44/'3-statement model'!G59</f>
        <v>5.883720930232581</v>
      </c>
      <c r="G7" s="70">
        <f>PRODUCT(C7,D7,E7)</f>
        <v>0.16279069767441923</v>
      </c>
    </row>
    <row r="8" spans="1:7" x14ac:dyDescent="0.35">
      <c r="B8" s="14"/>
      <c r="C8" s="18"/>
      <c r="D8" s="18"/>
      <c r="E8" s="18"/>
    </row>
    <row r="9" spans="1:7" ht="18.5" x14ac:dyDescent="0.45">
      <c r="A9" s="69" t="s">
        <v>81</v>
      </c>
    </row>
    <row r="10" spans="1:7" x14ac:dyDescent="0.35">
      <c r="G10" s="46">
        <v>2026</v>
      </c>
    </row>
    <row r="11" spans="1:7" x14ac:dyDescent="0.35">
      <c r="A11" t="s">
        <v>86</v>
      </c>
      <c r="G11" s="42">
        <f>'3-statement model'!H15/'3-statement model'!H13</f>
        <v>0.46666666666666667</v>
      </c>
    </row>
    <row r="12" spans="1:7" x14ac:dyDescent="0.35">
      <c r="G12" s="15"/>
    </row>
    <row r="13" spans="1:7" x14ac:dyDescent="0.35">
      <c r="A13" t="s">
        <v>87</v>
      </c>
      <c r="G13" s="80">
        <f>'3-statement model'!H14/'3-statement model'!H35</f>
        <v>3</v>
      </c>
    </row>
    <row r="14" spans="1:7" x14ac:dyDescent="0.35">
      <c r="A14" t="s">
        <v>101</v>
      </c>
      <c r="G14" s="80">
        <f>365/G13</f>
        <v>121.66666666666667</v>
      </c>
    </row>
    <row r="15" spans="1:7" x14ac:dyDescent="0.35">
      <c r="G15" s="80"/>
    </row>
    <row r="16" spans="1:7" x14ac:dyDescent="0.35">
      <c r="A16" t="s">
        <v>88</v>
      </c>
      <c r="G16" s="80">
        <f>'3-statement model'!H13/'3-statement model'!H33</f>
        <v>7.5</v>
      </c>
    </row>
    <row r="17" spans="1:7" x14ac:dyDescent="0.35">
      <c r="A17" t="s">
        <v>89</v>
      </c>
      <c r="G17" s="80">
        <f>365/G16</f>
        <v>48.666666666666664</v>
      </c>
    </row>
    <row r="18" spans="1:7" x14ac:dyDescent="0.35">
      <c r="G18" s="80"/>
    </row>
    <row r="19" spans="1:7" x14ac:dyDescent="0.35">
      <c r="A19" t="s">
        <v>90</v>
      </c>
      <c r="G19" s="80">
        <f>G14+G16</f>
        <v>129.16666666666669</v>
      </c>
    </row>
    <row r="20" spans="1:7" x14ac:dyDescent="0.35">
      <c r="G20" s="80"/>
    </row>
    <row r="21" spans="1:7" x14ac:dyDescent="0.35">
      <c r="A21" t="s">
        <v>91</v>
      </c>
      <c r="G21" s="80">
        <f>'3-statement model'!H36/'3-statement model'!H48</f>
        <v>2.1105263157894734</v>
      </c>
    </row>
    <row r="22" spans="1:7" x14ac:dyDescent="0.35">
      <c r="A22" t="s">
        <v>92</v>
      </c>
      <c r="G22" s="80">
        <f>'3-statement model'!H44/'3-statement model'!H59</f>
        <v>5.1584158415841754</v>
      </c>
    </row>
    <row r="23" spans="1:7" x14ac:dyDescent="0.35">
      <c r="A23" t="s">
        <v>93</v>
      </c>
      <c r="G23" s="80">
        <f>'3-statement model'!H53/'3-statement model'!H44</f>
        <v>0.8061420345489444</v>
      </c>
    </row>
    <row r="24" spans="1:7" x14ac:dyDescent="0.35">
      <c r="A24" t="s">
        <v>96</v>
      </c>
      <c r="G24" s="80">
        <f>'3-statement model'!H53/'3-statement model'!H58</f>
        <v>8.4000000000000005E-2</v>
      </c>
    </row>
    <row r="25" spans="1:7" x14ac:dyDescent="0.35">
      <c r="A25" t="s">
        <v>95</v>
      </c>
      <c r="G25" s="80">
        <f>'3-statement model'!H22/'3-statement model'!H24</f>
        <v>3.5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AAF5-303E-4E28-86EA-352ECB56BE74}">
  <dimension ref="A1:G16"/>
  <sheetViews>
    <sheetView showGridLines="0" zoomScale="90" zoomScaleNormal="90" workbookViewId="0">
      <selection activeCell="C36" sqref="C36"/>
    </sheetView>
  </sheetViews>
  <sheetFormatPr defaultRowHeight="14.5" x14ac:dyDescent="0.35"/>
  <cols>
    <col min="1" max="1" width="22.26953125" style="16" bestFit="1" customWidth="1"/>
    <col min="2" max="3" width="14.54296875" style="16" customWidth="1"/>
    <col min="4" max="6" width="14.54296875" customWidth="1"/>
  </cols>
  <sheetData>
    <row r="1" spans="1:7" ht="18.5" x14ac:dyDescent="0.45">
      <c r="A1" s="81" t="s">
        <v>102</v>
      </c>
    </row>
    <row r="2" spans="1:7" ht="18.5" x14ac:dyDescent="0.45">
      <c r="A2" s="81"/>
    </row>
    <row r="3" spans="1:7" x14ac:dyDescent="0.35">
      <c r="A3" s="16" t="s">
        <v>79</v>
      </c>
      <c r="B3" s="71">
        <f>'3-statement model'!I11</f>
        <v>0.2457309396155174</v>
      </c>
    </row>
    <row r="5" spans="1:7" x14ac:dyDescent="0.35">
      <c r="B5" s="37" t="s">
        <v>77</v>
      </c>
      <c r="C5" s="38" t="s">
        <v>78</v>
      </c>
      <c r="D5" s="37" t="s">
        <v>78</v>
      </c>
      <c r="E5" s="37" t="s">
        <v>78</v>
      </c>
      <c r="F5" s="37" t="s">
        <v>78</v>
      </c>
    </row>
    <row r="6" spans="1:7" x14ac:dyDescent="0.35">
      <c r="B6" s="16">
        <f>'3-statement model'!H9</f>
        <v>2026</v>
      </c>
      <c r="C6" s="35">
        <f>'3-statement model'!I9</f>
        <v>2027</v>
      </c>
      <c r="D6" s="16">
        <f>'3-statement model'!J9</f>
        <v>2028</v>
      </c>
      <c r="E6" s="16">
        <f>'3-statement model'!K9</f>
        <v>2029</v>
      </c>
      <c r="F6" s="16">
        <f>'3-statement model'!L9</f>
        <v>2030</v>
      </c>
    </row>
    <row r="7" spans="1:7" x14ac:dyDescent="0.35">
      <c r="C7" s="35"/>
      <c r="D7" s="16"/>
      <c r="E7" s="16"/>
      <c r="F7" s="16"/>
    </row>
    <row r="8" spans="1:7" x14ac:dyDescent="0.35">
      <c r="A8" t="s">
        <v>73</v>
      </c>
      <c r="B8" s="5">
        <f>'3-statement model'!H13</f>
        <v>45</v>
      </c>
      <c r="C8" s="28">
        <f>B8*(1+$B$3)</f>
        <v>56.057892282698283</v>
      </c>
      <c r="D8" s="5">
        <f t="shared" ref="D8:F8" si="0">C8*(1+$B$3)</f>
        <v>69.833050826191197</v>
      </c>
      <c r="E8" s="5">
        <f t="shared" si="0"/>
        <v>86.993192021929346</v>
      </c>
      <c r="F8" s="5">
        <f t="shared" si="0"/>
        <v>108.37011083763117</v>
      </c>
    </row>
    <row r="9" spans="1:7" x14ac:dyDescent="0.35">
      <c r="A9" t="s">
        <v>74</v>
      </c>
      <c r="B9" s="5">
        <f>'3-statement model'!H14</f>
        <v>24</v>
      </c>
      <c r="C9" s="28">
        <f>(B9/B8)*C8</f>
        <v>29.897542550772418</v>
      </c>
      <c r="D9" s="5">
        <f t="shared" ref="D9:F9" si="1">(C9/C8)*D8</f>
        <v>37.244293773968636</v>
      </c>
      <c r="E9" s="5">
        <f t="shared" si="1"/>
        <v>46.396369078362319</v>
      </c>
      <c r="F9" s="5">
        <f t="shared" si="1"/>
        <v>57.797392446736623</v>
      </c>
    </row>
    <row r="10" spans="1:7" x14ac:dyDescent="0.35">
      <c r="A10" t="s">
        <v>75</v>
      </c>
      <c r="B10" s="82">
        <f>B9/365</f>
        <v>6.575342465753424E-2</v>
      </c>
      <c r="C10" s="83">
        <f t="shared" ref="C10:F10" si="2">C9/365</f>
        <v>8.1911075481568271E-2</v>
      </c>
      <c r="D10" s="82">
        <f t="shared" si="2"/>
        <v>0.1020391610245716</v>
      </c>
      <c r="E10" s="82">
        <f t="shared" si="2"/>
        <v>0.12711333994071869</v>
      </c>
      <c r="F10" s="82">
        <f t="shared" si="2"/>
        <v>0.15834902040201815</v>
      </c>
    </row>
    <row r="11" spans="1:7" x14ac:dyDescent="0.35">
      <c r="A11" t="s">
        <v>76</v>
      </c>
      <c r="B11" s="36">
        <f>365/(B9/B12)</f>
        <v>121.66666666666667</v>
      </c>
      <c r="C11" s="39">
        <v>70</v>
      </c>
      <c r="D11" s="40">
        <v>65</v>
      </c>
      <c r="E11" s="40">
        <v>65</v>
      </c>
      <c r="F11" s="41">
        <v>65</v>
      </c>
      <c r="G11" s="2" t="s">
        <v>80</v>
      </c>
    </row>
    <row r="12" spans="1:7" x14ac:dyDescent="0.35">
      <c r="A12" t="s">
        <v>21</v>
      </c>
      <c r="B12" s="5">
        <f>'3-statement model'!H35</f>
        <v>8</v>
      </c>
      <c r="C12" s="28">
        <f>C10*C11</f>
        <v>5.7337752837097788</v>
      </c>
      <c r="D12" s="5">
        <f t="shared" ref="D12:F12" si="3">D10*D11</f>
        <v>6.6325454665971542</v>
      </c>
      <c r="E12" s="5">
        <f t="shared" si="3"/>
        <v>8.2623670961467148</v>
      </c>
      <c r="F12" s="5">
        <f t="shared" si="3"/>
        <v>10.292686326131179</v>
      </c>
    </row>
    <row r="13" spans="1:7" x14ac:dyDescent="0.35">
      <c r="A13"/>
      <c r="B13"/>
      <c r="C13"/>
    </row>
    <row r="14" spans="1:7" x14ac:dyDescent="0.35">
      <c r="A14"/>
      <c r="B14"/>
      <c r="C14"/>
    </row>
    <row r="15" spans="1:7" x14ac:dyDescent="0.35">
      <c r="B15"/>
      <c r="C15"/>
    </row>
    <row r="16" spans="1:7" x14ac:dyDescent="0.35">
      <c r="B16"/>
      <c r="C16"/>
    </row>
  </sheetData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3-statement model</vt:lpstr>
      <vt:lpstr>Ratio analysis</vt:lpstr>
      <vt:lpstr>Inventory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</dc:creator>
  <cp:lastModifiedBy>Jason H</cp:lastModifiedBy>
  <dcterms:created xsi:type="dcterms:W3CDTF">2022-10-04T02:52:00Z</dcterms:created>
  <dcterms:modified xsi:type="dcterms:W3CDTF">2022-11-02T05:00:56Z</dcterms:modified>
</cp:coreProperties>
</file>